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drawings/drawing7.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rant Gregory\Google Drive\2017-18\Core Project\Business Plan\FINAL PRODUCTS\Finale\"/>
    </mc:Choice>
  </mc:AlternateContent>
  <bookViews>
    <workbookView xWindow="0" yWindow="0" windowWidth="28800" windowHeight="18000"/>
  </bookViews>
  <sheets>
    <sheet name="Index" sheetId="1" r:id="rId1"/>
    <sheet name="BASES Model" sheetId="2" r:id="rId2"/>
    <sheet name="Avg. Weighted Manufacturer's Pr" sheetId="3" r:id="rId3"/>
    <sheet name="Purchase Intent and Price" sheetId="4" r:id="rId4"/>
    <sheet name="IMC Schedule" sheetId="5" r:id="rId5"/>
    <sheet name="ACV" sheetId="6" r:id="rId6"/>
    <sheet name="Segmentation Tree" sheetId="7" r:id="rId7"/>
    <sheet name="FE Assumptions" sheetId="8" r:id="rId8"/>
    <sheet name="FE Income Statement" sheetId="9" r:id="rId9"/>
    <sheet name="FE Balance Sheet" sheetId="10" r:id="rId10"/>
    <sheet name="FE Cash Flow" sheetId="11" r:id="rId11"/>
    <sheet name="NPV Profile" sheetId="13" r:id="rId12"/>
    <sheet name="Service Subscription Model" sheetId="12" r:id="rId13"/>
    <sheet name="PPE &amp; Amortization Schedule" sheetId="14" r:id="rId14"/>
    <sheet name="Ratios" sheetId="15" r:id="rId15"/>
    <sheet name="OM Assumptions" sheetId="16" r:id="rId16"/>
    <sheet name="Capacity" sheetId="17" r:id="rId17"/>
    <sheet name="Monthly Demand" sheetId="18" r:id="rId18"/>
    <sheet name="Aggregate Plan" sheetId="19" r:id="rId19"/>
    <sheet name="Inventory" sheetId="20" r:id="rId20"/>
    <sheet name="Logistics &amp; Transportation" sheetId="21" r:id="rId21"/>
    <sheet name="IT Costs" sheetId="22" r:id="rId22"/>
    <sheet name="COGS" sheetId="23" r:id="rId23"/>
    <sheet name="Influence Chart" sheetId="24" r:id="rId24"/>
    <sheet name="Sensitivity Analysis" sheetId="25" r:id="rId25"/>
    <sheet name="Simulation Analysis" sheetId="27" r:id="rId26"/>
    <sheet name="Break Even Analysis" sheetId="26" r:id="rId27"/>
  </sheets>
  <definedNames>
    <definedName name="Scenario" localSheetId="25">#REF!</definedName>
    <definedName name="Scenario">#REF!</definedName>
    <definedName name="solver_adj" localSheetId="3">#REF!</definedName>
    <definedName name="solver_lhs1" localSheetId="3">#REF!</definedName>
    <definedName name="solver_lhs2" localSheetId="3">#REF!</definedName>
    <definedName name="solver_opt" localSheetId="3">#REF!</definedName>
    <definedName name="ValueofBusiness">'FE Cash Flow'!$B$26:$G$26</definedName>
  </definedNames>
  <calcPr calcId="162913" concurrentCalc="0"/>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calcChain.xml><?xml version="1.0" encoding="utf-8"?>
<calcChain xmlns="http://schemas.openxmlformats.org/spreadsheetml/2006/main">
  <c r="J11" i="2" l="1"/>
  <c r="H14" i="3"/>
  <c r="I22" i="3"/>
  <c r="I23" i="3"/>
  <c r="O20" i="6"/>
  <c r="D50" i="8"/>
  <c r="E14" i="9"/>
  <c r="D21" i="8"/>
  <c r="D22" i="8"/>
  <c r="D23" i="8"/>
  <c r="D24" i="8"/>
  <c r="D25" i="8"/>
  <c r="E3" i="12"/>
  <c r="E5" i="12"/>
  <c r="E8" i="12"/>
  <c r="D35" i="8"/>
  <c r="E4" i="9"/>
  <c r="E3" i="9"/>
  <c r="B16" i="18"/>
  <c r="P18" i="18"/>
  <c r="P19" i="18"/>
  <c r="N33" i="19"/>
  <c r="N35" i="19"/>
  <c r="O35" i="19"/>
  <c r="C4" i="23"/>
  <c r="C8" i="23"/>
  <c r="C10" i="23"/>
  <c r="D40" i="8"/>
  <c r="E5" i="9"/>
  <c r="I11" i="2"/>
  <c r="B33" i="16"/>
  <c r="C12" i="23"/>
  <c r="C18" i="23"/>
  <c r="D42" i="8"/>
  <c r="E6" i="9"/>
  <c r="L11" i="12"/>
  <c r="E12" i="12"/>
  <c r="C21" i="8"/>
  <c r="C22" i="8"/>
  <c r="C23" i="8"/>
  <c r="C24" i="8"/>
  <c r="C25" i="8"/>
  <c r="D3" i="12"/>
  <c r="K14" i="12"/>
  <c r="D5" i="12"/>
  <c r="D8" i="12"/>
  <c r="E9" i="12"/>
  <c r="L14" i="12"/>
  <c r="E13" i="12"/>
  <c r="E14" i="12"/>
  <c r="D36" i="8"/>
  <c r="E7" i="9"/>
  <c r="E8" i="9"/>
  <c r="E9" i="9"/>
  <c r="E20" i="9"/>
  <c r="E21" i="9"/>
  <c r="E22" i="9"/>
  <c r="E23" i="9"/>
  <c r="C6" i="26"/>
  <c r="C7" i="26"/>
  <c r="C8" i="26"/>
  <c r="C9" i="26"/>
  <c r="K11" i="2"/>
  <c r="E21" i="8"/>
  <c r="E22" i="8"/>
  <c r="E23" i="8"/>
  <c r="E24" i="8"/>
  <c r="E25" i="8"/>
  <c r="F3" i="12"/>
  <c r="F5" i="12"/>
  <c r="F8" i="12"/>
  <c r="E35" i="8"/>
  <c r="F4" i="9"/>
  <c r="F3" i="9"/>
  <c r="B26" i="18"/>
  <c r="P28" i="18"/>
  <c r="P29" i="18"/>
  <c r="N59" i="19"/>
  <c r="N61" i="19"/>
  <c r="O61" i="19"/>
  <c r="D4" i="23"/>
  <c r="D8" i="23"/>
  <c r="D10" i="23"/>
  <c r="E40" i="8"/>
  <c r="F5" i="9"/>
  <c r="D12" i="23"/>
  <c r="D18" i="23"/>
  <c r="E42" i="8"/>
  <c r="F6" i="9"/>
  <c r="M11" i="12"/>
  <c r="F12" i="12"/>
  <c r="F9" i="12"/>
  <c r="M14" i="12"/>
  <c r="F13" i="12"/>
  <c r="F14" i="12"/>
  <c r="E36" i="8"/>
  <c r="F7" i="9"/>
  <c r="F8" i="9"/>
  <c r="F9" i="9"/>
  <c r="F20" i="9"/>
  <c r="F21" i="9"/>
  <c r="F22" i="9"/>
  <c r="F23" i="9"/>
  <c r="D6" i="26"/>
  <c r="D7" i="26"/>
  <c r="D8" i="26"/>
  <c r="D9" i="26"/>
  <c r="L11" i="2"/>
  <c r="F21" i="8"/>
  <c r="F22" i="8"/>
  <c r="F23" i="8"/>
  <c r="F24" i="8"/>
  <c r="F25" i="8"/>
  <c r="G3" i="12"/>
  <c r="G5" i="12"/>
  <c r="G8" i="12"/>
  <c r="F35" i="8"/>
  <c r="G4" i="9"/>
  <c r="G3" i="9"/>
  <c r="B36" i="18"/>
  <c r="P38" i="18"/>
  <c r="P39" i="18"/>
  <c r="N85" i="19"/>
  <c r="N87" i="19"/>
  <c r="O87" i="19"/>
  <c r="E4" i="23"/>
  <c r="E8" i="23"/>
  <c r="E10" i="23"/>
  <c r="F40" i="8"/>
  <c r="G5" i="9"/>
  <c r="E12" i="23"/>
  <c r="E18" i="23"/>
  <c r="F42" i="8"/>
  <c r="G6" i="9"/>
  <c r="N11" i="12"/>
  <c r="G12" i="12"/>
  <c r="G9" i="12"/>
  <c r="N14" i="12"/>
  <c r="G13" i="12"/>
  <c r="G14" i="12"/>
  <c r="F36" i="8"/>
  <c r="G7" i="9"/>
  <c r="G8" i="9"/>
  <c r="G9" i="9"/>
  <c r="G20" i="9"/>
  <c r="G21" i="9"/>
  <c r="G22" i="9"/>
  <c r="G23" i="9"/>
  <c r="E6" i="26"/>
  <c r="E7" i="26"/>
  <c r="E8" i="26"/>
  <c r="E9" i="26"/>
  <c r="M11" i="2"/>
  <c r="G21" i="8"/>
  <c r="G22" i="8"/>
  <c r="G23" i="8"/>
  <c r="G24" i="8"/>
  <c r="G25" i="8"/>
  <c r="H3" i="12"/>
  <c r="H5" i="12"/>
  <c r="H8" i="12"/>
  <c r="G35" i="8"/>
  <c r="H4" i="9"/>
  <c r="H3" i="9"/>
  <c r="B46" i="18"/>
  <c r="P48" i="18"/>
  <c r="P49" i="18"/>
  <c r="N111" i="19"/>
  <c r="N113" i="19"/>
  <c r="O113" i="19"/>
  <c r="F4" i="23"/>
  <c r="F8" i="23"/>
  <c r="F9" i="23"/>
  <c r="F10" i="23"/>
  <c r="G40" i="8"/>
  <c r="H5" i="9"/>
  <c r="F12" i="23"/>
  <c r="F18" i="23"/>
  <c r="G42" i="8"/>
  <c r="H6" i="9"/>
  <c r="O11" i="12"/>
  <c r="H12" i="12"/>
  <c r="H9" i="12"/>
  <c r="O14" i="12"/>
  <c r="H13" i="12"/>
  <c r="H14" i="12"/>
  <c r="G36" i="8"/>
  <c r="H7" i="9"/>
  <c r="H8" i="9"/>
  <c r="H9" i="9"/>
  <c r="H20" i="9"/>
  <c r="H21" i="9"/>
  <c r="H22" i="9"/>
  <c r="H23" i="9"/>
  <c r="F6" i="26"/>
  <c r="F7" i="26"/>
  <c r="F8" i="26"/>
  <c r="F9" i="26"/>
  <c r="H13" i="3"/>
  <c r="H22" i="3"/>
  <c r="H23" i="3"/>
  <c r="O10" i="6"/>
  <c r="C50" i="8"/>
  <c r="D14" i="9"/>
  <c r="C35" i="8"/>
  <c r="D4" i="9"/>
  <c r="D3" i="9"/>
  <c r="B6" i="18"/>
  <c r="P8" i="18"/>
  <c r="P9" i="18"/>
  <c r="N7" i="19"/>
  <c r="N9" i="19"/>
  <c r="O9" i="19"/>
  <c r="B4" i="23"/>
  <c r="B8" i="23"/>
  <c r="B10" i="23"/>
  <c r="C40" i="8"/>
  <c r="D5" i="9"/>
  <c r="B12" i="23"/>
  <c r="B18" i="23"/>
  <c r="C42" i="8"/>
  <c r="D6" i="9"/>
  <c r="K11" i="12"/>
  <c r="D12" i="12"/>
  <c r="D13" i="12"/>
  <c r="D14" i="12"/>
  <c r="C36" i="8"/>
  <c r="D7" i="9"/>
  <c r="D8" i="9"/>
  <c r="D9" i="9"/>
  <c r="D20" i="9"/>
  <c r="D21" i="9"/>
  <c r="D22" i="9"/>
  <c r="D23" i="9"/>
  <c r="B6" i="26"/>
  <c r="B7" i="26"/>
  <c r="B8" i="26"/>
  <c r="B9" i="26"/>
  <c r="C10" i="26"/>
  <c r="D10" i="26"/>
  <c r="E10" i="26"/>
  <c r="F10" i="26"/>
  <c r="B10" i="26"/>
  <c r="C18" i="26"/>
  <c r="D18" i="26"/>
  <c r="E18" i="26"/>
  <c r="F18" i="26"/>
  <c r="B18" i="26"/>
  <c r="C17" i="26"/>
  <c r="D17" i="26"/>
  <c r="E17" i="26"/>
  <c r="F17" i="26"/>
  <c r="B17" i="26"/>
  <c r="C5" i="26"/>
  <c r="D5" i="26"/>
  <c r="E5" i="26"/>
  <c r="F5" i="26"/>
  <c r="B5" i="26"/>
  <c r="B4" i="2"/>
  <c r="E3" i="3"/>
  <c r="C11" i="6"/>
  <c r="F26" i="6"/>
  <c r="F28" i="6"/>
  <c r="B3" i="3"/>
  <c r="E4" i="3"/>
  <c r="B4" i="3"/>
  <c r="E8" i="3"/>
  <c r="L19" i="4"/>
  <c r="M19" i="4"/>
  <c r="B5" i="2"/>
  <c r="X12" i="5"/>
  <c r="U22" i="5"/>
  <c r="N5" i="5"/>
  <c r="P5" i="5"/>
  <c r="X19" i="5"/>
  <c r="N16" i="5"/>
  <c r="P16" i="5"/>
  <c r="U12" i="5"/>
  <c r="P27" i="5"/>
  <c r="P48" i="5"/>
  <c r="B6" i="2"/>
  <c r="B7" i="2"/>
  <c r="B9" i="2"/>
  <c r="B12" i="2"/>
  <c r="C4" i="2"/>
  <c r="E12" i="3"/>
  <c r="G26" i="6"/>
  <c r="G28" i="6"/>
  <c r="B12" i="3"/>
  <c r="E13" i="3"/>
  <c r="B13" i="3"/>
  <c r="E17" i="3"/>
  <c r="L20" i="4"/>
  <c r="M20" i="4"/>
  <c r="C5" i="2"/>
  <c r="X60" i="5"/>
  <c r="U67" i="5"/>
  <c r="N53" i="5"/>
  <c r="P53" i="5"/>
  <c r="X67" i="5"/>
  <c r="N64" i="5"/>
  <c r="P64" i="5"/>
  <c r="P75" i="5"/>
  <c r="P81" i="5"/>
  <c r="P83" i="5"/>
  <c r="P92" i="5"/>
  <c r="C6" i="2"/>
  <c r="C7" i="2"/>
  <c r="C9" i="2"/>
  <c r="C12" i="2"/>
  <c r="D4" i="2"/>
  <c r="E21" i="3"/>
  <c r="H26" i="6"/>
  <c r="H27" i="6"/>
  <c r="H28" i="6"/>
  <c r="B21" i="3"/>
  <c r="E22" i="3"/>
  <c r="B22" i="3"/>
  <c r="E23" i="3"/>
  <c r="B23" i="3"/>
  <c r="E26" i="3"/>
  <c r="L21" i="4"/>
  <c r="M21" i="4"/>
  <c r="D5" i="2"/>
  <c r="P97" i="5"/>
  <c r="X111" i="5"/>
  <c r="N108" i="5"/>
  <c r="P108" i="5"/>
  <c r="P119" i="5"/>
  <c r="P129" i="5"/>
  <c r="P131" i="5"/>
  <c r="P137" i="5"/>
  <c r="D6" i="2"/>
  <c r="D7" i="2"/>
  <c r="D9" i="2"/>
  <c r="D11" i="2"/>
  <c r="D12" i="2"/>
  <c r="E4" i="2"/>
  <c r="E30" i="3"/>
  <c r="I26" i="6"/>
  <c r="I25" i="6"/>
  <c r="I27" i="6"/>
  <c r="I28" i="6"/>
  <c r="B30" i="3"/>
  <c r="E31" i="3"/>
  <c r="B31" i="3"/>
  <c r="E32" i="3"/>
  <c r="B32" i="3"/>
  <c r="E33" i="3"/>
  <c r="B33" i="3"/>
  <c r="E35" i="3"/>
  <c r="L22" i="4"/>
  <c r="M22" i="4"/>
  <c r="E5" i="2"/>
  <c r="P142" i="5"/>
  <c r="X156" i="5"/>
  <c r="N153" i="5"/>
  <c r="P153" i="5"/>
  <c r="P164" i="5"/>
  <c r="P174" i="5"/>
  <c r="P176" i="5"/>
  <c r="P182" i="5"/>
  <c r="E6" i="2"/>
  <c r="E7" i="2"/>
  <c r="E9" i="2"/>
  <c r="E11" i="2"/>
  <c r="E12" i="2"/>
  <c r="F4" i="2"/>
  <c r="E39" i="3"/>
  <c r="J26" i="6"/>
  <c r="J25" i="6"/>
  <c r="J27" i="6"/>
  <c r="J28" i="6"/>
  <c r="B39" i="3"/>
  <c r="E40" i="3"/>
  <c r="B40" i="3"/>
  <c r="E41" i="3"/>
  <c r="B41" i="3"/>
  <c r="E42" i="3"/>
  <c r="B42" i="3"/>
  <c r="E44" i="3"/>
  <c r="L23" i="4"/>
  <c r="M23" i="4"/>
  <c r="F5" i="2"/>
  <c r="P187" i="5"/>
  <c r="X201" i="5"/>
  <c r="N198" i="5"/>
  <c r="P198" i="5"/>
  <c r="P209" i="5"/>
  <c r="P220" i="5"/>
  <c r="P222" i="5"/>
  <c r="P227" i="5"/>
  <c r="F6" i="2"/>
  <c r="F7" i="2"/>
  <c r="F9" i="2"/>
  <c r="F11" i="2"/>
  <c r="F12" i="2"/>
  <c r="B19" i="2"/>
  <c r="L44" i="4"/>
  <c r="M44" i="4"/>
  <c r="B20" i="2"/>
  <c r="Q5" i="5"/>
  <c r="Q16" i="5"/>
  <c r="Q27" i="5"/>
  <c r="Q34" i="5"/>
  <c r="Q36" i="5"/>
  <c r="Q48" i="5"/>
  <c r="B21" i="2"/>
  <c r="B22" i="2"/>
  <c r="B24" i="2"/>
  <c r="B27" i="2"/>
  <c r="C19" i="2"/>
  <c r="L45" i="4"/>
  <c r="M45" i="4"/>
  <c r="C20" i="2"/>
  <c r="Q53" i="5"/>
  <c r="Q64" i="5"/>
  <c r="Q75" i="5"/>
  <c r="Q81" i="5"/>
  <c r="Q83" i="5"/>
  <c r="Q92" i="5"/>
  <c r="C21" i="2"/>
  <c r="C22" i="2"/>
  <c r="C24" i="2"/>
  <c r="C27" i="2"/>
  <c r="D19" i="2"/>
  <c r="L46" i="4"/>
  <c r="M46" i="4"/>
  <c r="D20" i="2"/>
  <c r="X104" i="5"/>
  <c r="U111" i="5"/>
  <c r="N97" i="5"/>
  <c r="Q97" i="5"/>
  <c r="Q108" i="5"/>
  <c r="Q119" i="5"/>
  <c r="Q129" i="5"/>
  <c r="Q131" i="5"/>
  <c r="Q137" i="5"/>
  <c r="D21" i="2"/>
  <c r="D22" i="2"/>
  <c r="D24" i="2"/>
  <c r="D26" i="2"/>
  <c r="D27" i="2"/>
  <c r="E19" i="2"/>
  <c r="L47" i="4"/>
  <c r="M47" i="4"/>
  <c r="E20" i="2"/>
  <c r="X149" i="5"/>
  <c r="U156" i="5"/>
  <c r="N142" i="5"/>
  <c r="Q142" i="5"/>
  <c r="Q153" i="5"/>
  <c r="Q164" i="5"/>
  <c r="Q174" i="5"/>
  <c r="Q176" i="5"/>
  <c r="Q182" i="5"/>
  <c r="E21" i="2"/>
  <c r="E22" i="2"/>
  <c r="E24" i="2"/>
  <c r="E26" i="2"/>
  <c r="E27" i="2"/>
  <c r="F19" i="2"/>
  <c r="L48" i="4"/>
  <c r="M48" i="4"/>
  <c r="F20" i="2"/>
  <c r="X194" i="5"/>
  <c r="U201" i="5"/>
  <c r="N187" i="5"/>
  <c r="Q187" i="5"/>
  <c r="Q198" i="5"/>
  <c r="Q209" i="5"/>
  <c r="Q220" i="5"/>
  <c r="Q222" i="5"/>
  <c r="Q227" i="5"/>
  <c r="F21" i="2"/>
  <c r="F22" i="2"/>
  <c r="F24" i="2"/>
  <c r="F26" i="2"/>
  <c r="F27" i="2"/>
  <c r="B34" i="2"/>
  <c r="L69" i="4"/>
  <c r="M69" i="4"/>
  <c r="B35" i="2"/>
  <c r="R5" i="5"/>
  <c r="R16" i="5"/>
  <c r="R27" i="5"/>
  <c r="R34" i="5"/>
  <c r="R36" i="5"/>
  <c r="R48" i="5"/>
  <c r="B36" i="2"/>
  <c r="B37" i="2"/>
  <c r="B39" i="2"/>
  <c r="B42" i="2"/>
  <c r="C34" i="2"/>
  <c r="L70" i="4"/>
  <c r="M70" i="4"/>
  <c r="C35" i="2"/>
  <c r="R53" i="5"/>
  <c r="R64" i="5"/>
  <c r="R75" i="5"/>
  <c r="R81" i="5"/>
  <c r="R83" i="5"/>
  <c r="R92" i="5"/>
  <c r="C36" i="2"/>
  <c r="C37" i="2"/>
  <c r="C39" i="2"/>
  <c r="C42" i="2"/>
  <c r="D34" i="2"/>
  <c r="L71" i="4"/>
  <c r="M71" i="4"/>
  <c r="D35" i="2"/>
  <c r="R97" i="5"/>
  <c r="R108" i="5"/>
  <c r="R119" i="5"/>
  <c r="R131" i="5"/>
  <c r="R137" i="5"/>
  <c r="D36" i="2"/>
  <c r="D37" i="2"/>
  <c r="D39" i="2"/>
  <c r="D41" i="2"/>
  <c r="D42" i="2"/>
  <c r="E34" i="2"/>
  <c r="L72" i="4"/>
  <c r="M72" i="4"/>
  <c r="E35" i="2"/>
  <c r="R142" i="5"/>
  <c r="R153" i="5"/>
  <c r="R164" i="5"/>
  <c r="R174" i="5"/>
  <c r="R176" i="5"/>
  <c r="R182" i="5"/>
  <c r="E36" i="2"/>
  <c r="E37" i="2"/>
  <c r="E39" i="2"/>
  <c r="E41" i="2"/>
  <c r="E42" i="2"/>
  <c r="F34" i="2"/>
  <c r="L73" i="4"/>
  <c r="M73" i="4"/>
  <c r="F35" i="2"/>
  <c r="R187" i="5"/>
  <c r="R198" i="5"/>
  <c r="R209" i="5"/>
  <c r="R220" i="5"/>
  <c r="R222" i="5"/>
  <c r="R227" i="5"/>
  <c r="F36" i="2"/>
  <c r="F37" i="2"/>
  <c r="F39" i="2"/>
  <c r="F41" i="2"/>
  <c r="F42" i="2"/>
  <c r="D4" i="12"/>
  <c r="E4" i="12"/>
  <c r="F4" i="12"/>
  <c r="G4" i="12"/>
  <c r="H4" i="12"/>
  <c r="H7" i="12"/>
  <c r="D39" i="3"/>
  <c r="C39" i="3"/>
  <c r="D40" i="3"/>
  <c r="C40" i="3"/>
  <c r="D41" i="3"/>
  <c r="C41" i="3"/>
  <c r="D42" i="3"/>
  <c r="C42" i="3"/>
  <c r="C43" i="3"/>
  <c r="F13" i="2"/>
  <c r="G32" i="8"/>
  <c r="E47" i="18"/>
  <c r="F47" i="18"/>
  <c r="G47" i="18"/>
  <c r="H47" i="18"/>
  <c r="I47" i="18"/>
  <c r="J47" i="18"/>
  <c r="K47" i="18"/>
  <c r="L47" i="18"/>
  <c r="M47" i="18"/>
  <c r="N47" i="18"/>
  <c r="O47" i="18"/>
  <c r="P47" i="18"/>
  <c r="Q47" i="18"/>
  <c r="E49" i="18"/>
  <c r="C111" i="19"/>
  <c r="C113" i="19"/>
  <c r="F49" i="18"/>
  <c r="D111" i="19"/>
  <c r="D113" i="19"/>
  <c r="G49" i="18"/>
  <c r="E111" i="19"/>
  <c r="E113" i="19"/>
  <c r="H49" i="18"/>
  <c r="F111" i="19"/>
  <c r="F113" i="19"/>
  <c r="I49" i="18"/>
  <c r="G111" i="19"/>
  <c r="G113" i="19"/>
  <c r="J49" i="18"/>
  <c r="H111" i="19"/>
  <c r="H113" i="19"/>
  <c r="K49" i="18"/>
  <c r="I111" i="19"/>
  <c r="I113" i="19"/>
  <c r="L49" i="18"/>
  <c r="J111" i="19"/>
  <c r="J113" i="19"/>
  <c r="M49" i="18"/>
  <c r="K111" i="19"/>
  <c r="K113" i="19"/>
  <c r="N49" i="18"/>
  <c r="L111" i="19"/>
  <c r="L113" i="19"/>
  <c r="O49" i="18"/>
  <c r="M111" i="19"/>
  <c r="M113" i="19"/>
  <c r="C130" i="17"/>
  <c r="F5" i="23"/>
  <c r="F6" i="23"/>
  <c r="B6" i="16"/>
  <c r="F7" i="23"/>
  <c r="G12" i="20"/>
  <c r="G13" i="20"/>
  <c r="G14" i="20"/>
  <c r="G15" i="20"/>
  <c r="G16" i="20"/>
  <c r="G17" i="20"/>
  <c r="G18" i="20"/>
  <c r="G19" i="20"/>
  <c r="G20" i="20"/>
  <c r="G21" i="20"/>
  <c r="G22" i="20"/>
  <c r="G26" i="20"/>
  <c r="B11" i="23"/>
  <c r="C11" i="23"/>
  <c r="D11" i="23"/>
  <c r="E11" i="23"/>
  <c r="F11" i="23"/>
  <c r="B31" i="16"/>
  <c r="B32" i="16"/>
  <c r="B15" i="23"/>
  <c r="C15" i="23"/>
  <c r="D15" i="23"/>
  <c r="E15" i="23"/>
  <c r="F15" i="23"/>
  <c r="F16" i="23"/>
  <c r="B13" i="23"/>
  <c r="C13" i="23"/>
  <c r="D13" i="23"/>
  <c r="E13" i="23"/>
  <c r="F13" i="23"/>
  <c r="C110" i="21"/>
  <c r="D110" i="21"/>
  <c r="C111" i="21"/>
  <c r="D111" i="21"/>
  <c r="C112" i="21"/>
  <c r="D112" i="21"/>
  <c r="D113" i="21"/>
  <c r="C98" i="21"/>
  <c r="D98" i="21"/>
  <c r="C99" i="21"/>
  <c r="D99" i="21"/>
  <c r="C100" i="21"/>
  <c r="D100" i="21"/>
  <c r="C101" i="21"/>
  <c r="D101" i="21"/>
  <c r="C102" i="21"/>
  <c r="D102" i="21"/>
  <c r="C103" i="21"/>
  <c r="D103" i="21"/>
  <c r="C104" i="21"/>
  <c r="D104" i="21"/>
  <c r="C105" i="21"/>
  <c r="D105" i="21"/>
  <c r="C107" i="21"/>
  <c r="D107" i="21"/>
  <c r="C108" i="21"/>
  <c r="D108" i="21"/>
  <c r="D109" i="21"/>
  <c r="D114" i="21"/>
  <c r="F17" i="23"/>
  <c r="E7" i="12"/>
  <c r="D7" i="12"/>
  <c r="F7" i="12"/>
  <c r="G7" i="12"/>
  <c r="Q13" i="12"/>
  <c r="O14" i="6"/>
  <c r="O24" i="6"/>
  <c r="O36" i="6"/>
  <c r="O48" i="6"/>
  <c r="O16" i="6"/>
  <c r="O26" i="6"/>
  <c r="O38" i="6"/>
  <c r="O49" i="6"/>
  <c r="O39" i="6"/>
  <c r="O50" i="6"/>
  <c r="O40" i="6"/>
  <c r="O51" i="6"/>
  <c r="O17" i="6"/>
  <c r="O29" i="6"/>
  <c r="O41" i="6"/>
  <c r="O52" i="6"/>
  <c r="O9" i="6"/>
  <c r="O19" i="6"/>
  <c r="O31" i="6"/>
  <c r="O43" i="6"/>
  <c r="O53" i="6"/>
  <c r="O15" i="6"/>
  <c r="O25" i="6"/>
  <c r="O37" i="6"/>
  <c r="O54" i="6"/>
  <c r="O55" i="6"/>
  <c r="O18" i="6"/>
  <c r="O30" i="6"/>
  <c r="O42" i="6"/>
  <c r="O56" i="6"/>
  <c r="G47" i="8"/>
  <c r="H11" i="9"/>
  <c r="N186" i="5"/>
  <c r="N222" i="5"/>
  <c r="N225" i="5"/>
  <c r="N226" i="5"/>
  <c r="N227" i="5"/>
  <c r="G48" i="8"/>
  <c r="H12" i="9"/>
  <c r="O44" i="6"/>
  <c r="O57" i="6"/>
  <c r="G49" i="8"/>
  <c r="H13" i="9"/>
  <c r="H14" i="9"/>
  <c r="C157" i="22"/>
  <c r="P6" i="22"/>
  <c r="P7" i="22"/>
  <c r="M58" i="6"/>
  <c r="P9" i="22"/>
  <c r="P10" i="22"/>
  <c r="G157" i="22"/>
  <c r="D157" i="22"/>
  <c r="H157" i="22"/>
  <c r="I157" i="22"/>
  <c r="C158" i="22"/>
  <c r="G158" i="22"/>
  <c r="D158" i="22"/>
  <c r="I158" i="22"/>
  <c r="C159" i="22"/>
  <c r="G159" i="22"/>
  <c r="I159" i="22"/>
  <c r="C160" i="22"/>
  <c r="D160" i="22"/>
  <c r="G160" i="22"/>
  <c r="I160" i="22"/>
  <c r="C161" i="22"/>
  <c r="D161" i="22"/>
  <c r="I161" i="22"/>
  <c r="C162" i="22"/>
  <c r="D162" i="22"/>
  <c r="I162" i="22"/>
  <c r="C107" i="17"/>
  <c r="E5" i="23"/>
  <c r="O6" i="22"/>
  <c r="O7" i="22"/>
  <c r="M45" i="6"/>
  <c r="O9" i="22"/>
  <c r="O10" i="22"/>
  <c r="G127" i="22"/>
  <c r="G164" i="22"/>
  <c r="I164" i="22"/>
  <c r="G165" i="22"/>
  <c r="I165" i="22"/>
  <c r="G146" i="22"/>
  <c r="G166" i="22"/>
  <c r="I166" i="22"/>
  <c r="G167" i="22"/>
  <c r="I167" i="22"/>
  <c r="I168" i="22"/>
  <c r="I169" i="22"/>
  <c r="I170" i="22"/>
  <c r="C171" i="22"/>
  <c r="D171" i="22"/>
  <c r="I171" i="22"/>
  <c r="I173" i="22"/>
  <c r="C174" i="22"/>
  <c r="D174" i="22"/>
  <c r="I174" i="22"/>
  <c r="C176" i="22"/>
  <c r="G176" i="22"/>
  <c r="D176" i="22"/>
  <c r="I176" i="22"/>
  <c r="C177" i="22"/>
  <c r="D177" i="22"/>
  <c r="I177" i="22"/>
  <c r="I178" i="22"/>
  <c r="C29" i="22"/>
  <c r="C179" i="22"/>
  <c r="D179" i="22"/>
  <c r="I179" i="22"/>
  <c r="I180" i="22"/>
  <c r="I181" i="22"/>
  <c r="G51" i="8"/>
  <c r="H15" i="9"/>
  <c r="B5" i="17"/>
  <c r="B6" i="17"/>
  <c r="B25" i="14"/>
  <c r="C25" i="14"/>
  <c r="C26" i="14"/>
  <c r="B2" i="14"/>
  <c r="C37" i="17"/>
  <c r="B5" i="23"/>
  <c r="L6" i="22"/>
  <c r="L7" i="22"/>
  <c r="M11" i="6"/>
  <c r="L9" i="22"/>
  <c r="L10" i="22"/>
  <c r="G14" i="22"/>
  <c r="I14" i="22"/>
  <c r="G15" i="22"/>
  <c r="I15" i="22"/>
  <c r="G16" i="22"/>
  <c r="I16" i="22"/>
  <c r="G17" i="22"/>
  <c r="I17" i="22"/>
  <c r="I18" i="22"/>
  <c r="I19" i="22"/>
  <c r="I20" i="22"/>
  <c r="I21" i="22"/>
  <c r="B3" i="14"/>
  <c r="B4" i="14"/>
  <c r="B5" i="8"/>
  <c r="H16" i="9"/>
  <c r="G61" i="8"/>
  <c r="F61" i="8"/>
  <c r="C5" i="17"/>
  <c r="D5" i="17"/>
  <c r="E5" i="17"/>
  <c r="E6" i="17"/>
  <c r="F25" i="14"/>
  <c r="G25" i="14"/>
  <c r="G26" i="14"/>
  <c r="E61" i="8"/>
  <c r="D61" i="8"/>
  <c r="C61" i="8"/>
  <c r="D17" i="9"/>
  <c r="E17" i="9"/>
  <c r="F17" i="9"/>
  <c r="G17" i="9"/>
  <c r="H17" i="9"/>
  <c r="L18" i="22"/>
  <c r="B30" i="14"/>
  <c r="G31" i="14"/>
  <c r="H18" i="9"/>
  <c r="H24" i="9"/>
  <c r="I5" i="11"/>
  <c r="H4" i="10"/>
  <c r="H56" i="15"/>
  <c r="H86" i="15"/>
  <c r="B56" i="8"/>
  <c r="G72" i="8"/>
  <c r="H5" i="10"/>
  <c r="H6" i="10"/>
  <c r="H7" i="10"/>
  <c r="B160" i="20"/>
  <c r="B161" i="20"/>
  <c r="B162" i="20"/>
  <c r="B163" i="20"/>
  <c r="B165" i="20"/>
  <c r="I171" i="20"/>
  <c r="F81" i="20"/>
  <c r="F111" i="20"/>
  <c r="F141" i="20"/>
  <c r="F171" i="20"/>
  <c r="O171" i="20"/>
  <c r="Q171" i="20"/>
  <c r="F19" i="23"/>
  <c r="F20" i="23"/>
  <c r="E160" i="20"/>
  <c r="E161" i="20"/>
  <c r="E163" i="20"/>
  <c r="E162" i="20"/>
  <c r="E164" i="20"/>
  <c r="E165" i="20"/>
  <c r="B164" i="20"/>
  <c r="B166" i="20"/>
  <c r="J171" i="20"/>
  <c r="C171" i="20"/>
  <c r="K171" i="20"/>
  <c r="L171" i="20"/>
  <c r="M171" i="20"/>
  <c r="N171" i="20"/>
  <c r="R171" i="20"/>
  <c r="E171" i="20"/>
  <c r="S171" i="20"/>
  <c r="T171" i="20"/>
  <c r="I172" i="20"/>
  <c r="F82" i="20"/>
  <c r="F112" i="20"/>
  <c r="F142" i="20"/>
  <c r="F172" i="20"/>
  <c r="O172" i="20"/>
  <c r="Q172" i="20"/>
  <c r="J172" i="20"/>
  <c r="C172" i="20"/>
  <c r="K172" i="20"/>
  <c r="L172" i="20"/>
  <c r="M172" i="20"/>
  <c r="N172" i="20"/>
  <c r="R172" i="20"/>
  <c r="E172" i="20"/>
  <c r="S172" i="20"/>
  <c r="T172" i="20"/>
  <c r="I173" i="20"/>
  <c r="F83" i="20"/>
  <c r="F113" i="20"/>
  <c r="F143" i="20"/>
  <c r="F173" i="20"/>
  <c r="O173" i="20"/>
  <c r="Q173" i="20"/>
  <c r="J173" i="20"/>
  <c r="C173" i="20"/>
  <c r="K173" i="20"/>
  <c r="L173" i="20"/>
  <c r="M173" i="20"/>
  <c r="N173" i="20"/>
  <c r="R173" i="20"/>
  <c r="E173" i="20"/>
  <c r="S173" i="20"/>
  <c r="T173" i="20"/>
  <c r="I174" i="20"/>
  <c r="F84" i="20"/>
  <c r="F114" i="20"/>
  <c r="F144" i="20"/>
  <c r="F174" i="20"/>
  <c r="O174" i="20"/>
  <c r="Q174" i="20"/>
  <c r="J174" i="20"/>
  <c r="C174" i="20"/>
  <c r="K174" i="20"/>
  <c r="L174" i="20"/>
  <c r="M174" i="20"/>
  <c r="N174" i="20"/>
  <c r="R174" i="20"/>
  <c r="E174" i="20"/>
  <c r="S174" i="20"/>
  <c r="T174" i="20"/>
  <c r="I175" i="20"/>
  <c r="F85" i="20"/>
  <c r="F115" i="20"/>
  <c r="F145" i="20"/>
  <c r="F175" i="20"/>
  <c r="O175" i="20"/>
  <c r="Q175" i="20"/>
  <c r="J175" i="20"/>
  <c r="C175" i="20"/>
  <c r="K175" i="20"/>
  <c r="L175" i="20"/>
  <c r="M175" i="20"/>
  <c r="N175" i="20"/>
  <c r="R175" i="20"/>
  <c r="E175" i="20"/>
  <c r="S175" i="20"/>
  <c r="T175" i="20"/>
  <c r="I176" i="20"/>
  <c r="F86" i="20"/>
  <c r="F116" i="20"/>
  <c r="F146" i="20"/>
  <c r="F176" i="20"/>
  <c r="O176" i="20"/>
  <c r="Q176" i="20"/>
  <c r="J176" i="20"/>
  <c r="C176" i="20"/>
  <c r="K176" i="20"/>
  <c r="L176" i="20"/>
  <c r="M176" i="20"/>
  <c r="N176" i="20"/>
  <c r="R176" i="20"/>
  <c r="E176" i="20"/>
  <c r="S176" i="20"/>
  <c r="T176" i="20"/>
  <c r="I177" i="20"/>
  <c r="F87" i="20"/>
  <c r="F117" i="20"/>
  <c r="F147" i="20"/>
  <c r="F177" i="20"/>
  <c r="O177" i="20"/>
  <c r="Q177" i="20"/>
  <c r="J177" i="20"/>
  <c r="C177" i="20"/>
  <c r="K177" i="20"/>
  <c r="L177" i="20"/>
  <c r="M177" i="20"/>
  <c r="N177" i="20"/>
  <c r="R177" i="20"/>
  <c r="E177" i="20"/>
  <c r="S177" i="20"/>
  <c r="T177" i="20"/>
  <c r="I178" i="20"/>
  <c r="F88" i="20"/>
  <c r="F118" i="20"/>
  <c r="F148" i="20"/>
  <c r="F178" i="20"/>
  <c r="O178" i="20"/>
  <c r="Q178" i="20"/>
  <c r="J178" i="20"/>
  <c r="C178" i="20"/>
  <c r="K178" i="20"/>
  <c r="L178" i="20"/>
  <c r="M178" i="20"/>
  <c r="N178" i="20"/>
  <c r="R178" i="20"/>
  <c r="E178" i="20"/>
  <c r="S178" i="20"/>
  <c r="T178" i="20"/>
  <c r="I179" i="20"/>
  <c r="F89" i="20"/>
  <c r="F119" i="20"/>
  <c r="F149" i="20"/>
  <c r="F179" i="20"/>
  <c r="O179" i="20"/>
  <c r="Q179" i="20"/>
  <c r="J179" i="20"/>
  <c r="C179" i="20"/>
  <c r="K179" i="20"/>
  <c r="L179" i="20"/>
  <c r="M179" i="20"/>
  <c r="N179" i="20"/>
  <c r="R179" i="20"/>
  <c r="E179" i="20"/>
  <c r="S179" i="20"/>
  <c r="T179" i="20"/>
  <c r="I180" i="20"/>
  <c r="F90" i="20"/>
  <c r="F120" i="20"/>
  <c r="F150" i="20"/>
  <c r="F180" i="20"/>
  <c r="O180" i="20"/>
  <c r="Q180" i="20"/>
  <c r="J180" i="20"/>
  <c r="C180" i="20"/>
  <c r="K180" i="20"/>
  <c r="L180" i="20"/>
  <c r="M180" i="20"/>
  <c r="N180" i="20"/>
  <c r="R180" i="20"/>
  <c r="E180" i="20"/>
  <c r="S180" i="20"/>
  <c r="T180" i="20"/>
  <c r="I181" i="20"/>
  <c r="F91" i="20"/>
  <c r="F121" i="20"/>
  <c r="F151" i="20"/>
  <c r="F181" i="20"/>
  <c r="O181" i="20"/>
  <c r="Q181" i="20"/>
  <c r="J181" i="20"/>
  <c r="C181" i="20"/>
  <c r="K181" i="20"/>
  <c r="L181" i="20"/>
  <c r="M181" i="20"/>
  <c r="N181" i="20"/>
  <c r="R181" i="20"/>
  <c r="E181" i="20"/>
  <c r="S181" i="20"/>
  <c r="T181" i="20"/>
  <c r="I183" i="20"/>
  <c r="F93" i="20"/>
  <c r="F123" i="20"/>
  <c r="F153" i="20"/>
  <c r="F183" i="20"/>
  <c r="O183" i="20"/>
  <c r="Q183" i="20"/>
  <c r="J183" i="20"/>
  <c r="C183" i="20"/>
  <c r="K183" i="20"/>
  <c r="L183" i="20"/>
  <c r="M183" i="20"/>
  <c r="N183" i="20"/>
  <c r="R183" i="20"/>
  <c r="E183" i="20"/>
  <c r="S183" i="20"/>
  <c r="T183" i="20"/>
  <c r="I184" i="20"/>
  <c r="F94" i="20"/>
  <c r="F124" i="20"/>
  <c r="F154" i="20"/>
  <c r="F184" i="20"/>
  <c r="O184" i="20"/>
  <c r="Q184" i="20"/>
  <c r="J184" i="20"/>
  <c r="C184" i="20"/>
  <c r="K184" i="20"/>
  <c r="L184" i="20"/>
  <c r="M184" i="20"/>
  <c r="N184" i="20"/>
  <c r="R184" i="20"/>
  <c r="E184" i="20"/>
  <c r="S184" i="20"/>
  <c r="T184" i="20"/>
  <c r="K160" i="20"/>
  <c r="F4" i="20"/>
  <c r="H166" i="20"/>
  <c r="K161" i="20"/>
  <c r="F5" i="20"/>
  <c r="G59" i="8"/>
  <c r="H8" i="10"/>
  <c r="H160" i="20"/>
  <c r="H161" i="20"/>
  <c r="H163" i="20"/>
  <c r="K162" i="20"/>
  <c r="F6" i="20"/>
  <c r="G60" i="8"/>
  <c r="H9" i="10"/>
  <c r="H10" i="10"/>
  <c r="H57" i="15"/>
  <c r="H87" i="15"/>
  <c r="B57" i="8"/>
  <c r="H21" i="10"/>
  <c r="H22" i="10"/>
  <c r="H33" i="10"/>
  <c r="D30" i="3"/>
  <c r="C30" i="3"/>
  <c r="D31" i="3"/>
  <c r="C31" i="3"/>
  <c r="D32" i="3"/>
  <c r="C32" i="3"/>
  <c r="D33" i="3"/>
  <c r="C33" i="3"/>
  <c r="C34" i="3"/>
  <c r="E13" i="2"/>
  <c r="F32" i="8"/>
  <c r="G4" i="10"/>
  <c r="F72" i="8"/>
  <c r="G5" i="10"/>
  <c r="G6" i="10"/>
  <c r="G7" i="10"/>
  <c r="B130" i="20"/>
  <c r="B131" i="20"/>
  <c r="B132" i="20"/>
  <c r="B133" i="20"/>
  <c r="B135" i="20"/>
  <c r="I141" i="20"/>
  <c r="O141" i="20"/>
  <c r="Q141" i="20"/>
  <c r="E37" i="18"/>
  <c r="F37" i="18"/>
  <c r="G37" i="18"/>
  <c r="H37" i="18"/>
  <c r="I37" i="18"/>
  <c r="J37" i="18"/>
  <c r="K37" i="18"/>
  <c r="L37" i="18"/>
  <c r="M37" i="18"/>
  <c r="N37" i="18"/>
  <c r="O37" i="18"/>
  <c r="P37" i="18"/>
  <c r="Q37" i="18"/>
  <c r="E39" i="18"/>
  <c r="C85" i="19"/>
  <c r="C87" i="19"/>
  <c r="F39" i="18"/>
  <c r="D85" i="19"/>
  <c r="D87" i="19"/>
  <c r="G39" i="18"/>
  <c r="E85" i="19"/>
  <c r="E87" i="19"/>
  <c r="H39" i="18"/>
  <c r="F85" i="19"/>
  <c r="F87" i="19"/>
  <c r="I39" i="18"/>
  <c r="G85" i="19"/>
  <c r="G87" i="19"/>
  <c r="J39" i="18"/>
  <c r="H85" i="19"/>
  <c r="H87" i="19"/>
  <c r="K39" i="18"/>
  <c r="I85" i="19"/>
  <c r="I87" i="19"/>
  <c r="L39" i="18"/>
  <c r="J85" i="19"/>
  <c r="J87" i="19"/>
  <c r="M39" i="18"/>
  <c r="K85" i="19"/>
  <c r="K87" i="19"/>
  <c r="N39" i="18"/>
  <c r="L85" i="19"/>
  <c r="L87" i="19"/>
  <c r="O39" i="18"/>
  <c r="M85" i="19"/>
  <c r="M87" i="19"/>
  <c r="E6" i="23"/>
  <c r="E7" i="23"/>
  <c r="E16" i="23"/>
  <c r="C90" i="21"/>
  <c r="D90" i="21"/>
  <c r="C91" i="21"/>
  <c r="D91" i="21"/>
  <c r="C92" i="21"/>
  <c r="D92" i="21"/>
  <c r="D93" i="21"/>
  <c r="C78" i="21"/>
  <c r="D78" i="21"/>
  <c r="C79" i="21"/>
  <c r="D79" i="21"/>
  <c r="C80" i="21"/>
  <c r="D80" i="21"/>
  <c r="C81" i="21"/>
  <c r="D81" i="21"/>
  <c r="C82" i="21"/>
  <c r="D82" i="21"/>
  <c r="C83" i="21"/>
  <c r="D83" i="21"/>
  <c r="C84" i="21"/>
  <c r="D84" i="21"/>
  <c r="C85" i="21"/>
  <c r="D85" i="21"/>
  <c r="C87" i="21"/>
  <c r="D87" i="21"/>
  <c r="C88" i="21"/>
  <c r="D88" i="21"/>
  <c r="D89" i="21"/>
  <c r="D94" i="21"/>
  <c r="E17" i="23"/>
  <c r="E19" i="23"/>
  <c r="E20" i="23"/>
  <c r="E130" i="20"/>
  <c r="E131" i="20"/>
  <c r="E133" i="20"/>
  <c r="E132" i="20"/>
  <c r="E134" i="20"/>
  <c r="E135" i="20"/>
  <c r="B134" i="20"/>
  <c r="B136" i="20"/>
  <c r="J141" i="20"/>
  <c r="C141" i="20"/>
  <c r="K141" i="20"/>
  <c r="L141" i="20"/>
  <c r="M141" i="20"/>
  <c r="N141" i="20"/>
  <c r="R141" i="20"/>
  <c r="E141" i="20"/>
  <c r="S141" i="20"/>
  <c r="T141" i="20"/>
  <c r="I142" i="20"/>
  <c r="O142" i="20"/>
  <c r="Q142" i="20"/>
  <c r="J142" i="20"/>
  <c r="C142" i="20"/>
  <c r="K142" i="20"/>
  <c r="L142" i="20"/>
  <c r="M142" i="20"/>
  <c r="N142" i="20"/>
  <c r="R142" i="20"/>
  <c r="E142" i="20"/>
  <c r="S142" i="20"/>
  <c r="T142" i="20"/>
  <c r="I143" i="20"/>
  <c r="O143" i="20"/>
  <c r="Q143" i="20"/>
  <c r="J143" i="20"/>
  <c r="C143" i="20"/>
  <c r="K143" i="20"/>
  <c r="L143" i="20"/>
  <c r="M143" i="20"/>
  <c r="N143" i="20"/>
  <c r="R143" i="20"/>
  <c r="E143" i="20"/>
  <c r="S143" i="20"/>
  <c r="T143" i="20"/>
  <c r="I144" i="20"/>
  <c r="O144" i="20"/>
  <c r="Q144" i="20"/>
  <c r="J144" i="20"/>
  <c r="C144" i="20"/>
  <c r="K144" i="20"/>
  <c r="L144" i="20"/>
  <c r="M144" i="20"/>
  <c r="N144" i="20"/>
  <c r="R144" i="20"/>
  <c r="E144" i="20"/>
  <c r="S144" i="20"/>
  <c r="T144" i="20"/>
  <c r="I145" i="20"/>
  <c r="O145" i="20"/>
  <c r="Q145" i="20"/>
  <c r="J145" i="20"/>
  <c r="C145" i="20"/>
  <c r="K145" i="20"/>
  <c r="L145" i="20"/>
  <c r="M145" i="20"/>
  <c r="N145" i="20"/>
  <c r="R145" i="20"/>
  <c r="E145" i="20"/>
  <c r="S145" i="20"/>
  <c r="T145" i="20"/>
  <c r="I146" i="20"/>
  <c r="O146" i="20"/>
  <c r="Q146" i="20"/>
  <c r="J146" i="20"/>
  <c r="C146" i="20"/>
  <c r="K146" i="20"/>
  <c r="L146" i="20"/>
  <c r="M146" i="20"/>
  <c r="N146" i="20"/>
  <c r="R146" i="20"/>
  <c r="E146" i="20"/>
  <c r="S146" i="20"/>
  <c r="T146" i="20"/>
  <c r="I147" i="20"/>
  <c r="O147" i="20"/>
  <c r="Q147" i="20"/>
  <c r="J147" i="20"/>
  <c r="C147" i="20"/>
  <c r="K147" i="20"/>
  <c r="L147" i="20"/>
  <c r="M147" i="20"/>
  <c r="N147" i="20"/>
  <c r="R147" i="20"/>
  <c r="E147" i="20"/>
  <c r="S147" i="20"/>
  <c r="T147" i="20"/>
  <c r="I148" i="20"/>
  <c r="O148" i="20"/>
  <c r="Q148" i="20"/>
  <c r="J148" i="20"/>
  <c r="C148" i="20"/>
  <c r="K148" i="20"/>
  <c r="L148" i="20"/>
  <c r="M148" i="20"/>
  <c r="N148" i="20"/>
  <c r="R148" i="20"/>
  <c r="E148" i="20"/>
  <c r="S148" i="20"/>
  <c r="T148" i="20"/>
  <c r="I149" i="20"/>
  <c r="O149" i="20"/>
  <c r="Q149" i="20"/>
  <c r="J149" i="20"/>
  <c r="C149" i="20"/>
  <c r="K149" i="20"/>
  <c r="L149" i="20"/>
  <c r="M149" i="20"/>
  <c r="N149" i="20"/>
  <c r="R149" i="20"/>
  <c r="E149" i="20"/>
  <c r="S149" i="20"/>
  <c r="T149" i="20"/>
  <c r="I150" i="20"/>
  <c r="O150" i="20"/>
  <c r="Q150" i="20"/>
  <c r="J150" i="20"/>
  <c r="C150" i="20"/>
  <c r="K150" i="20"/>
  <c r="L150" i="20"/>
  <c r="M150" i="20"/>
  <c r="N150" i="20"/>
  <c r="R150" i="20"/>
  <c r="E150" i="20"/>
  <c r="S150" i="20"/>
  <c r="T150" i="20"/>
  <c r="I151" i="20"/>
  <c r="O151" i="20"/>
  <c r="Q151" i="20"/>
  <c r="J151" i="20"/>
  <c r="C151" i="20"/>
  <c r="K151" i="20"/>
  <c r="L151" i="20"/>
  <c r="M151" i="20"/>
  <c r="N151" i="20"/>
  <c r="R151" i="20"/>
  <c r="E151" i="20"/>
  <c r="S151" i="20"/>
  <c r="T151" i="20"/>
  <c r="I153" i="20"/>
  <c r="O153" i="20"/>
  <c r="Q153" i="20"/>
  <c r="J153" i="20"/>
  <c r="C153" i="20"/>
  <c r="K153" i="20"/>
  <c r="L153" i="20"/>
  <c r="M153" i="20"/>
  <c r="N153" i="20"/>
  <c r="R153" i="20"/>
  <c r="E153" i="20"/>
  <c r="S153" i="20"/>
  <c r="T153" i="20"/>
  <c r="I154" i="20"/>
  <c r="O154" i="20"/>
  <c r="Q154" i="20"/>
  <c r="J154" i="20"/>
  <c r="C154" i="20"/>
  <c r="K154" i="20"/>
  <c r="L154" i="20"/>
  <c r="M154" i="20"/>
  <c r="N154" i="20"/>
  <c r="R154" i="20"/>
  <c r="E154" i="20"/>
  <c r="S154" i="20"/>
  <c r="T154" i="20"/>
  <c r="K130" i="20"/>
  <c r="E4" i="20"/>
  <c r="H136" i="20"/>
  <c r="K131" i="20"/>
  <c r="E5" i="20"/>
  <c r="F59" i="8"/>
  <c r="G8" i="10"/>
  <c r="H130" i="20"/>
  <c r="H131" i="20"/>
  <c r="H133" i="20"/>
  <c r="K132" i="20"/>
  <c r="E6" i="20"/>
  <c r="F60" i="8"/>
  <c r="G9" i="10"/>
  <c r="G10" i="10"/>
  <c r="G21" i="10"/>
  <c r="G22" i="10"/>
  <c r="G33" i="10"/>
  <c r="H34" i="10"/>
  <c r="I8" i="11"/>
  <c r="I6" i="11"/>
  <c r="I7" i="11"/>
  <c r="I10" i="11"/>
  <c r="J10" i="11"/>
  <c r="C27" i="11"/>
  <c r="C35" i="11"/>
  <c r="C20" i="11"/>
  <c r="I12" i="11"/>
  <c r="I13" i="11"/>
  <c r="I14" i="11"/>
  <c r="I15" i="11"/>
  <c r="F47" i="8"/>
  <c r="G11" i="9"/>
  <c r="N141" i="5"/>
  <c r="N176" i="5"/>
  <c r="N179" i="5"/>
  <c r="N180" i="5"/>
  <c r="N181" i="5"/>
  <c r="N182" i="5"/>
  <c r="F48" i="8"/>
  <c r="G12" i="9"/>
  <c r="F49" i="8"/>
  <c r="G13" i="9"/>
  <c r="G14" i="9"/>
  <c r="C127" i="22"/>
  <c r="D127" i="22"/>
  <c r="H127" i="22"/>
  <c r="I127" i="22"/>
  <c r="C128" i="22"/>
  <c r="G128" i="22"/>
  <c r="D128" i="22"/>
  <c r="I128" i="22"/>
  <c r="C129" i="22"/>
  <c r="G129" i="22"/>
  <c r="I129" i="22"/>
  <c r="C130" i="22"/>
  <c r="D130" i="22"/>
  <c r="G130" i="22"/>
  <c r="I130" i="22"/>
  <c r="C131" i="22"/>
  <c r="D131" i="22"/>
  <c r="I131" i="22"/>
  <c r="C132" i="22"/>
  <c r="D132" i="22"/>
  <c r="I132" i="22"/>
  <c r="C84" i="17"/>
  <c r="D5" i="23"/>
  <c r="N6" i="22"/>
  <c r="N7" i="22"/>
  <c r="M33" i="6"/>
  <c r="N9" i="22"/>
  <c r="N10" i="22"/>
  <c r="G97" i="22"/>
  <c r="G134" i="22"/>
  <c r="I134" i="22"/>
  <c r="G98" i="22"/>
  <c r="G135" i="22"/>
  <c r="I135" i="22"/>
  <c r="G116" i="22"/>
  <c r="G136" i="22"/>
  <c r="I136" i="22"/>
  <c r="G137" i="22"/>
  <c r="I137" i="22"/>
  <c r="I138" i="22"/>
  <c r="I139" i="22"/>
  <c r="I140" i="22"/>
  <c r="C141" i="22"/>
  <c r="D141" i="22"/>
  <c r="I141" i="22"/>
  <c r="I143" i="22"/>
  <c r="C144" i="22"/>
  <c r="D144" i="22"/>
  <c r="I144" i="22"/>
  <c r="C146" i="22"/>
  <c r="D146" i="22"/>
  <c r="I146" i="22"/>
  <c r="C147" i="22"/>
  <c r="D147" i="22"/>
  <c r="I147" i="22"/>
  <c r="I148" i="22"/>
  <c r="C149" i="22"/>
  <c r="D149" i="22"/>
  <c r="I149" i="22"/>
  <c r="I150" i="22"/>
  <c r="I151" i="22"/>
  <c r="F51" i="8"/>
  <c r="G15" i="9"/>
  <c r="G16" i="9"/>
  <c r="F31" i="14"/>
  <c r="G18" i="9"/>
  <c r="G24" i="9"/>
  <c r="H5" i="11"/>
  <c r="D21" i="3"/>
  <c r="C21" i="3"/>
  <c r="D22" i="3"/>
  <c r="C22" i="3"/>
  <c r="D23" i="3"/>
  <c r="C23" i="3"/>
  <c r="C25" i="3"/>
  <c r="D13" i="2"/>
  <c r="E32" i="8"/>
  <c r="F4" i="10"/>
  <c r="E72" i="8"/>
  <c r="F5" i="10"/>
  <c r="F6" i="10"/>
  <c r="F7" i="10"/>
  <c r="B100" i="20"/>
  <c r="B101" i="20"/>
  <c r="B102" i="20"/>
  <c r="B103" i="20"/>
  <c r="B105" i="20"/>
  <c r="I111" i="20"/>
  <c r="O111" i="20"/>
  <c r="Q111" i="20"/>
  <c r="E27" i="18"/>
  <c r="F27" i="18"/>
  <c r="G27" i="18"/>
  <c r="H27" i="18"/>
  <c r="I27" i="18"/>
  <c r="J27" i="18"/>
  <c r="K27" i="18"/>
  <c r="L27" i="18"/>
  <c r="M27" i="18"/>
  <c r="N27" i="18"/>
  <c r="O27" i="18"/>
  <c r="P27" i="18"/>
  <c r="Q27" i="18"/>
  <c r="E29" i="18"/>
  <c r="C59" i="19"/>
  <c r="C61" i="19"/>
  <c r="F29" i="18"/>
  <c r="D59" i="19"/>
  <c r="D61" i="19"/>
  <c r="G29" i="18"/>
  <c r="E59" i="19"/>
  <c r="E61" i="19"/>
  <c r="H29" i="18"/>
  <c r="F59" i="19"/>
  <c r="F61" i="19"/>
  <c r="I29" i="18"/>
  <c r="G59" i="19"/>
  <c r="G61" i="19"/>
  <c r="J29" i="18"/>
  <c r="H59" i="19"/>
  <c r="H61" i="19"/>
  <c r="K29" i="18"/>
  <c r="I59" i="19"/>
  <c r="I61" i="19"/>
  <c r="L29" i="18"/>
  <c r="J59" i="19"/>
  <c r="J61" i="19"/>
  <c r="M29" i="18"/>
  <c r="K59" i="19"/>
  <c r="K61" i="19"/>
  <c r="N29" i="18"/>
  <c r="L59" i="19"/>
  <c r="L61" i="19"/>
  <c r="O29" i="18"/>
  <c r="M59" i="19"/>
  <c r="M61" i="19"/>
  <c r="D6" i="23"/>
  <c r="D7" i="23"/>
  <c r="D16" i="23"/>
  <c r="C58" i="21"/>
  <c r="D58" i="21"/>
  <c r="C59" i="21"/>
  <c r="D59" i="21"/>
  <c r="C60" i="21"/>
  <c r="D60" i="21"/>
  <c r="C61" i="21"/>
  <c r="D61" i="21"/>
  <c r="C62" i="21"/>
  <c r="D62" i="21"/>
  <c r="C63" i="21"/>
  <c r="D63" i="21"/>
  <c r="C64" i="21"/>
  <c r="D64" i="21"/>
  <c r="C65" i="21"/>
  <c r="D65" i="21"/>
  <c r="C67" i="21"/>
  <c r="D67" i="21"/>
  <c r="C68" i="21"/>
  <c r="D68" i="21"/>
  <c r="D69" i="21"/>
  <c r="C70" i="21"/>
  <c r="D70" i="21"/>
  <c r="C71" i="21"/>
  <c r="D71" i="21"/>
  <c r="C72" i="21"/>
  <c r="D72" i="21"/>
  <c r="D73" i="21"/>
  <c r="D74" i="21"/>
  <c r="D17" i="23"/>
  <c r="D19" i="23"/>
  <c r="D20" i="23"/>
  <c r="E100" i="20"/>
  <c r="E101" i="20"/>
  <c r="E103" i="20"/>
  <c r="E102" i="20"/>
  <c r="E104" i="20"/>
  <c r="E105" i="20"/>
  <c r="B104" i="20"/>
  <c r="B106" i="20"/>
  <c r="J111" i="20"/>
  <c r="C111" i="20"/>
  <c r="K111" i="20"/>
  <c r="L111" i="20"/>
  <c r="M111" i="20"/>
  <c r="N111" i="20"/>
  <c r="R111" i="20"/>
  <c r="E111" i="20"/>
  <c r="S111" i="20"/>
  <c r="T111" i="20"/>
  <c r="I112" i="20"/>
  <c r="O112" i="20"/>
  <c r="Q112" i="20"/>
  <c r="J112" i="20"/>
  <c r="C112" i="20"/>
  <c r="K112" i="20"/>
  <c r="L112" i="20"/>
  <c r="M112" i="20"/>
  <c r="N112" i="20"/>
  <c r="R112" i="20"/>
  <c r="E112" i="20"/>
  <c r="S112" i="20"/>
  <c r="T112" i="20"/>
  <c r="I113" i="20"/>
  <c r="O113" i="20"/>
  <c r="Q113" i="20"/>
  <c r="J113" i="20"/>
  <c r="C113" i="20"/>
  <c r="K113" i="20"/>
  <c r="L113" i="20"/>
  <c r="M113" i="20"/>
  <c r="N113" i="20"/>
  <c r="R113" i="20"/>
  <c r="E113" i="20"/>
  <c r="S113" i="20"/>
  <c r="T113" i="20"/>
  <c r="I114" i="20"/>
  <c r="O114" i="20"/>
  <c r="Q114" i="20"/>
  <c r="J114" i="20"/>
  <c r="C114" i="20"/>
  <c r="K114" i="20"/>
  <c r="L114" i="20"/>
  <c r="M114" i="20"/>
  <c r="N114" i="20"/>
  <c r="R114" i="20"/>
  <c r="E114" i="20"/>
  <c r="S114" i="20"/>
  <c r="T114" i="20"/>
  <c r="I115" i="20"/>
  <c r="O115" i="20"/>
  <c r="Q115" i="20"/>
  <c r="J115" i="20"/>
  <c r="C115" i="20"/>
  <c r="K115" i="20"/>
  <c r="L115" i="20"/>
  <c r="M115" i="20"/>
  <c r="N115" i="20"/>
  <c r="R115" i="20"/>
  <c r="E115" i="20"/>
  <c r="S115" i="20"/>
  <c r="T115" i="20"/>
  <c r="I116" i="20"/>
  <c r="O116" i="20"/>
  <c r="Q116" i="20"/>
  <c r="J116" i="20"/>
  <c r="C116" i="20"/>
  <c r="K116" i="20"/>
  <c r="L116" i="20"/>
  <c r="M116" i="20"/>
  <c r="N116" i="20"/>
  <c r="R116" i="20"/>
  <c r="E116" i="20"/>
  <c r="S116" i="20"/>
  <c r="T116" i="20"/>
  <c r="I117" i="20"/>
  <c r="O117" i="20"/>
  <c r="Q117" i="20"/>
  <c r="J117" i="20"/>
  <c r="C117" i="20"/>
  <c r="K117" i="20"/>
  <c r="L117" i="20"/>
  <c r="M117" i="20"/>
  <c r="N117" i="20"/>
  <c r="R117" i="20"/>
  <c r="E117" i="20"/>
  <c r="S117" i="20"/>
  <c r="T117" i="20"/>
  <c r="I118" i="20"/>
  <c r="O118" i="20"/>
  <c r="Q118" i="20"/>
  <c r="J118" i="20"/>
  <c r="C118" i="20"/>
  <c r="K118" i="20"/>
  <c r="L118" i="20"/>
  <c r="M118" i="20"/>
  <c r="N118" i="20"/>
  <c r="R118" i="20"/>
  <c r="E118" i="20"/>
  <c r="S118" i="20"/>
  <c r="T118" i="20"/>
  <c r="I119" i="20"/>
  <c r="O119" i="20"/>
  <c r="Q119" i="20"/>
  <c r="J119" i="20"/>
  <c r="C119" i="20"/>
  <c r="K119" i="20"/>
  <c r="L119" i="20"/>
  <c r="M119" i="20"/>
  <c r="N119" i="20"/>
  <c r="R119" i="20"/>
  <c r="E119" i="20"/>
  <c r="S119" i="20"/>
  <c r="T119" i="20"/>
  <c r="I120" i="20"/>
  <c r="O120" i="20"/>
  <c r="Q120" i="20"/>
  <c r="J120" i="20"/>
  <c r="C120" i="20"/>
  <c r="K120" i="20"/>
  <c r="L120" i="20"/>
  <c r="M120" i="20"/>
  <c r="N120" i="20"/>
  <c r="R120" i="20"/>
  <c r="E120" i="20"/>
  <c r="S120" i="20"/>
  <c r="T120" i="20"/>
  <c r="I121" i="20"/>
  <c r="O121" i="20"/>
  <c r="Q121" i="20"/>
  <c r="J121" i="20"/>
  <c r="C121" i="20"/>
  <c r="K121" i="20"/>
  <c r="L121" i="20"/>
  <c r="M121" i="20"/>
  <c r="N121" i="20"/>
  <c r="R121" i="20"/>
  <c r="E121" i="20"/>
  <c r="S121" i="20"/>
  <c r="T121" i="20"/>
  <c r="I123" i="20"/>
  <c r="O123" i="20"/>
  <c r="Q123" i="20"/>
  <c r="J123" i="20"/>
  <c r="C123" i="20"/>
  <c r="K123" i="20"/>
  <c r="L123" i="20"/>
  <c r="M123" i="20"/>
  <c r="N123" i="20"/>
  <c r="R123" i="20"/>
  <c r="E123" i="20"/>
  <c r="S123" i="20"/>
  <c r="T123" i="20"/>
  <c r="I124" i="20"/>
  <c r="O124" i="20"/>
  <c r="Q124" i="20"/>
  <c r="J124" i="20"/>
  <c r="C124" i="20"/>
  <c r="K124" i="20"/>
  <c r="L124" i="20"/>
  <c r="M124" i="20"/>
  <c r="N124" i="20"/>
  <c r="R124" i="20"/>
  <c r="E124" i="20"/>
  <c r="S124" i="20"/>
  <c r="T124" i="20"/>
  <c r="K100" i="20"/>
  <c r="D4" i="20"/>
  <c r="H106" i="20"/>
  <c r="K101" i="20"/>
  <c r="D5" i="20"/>
  <c r="E59" i="8"/>
  <c r="F8" i="10"/>
  <c r="H100" i="20"/>
  <c r="H101" i="20"/>
  <c r="H103" i="20"/>
  <c r="K102" i="20"/>
  <c r="D6" i="20"/>
  <c r="E60" i="8"/>
  <c r="F9" i="10"/>
  <c r="F10" i="10"/>
  <c r="F21" i="10"/>
  <c r="F22" i="10"/>
  <c r="F33" i="10"/>
  <c r="G34" i="10"/>
  <c r="H8" i="11"/>
  <c r="H6" i="11"/>
  <c r="H7" i="11"/>
  <c r="H10" i="11"/>
  <c r="H15" i="11"/>
  <c r="I17" i="11"/>
  <c r="O27" i="6"/>
  <c r="O28" i="6"/>
  <c r="E47" i="8"/>
  <c r="F11" i="9"/>
  <c r="N96" i="5"/>
  <c r="N131" i="5"/>
  <c r="N134" i="5"/>
  <c r="N135" i="5"/>
  <c r="N136" i="5"/>
  <c r="N137" i="5"/>
  <c r="E48" i="8"/>
  <c r="F12" i="9"/>
  <c r="E49" i="8"/>
  <c r="F13" i="9"/>
  <c r="F14" i="9"/>
  <c r="C97" i="22"/>
  <c r="D97" i="22"/>
  <c r="H97" i="22"/>
  <c r="I97" i="22"/>
  <c r="C98" i="22"/>
  <c r="D98" i="22"/>
  <c r="I98" i="22"/>
  <c r="C99" i="22"/>
  <c r="G99" i="22"/>
  <c r="I99" i="22"/>
  <c r="C100" i="22"/>
  <c r="D100" i="22"/>
  <c r="G100" i="22"/>
  <c r="I100" i="22"/>
  <c r="C101" i="22"/>
  <c r="D101" i="22"/>
  <c r="I101" i="22"/>
  <c r="C102" i="22"/>
  <c r="D102" i="22"/>
  <c r="I102" i="22"/>
  <c r="C61" i="17"/>
  <c r="C5" i="23"/>
  <c r="M6" i="22"/>
  <c r="M7" i="22"/>
  <c r="M21" i="6"/>
  <c r="M9" i="22"/>
  <c r="M10" i="22"/>
  <c r="G67" i="22"/>
  <c r="G104" i="22"/>
  <c r="I104" i="22"/>
  <c r="G105" i="22"/>
  <c r="I105" i="22"/>
  <c r="G86" i="22"/>
  <c r="G106" i="22"/>
  <c r="I106" i="22"/>
  <c r="G107" i="22"/>
  <c r="I107" i="22"/>
  <c r="I108" i="22"/>
  <c r="I109" i="22"/>
  <c r="I110" i="22"/>
  <c r="C111" i="22"/>
  <c r="D111" i="22"/>
  <c r="I111" i="22"/>
  <c r="I113" i="22"/>
  <c r="C114" i="22"/>
  <c r="D114" i="22"/>
  <c r="I114" i="22"/>
  <c r="C116" i="22"/>
  <c r="D116" i="22"/>
  <c r="I116" i="22"/>
  <c r="C117" i="22"/>
  <c r="D117" i="22"/>
  <c r="I117" i="22"/>
  <c r="I118" i="22"/>
  <c r="C119" i="22"/>
  <c r="D119" i="22"/>
  <c r="I119" i="22"/>
  <c r="I120" i="22"/>
  <c r="I121" i="22"/>
  <c r="E51" i="8"/>
  <c r="F15" i="9"/>
  <c r="F16" i="9"/>
  <c r="E31" i="14"/>
  <c r="F18" i="9"/>
  <c r="F24" i="9"/>
  <c r="G5" i="11"/>
  <c r="D12" i="3"/>
  <c r="C12" i="3"/>
  <c r="D13" i="3"/>
  <c r="C13" i="3"/>
  <c r="C16" i="3"/>
  <c r="C13" i="2"/>
  <c r="D32" i="8"/>
  <c r="E4" i="10"/>
  <c r="D72" i="8"/>
  <c r="E5" i="10"/>
  <c r="E6" i="10"/>
  <c r="E7" i="10"/>
  <c r="B70" i="20"/>
  <c r="B71" i="20"/>
  <c r="B72" i="20"/>
  <c r="B73" i="20"/>
  <c r="B75" i="20"/>
  <c r="I81" i="20"/>
  <c r="O81" i="20"/>
  <c r="Q81" i="20"/>
  <c r="E17" i="18"/>
  <c r="F17" i="18"/>
  <c r="G17" i="18"/>
  <c r="H17" i="18"/>
  <c r="I17" i="18"/>
  <c r="J17" i="18"/>
  <c r="K17" i="18"/>
  <c r="L17" i="18"/>
  <c r="M17" i="18"/>
  <c r="N17" i="18"/>
  <c r="O17" i="18"/>
  <c r="P17" i="18"/>
  <c r="Q17" i="18"/>
  <c r="E19" i="18"/>
  <c r="C33" i="19"/>
  <c r="C35" i="19"/>
  <c r="F19" i="18"/>
  <c r="D33" i="19"/>
  <c r="D35" i="19"/>
  <c r="G19" i="18"/>
  <c r="E33" i="19"/>
  <c r="E35" i="19"/>
  <c r="H19" i="18"/>
  <c r="F33" i="19"/>
  <c r="F35" i="19"/>
  <c r="I19" i="18"/>
  <c r="G33" i="19"/>
  <c r="G35" i="19"/>
  <c r="J19" i="18"/>
  <c r="H33" i="19"/>
  <c r="H35" i="19"/>
  <c r="K19" i="18"/>
  <c r="I33" i="19"/>
  <c r="I35" i="19"/>
  <c r="L19" i="18"/>
  <c r="J33" i="19"/>
  <c r="J35" i="19"/>
  <c r="M19" i="18"/>
  <c r="K33" i="19"/>
  <c r="K35" i="19"/>
  <c r="N19" i="18"/>
  <c r="L33" i="19"/>
  <c r="L35" i="19"/>
  <c r="O19" i="18"/>
  <c r="M33" i="19"/>
  <c r="M35" i="19"/>
  <c r="C6" i="23"/>
  <c r="C7" i="23"/>
  <c r="C16" i="23"/>
  <c r="C38" i="21"/>
  <c r="D38" i="21"/>
  <c r="C39" i="21"/>
  <c r="D39" i="21"/>
  <c r="C40" i="21"/>
  <c r="D40" i="21"/>
  <c r="C41" i="21"/>
  <c r="D41" i="21"/>
  <c r="C42" i="21"/>
  <c r="D42" i="21"/>
  <c r="C43" i="21"/>
  <c r="D43" i="21"/>
  <c r="C44" i="21"/>
  <c r="D44" i="21"/>
  <c r="C45" i="21"/>
  <c r="D45" i="21"/>
  <c r="C47" i="21"/>
  <c r="D47" i="21"/>
  <c r="C48" i="21"/>
  <c r="D48" i="21"/>
  <c r="D49" i="21"/>
  <c r="C50" i="21"/>
  <c r="D50" i="21"/>
  <c r="C51" i="21"/>
  <c r="D51" i="21"/>
  <c r="C52" i="21"/>
  <c r="D52" i="21"/>
  <c r="D53" i="21"/>
  <c r="D54" i="21"/>
  <c r="C17" i="23"/>
  <c r="C19" i="23"/>
  <c r="C20" i="23"/>
  <c r="E70" i="20"/>
  <c r="E71" i="20"/>
  <c r="E73" i="20"/>
  <c r="E72" i="20"/>
  <c r="E74" i="20"/>
  <c r="E75" i="20"/>
  <c r="B74" i="20"/>
  <c r="B76" i="20"/>
  <c r="J81" i="20"/>
  <c r="C81" i="20"/>
  <c r="K81" i="20"/>
  <c r="L81" i="20"/>
  <c r="M81" i="20"/>
  <c r="N81" i="20"/>
  <c r="R81" i="20"/>
  <c r="E81" i="20"/>
  <c r="S81" i="20"/>
  <c r="T81" i="20"/>
  <c r="I82" i="20"/>
  <c r="O82" i="20"/>
  <c r="Q82" i="20"/>
  <c r="J82" i="20"/>
  <c r="C82" i="20"/>
  <c r="K82" i="20"/>
  <c r="L82" i="20"/>
  <c r="M82" i="20"/>
  <c r="N82" i="20"/>
  <c r="R82" i="20"/>
  <c r="E82" i="20"/>
  <c r="S82" i="20"/>
  <c r="T82" i="20"/>
  <c r="I83" i="20"/>
  <c r="O83" i="20"/>
  <c r="Q83" i="20"/>
  <c r="J83" i="20"/>
  <c r="C83" i="20"/>
  <c r="K83" i="20"/>
  <c r="L83" i="20"/>
  <c r="M83" i="20"/>
  <c r="N83" i="20"/>
  <c r="R83" i="20"/>
  <c r="E83" i="20"/>
  <c r="S83" i="20"/>
  <c r="T83" i="20"/>
  <c r="I84" i="20"/>
  <c r="O84" i="20"/>
  <c r="Q84" i="20"/>
  <c r="J84" i="20"/>
  <c r="C84" i="20"/>
  <c r="K84" i="20"/>
  <c r="L84" i="20"/>
  <c r="M84" i="20"/>
  <c r="N84" i="20"/>
  <c r="R84" i="20"/>
  <c r="E84" i="20"/>
  <c r="S84" i="20"/>
  <c r="T84" i="20"/>
  <c r="I85" i="20"/>
  <c r="O85" i="20"/>
  <c r="Q85" i="20"/>
  <c r="J85" i="20"/>
  <c r="C85" i="20"/>
  <c r="K85" i="20"/>
  <c r="L85" i="20"/>
  <c r="M85" i="20"/>
  <c r="N85" i="20"/>
  <c r="R85" i="20"/>
  <c r="E85" i="20"/>
  <c r="S85" i="20"/>
  <c r="T85" i="20"/>
  <c r="I86" i="20"/>
  <c r="O86" i="20"/>
  <c r="Q86" i="20"/>
  <c r="J86" i="20"/>
  <c r="C86" i="20"/>
  <c r="K86" i="20"/>
  <c r="L86" i="20"/>
  <c r="M86" i="20"/>
  <c r="N86" i="20"/>
  <c r="R86" i="20"/>
  <c r="E86" i="20"/>
  <c r="S86" i="20"/>
  <c r="T86" i="20"/>
  <c r="I87" i="20"/>
  <c r="O87" i="20"/>
  <c r="Q87" i="20"/>
  <c r="J87" i="20"/>
  <c r="C87" i="20"/>
  <c r="K87" i="20"/>
  <c r="L87" i="20"/>
  <c r="M87" i="20"/>
  <c r="N87" i="20"/>
  <c r="R87" i="20"/>
  <c r="E87" i="20"/>
  <c r="S87" i="20"/>
  <c r="T87" i="20"/>
  <c r="I88" i="20"/>
  <c r="O88" i="20"/>
  <c r="Q88" i="20"/>
  <c r="J88" i="20"/>
  <c r="C88" i="20"/>
  <c r="K88" i="20"/>
  <c r="L88" i="20"/>
  <c r="M88" i="20"/>
  <c r="N88" i="20"/>
  <c r="R88" i="20"/>
  <c r="E88" i="20"/>
  <c r="S88" i="20"/>
  <c r="T88" i="20"/>
  <c r="I89" i="20"/>
  <c r="O89" i="20"/>
  <c r="Q89" i="20"/>
  <c r="J89" i="20"/>
  <c r="C89" i="20"/>
  <c r="K89" i="20"/>
  <c r="L89" i="20"/>
  <c r="M89" i="20"/>
  <c r="N89" i="20"/>
  <c r="R89" i="20"/>
  <c r="E89" i="20"/>
  <c r="S89" i="20"/>
  <c r="T89" i="20"/>
  <c r="I90" i="20"/>
  <c r="O90" i="20"/>
  <c r="Q90" i="20"/>
  <c r="J90" i="20"/>
  <c r="C90" i="20"/>
  <c r="K90" i="20"/>
  <c r="L90" i="20"/>
  <c r="M90" i="20"/>
  <c r="N90" i="20"/>
  <c r="R90" i="20"/>
  <c r="E90" i="20"/>
  <c r="S90" i="20"/>
  <c r="T90" i="20"/>
  <c r="I91" i="20"/>
  <c r="O91" i="20"/>
  <c r="Q91" i="20"/>
  <c r="J91" i="20"/>
  <c r="C91" i="20"/>
  <c r="K91" i="20"/>
  <c r="L91" i="20"/>
  <c r="M91" i="20"/>
  <c r="N91" i="20"/>
  <c r="R91" i="20"/>
  <c r="E91" i="20"/>
  <c r="S91" i="20"/>
  <c r="T91" i="20"/>
  <c r="I93" i="20"/>
  <c r="O93" i="20"/>
  <c r="Q93" i="20"/>
  <c r="J93" i="20"/>
  <c r="C93" i="20"/>
  <c r="K93" i="20"/>
  <c r="L93" i="20"/>
  <c r="M93" i="20"/>
  <c r="N93" i="20"/>
  <c r="R93" i="20"/>
  <c r="E93" i="20"/>
  <c r="S93" i="20"/>
  <c r="T93" i="20"/>
  <c r="I94" i="20"/>
  <c r="O94" i="20"/>
  <c r="Q94" i="20"/>
  <c r="J94" i="20"/>
  <c r="C94" i="20"/>
  <c r="K94" i="20"/>
  <c r="L94" i="20"/>
  <c r="M94" i="20"/>
  <c r="N94" i="20"/>
  <c r="R94" i="20"/>
  <c r="E94" i="20"/>
  <c r="S94" i="20"/>
  <c r="T94" i="20"/>
  <c r="K70" i="20"/>
  <c r="C4" i="20"/>
  <c r="H76" i="20"/>
  <c r="K71" i="20"/>
  <c r="C5" i="20"/>
  <c r="D59" i="8"/>
  <c r="E8" i="10"/>
  <c r="H70" i="20"/>
  <c r="H71" i="20"/>
  <c r="H73" i="20"/>
  <c r="K72" i="20"/>
  <c r="C6" i="20"/>
  <c r="D60" i="8"/>
  <c r="E9" i="10"/>
  <c r="E10" i="10"/>
  <c r="E21" i="10"/>
  <c r="E22" i="10"/>
  <c r="E33" i="10"/>
  <c r="F34" i="10"/>
  <c r="G8" i="11"/>
  <c r="G6" i="11"/>
  <c r="G7" i="11"/>
  <c r="B10" i="14"/>
  <c r="B18" i="14"/>
  <c r="C18" i="14"/>
  <c r="D18" i="14"/>
  <c r="E14" i="14"/>
  <c r="E18" i="14"/>
  <c r="F12" i="10"/>
  <c r="E12" i="10"/>
  <c r="G9" i="11"/>
  <c r="G10" i="11"/>
  <c r="G15" i="11"/>
  <c r="H17" i="11"/>
  <c r="D47" i="8"/>
  <c r="E11" i="9"/>
  <c r="U56" i="5"/>
  <c r="N52" i="5"/>
  <c r="N83" i="5"/>
  <c r="N91" i="5"/>
  <c r="N92" i="5"/>
  <c r="D48" i="8"/>
  <c r="E12" i="9"/>
  <c r="E13" i="9"/>
  <c r="C67" i="22"/>
  <c r="D67" i="22"/>
  <c r="H67" i="22"/>
  <c r="I67" i="22"/>
  <c r="C68" i="22"/>
  <c r="G68" i="22"/>
  <c r="D68" i="22"/>
  <c r="I68" i="22"/>
  <c r="C69" i="22"/>
  <c r="G69" i="22"/>
  <c r="I69" i="22"/>
  <c r="C70" i="22"/>
  <c r="D70" i="22"/>
  <c r="G70" i="22"/>
  <c r="I70" i="22"/>
  <c r="C71" i="22"/>
  <c r="D71" i="22"/>
  <c r="I71" i="22"/>
  <c r="C72" i="22"/>
  <c r="D72" i="22"/>
  <c r="I72" i="22"/>
  <c r="G37" i="22"/>
  <c r="G74" i="22"/>
  <c r="I74" i="22"/>
  <c r="G75" i="22"/>
  <c r="I75" i="22"/>
  <c r="G56" i="22"/>
  <c r="G76" i="22"/>
  <c r="I76" i="22"/>
  <c r="G77" i="22"/>
  <c r="I77" i="22"/>
  <c r="I78" i="22"/>
  <c r="I79" i="22"/>
  <c r="I80" i="22"/>
  <c r="C81" i="22"/>
  <c r="D81" i="22"/>
  <c r="I81" i="22"/>
  <c r="I83" i="22"/>
  <c r="C84" i="22"/>
  <c r="D84" i="22"/>
  <c r="I84" i="22"/>
  <c r="C86" i="22"/>
  <c r="D86" i="22"/>
  <c r="I86" i="22"/>
  <c r="C87" i="22"/>
  <c r="D87" i="22"/>
  <c r="I87" i="22"/>
  <c r="I88" i="22"/>
  <c r="C89" i="22"/>
  <c r="D89" i="22"/>
  <c r="I89" i="22"/>
  <c r="I90" i="22"/>
  <c r="I91" i="22"/>
  <c r="D51" i="8"/>
  <c r="E15" i="9"/>
  <c r="E16" i="9"/>
  <c r="D31" i="14"/>
  <c r="E18" i="9"/>
  <c r="E24" i="9"/>
  <c r="F5" i="11"/>
  <c r="D3" i="3"/>
  <c r="C3" i="3"/>
  <c r="D4" i="3"/>
  <c r="C4" i="3"/>
  <c r="C7" i="3"/>
  <c r="B13" i="2"/>
  <c r="C32" i="8"/>
  <c r="D4" i="10"/>
  <c r="C72" i="8"/>
  <c r="D5" i="10"/>
  <c r="D6" i="10"/>
  <c r="D7" i="10"/>
  <c r="B40" i="20"/>
  <c r="B41" i="20"/>
  <c r="B42" i="20"/>
  <c r="B43" i="20"/>
  <c r="B45" i="20"/>
  <c r="I51" i="20"/>
  <c r="O51" i="20"/>
  <c r="Q51" i="20"/>
  <c r="E7" i="18"/>
  <c r="F7" i="18"/>
  <c r="G7" i="18"/>
  <c r="H7" i="18"/>
  <c r="I7" i="18"/>
  <c r="J7" i="18"/>
  <c r="K7" i="18"/>
  <c r="L7" i="18"/>
  <c r="M7" i="18"/>
  <c r="N7" i="18"/>
  <c r="O7" i="18"/>
  <c r="P7" i="18"/>
  <c r="Q7" i="18"/>
  <c r="E9" i="18"/>
  <c r="C7" i="19"/>
  <c r="C9" i="19"/>
  <c r="F9" i="18"/>
  <c r="D7" i="19"/>
  <c r="D9" i="19"/>
  <c r="G9" i="18"/>
  <c r="E7" i="19"/>
  <c r="E9" i="19"/>
  <c r="H9" i="18"/>
  <c r="F7" i="19"/>
  <c r="F9" i="19"/>
  <c r="I9" i="18"/>
  <c r="G7" i="19"/>
  <c r="G9" i="19"/>
  <c r="J9" i="18"/>
  <c r="H7" i="19"/>
  <c r="H9" i="19"/>
  <c r="K9" i="18"/>
  <c r="I7" i="19"/>
  <c r="I9" i="19"/>
  <c r="L9" i="18"/>
  <c r="J7" i="19"/>
  <c r="J9" i="19"/>
  <c r="M9" i="18"/>
  <c r="K7" i="19"/>
  <c r="K9" i="19"/>
  <c r="N9" i="18"/>
  <c r="L7" i="19"/>
  <c r="L9" i="19"/>
  <c r="O9" i="18"/>
  <c r="M7" i="19"/>
  <c r="M9" i="19"/>
  <c r="B6" i="23"/>
  <c r="B7" i="23"/>
  <c r="B16" i="23"/>
  <c r="C18" i="21"/>
  <c r="D18" i="21"/>
  <c r="C19" i="21"/>
  <c r="D19" i="21"/>
  <c r="C20" i="21"/>
  <c r="D20" i="21"/>
  <c r="C21" i="21"/>
  <c r="D21" i="21"/>
  <c r="C22" i="21"/>
  <c r="D22" i="21"/>
  <c r="C23" i="21"/>
  <c r="D23" i="21"/>
  <c r="C24" i="21"/>
  <c r="D24" i="21"/>
  <c r="C25" i="21"/>
  <c r="D25" i="21"/>
  <c r="C27" i="21"/>
  <c r="D27" i="21"/>
  <c r="C28" i="21"/>
  <c r="D28" i="21"/>
  <c r="D29" i="21"/>
  <c r="C30" i="21"/>
  <c r="D30" i="21"/>
  <c r="C31" i="21"/>
  <c r="D31" i="21"/>
  <c r="C32" i="21"/>
  <c r="D32" i="21"/>
  <c r="D33" i="21"/>
  <c r="D34" i="21"/>
  <c r="B17" i="23"/>
  <c r="B19" i="23"/>
  <c r="B20" i="23"/>
  <c r="E40" i="20"/>
  <c r="E41" i="20"/>
  <c r="E43" i="20"/>
  <c r="E42" i="20"/>
  <c r="E44" i="20"/>
  <c r="E45" i="20"/>
  <c r="B44" i="20"/>
  <c r="B46" i="20"/>
  <c r="J51" i="20"/>
  <c r="C51" i="20"/>
  <c r="K51" i="20"/>
  <c r="L51" i="20"/>
  <c r="M51" i="20"/>
  <c r="N51" i="20"/>
  <c r="R51" i="20"/>
  <c r="E51" i="20"/>
  <c r="S51" i="20"/>
  <c r="T51" i="20"/>
  <c r="I52" i="20"/>
  <c r="O52" i="20"/>
  <c r="Q52" i="20"/>
  <c r="J52" i="20"/>
  <c r="C52" i="20"/>
  <c r="K52" i="20"/>
  <c r="L52" i="20"/>
  <c r="M52" i="20"/>
  <c r="N52" i="20"/>
  <c r="R52" i="20"/>
  <c r="E52" i="20"/>
  <c r="S52" i="20"/>
  <c r="T52" i="20"/>
  <c r="I53" i="20"/>
  <c r="O53" i="20"/>
  <c r="Q53" i="20"/>
  <c r="J53" i="20"/>
  <c r="C53" i="20"/>
  <c r="K53" i="20"/>
  <c r="L53" i="20"/>
  <c r="M53" i="20"/>
  <c r="N53" i="20"/>
  <c r="R53" i="20"/>
  <c r="E53" i="20"/>
  <c r="S53" i="20"/>
  <c r="T53" i="20"/>
  <c r="I54" i="20"/>
  <c r="O54" i="20"/>
  <c r="Q54" i="20"/>
  <c r="J54" i="20"/>
  <c r="C54" i="20"/>
  <c r="K54" i="20"/>
  <c r="L54" i="20"/>
  <c r="M54" i="20"/>
  <c r="N54" i="20"/>
  <c r="R54" i="20"/>
  <c r="E54" i="20"/>
  <c r="S54" i="20"/>
  <c r="T54" i="20"/>
  <c r="I55" i="20"/>
  <c r="O55" i="20"/>
  <c r="Q55" i="20"/>
  <c r="J55" i="20"/>
  <c r="C55" i="20"/>
  <c r="K55" i="20"/>
  <c r="L55" i="20"/>
  <c r="M55" i="20"/>
  <c r="N55" i="20"/>
  <c r="R55" i="20"/>
  <c r="E55" i="20"/>
  <c r="S55" i="20"/>
  <c r="T55" i="20"/>
  <c r="I56" i="20"/>
  <c r="O56" i="20"/>
  <c r="Q56" i="20"/>
  <c r="J56" i="20"/>
  <c r="C56" i="20"/>
  <c r="K56" i="20"/>
  <c r="L56" i="20"/>
  <c r="M56" i="20"/>
  <c r="N56" i="20"/>
  <c r="R56" i="20"/>
  <c r="E56" i="20"/>
  <c r="S56" i="20"/>
  <c r="T56" i="20"/>
  <c r="I57" i="20"/>
  <c r="O57" i="20"/>
  <c r="Q57" i="20"/>
  <c r="J57" i="20"/>
  <c r="C57" i="20"/>
  <c r="K57" i="20"/>
  <c r="L57" i="20"/>
  <c r="M57" i="20"/>
  <c r="N57" i="20"/>
  <c r="R57" i="20"/>
  <c r="E57" i="20"/>
  <c r="S57" i="20"/>
  <c r="T57" i="20"/>
  <c r="I58" i="20"/>
  <c r="O58" i="20"/>
  <c r="Q58" i="20"/>
  <c r="J58" i="20"/>
  <c r="C58" i="20"/>
  <c r="K58" i="20"/>
  <c r="L58" i="20"/>
  <c r="M58" i="20"/>
  <c r="N58" i="20"/>
  <c r="R58" i="20"/>
  <c r="E58" i="20"/>
  <c r="S58" i="20"/>
  <c r="T58" i="20"/>
  <c r="I59" i="20"/>
  <c r="O59" i="20"/>
  <c r="Q59" i="20"/>
  <c r="J59" i="20"/>
  <c r="C59" i="20"/>
  <c r="K59" i="20"/>
  <c r="L59" i="20"/>
  <c r="M59" i="20"/>
  <c r="N59" i="20"/>
  <c r="R59" i="20"/>
  <c r="E59" i="20"/>
  <c r="S59" i="20"/>
  <c r="T59" i="20"/>
  <c r="I60" i="20"/>
  <c r="O60" i="20"/>
  <c r="Q60" i="20"/>
  <c r="J60" i="20"/>
  <c r="C60" i="20"/>
  <c r="K60" i="20"/>
  <c r="L60" i="20"/>
  <c r="M60" i="20"/>
  <c r="N60" i="20"/>
  <c r="R60" i="20"/>
  <c r="E60" i="20"/>
  <c r="S60" i="20"/>
  <c r="T60" i="20"/>
  <c r="I61" i="20"/>
  <c r="O61" i="20"/>
  <c r="Q61" i="20"/>
  <c r="J61" i="20"/>
  <c r="C61" i="20"/>
  <c r="K61" i="20"/>
  <c r="L61" i="20"/>
  <c r="M61" i="20"/>
  <c r="N61" i="20"/>
  <c r="R61" i="20"/>
  <c r="E61" i="20"/>
  <c r="S61" i="20"/>
  <c r="T61" i="20"/>
  <c r="I63" i="20"/>
  <c r="O63" i="20"/>
  <c r="Q63" i="20"/>
  <c r="J63" i="20"/>
  <c r="C63" i="20"/>
  <c r="K63" i="20"/>
  <c r="L63" i="20"/>
  <c r="M63" i="20"/>
  <c r="N63" i="20"/>
  <c r="R63" i="20"/>
  <c r="E63" i="20"/>
  <c r="S63" i="20"/>
  <c r="T63" i="20"/>
  <c r="I64" i="20"/>
  <c r="O64" i="20"/>
  <c r="Q64" i="20"/>
  <c r="J64" i="20"/>
  <c r="C64" i="20"/>
  <c r="K64" i="20"/>
  <c r="L64" i="20"/>
  <c r="M64" i="20"/>
  <c r="N64" i="20"/>
  <c r="R64" i="20"/>
  <c r="E64" i="20"/>
  <c r="S64" i="20"/>
  <c r="T64" i="20"/>
  <c r="K40" i="20"/>
  <c r="B4" i="20"/>
  <c r="H46" i="20"/>
  <c r="K41" i="20"/>
  <c r="B5" i="20"/>
  <c r="C59" i="8"/>
  <c r="D8" i="10"/>
  <c r="H40" i="20"/>
  <c r="H41" i="20"/>
  <c r="H43" i="20"/>
  <c r="K42" i="20"/>
  <c r="B6" i="20"/>
  <c r="C60" i="8"/>
  <c r="D9" i="10"/>
  <c r="D10" i="10"/>
  <c r="D21" i="10"/>
  <c r="D22" i="10"/>
  <c r="D33" i="10"/>
  <c r="E34" i="10"/>
  <c r="F8" i="11"/>
  <c r="F6" i="11"/>
  <c r="F7" i="11"/>
  <c r="F10" i="11"/>
  <c r="F15" i="11"/>
  <c r="G17" i="11"/>
  <c r="C47" i="8"/>
  <c r="D11" i="9"/>
  <c r="U8" i="5"/>
  <c r="N35" i="5"/>
  <c r="N36" i="5"/>
  <c r="N47" i="5"/>
  <c r="N48" i="5"/>
  <c r="C48" i="8"/>
  <c r="D12" i="9"/>
  <c r="D13" i="9"/>
  <c r="C37" i="22"/>
  <c r="H37" i="22"/>
  <c r="I37" i="22"/>
  <c r="C38" i="22"/>
  <c r="G38" i="22"/>
  <c r="I38" i="22"/>
  <c r="C39" i="22"/>
  <c r="G39" i="22"/>
  <c r="I39" i="22"/>
  <c r="C40" i="22"/>
  <c r="G40" i="22"/>
  <c r="I40" i="22"/>
  <c r="C41" i="22"/>
  <c r="I41" i="22"/>
  <c r="C42" i="22"/>
  <c r="I42" i="22"/>
  <c r="G44" i="22"/>
  <c r="I44" i="22"/>
  <c r="G45" i="22"/>
  <c r="I45" i="22"/>
  <c r="G46" i="22"/>
  <c r="I46" i="22"/>
  <c r="G47" i="22"/>
  <c r="I47" i="22"/>
  <c r="I48" i="22"/>
  <c r="I49" i="22"/>
  <c r="I50" i="22"/>
  <c r="C51" i="22"/>
  <c r="I51" i="22"/>
  <c r="I53" i="22"/>
  <c r="C54" i="22"/>
  <c r="I54" i="22"/>
  <c r="C56" i="22"/>
  <c r="I56" i="22"/>
  <c r="C57" i="22"/>
  <c r="I57" i="22"/>
  <c r="I58" i="22"/>
  <c r="C59" i="22"/>
  <c r="I59" i="22"/>
  <c r="I60" i="22"/>
  <c r="I61" i="22"/>
  <c r="C51" i="8"/>
  <c r="D15" i="9"/>
  <c r="D16" i="9"/>
  <c r="C31" i="14"/>
  <c r="D18" i="9"/>
  <c r="D24" i="9"/>
  <c r="E5" i="11"/>
  <c r="B15" i="8"/>
  <c r="B13" i="8"/>
  <c r="B14" i="8"/>
  <c r="B16" i="8"/>
  <c r="B59" i="8"/>
  <c r="B60" i="8"/>
  <c r="B10" i="8"/>
  <c r="C4" i="10"/>
  <c r="C8" i="10"/>
  <c r="C9" i="10"/>
  <c r="C10" i="10"/>
  <c r="C21" i="10"/>
  <c r="C22" i="10"/>
  <c r="C33" i="10"/>
  <c r="D34" i="10"/>
  <c r="E8" i="11"/>
  <c r="E6" i="11"/>
  <c r="E7" i="11"/>
  <c r="E10" i="11"/>
  <c r="E15" i="11"/>
  <c r="F17" i="11"/>
  <c r="C10" i="9"/>
  <c r="C15" i="9"/>
  <c r="C20" i="9"/>
  <c r="C21" i="9"/>
  <c r="C22" i="9"/>
  <c r="C23" i="9"/>
  <c r="C24" i="9"/>
  <c r="D5" i="11"/>
  <c r="C34" i="10"/>
  <c r="D8" i="11"/>
  <c r="D6" i="11"/>
  <c r="D7" i="11"/>
  <c r="C12" i="10"/>
  <c r="B6" i="8"/>
  <c r="C15" i="10"/>
  <c r="C17" i="10"/>
  <c r="D3" i="11"/>
  <c r="D10" i="11"/>
  <c r="D15" i="11"/>
  <c r="E17" i="11"/>
  <c r="C14" i="15"/>
  <c r="H78" i="15"/>
  <c r="L7" i="15"/>
  <c r="C24" i="10"/>
  <c r="B5" i="15"/>
  <c r="B7" i="15"/>
  <c r="B9" i="15"/>
  <c r="D24" i="10"/>
  <c r="C5" i="15"/>
  <c r="C7" i="15"/>
  <c r="C9" i="15"/>
  <c r="E24" i="10"/>
  <c r="D5" i="15"/>
  <c r="D7" i="15"/>
  <c r="D9" i="15"/>
  <c r="F24" i="10"/>
  <c r="E5" i="15"/>
  <c r="E7" i="15"/>
  <c r="E9" i="15"/>
  <c r="G24" i="10"/>
  <c r="F5" i="15"/>
  <c r="F7" i="15"/>
  <c r="F9" i="15"/>
  <c r="H24" i="10"/>
  <c r="G5" i="15"/>
  <c r="G7" i="15"/>
  <c r="G9" i="15"/>
  <c r="H9" i="15"/>
  <c r="M7" i="15"/>
  <c r="B48" i="15"/>
  <c r="C48" i="15"/>
  <c r="D48" i="15"/>
  <c r="E48" i="15"/>
  <c r="F48" i="15"/>
  <c r="H48" i="15"/>
  <c r="K7" i="15"/>
  <c r="H92" i="15"/>
  <c r="L6" i="15"/>
  <c r="C25" i="15"/>
  <c r="D25" i="15"/>
  <c r="E25" i="15"/>
  <c r="F25" i="15"/>
  <c r="G25" i="15"/>
  <c r="H25" i="15"/>
  <c r="M6" i="15"/>
  <c r="H62" i="15"/>
  <c r="K6" i="15"/>
  <c r="H50" i="15"/>
  <c r="K5" i="15"/>
  <c r="H80" i="15"/>
  <c r="L5" i="15"/>
  <c r="D27" i="9"/>
  <c r="D28" i="9"/>
  <c r="D29" i="9"/>
  <c r="C27" i="9"/>
  <c r="C28" i="9"/>
  <c r="C29" i="9"/>
  <c r="C25" i="10"/>
  <c r="D25" i="10"/>
  <c r="D26" i="10"/>
  <c r="D38" i="9"/>
  <c r="C11" i="15"/>
  <c r="E27" i="9"/>
  <c r="E28" i="9"/>
  <c r="E29" i="9"/>
  <c r="E25" i="10"/>
  <c r="E26" i="10"/>
  <c r="E38" i="9"/>
  <c r="D11" i="15"/>
  <c r="F27" i="9"/>
  <c r="F28" i="9"/>
  <c r="F29" i="9"/>
  <c r="F25" i="10"/>
  <c r="F26" i="10"/>
  <c r="F38" i="9"/>
  <c r="E11" i="15"/>
  <c r="G27" i="9"/>
  <c r="G28" i="9"/>
  <c r="G29" i="9"/>
  <c r="G25" i="10"/>
  <c r="G26" i="10"/>
  <c r="G38" i="9"/>
  <c r="F11" i="15"/>
  <c r="H27" i="9"/>
  <c r="H28" i="9"/>
  <c r="H29" i="9"/>
  <c r="H25" i="10"/>
  <c r="H26" i="10"/>
  <c r="H38" i="9"/>
  <c r="G11" i="15"/>
  <c r="H11" i="15"/>
  <c r="M5" i="15"/>
  <c r="H52" i="15"/>
  <c r="K4" i="15"/>
  <c r="H82" i="15"/>
  <c r="L4" i="15"/>
  <c r="D14" i="15"/>
  <c r="E14" i="15"/>
  <c r="F14" i="15"/>
  <c r="G14" i="15"/>
  <c r="H14" i="15"/>
  <c r="M4" i="15"/>
  <c r="F11" i="11"/>
  <c r="Q4" i="11"/>
  <c r="G11" i="11"/>
  <c r="R4" i="11"/>
  <c r="H11" i="11"/>
  <c r="S4" i="11"/>
  <c r="I11" i="11"/>
  <c r="T4" i="11"/>
  <c r="J11" i="11"/>
  <c r="U4" i="11"/>
  <c r="E11" i="11"/>
  <c r="P4" i="11"/>
  <c r="P3" i="11"/>
  <c r="Q3" i="11"/>
  <c r="R3" i="11"/>
  <c r="S3" i="11"/>
  <c r="T3" i="11"/>
  <c r="U3" i="11"/>
  <c r="O3" i="11"/>
  <c r="B64" i="8"/>
  <c r="B61" i="8"/>
  <c r="C52" i="8"/>
  <c r="D52" i="8"/>
  <c r="E52" i="8"/>
  <c r="F52" i="8"/>
  <c r="G52" i="8"/>
  <c r="C30" i="8"/>
  <c r="D30" i="8"/>
  <c r="E30" i="8"/>
  <c r="F30" i="8"/>
  <c r="G30" i="8"/>
  <c r="C28" i="8"/>
  <c r="D28" i="8"/>
  <c r="E28" i="8"/>
  <c r="F28" i="8"/>
  <c r="G28" i="8"/>
  <c r="C41" i="8"/>
  <c r="C43" i="8"/>
  <c r="D41" i="8"/>
  <c r="D43" i="8"/>
  <c r="E41" i="8"/>
  <c r="E43" i="8"/>
  <c r="F41" i="8"/>
  <c r="F43" i="8"/>
  <c r="G41" i="8"/>
  <c r="G43" i="8"/>
  <c r="C31" i="8"/>
  <c r="D31" i="8"/>
  <c r="E31" i="8"/>
  <c r="F31" i="8"/>
  <c r="G31" i="8"/>
  <c r="C29" i="8"/>
  <c r="D29" i="8"/>
  <c r="E29" i="8"/>
  <c r="F29" i="8"/>
  <c r="G29" i="8"/>
  <c r="B7" i="8"/>
  <c r="N26" i="9"/>
  <c r="N25" i="9"/>
  <c r="N28" i="9"/>
  <c r="O26" i="9"/>
  <c r="O25" i="9"/>
  <c r="O28" i="9"/>
  <c r="P26" i="9"/>
  <c r="P25" i="9"/>
  <c r="P28" i="9"/>
  <c r="Q26" i="9"/>
  <c r="Q25" i="9"/>
  <c r="Q28" i="9"/>
  <c r="R26" i="9"/>
  <c r="R25" i="9"/>
  <c r="R28" i="9"/>
  <c r="O27" i="9"/>
  <c r="P27" i="9"/>
  <c r="Q27" i="9"/>
  <c r="R27" i="9"/>
  <c r="D40" i="9"/>
  <c r="E40" i="9"/>
  <c r="F40" i="9"/>
  <c r="G40" i="9"/>
  <c r="H40" i="9"/>
  <c r="D36" i="9"/>
  <c r="E36" i="9"/>
  <c r="F36" i="9"/>
  <c r="G36" i="9"/>
  <c r="H36" i="9"/>
  <c r="D34" i="9"/>
  <c r="E34" i="9"/>
  <c r="F34" i="9"/>
  <c r="G34" i="9"/>
  <c r="H34" i="9"/>
  <c r="C30" i="9"/>
  <c r="D30" i="9"/>
  <c r="E30" i="9"/>
  <c r="F30" i="9"/>
  <c r="G30" i="9"/>
  <c r="H30" i="9"/>
  <c r="D13" i="10"/>
  <c r="D14" i="10"/>
  <c r="C30" i="14"/>
  <c r="D15" i="10"/>
  <c r="D16" i="10"/>
  <c r="D12" i="10"/>
  <c r="D17" i="10"/>
  <c r="E13" i="10"/>
  <c r="E14" i="10"/>
  <c r="D30" i="14"/>
  <c r="E15" i="10"/>
  <c r="E16" i="10"/>
  <c r="E17" i="10"/>
  <c r="F13" i="10"/>
  <c r="F14" i="10"/>
  <c r="E30" i="14"/>
  <c r="F15" i="10"/>
  <c r="F16" i="10"/>
  <c r="F17" i="10"/>
  <c r="G13" i="10"/>
  <c r="G14" i="10"/>
  <c r="F18" i="14"/>
  <c r="G12" i="10"/>
  <c r="F30" i="14"/>
  <c r="G15" i="10"/>
  <c r="G16" i="10"/>
  <c r="G17" i="10"/>
  <c r="H13" i="10"/>
  <c r="H14" i="10"/>
  <c r="G18" i="14"/>
  <c r="H12" i="10"/>
  <c r="G30" i="14"/>
  <c r="H15" i="10"/>
  <c r="H16" i="10"/>
  <c r="H17" i="10"/>
  <c r="D20" i="15"/>
  <c r="D22" i="15"/>
  <c r="E39" i="10"/>
  <c r="E20" i="15"/>
  <c r="E22" i="15"/>
  <c r="F39" i="10"/>
  <c r="F20" i="15"/>
  <c r="F22" i="15"/>
  <c r="G39" i="10"/>
  <c r="G20" i="15"/>
  <c r="G22" i="15"/>
  <c r="H39" i="10"/>
  <c r="C20" i="15"/>
  <c r="C22" i="15"/>
  <c r="D39" i="10"/>
  <c r="D19" i="15"/>
  <c r="D21" i="15"/>
  <c r="E37" i="10"/>
  <c r="E19" i="15"/>
  <c r="E21" i="15"/>
  <c r="F37" i="10"/>
  <c r="F19" i="15"/>
  <c r="F21" i="15"/>
  <c r="G37" i="10"/>
  <c r="G19" i="15"/>
  <c r="G21" i="15"/>
  <c r="H37" i="10"/>
  <c r="C19" i="15"/>
  <c r="C21" i="15"/>
  <c r="D37" i="10"/>
  <c r="D40" i="10"/>
  <c r="E40" i="10"/>
  <c r="F40" i="10"/>
  <c r="G40" i="10"/>
  <c r="H40" i="10"/>
  <c r="E38" i="10"/>
  <c r="F38" i="10"/>
  <c r="G38" i="10"/>
  <c r="H38" i="10"/>
  <c r="D38" i="10"/>
  <c r="C26" i="10"/>
  <c r="C27" i="10"/>
  <c r="C18" i="10"/>
  <c r="C29" i="10"/>
  <c r="B16" i="4"/>
  <c r="D16" i="4"/>
  <c r="C16" i="4"/>
  <c r="E16" i="4"/>
  <c r="F16" i="4"/>
  <c r="B39" i="4"/>
  <c r="D39" i="4"/>
  <c r="C39" i="4"/>
  <c r="E39" i="4"/>
  <c r="F39" i="4"/>
  <c r="B40" i="4"/>
  <c r="D40" i="4"/>
  <c r="C40" i="4"/>
  <c r="E40" i="4"/>
  <c r="F40" i="4"/>
  <c r="B41" i="4"/>
  <c r="D41" i="4"/>
  <c r="C41" i="4"/>
  <c r="E41" i="4"/>
  <c r="F41" i="4"/>
  <c r="B64" i="4"/>
  <c r="D64" i="4"/>
  <c r="C64" i="4"/>
  <c r="E64" i="4"/>
  <c r="F64" i="4"/>
  <c r="B65" i="4"/>
  <c r="D65" i="4"/>
  <c r="C65" i="4"/>
  <c r="E65" i="4"/>
  <c r="F65" i="4"/>
  <c r="H65" i="4"/>
  <c r="M65" i="4"/>
  <c r="B66" i="4"/>
  <c r="D66" i="4"/>
  <c r="C66" i="4"/>
  <c r="E66" i="4"/>
  <c r="F66" i="4"/>
  <c r="H66" i="4"/>
  <c r="M66" i="4"/>
  <c r="H64" i="4"/>
  <c r="M64" i="4"/>
  <c r="C19" i="26"/>
  <c r="D19" i="26"/>
  <c r="E19" i="26"/>
  <c r="F19" i="26"/>
  <c r="B19" i="26"/>
  <c r="C20" i="26"/>
  <c r="D20" i="26"/>
  <c r="E20" i="26"/>
  <c r="F20" i="26"/>
  <c r="B20" i="26"/>
  <c r="C11" i="26"/>
  <c r="C12" i="26"/>
  <c r="D11" i="26"/>
  <c r="D12" i="26"/>
  <c r="E11" i="26"/>
  <c r="E12" i="26"/>
  <c r="F11" i="26"/>
  <c r="F12" i="26"/>
  <c r="B11" i="26"/>
  <c r="B12" i="26"/>
  <c r="R27" i="6"/>
  <c r="X27" i="6"/>
  <c r="U28" i="6"/>
  <c r="X28" i="6"/>
  <c r="X29" i="6"/>
  <c r="D27" i="11"/>
  <c r="B19" i="13" a="1"/>
  <c r="B20" i="13" a="1"/>
  <c r="H19" i="15"/>
  <c r="H20" i="15"/>
  <c r="B101" i="15"/>
  <c r="H101" i="15"/>
  <c r="H76" i="15"/>
  <c r="H68" i="15"/>
  <c r="B47" i="15"/>
  <c r="C47" i="15"/>
  <c r="D47" i="15"/>
  <c r="E47" i="15"/>
  <c r="F47" i="15"/>
  <c r="H47" i="15"/>
  <c r="H44" i="15"/>
  <c r="D180" i="22"/>
  <c r="C180" i="22"/>
  <c r="D178" i="22"/>
  <c r="C178" i="22"/>
  <c r="B178" i="22"/>
  <c r="B177" i="22"/>
  <c r="B176" i="22"/>
  <c r="D175" i="22"/>
  <c r="C175" i="22"/>
  <c r="D173" i="22"/>
  <c r="C173" i="22"/>
  <c r="D172" i="22"/>
  <c r="C172" i="22"/>
  <c r="D170" i="22"/>
  <c r="C170" i="22"/>
  <c r="D169" i="22"/>
  <c r="C169" i="22"/>
  <c r="D168" i="22"/>
  <c r="C168" i="22"/>
  <c r="D167" i="22"/>
  <c r="C167" i="22"/>
  <c r="D166" i="22"/>
  <c r="C166" i="22"/>
  <c r="D165" i="22"/>
  <c r="C165" i="22"/>
  <c r="D164" i="22"/>
  <c r="C164" i="22"/>
  <c r="D163" i="22"/>
  <c r="C163" i="22"/>
  <c r="B162" i="22"/>
  <c r="B161" i="22"/>
  <c r="B160" i="22"/>
  <c r="D159" i="22"/>
  <c r="B159" i="22"/>
  <c r="B158" i="22"/>
  <c r="B157" i="22"/>
  <c r="D150" i="22"/>
  <c r="C150" i="22"/>
  <c r="D148" i="22"/>
  <c r="C148" i="22"/>
  <c r="B148" i="22"/>
  <c r="B147" i="22"/>
  <c r="B146" i="22"/>
  <c r="D145" i="22"/>
  <c r="C145" i="22"/>
  <c r="D143" i="22"/>
  <c r="C143" i="22"/>
  <c r="D142" i="22"/>
  <c r="C142" i="22"/>
  <c r="D140" i="22"/>
  <c r="C140" i="22"/>
  <c r="D139" i="22"/>
  <c r="C139" i="22"/>
  <c r="D138" i="22"/>
  <c r="C138" i="22"/>
  <c r="D137" i="22"/>
  <c r="C137" i="22"/>
  <c r="D136" i="22"/>
  <c r="C136" i="22"/>
  <c r="D135" i="22"/>
  <c r="C135" i="22"/>
  <c r="D134" i="22"/>
  <c r="C134" i="22"/>
  <c r="D133" i="22"/>
  <c r="C133" i="22"/>
  <c r="B132" i="22"/>
  <c r="B131" i="22"/>
  <c r="B130" i="22"/>
  <c r="D129" i="22"/>
  <c r="B129" i="22"/>
  <c r="B128" i="22"/>
  <c r="B127" i="22"/>
  <c r="D120" i="22"/>
  <c r="C120" i="22"/>
  <c r="D118" i="22"/>
  <c r="C118" i="22"/>
  <c r="B118" i="22"/>
  <c r="B117" i="22"/>
  <c r="B116" i="22"/>
  <c r="D115" i="22"/>
  <c r="C115" i="22"/>
  <c r="D113" i="22"/>
  <c r="C113" i="22"/>
  <c r="D112" i="22"/>
  <c r="C112" i="22"/>
  <c r="D110" i="22"/>
  <c r="C110" i="22"/>
  <c r="D109" i="22"/>
  <c r="C109" i="22"/>
  <c r="D108" i="22"/>
  <c r="C108" i="22"/>
  <c r="D107" i="22"/>
  <c r="C107" i="22"/>
  <c r="D106" i="22"/>
  <c r="C106" i="22"/>
  <c r="D105" i="22"/>
  <c r="C105" i="22"/>
  <c r="D104" i="22"/>
  <c r="C104" i="22"/>
  <c r="D103" i="22"/>
  <c r="C103" i="22"/>
  <c r="B102" i="22"/>
  <c r="B101" i="22"/>
  <c r="B100" i="22"/>
  <c r="D99" i="22"/>
  <c r="B99" i="22"/>
  <c r="B98" i="22"/>
  <c r="B97" i="22"/>
  <c r="D90" i="22"/>
  <c r="C90" i="22"/>
  <c r="D88" i="22"/>
  <c r="C88" i="22"/>
  <c r="B88" i="22"/>
  <c r="B87" i="22"/>
  <c r="B86" i="22"/>
  <c r="D85" i="22"/>
  <c r="C85" i="22"/>
  <c r="F83" i="22"/>
  <c r="D83" i="22"/>
  <c r="C83" i="22"/>
  <c r="D82" i="22"/>
  <c r="C82" i="22"/>
  <c r="D80" i="22"/>
  <c r="C80" i="22"/>
  <c r="D79" i="22"/>
  <c r="C79" i="22"/>
  <c r="D78" i="22"/>
  <c r="C78" i="22"/>
  <c r="D77" i="22"/>
  <c r="C77" i="22"/>
  <c r="D76" i="22"/>
  <c r="C76" i="22"/>
  <c r="D75" i="22"/>
  <c r="C75" i="22"/>
  <c r="D74" i="22"/>
  <c r="C74" i="22"/>
  <c r="D73" i="22"/>
  <c r="C73" i="22"/>
  <c r="B72" i="22"/>
  <c r="B71" i="22"/>
  <c r="B70" i="22"/>
  <c r="D69" i="22"/>
  <c r="B69" i="22"/>
  <c r="B68" i="22"/>
  <c r="B67" i="22"/>
  <c r="C60" i="22"/>
  <c r="C58" i="22"/>
  <c r="B58" i="22"/>
  <c r="B57" i="22"/>
  <c r="B56" i="22"/>
  <c r="C55" i="22"/>
  <c r="C53" i="22"/>
  <c r="C52" i="22"/>
  <c r="C50" i="22"/>
  <c r="C49" i="22"/>
  <c r="C48" i="22"/>
  <c r="C47" i="22"/>
  <c r="C46" i="22"/>
  <c r="C45" i="22"/>
  <c r="C44" i="22"/>
  <c r="C43" i="22"/>
  <c r="B42" i="22"/>
  <c r="B41" i="22"/>
  <c r="B40" i="22"/>
  <c r="B39" i="22"/>
  <c r="B38" i="22"/>
  <c r="B37" i="22"/>
  <c r="G7" i="22"/>
  <c r="H7" i="22"/>
  <c r="I7" i="22"/>
  <c r="G8" i="22"/>
  <c r="I8" i="22"/>
  <c r="G9" i="22"/>
  <c r="I9" i="22"/>
  <c r="G10" i="22"/>
  <c r="I10" i="22"/>
  <c r="I11" i="22"/>
  <c r="I12" i="22"/>
  <c r="I23" i="22"/>
  <c r="I24" i="22"/>
  <c r="G26" i="22"/>
  <c r="I26" i="22"/>
  <c r="I27" i="22"/>
  <c r="I28" i="22"/>
  <c r="I29" i="22"/>
  <c r="I30" i="22"/>
  <c r="I31" i="22"/>
  <c r="B28" i="22"/>
  <c r="B27" i="22"/>
  <c r="B26" i="22"/>
  <c r="B12" i="22"/>
  <c r="B11" i="22"/>
  <c r="B10" i="22"/>
  <c r="B9" i="22"/>
  <c r="B8" i="22"/>
  <c r="B7" i="22"/>
  <c r="C113" i="21"/>
  <c r="C106" i="21"/>
  <c r="C109" i="21"/>
  <c r="C114" i="21"/>
  <c r="C93" i="21"/>
  <c r="C86" i="21"/>
  <c r="C89" i="21"/>
  <c r="C94" i="21"/>
  <c r="C69" i="21"/>
  <c r="C73" i="21"/>
  <c r="C74" i="21"/>
  <c r="C49" i="21"/>
  <c r="C53" i="21"/>
  <c r="C54" i="21"/>
  <c r="C29" i="21"/>
  <c r="C33" i="21"/>
  <c r="C34" i="21"/>
  <c r="B14" i="21"/>
  <c r="B13" i="21"/>
  <c r="B12" i="21"/>
  <c r="B11" i="21"/>
  <c r="B10" i="21"/>
  <c r="E9" i="21"/>
  <c r="B9" i="21"/>
  <c r="B8" i="21"/>
  <c r="E7" i="21"/>
  <c r="B7" i="21"/>
  <c r="E6" i="21"/>
  <c r="B6" i="21"/>
  <c r="B5" i="21"/>
  <c r="B4" i="21"/>
  <c r="H171" i="20"/>
  <c r="H172" i="20"/>
  <c r="H173" i="20"/>
  <c r="H174" i="20"/>
  <c r="H175" i="20"/>
  <c r="H176" i="20"/>
  <c r="H177" i="20"/>
  <c r="H178" i="20"/>
  <c r="H179" i="20"/>
  <c r="H180" i="20"/>
  <c r="H181" i="20"/>
  <c r="H185" i="20"/>
  <c r="P184" i="20"/>
  <c r="H184" i="20"/>
  <c r="P183" i="20"/>
  <c r="H183" i="20"/>
  <c r="P181" i="20"/>
  <c r="P180" i="20"/>
  <c r="P179" i="20"/>
  <c r="P178" i="20"/>
  <c r="P177" i="20"/>
  <c r="P176" i="20"/>
  <c r="P175" i="20"/>
  <c r="P174" i="20"/>
  <c r="P173" i="20"/>
  <c r="P172" i="20"/>
  <c r="P171" i="20"/>
  <c r="K163" i="20"/>
  <c r="H141" i="20"/>
  <c r="H142" i="20"/>
  <c r="H143" i="20"/>
  <c r="H144" i="20"/>
  <c r="H145" i="20"/>
  <c r="H146" i="20"/>
  <c r="H147" i="20"/>
  <c r="H148" i="20"/>
  <c r="H149" i="20"/>
  <c r="H150" i="20"/>
  <c r="H151" i="20"/>
  <c r="H155" i="20"/>
  <c r="P154" i="20"/>
  <c r="H154" i="20"/>
  <c r="P153" i="20"/>
  <c r="H153" i="20"/>
  <c r="P151" i="20"/>
  <c r="P150" i="20"/>
  <c r="P149" i="20"/>
  <c r="P148" i="20"/>
  <c r="P147" i="20"/>
  <c r="P146" i="20"/>
  <c r="P145" i="20"/>
  <c r="P144" i="20"/>
  <c r="P143" i="20"/>
  <c r="P142" i="20"/>
  <c r="P141" i="20"/>
  <c r="K133" i="20"/>
  <c r="H111" i="20"/>
  <c r="H112" i="20"/>
  <c r="H113" i="20"/>
  <c r="H114" i="20"/>
  <c r="H115" i="20"/>
  <c r="H116" i="20"/>
  <c r="H117" i="20"/>
  <c r="H118" i="20"/>
  <c r="H119" i="20"/>
  <c r="H120" i="20"/>
  <c r="H121" i="20"/>
  <c r="H125" i="20"/>
  <c r="P124" i="20"/>
  <c r="H124" i="20"/>
  <c r="P123" i="20"/>
  <c r="H123" i="20"/>
  <c r="P121" i="20"/>
  <c r="P120" i="20"/>
  <c r="P119" i="20"/>
  <c r="P118" i="20"/>
  <c r="P117" i="20"/>
  <c r="P116" i="20"/>
  <c r="P115" i="20"/>
  <c r="P114" i="20"/>
  <c r="P113" i="20"/>
  <c r="P112" i="20"/>
  <c r="P111" i="20"/>
  <c r="K103" i="20"/>
  <c r="H81" i="20"/>
  <c r="H82" i="20"/>
  <c r="H83" i="20"/>
  <c r="H84" i="20"/>
  <c r="H85" i="20"/>
  <c r="H86" i="20"/>
  <c r="H87" i="20"/>
  <c r="H88" i="20"/>
  <c r="H89" i="20"/>
  <c r="H90" i="20"/>
  <c r="H91" i="20"/>
  <c r="H95" i="20"/>
  <c r="P94" i="20"/>
  <c r="H94" i="20"/>
  <c r="P93" i="20"/>
  <c r="H93" i="20"/>
  <c r="P91" i="20"/>
  <c r="P90" i="20"/>
  <c r="P89" i="20"/>
  <c r="P88" i="20"/>
  <c r="P87" i="20"/>
  <c r="P86" i="20"/>
  <c r="P85" i="20"/>
  <c r="P84" i="20"/>
  <c r="P83" i="20"/>
  <c r="P82" i="20"/>
  <c r="P81" i="20"/>
  <c r="K73" i="20"/>
  <c r="H51" i="20"/>
  <c r="H52" i="20"/>
  <c r="H53" i="20"/>
  <c r="H54" i="20"/>
  <c r="H55" i="20"/>
  <c r="H56" i="20"/>
  <c r="H57" i="20"/>
  <c r="H58" i="20"/>
  <c r="H59" i="20"/>
  <c r="H60" i="20"/>
  <c r="H61" i="20"/>
  <c r="H65" i="20"/>
  <c r="P64" i="20"/>
  <c r="H64" i="20"/>
  <c r="P63" i="20"/>
  <c r="H63" i="20"/>
  <c r="P61" i="20"/>
  <c r="P60" i="20"/>
  <c r="P59" i="20"/>
  <c r="P58" i="20"/>
  <c r="P57" i="20"/>
  <c r="P56" i="20"/>
  <c r="P55" i="20"/>
  <c r="P54" i="20"/>
  <c r="P53" i="20"/>
  <c r="P52" i="20"/>
  <c r="P51" i="20"/>
  <c r="K43" i="20"/>
  <c r="B31" i="20"/>
  <c r="B30" i="20"/>
  <c r="G25" i="20"/>
  <c r="B25" i="20"/>
  <c r="G24" i="20"/>
  <c r="B24" i="20"/>
  <c r="B22" i="20"/>
  <c r="B21" i="20"/>
  <c r="B20" i="20"/>
  <c r="B19" i="20"/>
  <c r="B18" i="20"/>
  <c r="B17" i="20"/>
  <c r="B16" i="20"/>
  <c r="B15" i="20"/>
  <c r="B14" i="20"/>
  <c r="B13" i="20"/>
  <c r="B12" i="20"/>
  <c r="F7" i="20"/>
  <c r="E7" i="20"/>
  <c r="D7" i="20"/>
  <c r="C7" i="20"/>
  <c r="B7" i="20"/>
  <c r="B20" i="19"/>
  <c r="C124" i="19"/>
  <c r="B125" i="19"/>
  <c r="C114" i="19"/>
  <c r="C125" i="19"/>
  <c r="C131" i="19"/>
  <c r="D124" i="19"/>
  <c r="D114" i="19"/>
  <c r="D125" i="19"/>
  <c r="D131" i="19"/>
  <c r="E124" i="19"/>
  <c r="E114" i="19"/>
  <c r="E125" i="19"/>
  <c r="E131" i="19"/>
  <c r="F124" i="19"/>
  <c r="F114" i="19"/>
  <c r="F125" i="19"/>
  <c r="F131" i="19"/>
  <c r="G124" i="19"/>
  <c r="G114" i="19"/>
  <c r="G125" i="19"/>
  <c r="G131" i="19"/>
  <c r="H124" i="19"/>
  <c r="H114" i="19"/>
  <c r="H125" i="19"/>
  <c r="H131" i="19"/>
  <c r="I124" i="19"/>
  <c r="I114" i="19"/>
  <c r="I125" i="19"/>
  <c r="I131" i="19"/>
  <c r="J124" i="19"/>
  <c r="J114" i="19"/>
  <c r="J125" i="19"/>
  <c r="J131" i="19"/>
  <c r="K124" i="19"/>
  <c r="K114" i="19"/>
  <c r="K125" i="19"/>
  <c r="K131" i="19"/>
  <c r="L124" i="19"/>
  <c r="L114" i="19"/>
  <c r="L125" i="19"/>
  <c r="L131" i="19"/>
  <c r="M124" i="19"/>
  <c r="M114" i="19"/>
  <c r="M125" i="19"/>
  <c r="M131" i="19"/>
  <c r="N124" i="19"/>
  <c r="N114" i="19"/>
  <c r="N125" i="19"/>
  <c r="N131" i="19"/>
  <c r="O131" i="19"/>
  <c r="O130" i="19"/>
  <c r="O129" i="19"/>
  <c r="O128" i="19"/>
  <c r="O127" i="19"/>
  <c r="O126" i="19"/>
  <c r="O125" i="19"/>
  <c r="O124" i="19"/>
  <c r="B124" i="19"/>
  <c r="O122" i="19"/>
  <c r="O121" i="19"/>
  <c r="O120" i="19"/>
  <c r="O119" i="19"/>
  <c r="N115" i="19"/>
  <c r="N116" i="19"/>
  <c r="N117" i="19"/>
  <c r="M115" i="19"/>
  <c r="M116" i="19"/>
  <c r="M117" i="19"/>
  <c r="L115" i="19"/>
  <c r="L116" i="19"/>
  <c r="L117" i="19"/>
  <c r="K115" i="19"/>
  <c r="K116" i="19"/>
  <c r="K117" i="19"/>
  <c r="J115" i="19"/>
  <c r="J116" i="19"/>
  <c r="J117" i="19"/>
  <c r="I115" i="19"/>
  <c r="I116" i="19"/>
  <c r="I117" i="19"/>
  <c r="H115" i="19"/>
  <c r="H116" i="19"/>
  <c r="H117" i="19"/>
  <c r="G115" i="19"/>
  <c r="G116" i="19"/>
  <c r="G117" i="19"/>
  <c r="F115" i="19"/>
  <c r="F116" i="19"/>
  <c r="F117" i="19"/>
  <c r="E115" i="19"/>
  <c r="E116" i="19"/>
  <c r="E117" i="19"/>
  <c r="D115" i="19"/>
  <c r="D116" i="19"/>
  <c r="D117" i="19"/>
  <c r="C115" i="19"/>
  <c r="C116" i="19"/>
  <c r="C117" i="19"/>
  <c r="O116" i="19"/>
  <c r="O115" i="19"/>
  <c r="O114" i="19"/>
  <c r="O111" i="19"/>
  <c r="N110" i="19"/>
  <c r="M110" i="19"/>
  <c r="L110" i="19"/>
  <c r="K110" i="19"/>
  <c r="J110" i="19"/>
  <c r="I110" i="19"/>
  <c r="H110" i="19"/>
  <c r="G110" i="19"/>
  <c r="F110" i="19"/>
  <c r="E110" i="19"/>
  <c r="D110" i="19"/>
  <c r="C110" i="19"/>
  <c r="B98" i="19"/>
  <c r="C98" i="19"/>
  <c r="C105" i="19"/>
  <c r="D98" i="19"/>
  <c r="D105" i="19"/>
  <c r="E98" i="19"/>
  <c r="E105" i="19"/>
  <c r="F98" i="19"/>
  <c r="F105" i="19"/>
  <c r="G98" i="19"/>
  <c r="G105" i="19"/>
  <c r="H98" i="19"/>
  <c r="H105" i="19"/>
  <c r="I98" i="19"/>
  <c r="I105" i="19"/>
  <c r="J98" i="19"/>
  <c r="J105" i="19"/>
  <c r="K98" i="19"/>
  <c r="K105" i="19"/>
  <c r="L98" i="19"/>
  <c r="L105" i="19"/>
  <c r="M98" i="19"/>
  <c r="M105" i="19"/>
  <c r="N98" i="19"/>
  <c r="N105" i="19"/>
  <c r="O105" i="19"/>
  <c r="O104" i="19"/>
  <c r="O103" i="19"/>
  <c r="O102" i="19"/>
  <c r="O101" i="19"/>
  <c r="O100" i="19"/>
  <c r="O99" i="19"/>
  <c r="O98" i="19"/>
  <c r="O96" i="19"/>
  <c r="O95" i="19"/>
  <c r="O94" i="19"/>
  <c r="O93" i="19"/>
  <c r="N88" i="19"/>
  <c r="N89" i="19"/>
  <c r="N90" i="19"/>
  <c r="N91" i="19"/>
  <c r="M88" i="19"/>
  <c r="M89" i="19"/>
  <c r="M90" i="19"/>
  <c r="M91" i="19"/>
  <c r="L88" i="19"/>
  <c r="L89" i="19"/>
  <c r="L90" i="19"/>
  <c r="L91" i="19"/>
  <c r="K88" i="19"/>
  <c r="K89" i="19"/>
  <c r="K90" i="19"/>
  <c r="K91" i="19"/>
  <c r="J88" i="19"/>
  <c r="J89" i="19"/>
  <c r="J90" i="19"/>
  <c r="J91" i="19"/>
  <c r="I88" i="19"/>
  <c r="I89" i="19"/>
  <c r="I90" i="19"/>
  <c r="I91" i="19"/>
  <c r="H88" i="19"/>
  <c r="H89" i="19"/>
  <c r="H90" i="19"/>
  <c r="H91" i="19"/>
  <c r="G88" i="19"/>
  <c r="G89" i="19"/>
  <c r="G90" i="19"/>
  <c r="G91" i="19"/>
  <c r="F88" i="19"/>
  <c r="F89" i="19"/>
  <c r="F90" i="19"/>
  <c r="F91" i="19"/>
  <c r="E88" i="19"/>
  <c r="E89" i="19"/>
  <c r="E90" i="19"/>
  <c r="E91" i="19"/>
  <c r="D88" i="19"/>
  <c r="D89" i="19"/>
  <c r="D90" i="19"/>
  <c r="D91" i="19"/>
  <c r="C88" i="19"/>
  <c r="C89" i="19"/>
  <c r="C90" i="19"/>
  <c r="C91" i="19"/>
  <c r="O90" i="19"/>
  <c r="O89" i="19"/>
  <c r="O88" i="19"/>
  <c r="O85" i="19"/>
  <c r="N84" i="19"/>
  <c r="M84" i="19"/>
  <c r="L84" i="19"/>
  <c r="K84" i="19"/>
  <c r="J84" i="19"/>
  <c r="I84" i="19"/>
  <c r="H84" i="19"/>
  <c r="G84" i="19"/>
  <c r="F84" i="19"/>
  <c r="E84" i="19"/>
  <c r="D84" i="19"/>
  <c r="C84" i="19"/>
  <c r="B72" i="19"/>
  <c r="C72" i="19"/>
  <c r="C79" i="19"/>
  <c r="D72" i="19"/>
  <c r="D79" i="19"/>
  <c r="E72" i="19"/>
  <c r="E79" i="19"/>
  <c r="F72" i="19"/>
  <c r="F79" i="19"/>
  <c r="G72" i="19"/>
  <c r="G79" i="19"/>
  <c r="H72" i="19"/>
  <c r="H79" i="19"/>
  <c r="I72" i="19"/>
  <c r="I79" i="19"/>
  <c r="J72" i="19"/>
  <c r="J79" i="19"/>
  <c r="K72" i="19"/>
  <c r="K79" i="19"/>
  <c r="L72" i="19"/>
  <c r="L79" i="19"/>
  <c r="M72" i="19"/>
  <c r="M79" i="19"/>
  <c r="N72" i="19"/>
  <c r="N79" i="19"/>
  <c r="O79" i="19"/>
  <c r="O78" i="19"/>
  <c r="O77" i="19"/>
  <c r="O76" i="19"/>
  <c r="O75" i="19"/>
  <c r="O74" i="19"/>
  <c r="O73" i="19"/>
  <c r="O72" i="19"/>
  <c r="O70" i="19"/>
  <c r="O69" i="19"/>
  <c r="O68" i="19"/>
  <c r="O67" i="19"/>
  <c r="N62" i="19"/>
  <c r="N63" i="19"/>
  <c r="N64" i="19"/>
  <c r="N65" i="19"/>
  <c r="M62" i="19"/>
  <c r="M63" i="19"/>
  <c r="M64" i="19"/>
  <c r="M65" i="19"/>
  <c r="L62" i="19"/>
  <c r="L63" i="19"/>
  <c r="L64" i="19"/>
  <c r="L65" i="19"/>
  <c r="K62" i="19"/>
  <c r="K63" i="19"/>
  <c r="K64" i="19"/>
  <c r="K65" i="19"/>
  <c r="J62" i="19"/>
  <c r="J63" i="19"/>
  <c r="J64" i="19"/>
  <c r="J65" i="19"/>
  <c r="I62" i="19"/>
  <c r="I63" i="19"/>
  <c r="I64" i="19"/>
  <c r="I65" i="19"/>
  <c r="H62" i="19"/>
  <c r="H63" i="19"/>
  <c r="H64" i="19"/>
  <c r="H65" i="19"/>
  <c r="G62" i="19"/>
  <c r="G63" i="19"/>
  <c r="G64" i="19"/>
  <c r="G65" i="19"/>
  <c r="F62" i="19"/>
  <c r="F63" i="19"/>
  <c r="F64" i="19"/>
  <c r="F65" i="19"/>
  <c r="E62" i="19"/>
  <c r="E63" i="19"/>
  <c r="E64" i="19"/>
  <c r="E65" i="19"/>
  <c r="D62" i="19"/>
  <c r="D63" i="19"/>
  <c r="D64" i="19"/>
  <c r="D65" i="19"/>
  <c r="C62" i="19"/>
  <c r="C63" i="19"/>
  <c r="C64" i="19"/>
  <c r="C65" i="19"/>
  <c r="O64" i="19"/>
  <c r="O63" i="19"/>
  <c r="O62" i="19"/>
  <c r="O59" i="19"/>
  <c r="N58" i="19"/>
  <c r="M58" i="19"/>
  <c r="L58" i="19"/>
  <c r="K58" i="19"/>
  <c r="J58" i="19"/>
  <c r="I58" i="19"/>
  <c r="H58" i="19"/>
  <c r="G58" i="19"/>
  <c r="F58" i="19"/>
  <c r="E58" i="19"/>
  <c r="D58" i="19"/>
  <c r="C58" i="19"/>
  <c r="B46" i="19"/>
  <c r="C46" i="19"/>
  <c r="C53" i="19"/>
  <c r="D46" i="19"/>
  <c r="D53" i="19"/>
  <c r="E46" i="19"/>
  <c r="E53" i="19"/>
  <c r="F46" i="19"/>
  <c r="F53" i="19"/>
  <c r="G46" i="19"/>
  <c r="G53" i="19"/>
  <c r="H46" i="19"/>
  <c r="H53" i="19"/>
  <c r="I46" i="19"/>
  <c r="I53" i="19"/>
  <c r="J46" i="19"/>
  <c r="J53" i="19"/>
  <c r="K46" i="19"/>
  <c r="K53" i="19"/>
  <c r="L46" i="19"/>
  <c r="L53" i="19"/>
  <c r="M46" i="19"/>
  <c r="M53" i="19"/>
  <c r="N46" i="19"/>
  <c r="N53" i="19"/>
  <c r="O53" i="19"/>
  <c r="O52" i="19"/>
  <c r="O51" i="19"/>
  <c r="O50" i="19"/>
  <c r="O49" i="19"/>
  <c r="O48" i="19"/>
  <c r="O47" i="19"/>
  <c r="O46" i="19"/>
  <c r="O44" i="19"/>
  <c r="O43" i="19"/>
  <c r="O42" i="19"/>
  <c r="O41" i="19"/>
  <c r="N36" i="19"/>
  <c r="N37" i="19"/>
  <c r="N38" i="19"/>
  <c r="N39" i="19"/>
  <c r="M36" i="19"/>
  <c r="M37" i="19"/>
  <c r="M38" i="19"/>
  <c r="M39" i="19"/>
  <c r="L36" i="19"/>
  <c r="L37" i="19"/>
  <c r="L38" i="19"/>
  <c r="L39" i="19"/>
  <c r="K36" i="19"/>
  <c r="K37" i="19"/>
  <c r="K38" i="19"/>
  <c r="K39" i="19"/>
  <c r="J36" i="19"/>
  <c r="J37" i="19"/>
  <c r="J38" i="19"/>
  <c r="J39" i="19"/>
  <c r="I36" i="19"/>
  <c r="I37" i="19"/>
  <c r="I38" i="19"/>
  <c r="I39" i="19"/>
  <c r="H36" i="19"/>
  <c r="H37" i="19"/>
  <c r="H38" i="19"/>
  <c r="H39" i="19"/>
  <c r="G36" i="19"/>
  <c r="G37" i="19"/>
  <c r="G38" i="19"/>
  <c r="G39" i="19"/>
  <c r="F36" i="19"/>
  <c r="F37" i="19"/>
  <c r="F38" i="19"/>
  <c r="F39" i="19"/>
  <c r="E36" i="19"/>
  <c r="E37" i="19"/>
  <c r="E38" i="19"/>
  <c r="E39" i="19"/>
  <c r="D36" i="19"/>
  <c r="D37" i="19"/>
  <c r="D38" i="19"/>
  <c r="D39" i="19"/>
  <c r="C36" i="19"/>
  <c r="C37" i="19"/>
  <c r="C38" i="19"/>
  <c r="C39" i="19"/>
  <c r="O38" i="19"/>
  <c r="O37" i="19"/>
  <c r="O36" i="19"/>
  <c r="O33" i="19"/>
  <c r="N32" i="19"/>
  <c r="M32" i="19"/>
  <c r="L32" i="19"/>
  <c r="K32" i="19"/>
  <c r="J32" i="19"/>
  <c r="I32" i="19"/>
  <c r="H32" i="19"/>
  <c r="G32" i="19"/>
  <c r="F32" i="19"/>
  <c r="E32" i="19"/>
  <c r="D32" i="19"/>
  <c r="C32" i="19"/>
  <c r="C20" i="19"/>
  <c r="C27" i="19"/>
  <c r="D20" i="19"/>
  <c r="D27" i="19"/>
  <c r="E20" i="19"/>
  <c r="E27" i="19"/>
  <c r="F20" i="19"/>
  <c r="F27" i="19"/>
  <c r="G20" i="19"/>
  <c r="G27" i="19"/>
  <c r="H20" i="19"/>
  <c r="H27" i="19"/>
  <c r="I20" i="19"/>
  <c r="I27" i="19"/>
  <c r="J20" i="19"/>
  <c r="J27" i="19"/>
  <c r="K20" i="19"/>
  <c r="K27" i="19"/>
  <c r="L20" i="19"/>
  <c r="L27" i="19"/>
  <c r="M20" i="19"/>
  <c r="M27" i="19"/>
  <c r="N20" i="19"/>
  <c r="N27" i="19"/>
  <c r="O27" i="19"/>
  <c r="O26" i="19"/>
  <c r="O25" i="19"/>
  <c r="O24" i="19"/>
  <c r="O23" i="19"/>
  <c r="O22" i="19"/>
  <c r="O21" i="19"/>
  <c r="O20" i="19"/>
  <c r="O18" i="19"/>
  <c r="O17" i="19"/>
  <c r="O16" i="19"/>
  <c r="O15" i="19"/>
  <c r="N10" i="19"/>
  <c r="N11" i="19"/>
  <c r="N12" i="19"/>
  <c r="N13" i="19"/>
  <c r="M10" i="19"/>
  <c r="M11" i="19"/>
  <c r="M12" i="19"/>
  <c r="M13" i="19"/>
  <c r="L10" i="19"/>
  <c r="L11" i="19"/>
  <c r="L12" i="19"/>
  <c r="L13" i="19"/>
  <c r="K10" i="19"/>
  <c r="K11" i="19"/>
  <c r="K12" i="19"/>
  <c r="K13" i="19"/>
  <c r="J10" i="19"/>
  <c r="J11" i="19"/>
  <c r="J12" i="19"/>
  <c r="J13" i="19"/>
  <c r="I10" i="19"/>
  <c r="I11" i="19"/>
  <c r="I12" i="19"/>
  <c r="I13" i="19"/>
  <c r="H10" i="19"/>
  <c r="H11" i="19"/>
  <c r="H12" i="19"/>
  <c r="H13" i="19"/>
  <c r="G10" i="19"/>
  <c r="G11" i="19"/>
  <c r="G12" i="19"/>
  <c r="G13" i="19"/>
  <c r="F10" i="19"/>
  <c r="F11" i="19"/>
  <c r="F12" i="19"/>
  <c r="F13" i="19"/>
  <c r="E10" i="19"/>
  <c r="E11" i="19"/>
  <c r="E12" i="19"/>
  <c r="E13" i="19"/>
  <c r="D10" i="19"/>
  <c r="D11" i="19"/>
  <c r="D12" i="19"/>
  <c r="D13" i="19"/>
  <c r="C10" i="19"/>
  <c r="C11" i="19"/>
  <c r="C12" i="19"/>
  <c r="C13" i="19"/>
  <c r="O12" i="19"/>
  <c r="O11" i="19"/>
  <c r="O10" i="19"/>
  <c r="O7" i="19"/>
  <c r="N6" i="19"/>
  <c r="M6" i="19"/>
  <c r="L6" i="19"/>
  <c r="K6" i="19"/>
  <c r="J6" i="19"/>
  <c r="I6" i="19"/>
  <c r="H6" i="19"/>
  <c r="G6" i="19"/>
  <c r="F6" i="19"/>
  <c r="E6" i="19"/>
  <c r="D6" i="19"/>
  <c r="C6" i="19"/>
  <c r="B47" i="18"/>
  <c r="B51" i="18"/>
  <c r="Q49" i="18"/>
  <c r="B37" i="18"/>
  <c r="B41" i="18"/>
  <c r="Q39" i="18"/>
  <c r="B27" i="18"/>
  <c r="B31" i="18"/>
  <c r="Q29" i="18"/>
  <c r="B17" i="18"/>
  <c r="B21" i="18"/>
  <c r="Q19" i="18"/>
  <c r="B11" i="18"/>
  <c r="Q9" i="18"/>
  <c r="B9" i="16"/>
  <c r="D118" i="17"/>
  <c r="D119" i="17"/>
  <c r="D120" i="17"/>
  <c r="D121" i="17"/>
  <c r="D122" i="17"/>
  <c r="D123" i="17"/>
  <c r="D124" i="17"/>
  <c r="D125" i="17"/>
  <c r="D126" i="17"/>
  <c r="D127" i="17"/>
  <c r="D128" i="17"/>
  <c r="D129" i="17"/>
  <c r="B130" i="17"/>
  <c r="B132" i="17"/>
  <c r="B16" i="16"/>
  <c r="B133" i="17"/>
  <c r="E118" i="17"/>
  <c r="E119" i="17"/>
  <c r="E120" i="17"/>
  <c r="E121" i="17"/>
  <c r="E122" i="17"/>
  <c r="E123" i="17"/>
  <c r="E124" i="17"/>
  <c r="E125" i="17"/>
  <c r="E126" i="17"/>
  <c r="E127" i="17"/>
  <c r="E128" i="17"/>
  <c r="E129" i="17"/>
  <c r="B131" i="17"/>
  <c r="B114" i="17"/>
  <c r="B115" i="17"/>
  <c r="D95" i="17"/>
  <c r="D96" i="17"/>
  <c r="D97" i="17"/>
  <c r="D98" i="17"/>
  <c r="D99" i="17"/>
  <c r="D100" i="17"/>
  <c r="D101" i="17"/>
  <c r="D102" i="17"/>
  <c r="D103" i="17"/>
  <c r="D104" i="17"/>
  <c r="D105" i="17"/>
  <c r="D106" i="17"/>
  <c r="B107" i="17"/>
  <c r="B109" i="17"/>
  <c r="B110" i="17"/>
  <c r="E95" i="17"/>
  <c r="E96" i="17"/>
  <c r="E97" i="17"/>
  <c r="E98" i="17"/>
  <c r="E99" i="17"/>
  <c r="E100" i="17"/>
  <c r="E101" i="17"/>
  <c r="E102" i="17"/>
  <c r="E103" i="17"/>
  <c r="E104" i="17"/>
  <c r="E105" i="17"/>
  <c r="E106" i="17"/>
  <c r="B108" i="17"/>
  <c r="B91" i="17"/>
  <c r="B92" i="17"/>
  <c r="D72" i="17"/>
  <c r="D73" i="17"/>
  <c r="D74" i="17"/>
  <c r="D75" i="17"/>
  <c r="D76" i="17"/>
  <c r="D77" i="17"/>
  <c r="D78" i="17"/>
  <c r="D79" i="17"/>
  <c r="D80" i="17"/>
  <c r="D81" i="17"/>
  <c r="D82" i="17"/>
  <c r="D83" i="17"/>
  <c r="B84" i="17"/>
  <c r="B86" i="17"/>
  <c r="B87" i="17"/>
  <c r="E72" i="17"/>
  <c r="E73" i="17"/>
  <c r="E74" i="17"/>
  <c r="E75" i="17"/>
  <c r="E76" i="17"/>
  <c r="E77" i="17"/>
  <c r="E78" i="17"/>
  <c r="E79" i="17"/>
  <c r="E80" i="17"/>
  <c r="E81" i="17"/>
  <c r="E82" i="17"/>
  <c r="E83" i="17"/>
  <c r="B85" i="17"/>
  <c r="B68" i="17"/>
  <c r="B69" i="17"/>
  <c r="H17" i="3"/>
  <c r="L22" i="3"/>
  <c r="L24" i="3"/>
  <c r="J57" i="17"/>
  <c r="J58" i="17"/>
  <c r="K61" i="17"/>
  <c r="K62" i="17"/>
  <c r="K63" i="17"/>
  <c r="K64" i="17"/>
  <c r="J66" i="17"/>
  <c r="L61" i="17"/>
  <c r="L62" i="17"/>
  <c r="L63" i="17"/>
  <c r="L64" i="17"/>
  <c r="J65" i="17"/>
  <c r="M64" i="17"/>
  <c r="D48" i="17"/>
  <c r="D49" i="17"/>
  <c r="D50" i="17"/>
  <c r="D51" i="17"/>
  <c r="D52" i="17"/>
  <c r="D53" i="17"/>
  <c r="D54" i="17"/>
  <c r="D56" i="17"/>
  <c r="D57" i="17"/>
  <c r="D58" i="17"/>
  <c r="D59" i="17"/>
  <c r="D60" i="17"/>
  <c r="B61" i="17"/>
  <c r="B63" i="17"/>
  <c r="B64" i="17"/>
  <c r="M63" i="17"/>
  <c r="M62" i="17"/>
  <c r="E48" i="17"/>
  <c r="E49" i="17"/>
  <c r="E50" i="17"/>
  <c r="E51" i="17"/>
  <c r="E52" i="17"/>
  <c r="E53" i="17"/>
  <c r="E54" i="17"/>
  <c r="E56" i="17"/>
  <c r="E57" i="17"/>
  <c r="E58" i="17"/>
  <c r="E59" i="17"/>
  <c r="E60" i="17"/>
  <c r="B62" i="17"/>
  <c r="M61" i="17"/>
  <c r="H16" i="3"/>
  <c r="K22" i="3"/>
  <c r="K24" i="3"/>
  <c r="J44" i="17"/>
  <c r="J45" i="17"/>
  <c r="K48" i="17"/>
  <c r="K49" i="17"/>
  <c r="K50" i="17"/>
  <c r="K51" i="17"/>
  <c r="J53" i="17"/>
  <c r="L48" i="17"/>
  <c r="L49" i="17"/>
  <c r="L50" i="17"/>
  <c r="L51" i="17"/>
  <c r="J52" i="17"/>
  <c r="M51" i="17"/>
  <c r="M50" i="17"/>
  <c r="M49" i="17"/>
  <c r="M48" i="17"/>
  <c r="B44" i="17"/>
  <c r="B45" i="17"/>
  <c r="H15" i="3"/>
  <c r="J22" i="3"/>
  <c r="J24" i="3"/>
  <c r="J31" i="17"/>
  <c r="J32" i="17"/>
  <c r="K35" i="17"/>
  <c r="K36" i="17"/>
  <c r="K37" i="17"/>
  <c r="K38" i="17"/>
  <c r="J40" i="17"/>
  <c r="D25" i="17"/>
  <c r="D26" i="17"/>
  <c r="D27" i="17"/>
  <c r="D28" i="17"/>
  <c r="D29" i="17"/>
  <c r="D30" i="17"/>
  <c r="D31" i="17"/>
  <c r="D32" i="17"/>
  <c r="D33" i="17"/>
  <c r="D34" i="17"/>
  <c r="D35" i="17"/>
  <c r="D36" i="17"/>
  <c r="B37" i="17"/>
  <c r="B39" i="17"/>
  <c r="B40" i="17"/>
  <c r="L35" i="17"/>
  <c r="L36" i="17"/>
  <c r="L37" i="17"/>
  <c r="L38" i="17"/>
  <c r="J39" i="17"/>
  <c r="M38" i="17"/>
  <c r="E25" i="17"/>
  <c r="E26" i="17"/>
  <c r="E27" i="17"/>
  <c r="E28" i="17"/>
  <c r="E29" i="17"/>
  <c r="E30" i="17"/>
  <c r="E31" i="17"/>
  <c r="E32" i="17"/>
  <c r="E33" i="17"/>
  <c r="E34" i="17"/>
  <c r="E35" i="17"/>
  <c r="E36" i="17"/>
  <c r="B38" i="17"/>
  <c r="M37" i="17"/>
  <c r="M36" i="17"/>
  <c r="M35" i="17"/>
  <c r="I24" i="3"/>
  <c r="J18" i="17"/>
  <c r="J19" i="17"/>
  <c r="K22" i="17"/>
  <c r="K23" i="17"/>
  <c r="K24" i="17"/>
  <c r="K25" i="17"/>
  <c r="J27" i="17"/>
  <c r="L22" i="17"/>
  <c r="L23" i="17"/>
  <c r="L24" i="17"/>
  <c r="L25" i="17"/>
  <c r="J26" i="17"/>
  <c r="M25" i="17"/>
  <c r="M24" i="17"/>
  <c r="M23" i="17"/>
  <c r="M22" i="17"/>
  <c r="B21" i="17"/>
  <c r="B22" i="17"/>
  <c r="F10" i="17"/>
  <c r="F11" i="17"/>
  <c r="F12" i="17"/>
  <c r="F16" i="17"/>
  <c r="E10" i="17"/>
  <c r="E11" i="17"/>
  <c r="E12" i="17"/>
  <c r="E16" i="17"/>
  <c r="D10" i="17"/>
  <c r="D11" i="17"/>
  <c r="D12" i="17"/>
  <c r="D16" i="17"/>
  <c r="C10" i="17"/>
  <c r="C11" i="17"/>
  <c r="C12" i="17"/>
  <c r="C16" i="17"/>
  <c r="B10" i="17"/>
  <c r="B11" i="17"/>
  <c r="B12" i="17"/>
  <c r="B16" i="17"/>
  <c r="H24" i="3"/>
  <c r="J5" i="17"/>
  <c r="J6" i="17"/>
  <c r="K9" i="17"/>
  <c r="K10" i="17"/>
  <c r="K11" i="17"/>
  <c r="K12" i="17"/>
  <c r="J14" i="17"/>
  <c r="B13" i="17"/>
  <c r="C13" i="17"/>
  <c r="D13" i="17"/>
  <c r="E13" i="17"/>
  <c r="F13" i="17"/>
  <c r="F14" i="17"/>
  <c r="E14" i="17"/>
  <c r="D14" i="17"/>
  <c r="C14" i="17"/>
  <c r="B14" i="17"/>
  <c r="L9" i="17"/>
  <c r="L10" i="17"/>
  <c r="L11" i="17"/>
  <c r="L12" i="17"/>
  <c r="J13" i="17"/>
  <c r="M12" i="17"/>
  <c r="M11" i="17"/>
  <c r="M10" i="17"/>
  <c r="M9" i="17"/>
  <c r="F5" i="17"/>
  <c r="G5" i="17"/>
  <c r="G6" i="17"/>
  <c r="F6" i="17"/>
  <c r="D6" i="17"/>
  <c r="C6" i="17"/>
  <c r="B28" i="16"/>
  <c r="H100" i="15"/>
  <c r="H98" i="15"/>
  <c r="H97" i="15"/>
  <c r="H96" i="15"/>
  <c r="H95" i="15"/>
  <c r="H94" i="15"/>
  <c r="H93" i="15"/>
  <c r="H99" i="15"/>
  <c r="H91" i="15"/>
  <c r="H90" i="15"/>
  <c r="B89" i="15"/>
  <c r="C89" i="15"/>
  <c r="D89" i="15"/>
  <c r="E89" i="15"/>
  <c r="F89" i="15"/>
  <c r="G89" i="15"/>
  <c r="H89" i="15"/>
  <c r="B88" i="15"/>
  <c r="C88" i="15"/>
  <c r="D88" i="15"/>
  <c r="E88" i="15"/>
  <c r="F88" i="15"/>
  <c r="G88" i="15"/>
  <c r="H88" i="15"/>
  <c r="H85" i="15"/>
  <c r="H84" i="15"/>
  <c r="B83" i="15"/>
  <c r="C83" i="15"/>
  <c r="D83" i="15"/>
  <c r="E83" i="15"/>
  <c r="F83" i="15"/>
  <c r="G83" i="15"/>
  <c r="H83" i="15"/>
  <c r="H81" i="15"/>
  <c r="H79" i="15"/>
  <c r="H77" i="15"/>
  <c r="H75" i="15"/>
  <c r="H74" i="15"/>
  <c r="B71" i="15"/>
  <c r="H71" i="15"/>
  <c r="H70" i="15"/>
  <c r="H67" i="15"/>
  <c r="H65" i="15"/>
  <c r="H64" i="15"/>
  <c r="H63" i="15"/>
  <c r="H69" i="15"/>
  <c r="H61" i="15"/>
  <c r="H60" i="15"/>
  <c r="B59" i="15"/>
  <c r="C59" i="15"/>
  <c r="D59" i="15"/>
  <c r="E59" i="15"/>
  <c r="F59" i="15"/>
  <c r="G59" i="15"/>
  <c r="H59" i="15"/>
  <c r="B58" i="15"/>
  <c r="C58" i="15"/>
  <c r="D58" i="15"/>
  <c r="E58" i="15"/>
  <c r="F58" i="15"/>
  <c r="G58" i="15"/>
  <c r="H58" i="15"/>
  <c r="H55" i="15"/>
  <c r="H54" i="15"/>
  <c r="B53" i="15"/>
  <c r="C53" i="15"/>
  <c r="D53" i="15"/>
  <c r="E53" i="15"/>
  <c r="F53" i="15"/>
  <c r="G53" i="15"/>
  <c r="H53" i="15"/>
  <c r="H51" i="15"/>
  <c r="H49" i="15"/>
  <c r="H46" i="15"/>
  <c r="H45" i="15"/>
  <c r="B37" i="15"/>
  <c r="B38" i="15"/>
  <c r="B39" i="15"/>
  <c r="B40" i="15"/>
  <c r="B41" i="15"/>
  <c r="H41" i="15"/>
  <c r="H40" i="15"/>
  <c r="H39" i="15"/>
  <c r="H38" i="15"/>
  <c r="H37" i="15"/>
  <c r="C30" i="15"/>
  <c r="D30" i="15"/>
  <c r="E30" i="15"/>
  <c r="F30" i="15"/>
  <c r="G30" i="15"/>
  <c r="H30" i="15"/>
  <c r="C29" i="15"/>
  <c r="D29" i="15"/>
  <c r="E29" i="15"/>
  <c r="F29" i="15"/>
  <c r="G29" i="15"/>
  <c r="H29" i="15"/>
  <c r="C23" i="15"/>
  <c r="D23" i="15"/>
  <c r="E23" i="15"/>
  <c r="F23" i="15"/>
  <c r="G23" i="15"/>
  <c r="H23" i="15"/>
  <c r="B6" i="15"/>
  <c r="B8" i="15"/>
  <c r="C32" i="14"/>
  <c r="D32" i="14"/>
  <c r="E32" i="14"/>
  <c r="F32" i="14"/>
  <c r="G32" i="14"/>
  <c r="C11" i="14"/>
  <c r="C12" i="14"/>
  <c r="D11" i="14"/>
  <c r="D12" i="14"/>
  <c r="E11" i="14"/>
  <c r="E12" i="14"/>
  <c r="F11" i="14"/>
  <c r="F12" i="14"/>
  <c r="G11" i="14"/>
  <c r="G12" i="14"/>
  <c r="D15" i="14"/>
  <c r="E15" i="14"/>
  <c r="F15" i="14"/>
  <c r="G15" i="14"/>
  <c r="D16" i="14"/>
  <c r="E16" i="14"/>
  <c r="F16" i="14"/>
  <c r="G16" i="14"/>
  <c r="G19" i="14"/>
  <c r="F19" i="14"/>
  <c r="G20" i="14"/>
  <c r="E19" i="14"/>
  <c r="F20" i="14"/>
  <c r="D19" i="14"/>
  <c r="E20" i="14"/>
  <c r="C19" i="14"/>
  <c r="D20" i="14"/>
  <c r="B19" i="14"/>
  <c r="C20" i="14"/>
  <c r="B8" i="14"/>
  <c r="B43" i="13" a="1"/>
  <c r="B42" i="13" a="1"/>
  <c r="B41" i="13" a="1"/>
  <c r="B40" i="13" a="1"/>
  <c r="B39" i="13" a="1"/>
  <c r="B38" i="13" a="1"/>
  <c r="B37" i="13" a="1"/>
  <c r="B36" i="13" a="1"/>
  <c r="B35" i="13" a="1"/>
  <c r="B34" i="13" a="1"/>
  <c r="B33" i="13" a="1"/>
  <c r="B32" i="13" a="1"/>
  <c r="B31" i="13" a="1"/>
  <c r="B30" i="13" a="1"/>
  <c r="B29" i="13" a="1"/>
  <c r="B28" i="13" a="1"/>
  <c r="B27" i="13" a="1"/>
  <c r="B26" i="13" a="1"/>
  <c r="B25" i="13" a="1"/>
  <c r="B24" i="13" a="1"/>
  <c r="B23" i="13" a="1"/>
  <c r="B22" i="13" a="1"/>
  <c r="B21" i="13" a="1"/>
  <c r="B18" i="13" a="1"/>
  <c r="B17" i="13" a="1"/>
  <c r="B16" i="13" a="1"/>
  <c r="B15" i="13" a="1"/>
  <c r="B14" i="13" a="1"/>
  <c r="B13" i="13" a="1"/>
  <c r="B12" i="13" a="1"/>
  <c r="B11" i="13" a="1"/>
  <c r="B10" i="13" a="1"/>
  <c r="B9" i="13" a="1"/>
  <c r="B8" i="13" a="1"/>
  <c r="B7" i="13" a="1"/>
  <c r="B6" i="13" a="1"/>
  <c r="B5" i="13" a="1"/>
  <c r="B4" i="13" a="1"/>
  <c r="B3" i="13" a="1"/>
  <c r="F23" i="12"/>
  <c r="E23" i="12"/>
  <c r="D23" i="12"/>
  <c r="C23" i="12"/>
  <c r="B23" i="12"/>
  <c r="F22" i="12"/>
  <c r="E22" i="12"/>
  <c r="D22" i="12"/>
  <c r="C22" i="12"/>
  <c r="B22" i="12"/>
  <c r="F19" i="12"/>
  <c r="E19" i="12"/>
  <c r="D19" i="12"/>
  <c r="C19" i="12"/>
  <c r="B19" i="12"/>
  <c r="F18" i="12"/>
  <c r="E18" i="12"/>
  <c r="D18" i="12"/>
  <c r="C18" i="12"/>
  <c r="B18" i="12"/>
  <c r="B13" i="12"/>
  <c r="H6" i="12"/>
  <c r="G6" i="12"/>
  <c r="F6" i="12"/>
  <c r="E6" i="12"/>
  <c r="D6" i="12"/>
  <c r="C19" i="11" a="1"/>
  <c r="C30" i="10"/>
  <c r="G30" i="7"/>
  <c r="O58" i="6"/>
  <c r="U50" i="6"/>
  <c r="X50" i="6"/>
  <c r="X51" i="6"/>
  <c r="U52" i="6"/>
  <c r="X52" i="6"/>
  <c r="X53" i="6"/>
  <c r="O45" i="6"/>
  <c r="X38" i="6"/>
  <c r="X39" i="6"/>
  <c r="U40" i="6"/>
  <c r="X40" i="6"/>
  <c r="X41" i="6"/>
  <c r="O33" i="6"/>
  <c r="C20" i="6"/>
  <c r="C4" i="6"/>
  <c r="C25" i="6"/>
  <c r="B25" i="6"/>
  <c r="B24" i="6"/>
  <c r="B23" i="6"/>
  <c r="B22" i="6"/>
  <c r="T21" i="6"/>
  <c r="U21" i="6"/>
  <c r="O21" i="6"/>
  <c r="B21" i="6"/>
  <c r="B20" i="6"/>
  <c r="B19" i="6"/>
  <c r="B18" i="6"/>
  <c r="B17" i="6"/>
  <c r="B16" i="6"/>
  <c r="B15" i="6"/>
  <c r="B14" i="6"/>
  <c r="B13" i="6"/>
  <c r="B12" i="6"/>
  <c r="O11" i="6"/>
  <c r="B11" i="6"/>
  <c r="B10" i="6"/>
  <c r="B9" i="6"/>
  <c r="B8" i="6"/>
  <c r="B7" i="6"/>
  <c r="B6" i="6"/>
  <c r="B5" i="6"/>
  <c r="B4" i="6"/>
  <c r="O219" i="5"/>
  <c r="U191" i="5"/>
  <c r="O218" i="5"/>
  <c r="U190" i="5"/>
  <c r="O217" i="5"/>
  <c r="V206" i="5"/>
  <c r="V205" i="5"/>
  <c r="U189" i="5"/>
  <c r="O173" i="5"/>
  <c r="U147" i="5"/>
  <c r="O172" i="5"/>
  <c r="U146" i="5"/>
  <c r="O171" i="5"/>
  <c r="V162" i="5"/>
  <c r="V161" i="5"/>
  <c r="U145" i="5"/>
  <c r="U144" i="5"/>
  <c r="O128" i="5"/>
  <c r="U99" i="5"/>
  <c r="O127" i="5"/>
  <c r="U98" i="5"/>
  <c r="O126" i="5"/>
  <c r="V116" i="5"/>
  <c r="U101" i="5"/>
  <c r="V73" i="5"/>
  <c r="U57" i="5"/>
  <c r="U58" i="5"/>
  <c r="P36" i="5"/>
  <c r="U27" i="5"/>
  <c r="U11" i="5"/>
  <c r="U10" i="5"/>
  <c r="U9" i="5"/>
  <c r="I66" i="4"/>
  <c r="J66" i="4"/>
  <c r="I65" i="4"/>
  <c r="J65" i="4"/>
  <c r="I64" i="4"/>
  <c r="J64" i="4"/>
  <c r="H41" i="4"/>
  <c r="I41" i="4"/>
  <c r="J41" i="4"/>
  <c r="H40" i="4"/>
  <c r="I40" i="4"/>
  <c r="J40" i="4"/>
  <c r="H39" i="4"/>
  <c r="I39" i="4"/>
  <c r="J39" i="4"/>
  <c r="H16" i="4"/>
  <c r="M16" i="4"/>
  <c r="I16" i="4"/>
  <c r="J16" i="4"/>
  <c r="B15" i="4"/>
  <c r="D15" i="4"/>
  <c r="C15" i="4"/>
  <c r="E15" i="4"/>
  <c r="F15" i="4"/>
  <c r="H15" i="4"/>
  <c r="M15" i="4"/>
  <c r="I15" i="4"/>
  <c r="J15" i="4"/>
  <c r="B14" i="4"/>
  <c r="D14" i="4"/>
  <c r="C14" i="4"/>
  <c r="E14" i="4"/>
  <c r="F14" i="4"/>
  <c r="H14" i="4"/>
  <c r="M14" i="4"/>
  <c r="I14" i="4"/>
  <c r="J14" i="4"/>
  <c r="L27" i="3"/>
  <c r="K27" i="3"/>
  <c r="L26" i="3"/>
  <c r="K26" i="3"/>
  <c r="J26" i="3"/>
  <c r="L25" i="3"/>
  <c r="K25" i="3"/>
  <c r="J25" i="3"/>
  <c r="I25" i="3"/>
  <c r="H25" i="3"/>
  <c r="L23" i="3"/>
  <c r="K23" i="3"/>
  <c r="J23" i="3"/>
  <c r="F43" i="2"/>
  <c r="F44" i="2"/>
  <c r="E43" i="2"/>
  <c r="E44" i="2"/>
  <c r="D43" i="2"/>
  <c r="D44" i="2"/>
  <c r="C43" i="2"/>
  <c r="C44" i="2"/>
  <c r="B43" i="2"/>
  <c r="B44" i="2"/>
  <c r="F28" i="2"/>
  <c r="F29" i="2"/>
  <c r="E28" i="2"/>
  <c r="E29" i="2"/>
  <c r="D28" i="2"/>
  <c r="D29" i="2"/>
  <c r="C28" i="2"/>
  <c r="C29" i="2"/>
  <c r="B28" i="2"/>
  <c r="B29" i="2"/>
  <c r="F14" i="2"/>
  <c r="E14" i="2"/>
  <c r="D14" i="2"/>
  <c r="C14" i="2"/>
  <c r="B14" i="2"/>
  <c r="J13" i="2"/>
  <c r="K13" i="2"/>
  <c r="L13" i="2"/>
  <c r="M13" i="2"/>
  <c r="N13" i="2"/>
  <c r="M12" i="2"/>
  <c r="L12" i="2"/>
  <c r="K12" i="2"/>
  <c r="J12" i="2"/>
  <c r="I12" i="2"/>
  <c r="D31" i="15"/>
  <c r="E31" i="15"/>
  <c r="F31" i="15"/>
  <c r="G31" i="15"/>
  <c r="C31" i="15"/>
  <c r="H31" i="15"/>
  <c r="H22" i="15"/>
  <c r="H21" i="15"/>
  <c r="D16" i="15"/>
  <c r="E16" i="15"/>
  <c r="F16" i="15"/>
  <c r="G16" i="15"/>
  <c r="C16" i="15"/>
  <c r="H16" i="15"/>
  <c r="D32" i="15"/>
  <c r="E32" i="15"/>
  <c r="F32" i="15"/>
  <c r="G32" i="15"/>
  <c r="C32" i="15"/>
  <c r="H32" i="15"/>
  <c r="C35" i="15"/>
  <c r="D18" i="10"/>
  <c r="D27" i="10"/>
  <c r="D30" i="10"/>
  <c r="E18" i="10"/>
  <c r="E27" i="10"/>
  <c r="E30" i="10"/>
  <c r="F18" i="10"/>
  <c r="F27" i="10"/>
  <c r="F30" i="10"/>
  <c r="G18" i="10"/>
  <c r="G27" i="10"/>
  <c r="G30" i="10"/>
  <c r="H18" i="10"/>
  <c r="H27" i="10"/>
  <c r="H30" i="10"/>
  <c r="C19" i="11"/>
  <c r="B3" i="13"/>
  <c r="B4" i="13"/>
  <c r="B5" i="13"/>
  <c r="B6" i="13"/>
  <c r="B7" i="13"/>
  <c r="B8" i="13"/>
  <c r="B9" i="13"/>
  <c r="B10" i="13"/>
  <c r="B11" i="13"/>
  <c r="B12" i="13"/>
  <c r="B13" i="13"/>
  <c r="B14" i="13"/>
  <c r="B15" i="13"/>
  <c r="B16" i="13"/>
  <c r="B17" i="13"/>
  <c r="B18" i="13"/>
  <c r="B21" i="13"/>
  <c r="B22" i="13"/>
  <c r="B23" i="13"/>
  <c r="B24" i="13"/>
  <c r="B25" i="13"/>
  <c r="B26" i="13"/>
  <c r="B27" i="13"/>
  <c r="B28" i="13"/>
  <c r="B29" i="13"/>
  <c r="B30" i="13"/>
  <c r="B31" i="13"/>
  <c r="B32" i="13"/>
  <c r="B33" i="13"/>
  <c r="B34" i="13"/>
  <c r="B35" i="13"/>
  <c r="B36" i="13"/>
  <c r="B37" i="13"/>
  <c r="B38" i="13"/>
  <c r="B39" i="13"/>
  <c r="B40" i="13"/>
  <c r="B41" i="13"/>
  <c r="B42" i="13"/>
  <c r="B43" i="13"/>
  <c r="H5" i="15"/>
  <c r="C6" i="15"/>
  <c r="C8" i="15"/>
  <c r="D6" i="15"/>
  <c r="D8" i="15"/>
  <c r="E6" i="15"/>
  <c r="E8" i="15"/>
  <c r="F6" i="15"/>
  <c r="F8" i="15"/>
  <c r="G6" i="15"/>
  <c r="G8" i="15"/>
  <c r="H8" i="15"/>
  <c r="C24" i="15"/>
  <c r="D24" i="15"/>
  <c r="E24" i="15"/>
  <c r="F24" i="15"/>
  <c r="G24" i="15"/>
  <c r="H24" i="15"/>
  <c r="C34" i="15"/>
  <c r="D34" i="15"/>
  <c r="E34" i="15"/>
  <c r="F34" i="15"/>
  <c r="G34" i="15"/>
  <c r="H34" i="15"/>
  <c r="D35" i="15"/>
  <c r="E35" i="15"/>
  <c r="F35" i="15"/>
  <c r="G35" i="15"/>
  <c r="H35" i="15"/>
  <c r="C36" i="15"/>
  <c r="D36" i="15"/>
  <c r="E36" i="15"/>
  <c r="F36" i="15"/>
  <c r="G36" i="15"/>
  <c r="H36" i="15"/>
  <c r="D39" i="9"/>
  <c r="C10" i="15"/>
  <c r="E39" i="9"/>
  <c r="D10" i="15"/>
  <c r="F39" i="9"/>
  <c r="E10" i="15"/>
  <c r="G39" i="9"/>
  <c r="F10" i="15"/>
  <c r="H39" i="9"/>
  <c r="G10" i="15"/>
  <c r="H10" i="15"/>
  <c r="C26" i="15"/>
  <c r="D26" i="15"/>
  <c r="E26" i="15"/>
  <c r="F26" i="15"/>
  <c r="G26" i="15"/>
  <c r="H26" i="15"/>
  <c r="C27" i="15"/>
  <c r="D27" i="15"/>
  <c r="E27" i="15"/>
  <c r="F27" i="15"/>
  <c r="G27" i="15"/>
  <c r="H27" i="15"/>
  <c r="C28" i="15"/>
  <c r="D28" i="15"/>
  <c r="E28" i="15"/>
  <c r="F28" i="15"/>
  <c r="G28" i="15"/>
  <c r="H28" i="15"/>
  <c r="U14" i="5"/>
  <c r="U60" i="5"/>
  <c r="V72" i="5"/>
  <c r="U103" i="5"/>
  <c r="V115" i="5"/>
  <c r="E16" i="11"/>
  <c r="F16" i="11"/>
  <c r="G16" i="11"/>
  <c r="H16" i="11"/>
  <c r="I16" i="11"/>
  <c r="H6" i="15"/>
  <c r="H7" i="15"/>
  <c r="C12" i="15"/>
  <c r="D12" i="15"/>
  <c r="E12" i="15"/>
  <c r="F12" i="15"/>
  <c r="G12" i="15"/>
  <c r="H12" i="15"/>
  <c r="C13" i="15"/>
  <c r="D13" i="15"/>
  <c r="E13" i="15"/>
  <c r="F13" i="15"/>
  <c r="G13" i="15"/>
  <c r="H13" i="15"/>
  <c r="D33" i="9"/>
  <c r="C15" i="15"/>
  <c r="E33" i="9"/>
  <c r="D15" i="15"/>
  <c r="F33" i="9"/>
  <c r="E15" i="15"/>
  <c r="G33" i="9"/>
  <c r="F15" i="15"/>
  <c r="H33" i="9"/>
  <c r="G15" i="15"/>
  <c r="H15" i="15"/>
  <c r="C17" i="15"/>
  <c r="D17" i="15"/>
  <c r="E17" i="15"/>
  <c r="F17" i="15"/>
  <c r="G17" i="15"/>
  <c r="H17" i="15"/>
  <c r="D37" i="9"/>
  <c r="C18" i="15"/>
  <c r="E37" i="9"/>
  <c r="D18" i="15"/>
  <c r="F37" i="9"/>
  <c r="E18" i="15"/>
  <c r="G37" i="9"/>
  <c r="F18" i="15"/>
  <c r="H37" i="9"/>
  <c r="G18" i="15"/>
  <c r="H18" i="15"/>
  <c r="C33" i="15"/>
  <c r="D33" i="15"/>
  <c r="E33" i="15"/>
  <c r="F33" i="15"/>
  <c r="G33" i="15"/>
  <c r="H33" i="15"/>
  <c r="B20" i="13"/>
  <c r="B19" i="13"/>
  <c r="C22" i="11"/>
  <c r="H29" i="10"/>
  <c r="G29" i="10"/>
  <c r="F29" i="10"/>
  <c r="E29" i="10"/>
  <c r="D29" i="10"/>
  <c r="O27" i="10"/>
  <c r="N27" i="10"/>
  <c r="M27" i="10"/>
  <c r="L27" i="10"/>
  <c r="K27" i="10"/>
  <c r="O26" i="10"/>
  <c r="N26" i="10"/>
  <c r="M26" i="10"/>
  <c r="L26" i="10"/>
  <c r="K26" i="10"/>
  <c r="O25" i="10"/>
  <c r="N25" i="10"/>
  <c r="M25" i="10"/>
  <c r="L25" i="10"/>
  <c r="K25" i="10"/>
  <c r="O24" i="10"/>
  <c r="N24" i="10"/>
  <c r="M24" i="10"/>
  <c r="L24" i="10"/>
  <c r="K24" i="10"/>
  <c r="O23" i="10"/>
  <c r="N23" i="10"/>
  <c r="M23" i="10"/>
  <c r="L23" i="10"/>
  <c r="K23" i="10"/>
  <c r="O22" i="10"/>
  <c r="N22" i="10"/>
  <c r="M22" i="10"/>
  <c r="L22" i="10"/>
  <c r="K22" i="10"/>
  <c r="O21" i="10"/>
  <c r="N21" i="10"/>
  <c r="M21" i="10"/>
  <c r="L21" i="10"/>
  <c r="K21" i="10"/>
  <c r="O18" i="10"/>
  <c r="N18" i="10"/>
  <c r="M18" i="10"/>
  <c r="L18" i="10"/>
  <c r="K18" i="10"/>
  <c r="O17" i="10"/>
  <c r="N17" i="10"/>
  <c r="M17" i="10"/>
  <c r="L17" i="10"/>
  <c r="K17" i="10"/>
  <c r="O14" i="10"/>
  <c r="N14" i="10"/>
  <c r="M14" i="10"/>
  <c r="L14" i="10"/>
  <c r="O13" i="10"/>
  <c r="N13" i="10"/>
  <c r="M13" i="10"/>
  <c r="L13" i="10"/>
  <c r="K13" i="10"/>
  <c r="O12" i="10"/>
  <c r="N12" i="10"/>
  <c r="M12" i="10"/>
  <c r="L12" i="10"/>
  <c r="K12" i="10"/>
  <c r="O10" i="10"/>
  <c r="N10" i="10"/>
  <c r="M10" i="10"/>
  <c r="L10" i="10"/>
  <c r="K10" i="10"/>
  <c r="O9" i="10"/>
  <c r="N9" i="10"/>
  <c r="M9" i="10"/>
  <c r="L9" i="10"/>
  <c r="K9" i="10"/>
  <c r="O8" i="10"/>
  <c r="N8" i="10"/>
  <c r="M8" i="10"/>
  <c r="L8" i="10"/>
  <c r="K8" i="10"/>
  <c r="O7" i="10"/>
  <c r="N7" i="10"/>
  <c r="M7" i="10"/>
  <c r="L7" i="10"/>
  <c r="K7" i="10"/>
  <c r="O6" i="10"/>
  <c r="N6" i="10"/>
  <c r="M6" i="10"/>
  <c r="L6" i="10"/>
  <c r="K6" i="10"/>
  <c r="O5" i="10"/>
  <c r="N5" i="10"/>
  <c r="M5" i="10"/>
  <c r="L5" i="10"/>
  <c r="K5" i="10"/>
  <c r="O4" i="10"/>
  <c r="N4" i="10"/>
  <c r="M4" i="10"/>
  <c r="L4" i="10"/>
  <c r="K4" i="10"/>
  <c r="K14" i="10"/>
  <c r="K15" i="10"/>
  <c r="O15" i="10"/>
  <c r="N15" i="10"/>
  <c r="M15" i="10"/>
  <c r="L15" i="10"/>
  <c r="K16" i="10"/>
  <c r="O16" i="10"/>
  <c r="N16" i="10"/>
  <c r="M16" i="10"/>
  <c r="L16" i="10"/>
  <c r="H35" i="9"/>
  <c r="G35" i="9"/>
  <c r="F35" i="9"/>
  <c r="E35" i="9"/>
  <c r="D35" i="9"/>
</calcChain>
</file>

<file path=xl/sharedStrings.xml><?xml version="1.0" encoding="utf-8"?>
<sst xmlns="http://schemas.openxmlformats.org/spreadsheetml/2006/main" count="2923" uniqueCount="960">
  <si>
    <t>Index!A1</t>
  </si>
  <si>
    <t>Carebears 1</t>
  </si>
  <si>
    <t>Index</t>
  </si>
  <si>
    <t>Marketing</t>
  </si>
  <si>
    <t>Year 1</t>
  </si>
  <si>
    <t>Operations</t>
  </si>
  <si>
    <t>% Manu.Total Units</t>
  </si>
  <si>
    <t>Finance</t>
  </si>
  <si>
    <t>Statistics</t>
  </si>
  <si>
    <t>Manu. Selling Price</t>
  </si>
  <si>
    <t>Retailer Margin</t>
  </si>
  <si>
    <t>Retail Selling Price</t>
  </si>
  <si>
    <t>Assumptions</t>
  </si>
  <si>
    <t>BASES Model</t>
  </si>
  <si>
    <t>Units into Independent Retailers</t>
  </si>
  <si>
    <t>OM Assumptions</t>
  </si>
  <si>
    <t>FE Assumptions</t>
  </si>
  <si>
    <t>Year</t>
  </si>
  <si>
    <t>Break Even Analysis</t>
  </si>
  <si>
    <t>Avg. Weighted Manufacturer's Price to Channel</t>
  </si>
  <si>
    <t>Capacity</t>
  </si>
  <si>
    <t>Income Statement</t>
  </si>
  <si>
    <t>Sensitivity Analysis</t>
  </si>
  <si>
    <t>Purchase Intent and Price</t>
  </si>
  <si>
    <t>Aggregate Plan</t>
  </si>
  <si>
    <t>Balance Sheet</t>
  </si>
  <si>
    <t>IMC Schedule</t>
  </si>
  <si>
    <t>Inventory</t>
  </si>
  <si>
    <t>Cash Flow Statement</t>
  </si>
  <si>
    <t>ACV</t>
  </si>
  <si>
    <t>Logistics and Transportation</t>
  </si>
  <si>
    <t>Service Subscription Model</t>
  </si>
  <si>
    <t>Segmentation Tree</t>
  </si>
  <si>
    <t>Ratios</t>
  </si>
  <si>
    <t>Target Market Size</t>
  </si>
  <si>
    <t>Retailer Margins</t>
  </si>
  <si>
    <t>Independent Retailers</t>
  </si>
  <si>
    <t>Repeat Units:</t>
  </si>
  <si>
    <t>Units Online - Our Website and Amazon</t>
  </si>
  <si>
    <t xml:space="preserve">We assume that consumers who purchase our product will not </t>
  </si>
  <si>
    <t>Adjusted Purchase Intent @ $100</t>
  </si>
  <si>
    <t>Online</t>
  </si>
  <si>
    <t>Units into Chain Retailer</t>
  </si>
  <si>
    <t>Chain Retailers</t>
  </si>
  <si>
    <t>Units into Mass Merchants</t>
  </si>
  <si>
    <t xml:space="preserve">be purchasing our product again. Our product is made to be a </t>
  </si>
  <si>
    <t>Awareness</t>
  </si>
  <si>
    <t>Mass Merchants</t>
  </si>
  <si>
    <t>Average Weighted Manu's Selling Price to Channel</t>
  </si>
  <si>
    <t>Retailer Selling Price</t>
  </si>
  <si>
    <t>long lasting product as a one time purchase for each consumer</t>
  </si>
  <si>
    <t>Average Weighted Retail Selling Price</t>
  </si>
  <si>
    <t>Year2</t>
  </si>
  <si>
    <t>Units at Trial</t>
  </si>
  <si>
    <t>Trial Units</t>
  </si>
  <si>
    <t>BASES Summary</t>
  </si>
  <si>
    <t>Repeat Units</t>
  </si>
  <si>
    <t>Total Units Sold/ Year</t>
  </si>
  <si>
    <t>AVG % Growth</t>
  </si>
  <si>
    <t>Competition Adjustment</t>
  </si>
  <si>
    <t>Total Units Sold in 3 Segments</t>
  </si>
  <si>
    <t>Year 2</t>
  </si>
  <si>
    <t>Total Units</t>
  </si>
  <si>
    <t>Year 3</t>
  </si>
  <si>
    <t>Total Sales in 3 Segments</t>
  </si>
  <si>
    <t>Year 4</t>
  </si>
  <si>
    <t>Average WEIGHTED manufacturer's selling to price channel</t>
  </si>
  <si>
    <t>Year 5</t>
  </si>
  <si>
    <t>% Change</t>
  </si>
  <si>
    <t>Annual Units Sold</t>
  </si>
  <si>
    <t>Manufacturer Sales ($)</t>
  </si>
  <si>
    <t>Carebears 2</t>
  </si>
  <si>
    <t>Adjusted Purchase Intent at @100</t>
  </si>
  <si>
    <t>Online - Our Website</t>
  </si>
  <si>
    <t>Online - Amazon</t>
  </si>
  <si>
    <t>Chain Retailer</t>
  </si>
  <si>
    <t>-</t>
  </si>
  <si>
    <t>Mass Merchandiser(s)</t>
  </si>
  <si>
    <t>Lone Wolves</t>
  </si>
  <si>
    <t>Adjusted Purchase Intent at @ $100</t>
  </si>
  <si>
    <t>Count of Willing Price</t>
  </si>
  <si>
    <t>Purchase Likelihood</t>
  </si>
  <si>
    <t>Pasted Data</t>
  </si>
  <si>
    <t>Willing Price</t>
  </si>
  <si>
    <t>Definitely Buy</t>
  </si>
  <si>
    <t>Probably Buy</t>
  </si>
  <si>
    <t>Grand Total</t>
  </si>
  <si>
    <t>Def Buy</t>
  </si>
  <si>
    <t>Prob Buy</t>
  </si>
  <si>
    <t>$80-$94.99</t>
  </si>
  <si>
    <t>$95-$109.99</t>
  </si>
  <si>
    <t>$110-$125</t>
  </si>
  <si>
    <t>Total</t>
  </si>
  <si>
    <t>Carebears 1 Equation:</t>
  </si>
  <si>
    <t>-0.281 + 0.0203x + -1.41E-04x^2</t>
  </si>
  <si>
    <t>Sample</t>
  </si>
  <si>
    <t>Population</t>
  </si>
  <si>
    <t>Demand Curve</t>
  </si>
  <si>
    <t>Price</t>
  </si>
  <si>
    <t>Adjusted DB</t>
  </si>
  <si>
    <t>Adjusted PB</t>
  </si>
  <si>
    <t>DB * .8</t>
  </si>
  <si>
    <t>PB * .3</t>
  </si>
  <si>
    <t>Sum Across</t>
  </si>
  <si>
    <t>CSR</t>
  </si>
  <si>
    <t>Cumulative PI</t>
  </si>
  <si>
    <t>Quantity</t>
  </si>
  <si>
    <t>Revenue</t>
  </si>
  <si>
    <t>Cum Pl</t>
  </si>
  <si>
    <t>Donating</t>
  </si>
  <si>
    <t>Our Prices</t>
  </si>
  <si>
    <t>Cum PI</t>
  </si>
  <si>
    <t># of Responses</t>
  </si>
  <si>
    <t>% of All Responses</t>
  </si>
  <si>
    <t>CSR Increase</t>
  </si>
  <si>
    <t>Total Increase</t>
  </si>
  <si>
    <t>Significantly More Likely to Buy</t>
  </si>
  <si>
    <t>Slightly More Likely to Buy</t>
  </si>
  <si>
    <t>Purchase Intention Would Not Change</t>
  </si>
  <si>
    <t>Purchase Intent vs. Expected Price</t>
  </si>
  <si>
    <t>Carebears 2 Equation:</t>
  </si>
  <si>
    <t>0.498 + 8E-05x + -3.07E-05x^2</t>
  </si>
  <si>
    <t>Lone Wolves Equation:</t>
  </si>
  <si>
    <t>-0.972 + 0.0308x + -1.86E -04x^2</t>
  </si>
  <si>
    <t>Year 1 IMC Schedule</t>
  </si>
  <si>
    <t>JAN</t>
  </si>
  <si>
    <t>FEB</t>
  </si>
  <si>
    <t>MAR</t>
  </si>
  <si>
    <t>APR</t>
  </si>
  <si>
    <t>MAY</t>
  </si>
  <si>
    <t>JUN</t>
  </si>
  <si>
    <t>JUL</t>
  </si>
  <si>
    <t>AUG</t>
  </si>
  <si>
    <t>SEP</t>
  </si>
  <si>
    <t>OCT</t>
  </si>
  <si>
    <t>NOV</t>
  </si>
  <si>
    <t>DEC</t>
  </si>
  <si>
    <t>Total Cost</t>
  </si>
  <si>
    <t>CPM</t>
  </si>
  <si>
    <t>Target 1 Aware %</t>
  </si>
  <si>
    <t>Target 2 A %</t>
  </si>
  <si>
    <t>Target 3 A %</t>
  </si>
  <si>
    <t>PULL</t>
  </si>
  <si>
    <t>Billboards %</t>
  </si>
  <si>
    <t>Category Annual Sales</t>
  </si>
  <si>
    <t>N/A</t>
  </si>
  <si>
    <t>Size</t>
  </si>
  <si>
    <t>Transit Ads</t>
  </si>
  <si>
    <t xml:space="preserve">                 Sales Force</t>
  </si>
  <si>
    <t>Consumer Electronics</t>
  </si>
  <si>
    <t xml:space="preserve">Sales Revenue </t>
  </si>
  <si>
    <t>% of Industry</t>
  </si>
  <si>
    <t>Events %</t>
  </si>
  <si>
    <t>Boston, MA</t>
  </si>
  <si>
    <t># People</t>
  </si>
  <si>
    <t>New York, NY</t>
  </si>
  <si>
    <t>Calculations:</t>
  </si>
  <si>
    <t>Mass Merchandisers</t>
  </si>
  <si>
    <t xml:space="preserve">Bus Interior </t>
  </si>
  <si>
    <t>San Francisco, CA</t>
  </si>
  <si>
    <t>Creative Exp Calc</t>
  </si>
  <si>
    <t># of Cities</t>
  </si>
  <si>
    <t>Seattle, WA</t>
  </si>
  <si>
    <t>CEO</t>
  </si>
  <si>
    <t>Creative Expense</t>
  </si>
  <si>
    <t># of Locations in City</t>
  </si>
  <si>
    <t>Charlotte, NC</t>
  </si>
  <si>
    <t>Online Calculation</t>
  </si>
  <si>
    <t>Times per Year</t>
  </si>
  <si>
    <t>Atlanta, GA</t>
  </si>
  <si>
    <t>Online Costs</t>
  </si>
  <si>
    <t>Best Buy</t>
  </si>
  <si>
    <t>Cost of Ad</t>
  </si>
  <si>
    <t>Las Vegas, NV</t>
  </si>
  <si>
    <t>Events Cost Total</t>
  </si>
  <si>
    <t>Total Cost:</t>
  </si>
  <si>
    <t>CFO</t>
  </si>
  <si>
    <t>Jacksonville, FL</t>
  </si>
  <si>
    <t>Year Sales</t>
  </si>
  <si>
    <t>Denver, CO</t>
  </si>
  <si>
    <t>Net Income:</t>
  </si>
  <si>
    <t xml:space="preserve">Walmart Stores </t>
  </si>
  <si>
    <t>Billboards</t>
  </si>
  <si>
    <t>Phoenix, AZ</t>
  </si>
  <si>
    <t>Outdoor Billboards</t>
  </si>
  <si>
    <t>MK Manager</t>
  </si>
  <si>
    <t>Apple Stores</t>
  </si>
  <si>
    <t>COO</t>
  </si>
  <si>
    <t>Target</t>
  </si>
  <si>
    <t>Accountant</t>
  </si>
  <si>
    <t>Costco Wholesale</t>
  </si>
  <si>
    <t>Train Interior</t>
  </si>
  <si>
    <t xml:space="preserve">Customer Service </t>
  </si>
  <si>
    <t>Sam's Club</t>
  </si>
  <si>
    <t>Assumptions:</t>
  </si>
  <si>
    <t xml:space="preserve">One of our CSR Initiatives is 3% of Net Income is donated to the Alzheimer's </t>
  </si>
  <si>
    <t>Independent Retailers Reps Commission</t>
  </si>
  <si>
    <t>Association, since in Year 1 we are not profitable, nothing will be donated that yr.</t>
  </si>
  <si>
    <t>Independent</t>
  </si>
  <si>
    <t>Fairs/Events</t>
  </si>
  <si>
    <t>MK Expense % of Sales:</t>
  </si>
  <si>
    <t>California - Senior Information Fair</t>
  </si>
  <si>
    <t>Total Salaries</t>
  </si>
  <si>
    <t xml:space="preserve">Online: </t>
  </si>
  <si>
    <t>25% of Total Pull</t>
  </si>
  <si>
    <t>Fry's Electronics</t>
  </si>
  <si>
    <t>Texas - Senior Resource Fair</t>
  </si>
  <si>
    <t xml:space="preserve">Creative Expense: </t>
  </si>
  <si>
    <t>5% of Total Pull</t>
  </si>
  <si>
    <t>Massachusetts - Elder Fair</t>
  </si>
  <si>
    <t>Georgia - Alz Music Fest</t>
  </si>
  <si>
    <t>Tennessee - Senior Expo</t>
  </si>
  <si>
    <t>Newegg</t>
  </si>
  <si>
    <t>Georgia - Family Caregiver Expo</t>
  </si>
  <si>
    <t>Public Relations from Magazines</t>
  </si>
  <si>
    <t>P.C. Richardson &amp; Son</t>
  </si>
  <si>
    <t>Creative Expenses @ 5%</t>
  </si>
  <si>
    <t>Crutchfield</t>
  </si>
  <si>
    <t>ABC Warehouse</t>
  </si>
  <si>
    <t>TOTAL PULL</t>
  </si>
  <si>
    <t>Microelectronics</t>
  </si>
  <si>
    <t>BOSE</t>
  </si>
  <si>
    <t>Other</t>
  </si>
  <si>
    <t>Switch Point</t>
  </si>
  <si>
    <t>Chains</t>
  </si>
  <si>
    <t>PUSH</t>
  </si>
  <si>
    <t>Trade Shows</t>
  </si>
  <si>
    <t>Booth</t>
  </si>
  <si>
    <t>Medical Design Manufacturing West</t>
  </si>
  <si>
    <t>HIMSS Annual Conference and Exhibition</t>
  </si>
  <si>
    <t>Sales Salaries Budget:</t>
  </si>
  <si>
    <t>% of Sales to Salesman</t>
  </si>
  <si>
    <t>% of Sales to Manufactor Rep</t>
  </si>
  <si>
    <t>% Difference btw Salesman &amp; Rep</t>
  </si>
  <si>
    <t>Sales Switch Point</t>
  </si>
  <si>
    <t>Radioshack</t>
  </si>
  <si>
    <t>Trade Magazine Ads</t>
  </si>
  <si>
    <t>Trade Show Executive</t>
  </si>
  <si>
    <t>Exhibitor Online</t>
  </si>
  <si>
    <t>TOTAL PUSH</t>
  </si>
  <si>
    <t>GameStop</t>
  </si>
  <si>
    <t>TOTAL IMC SCHEDULE</t>
  </si>
  <si>
    <t>YEAR 1</t>
  </si>
  <si>
    <t>YEAR 2</t>
  </si>
  <si>
    <t>YEAR 3</t>
  </si>
  <si>
    <t xml:space="preserve">Year 4 </t>
  </si>
  <si>
    <t xml:space="preserve">Total </t>
  </si>
  <si>
    <t>Year 2 IMC Schedule</t>
  </si>
  <si>
    <t>Retail Distribution</t>
  </si>
  <si>
    <t>Target 1 A %</t>
  </si>
  <si>
    <t>Head of MK</t>
  </si>
  <si>
    <t>Calculatiions</t>
  </si>
  <si>
    <t>Retailer Type</t>
  </si>
  <si>
    <t># HQ</t>
  </si>
  <si>
    <t># visit a year for each HQ</t>
  </si>
  <si>
    <t>length of visit for each HQ</t>
  </si>
  <si>
    <t># store</t>
  </si>
  <si>
    <t># visits per store</t>
  </si>
  <si>
    <t>length of visit per store</t>
  </si>
  <si>
    <t>total hours for selling</t>
  </si>
  <si>
    <t>Chain Stores</t>
  </si>
  <si>
    <t xml:space="preserve">MK Research Department </t>
  </si>
  <si>
    <t>Chain Stores [Radioshack]</t>
  </si>
  <si>
    <t>Creative Exp Costs</t>
  </si>
  <si>
    <t>Total ACV</t>
  </si>
  <si>
    <t xml:space="preserve">MK Strategy </t>
  </si>
  <si>
    <t xml:space="preserve">Independent </t>
  </si>
  <si>
    <t>Total Sales Hours</t>
  </si>
  <si>
    <t>ACV ASSUMPTIONS:</t>
  </si>
  <si>
    <t xml:space="preserve">Accountant </t>
  </si>
  <si>
    <t>Association</t>
  </si>
  <si>
    <t>Total donations for year 2 would be:</t>
  </si>
  <si>
    <t>Online:</t>
  </si>
  <si>
    <t>ACV for the online channel is assumed to be 12% for all years</t>
  </si>
  <si>
    <t>Chain:</t>
  </si>
  <si>
    <t>ACV for the Chain channel is assumed that our product will be sold at Radioshack</t>
  </si>
  <si>
    <t>Own Salesperson</t>
  </si>
  <si>
    <t>Mass Merchandisers:</t>
  </si>
  <si>
    <t>ACV for Mass Merchandisers is assumed that in Year 4 our product will be sold</t>
  </si>
  <si>
    <t xml:space="preserve">in Walmart and that only 50% of the stores will sell our product. </t>
  </si>
  <si>
    <t>In Year 5 we assume that in addition to Walmart, our product will also be sold Target</t>
  </si>
  <si>
    <t xml:space="preserve">Independent: </t>
  </si>
  <si>
    <t>ACV for Independent stores is assumed that representatives will only reach 80% of</t>
  </si>
  <si>
    <t xml:space="preserve"> independent stores and of those reached, 30% will accept. </t>
  </si>
  <si>
    <t># visits for each store</t>
  </si>
  <si>
    <t>length of visit for each store</t>
  </si>
  <si>
    <t>Independent stores are not affected too much by channel conflict, so it is assumed</t>
  </si>
  <si>
    <t>that in year 4 when Mass Merchandisers are introducted, only 10% of independent</t>
  </si>
  <si>
    <t>stores will discontinue our product. In Year 5 15% will discontinue. In Year 6 20%</t>
  </si>
  <si>
    <t>Year 3 IMC Schedule</t>
  </si>
  <si>
    <t xml:space="preserve">will discontinue. </t>
  </si>
  <si>
    <t>Target 3% A</t>
  </si>
  <si>
    <t>Sales Force ASSUMPTIONS:</t>
  </si>
  <si>
    <t>Transit Billboards</t>
  </si>
  <si>
    <t>Years 1 &amp; 2</t>
  </si>
  <si>
    <t>Manufactoring Sales Representatives will be used to sell to our Independent</t>
  </si>
  <si>
    <t xml:space="preserve">Own Salesperson </t>
  </si>
  <si>
    <t>Magazine Calcs:</t>
  </si>
  <si>
    <t xml:space="preserve">Stores. They are paid 10% of Manufactoring Selling Price. </t>
  </si>
  <si>
    <t>Year 3-6</t>
  </si>
  <si>
    <t>We will not be using manufactoring sales reps for our independent store</t>
  </si>
  <si>
    <t>anymore, and will start using our own salespeople</t>
  </si>
  <si>
    <t>Salespeople are paid a salary of $75,000 + Commission (100,000) which is</t>
  </si>
  <si>
    <t>given in the marketing lecture 17.</t>
  </si>
  <si>
    <t>Phoniex, AZ</t>
  </si>
  <si>
    <t>length of visit for each HQ (hours)</t>
  </si>
  <si>
    <t>Salaries of positions before growth are based on the assumptions given in</t>
  </si>
  <si>
    <t>the OM workshop for employee compensation &amp; based on average national</t>
  </si>
  <si>
    <t xml:space="preserve">salaries of that position. </t>
  </si>
  <si>
    <t>Additional Info:</t>
  </si>
  <si>
    <t>One of our CSR Initiatives is 3% of Net Income is donated to the Alzheimer's Association</t>
  </si>
  <si>
    <t>Total donations for year 3 would be:</t>
  </si>
  <si>
    <t>MK Expense % of Sales</t>
  </si>
  <si>
    <t xml:space="preserve">Finance &amp; Tax </t>
  </si>
  <si>
    <t>http://www.seniortimesmagazine.com/specs</t>
  </si>
  <si>
    <t>Magazine Ads</t>
  </si>
  <si>
    <t>Today's Geriatric</t>
  </si>
  <si>
    <t>Psychology Today</t>
  </si>
  <si>
    <t>Life Extension</t>
  </si>
  <si>
    <t>Year 4 IMC Schedule</t>
  </si>
  <si>
    <t>Creative Expense Calc</t>
  </si>
  <si>
    <t>Creative Expense Cost</t>
  </si>
  <si>
    <t>Magazine CPM Calc:</t>
  </si>
  <si>
    <t>Total donations for year 4 would be:</t>
  </si>
  <si>
    <t>Total Market:</t>
  </si>
  <si>
    <t>Year 5 IMC Schedule</t>
  </si>
  <si>
    <t>Marketing Calculations</t>
  </si>
  <si>
    <t>Total donations for year 5 would be:</t>
  </si>
  <si>
    <t>Minnestoa - MAYO Clinic</t>
  </si>
  <si>
    <t>(In US Dollars)</t>
  </si>
  <si>
    <t>Start-up</t>
  </si>
  <si>
    <t>Initial Startup Costs</t>
  </si>
  <si>
    <t>Balance Sheet Items (Can be depreciated - includes IS equipment)</t>
  </si>
  <si>
    <t>Product Development (Prototype, engineer, etc.)</t>
  </si>
  <si>
    <t>Total Initial Investment in Fixed Assets</t>
  </si>
  <si>
    <t xml:space="preserve">  INITIAL WORKING CAPITAL</t>
  </si>
  <si>
    <t>Cash (Additional Cash required ABOVE start up costs.)</t>
  </si>
  <si>
    <t xml:space="preserve">  INITIAL OPERATING EXPENSES (TAX DEDUCTIBLE)</t>
  </si>
  <si>
    <t>Facilities Build Out</t>
  </si>
  <si>
    <t>Pre-Marketing Expenses (Marketing expenses before year 1)</t>
  </si>
  <si>
    <t>All Other (Non depreciated expenses, additional salaries, Rent etc)</t>
  </si>
  <si>
    <t>Total Initial Operating Expenses</t>
  </si>
  <si>
    <t>Operating Information (Year 1 - 5)</t>
  </si>
  <si>
    <t xml:space="preserve">  UNITS SOLD</t>
  </si>
  <si>
    <t>Subscription Revenue</t>
  </si>
  <si>
    <t xml:space="preserve">   Units into independent retailers</t>
  </si>
  <si>
    <t xml:space="preserve">   Units online</t>
  </si>
  <si>
    <t xml:space="preserve">   Units into chain retailer</t>
  </si>
  <si>
    <t>Variable Costs</t>
  </si>
  <si>
    <t xml:space="preserve">   Units into mass merchants</t>
  </si>
  <si>
    <t>Manufacturing Overhead</t>
  </si>
  <si>
    <t>Total Units Sold</t>
  </si>
  <si>
    <t>Subscription Costs</t>
  </si>
  <si>
    <t xml:space="preserve"> </t>
  </si>
  <si>
    <t>Time 0</t>
  </si>
  <si>
    <t>Total Cost of Goods Sold</t>
  </si>
  <si>
    <t>PERCENT OF SALES</t>
  </si>
  <si>
    <t>Gross Profit</t>
  </si>
  <si>
    <t xml:space="preserve">  MANUFACTURER SELLING PRICE</t>
  </si>
  <si>
    <t>Current Assets</t>
  </si>
  <si>
    <t xml:space="preserve">   To independent retailers</t>
  </si>
  <si>
    <t>Cash reserves</t>
  </si>
  <si>
    <t>One-time  Start Up Expenses</t>
  </si>
  <si>
    <t>Administrative Overhead</t>
  </si>
  <si>
    <t xml:space="preserve">   For online sales</t>
  </si>
  <si>
    <t>Marketing Expenses  Excluding Sales Force</t>
  </si>
  <si>
    <t>A/R Online</t>
  </si>
  <si>
    <t xml:space="preserve">   To chain retailer</t>
  </si>
  <si>
    <t>Sales Force Expense</t>
  </si>
  <si>
    <t xml:space="preserve">   To mass merchants</t>
  </si>
  <si>
    <t xml:space="preserve">Maufacturer's Sales Reps Commission Expense </t>
  </si>
  <si>
    <t xml:space="preserve"> Average WEIGHTED manufacturer's selling price to channel</t>
  </si>
  <si>
    <t>IS Expenses</t>
  </si>
  <si>
    <t xml:space="preserve"> Depreciation on original PP&amp;E</t>
  </si>
  <si>
    <t xml:space="preserve">  SUBSCRIPTION MODEL PRICING</t>
  </si>
  <si>
    <t xml:space="preserve">   Subscription Revenue</t>
  </si>
  <si>
    <t>A/R Other</t>
  </si>
  <si>
    <t xml:space="preserve"> Depreciation on new PP&amp;E</t>
  </si>
  <si>
    <t xml:space="preserve">   Subscription Costs</t>
  </si>
  <si>
    <t xml:space="preserve"> Amortization on Intangible Assets</t>
  </si>
  <si>
    <t>Accounts Receivable</t>
  </si>
  <si>
    <t>Earnings Before Tax</t>
  </si>
  <si>
    <t>Taxes</t>
  </si>
  <si>
    <t xml:space="preserve">  COST OF GOODS SOLD</t>
  </si>
  <si>
    <t xml:space="preserve">        Variable Cost per unit</t>
  </si>
  <si>
    <t>Raw Materials and WIP</t>
  </si>
  <si>
    <t>Net income before CSR</t>
  </si>
  <si>
    <t>Total Variable Costs</t>
  </si>
  <si>
    <t xml:space="preserve">        Total Manufacturing Overhead</t>
  </si>
  <si>
    <t>CSR Initiative</t>
  </si>
  <si>
    <t>Finished Goods Inventory</t>
  </si>
  <si>
    <t>NI % of Revenue</t>
  </si>
  <si>
    <t xml:space="preserve">  SELLING &amp; GENERAL ADMINISTRATIVE EXPENSES</t>
  </si>
  <si>
    <t>Net Income</t>
  </si>
  <si>
    <t>Total Current Assets</t>
  </si>
  <si>
    <t xml:space="preserve">       Fixed Administrative Costs </t>
  </si>
  <si>
    <t xml:space="preserve">       Marketing Expenses (Push and Pull)</t>
  </si>
  <si>
    <t>Fixed Assets</t>
  </si>
  <si>
    <t xml:space="preserve">     Sales Force Expense </t>
  </si>
  <si>
    <t>Gross Fixed Assets</t>
  </si>
  <si>
    <t>Statement of Retained Earnings</t>
  </si>
  <si>
    <t xml:space="preserve">     Maufacturer's Sales Reps Commission Expense</t>
  </si>
  <si>
    <t xml:space="preserve"> Accumulated Depreciation On Original PPE</t>
  </si>
  <si>
    <t xml:space="preserve">Net Income </t>
  </si>
  <si>
    <t>minus cash returned to investors (dividends)</t>
  </si>
  <si>
    <t xml:space="preserve">Total SG&amp;A Expenses </t>
  </si>
  <si>
    <t xml:space="preserve"> Accumulated Depreciation On New PPE</t>
  </si>
  <si>
    <t>Balance Sheet Information (Year 1-5)</t>
  </si>
  <si>
    <t>Retained Earnings</t>
  </si>
  <si>
    <t>Average from Competitors</t>
  </si>
  <si>
    <t>increase (decrease) in Retained Earnings</t>
  </si>
  <si>
    <t>Intangible Assets Software IP</t>
  </si>
  <si>
    <t>Income Statement Financial Ratios</t>
  </si>
  <si>
    <t>COGS % Sales</t>
  </si>
  <si>
    <t xml:space="preserve"> Accumulated Amortization</t>
  </si>
  <si>
    <t>Accounts Receivable (% of Total Revenue)</t>
  </si>
  <si>
    <t>Gross Margin % Sales</t>
  </si>
  <si>
    <t>Net Income % Sales</t>
  </si>
  <si>
    <t>Accounts Payable (% of COGS)</t>
  </si>
  <si>
    <t>SG&amp;A % Sales (including depreciation and amortization)</t>
  </si>
  <si>
    <t>Net Fixed Assets</t>
  </si>
  <si>
    <t>Raw Materials &amp; Work in Process (include time 0)</t>
  </si>
  <si>
    <t>Marketing Expenses % Sales</t>
  </si>
  <si>
    <t>Finished Goods (include time 0)</t>
  </si>
  <si>
    <t>TOTAL ASSETS</t>
  </si>
  <si>
    <t>ROE</t>
  </si>
  <si>
    <t>Additional Investment in Fixed Assets</t>
  </si>
  <si>
    <t>Current Liabilities</t>
  </si>
  <si>
    <t>ROA</t>
  </si>
  <si>
    <t>Accounts Payable</t>
  </si>
  <si>
    <t>Return on Sales</t>
  </si>
  <si>
    <t xml:space="preserve">  OTHER ASSUMPTIONS</t>
  </si>
  <si>
    <t xml:space="preserve">Discount Rate </t>
  </si>
  <si>
    <t>Commission Paid to Manufacturers Reps</t>
  </si>
  <si>
    <t>Tax Rate</t>
  </si>
  <si>
    <t>Equity</t>
  </si>
  <si>
    <t xml:space="preserve">Cash % Sales </t>
  </si>
  <si>
    <t>Depreciation Useful</t>
  </si>
  <si>
    <t>Years</t>
  </si>
  <si>
    <t>Amortization Useful Life</t>
  </si>
  <si>
    <t>CSR % of N/I</t>
  </si>
  <si>
    <t>Paid in Capital (Cumulative)</t>
  </si>
  <si>
    <t>A/R Days for Online</t>
  </si>
  <si>
    <t>Days</t>
  </si>
  <si>
    <t>Online % Of Sales</t>
  </si>
  <si>
    <t>Number of Days in a Year</t>
  </si>
  <si>
    <t>Source: Capital IQ</t>
  </si>
  <si>
    <t>Retained Earnings (cumulative)</t>
  </si>
  <si>
    <t>Total Equity</t>
  </si>
  <si>
    <t>SG&amp;A expense</t>
  </si>
  <si>
    <t>TOTAL LIABILTIES AND EQUITY</t>
  </si>
  <si>
    <t>Inventory Turnover</t>
  </si>
  <si>
    <t>Total Assets - Total Liabilities &amp; Equity</t>
  </si>
  <si>
    <t>Net Working Capital Balance</t>
  </si>
  <si>
    <t>Change in NWC</t>
  </si>
  <si>
    <t>Balance Sheet Financial Ratios</t>
  </si>
  <si>
    <t>Accounts Payable Days (% of COGS)</t>
  </si>
  <si>
    <t>Year 0</t>
  </si>
  <si>
    <t>Initial Investment in Fixed Assets</t>
  </si>
  <si>
    <t xml:space="preserve"> + Depreciation</t>
  </si>
  <si>
    <t xml:space="preserve"> + Amortization</t>
  </si>
  <si>
    <t>less Change in Net Working Capital</t>
  </si>
  <si>
    <t>less Capital Investment</t>
  </si>
  <si>
    <t>Net Free Cash Flow*</t>
  </si>
  <si>
    <t>Terminal Value of Business *</t>
  </si>
  <si>
    <t>Perpetuity</t>
  </si>
  <si>
    <t>Liquidation</t>
  </si>
  <si>
    <t xml:space="preserve">Total Cash Flow </t>
  </si>
  <si>
    <t>Net Present Value: Including TV</t>
  </si>
  <si>
    <t>Weighted Avg. TV</t>
  </si>
  <si>
    <t>Discount Rate</t>
  </si>
  <si>
    <t>Internal Rate of Return: including TV</t>
  </si>
  <si>
    <t>BETA 5Y</t>
  </si>
  <si>
    <t>Weight</t>
  </si>
  <si>
    <t>FitBit</t>
  </si>
  <si>
    <t xml:space="preserve">  </t>
  </si>
  <si>
    <t>Garmin</t>
  </si>
  <si>
    <t>Weighted Average</t>
  </si>
  <si>
    <t>Treasury Rate (3 years)</t>
  </si>
  <si>
    <t>Source: US Dept of Treasury</t>
  </si>
  <si>
    <t>Equity Premium</t>
  </si>
  <si>
    <t>Source: Morningstar</t>
  </si>
  <si>
    <t>Standard</t>
  </si>
  <si>
    <t>Small Cap Premium</t>
  </si>
  <si>
    <t>CAPM</t>
  </si>
  <si>
    <t>NPV</t>
  </si>
  <si>
    <t>Subscription Service</t>
  </si>
  <si>
    <t>Total Users Purchased RemBand</t>
  </si>
  <si>
    <t>% Users Purchase Subscription</t>
  </si>
  <si>
    <t>will have to grow / decline yearly</t>
  </si>
  <si>
    <t>Total Users Purchasing Subscription</t>
  </si>
  <si>
    <t>Average Yearly Retention Rate</t>
  </si>
  <si>
    <t>Average Yearly Retention</t>
  </si>
  <si>
    <t>Price of Subscription per year</t>
  </si>
  <si>
    <t>probably $15-20 / month rate</t>
  </si>
  <si>
    <t>Price / Month</t>
  </si>
  <si>
    <t>Revenue Per Subscription</t>
  </si>
  <si>
    <t>SIM Card Cost (per month)</t>
  </si>
  <si>
    <t>Yr 1</t>
  </si>
  <si>
    <t>Yr 2</t>
  </si>
  <si>
    <t>Yr 3</t>
  </si>
  <si>
    <t>Yr 4</t>
  </si>
  <si>
    <t>Yr 5</t>
  </si>
  <si>
    <t>Costs of Operating</t>
  </si>
  <si>
    <t xml:space="preserve">SIM Card Provider </t>
  </si>
  <si>
    <t>vCPU</t>
  </si>
  <si>
    <t>ECU</t>
  </si>
  <si>
    <t>Memory (GiB)</t>
  </si>
  <si>
    <t>Instance Storage (GB)</t>
  </si>
  <si>
    <t>Linux/UNIX Usage</t>
  </si>
  <si>
    <t>Cost  per Hour</t>
  </si>
  <si>
    <t># Hours a Year</t>
  </si>
  <si>
    <t>Servers</t>
  </si>
  <si>
    <t>Specs</t>
  </si>
  <si>
    <t>c4.large</t>
  </si>
  <si>
    <t>EBS Only</t>
  </si>
  <si>
    <t>Cost Per Subscription</t>
  </si>
  <si>
    <t>X = Discount Rate</t>
  </si>
  <si>
    <t>Scaling Costs (Multiplier)</t>
  </si>
  <si>
    <t>Rev</t>
  </si>
  <si>
    <t>Costs</t>
  </si>
  <si>
    <t>SIM Costs</t>
  </si>
  <si>
    <t>PPE</t>
  </si>
  <si>
    <t xml:space="preserve">Start Up </t>
  </si>
  <si>
    <t>Start Up Assets</t>
  </si>
  <si>
    <t>Dep</t>
  </si>
  <si>
    <t>Dep Cumu</t>
  </si>
  <si>
    <t>New PPE</t>
  </si>
  <si>
    <t>New PPE Dep</t>
  </si>
  <si>
    <t>New Dep Cumu</t>
  </si>
  <si>
    <t>Gross PPE</t>
  </si>
  <si>
    <t>Gross Dep</t>
  </si>
  <si>
    <t>Gross Dep Cumu</t>
  </si>
  <si>
    <t>Year 0 Purchases</t>
  </si>
  <si>
    <t>Year 3 Purchases</t>
  </si>
  <si>
    <t># of items</t>
  </si>
  <si>
    <t>price</t>
  </si>
  <si>
    <t>Total PPE Costs</t>
  </si>
  <si>
    <t>Total Additional PPE</t>
  </si>
  <si>
    <t>Intangible Assets</t>
  </si>
  <si>
    <t>Amortization</t>
  </si>
  <si>
    <t>Amortization Cumu</t>
  </si>
  <si>
    <t>RemBand Key Ratios</t>
  </si>
  <si>
    <t>Avg</t>
  </si>
  <si>
    <t>EV</t>
  </si>
  <si>
    <t>EBIT</t>
  </si>
  <si>
    <t>EBITDA</t>
  </si>
  <si>
    <t>EV/EBIT</t>
  </si>
  <si>
    <t>EV/EBITDA</t>
  </si>
  <si>
    <t>ROE*</t>
  </si>
  <si>
    <t>General OM Assumptions</t>
  </si>
  <si>
    <t>Number of hours available per week</t>
  </si>
  <si>
    <t>Number of weeks available per month</t>
  </si>
  <si>
    <t>Total hours in a year</t>
  </si>
  <si>
    <t>Number of seconds per minute</t>
  </si>
  <si>
    <t>Number of minutes per hour</t>
  </si>
  <si>
    <t>Total seconds in a year</t>
  </si>
  <si>
    <t>Projected annual inflation rates</t>
  </si>
  <si>
    <t>Projected annual inflation rate from years 1 to 5</t>
  </si>
  <si>
    <t>SG&amp;A % Sales</t>
  </si>
  <si>
    <t>% of  sales reqire phone/web support</t>
  </si>
  <si>
    <t>The average customer waiting time must be below 5 minutes (Wq)</t>
  </si>
  <si>
    <t>Service calls shoud average 3 minutes</t>
  </si>
  <si>
    <t>Receiving and processing an order requires 1.5 minutes</t>
  </si>
  <si>
    <t>Table 18.4 from Exam 1 Formula Sheet was referenced to calculate M</t>
  </si>
  <si>
    <t>Marketing Expense % Sales</t>
  </si>
  <si>
    <t>Inventory Carrying cost</t>
  </si>
  <si>
    <t>Order cost</t>
  </si>
  <si>
    <t>Weeks in a year</t>
  </si>
  <si>
    <t>A/R Days</t>
  </si>
  <si>
    <t>COGS</t>
  </si>
  <si>
    <t>Regular hourly wage for DL staffs</t>
  </si>
  <si>
    <t>Overtime hourly wage for DL staffs</t>
  </si>
  <si>
    <t>Average utility in Arizona</t>
  </si>
  <si>
    <t>Rate to scale down average utility to account for being a small business</t>
  </si>
  <si>
    <t>A/P Days</t>
  </si>
  <si>
    <t>Monthly utility cost</t>
  </si>
  <si>
    <t>Annual utility cost</t>
  </si>
  <si>
    <t>Utility per unit produced</t>
  </si>
  <si>
    <t>First year annual lease cost</t>
  </si>
  <si>
    <t>Salary per factory supervisor</t>
  </si>
  <si>
    <t>Transportation and Logistics</t>
  </si>
  <si>
    <t xml:space="preserve">Full container shipped by boat </t>
  </si>
  <si>
    <t>Full truckload (43 ft) from NC to Phoenix</t>
  </si>
  <si>
    <t>We will be taking up 1% of truck capacity (NC-Texas-Arizona)</t>
  </si>
  <si>
    <t>Inventory Days</t>
  </si>
  <si>
    <t>IT Costs</t>
  </si>
  <si>
    <t>Maintenance rate</t>
  </si>
  <si>
    <t>Software costs</t>
  </si>
  <si>
    <t>Every Employee will need Laptop for Coding Requirements</t>
  </si>
  <si>
    <t>Quick Ratio</t>
  </si>
  <si>
    <t>Current Ratio</t>
  </si>
  <si>
    <t>Net Current Assets % TA</t>
  </si>
  <si>
    <t>Total Asset Turnover (No Subscription Revenue)</t>
  </si>
  <si>
    <t>Total Asset Turnover (Includes Subscription Revenue)</t>
  </si>
  <si>
    <t>Receivables Turnover</t>
  </si>
  <si>
    <t>Inventory Turnover (No Subscription Costs)</t>
  </si>
  <si>
    <t>Inventory Turnover (Includes Subscription Costs)</t>
  </si>
  <si>
    <t>Accounts Payable Turnover</t>
  </si>
  <si>
    <t>Property Plant &amp; Equip Turnover (No Subscription Model)</t>
  </si>
  <si>
    <t>Cash &amp; Equivalents Turnover (No Subscription Model)</t>
  </si>
  <si>
    <t>Cash Flow % Of Sales (No Subscription Model)</t>
  </si>
  <si>
    <t>Cash Flow % Of Sales (Includes Subscription Model)</t>
  </si>
  <si>
    <t>Risk Free</t>
  </si>
  <si>
    <t>Beta</t>
  </si>
  <si>
    <t>Market Risk Premium</t>
  </si>
  <si>
    <t>Additional small cap premium</t>
  </si>
  <si>
    <t>CAPM projection of cost of equity</t>
  </si>
  <si>
    <t>Total number of machines needed</t>
  </si>
  <si>
    <t>Fulfillment staffs</t>
  </si>
  <si>
    <t># of Silicone Injection machine</t>
  </si>
  <si>
    <t>Price of Silicone injection machine</t>
  </si>
  <si>
    <t>Estimated Annual Demand</t>
  </si>
  <si>
    <t>Cost incurred each year</t>
  </si>
  <si>
    <t>Required Cycle Time (sec)</t>
  </si>
  <si>
    <t>Call Center Staffing Plan</t>
  </si>
  <si>
    <t xml:space="preserve"> Task</t>
  </si>
  <si>
    <t>Unit Task Time</t>
  </si>
  <si>
    <t>Number of Workers</t>
  </si>
  <si>
    <t>Average Task Time</t>
  </si>
  <si>
    <t>Capacity Utilization</t>
  </si>
  <si>
    <t>Transmit Order to Employee</t>
  </si>
  <si>
    <t>Demand</t>
  </si>
  <si>
    <t>Total Asset Turnover</t>
  </si>
  <si>
    <t>Pick Order</t>
  </si>
  <si>
    <t>Number of Calls</t>
  </si>
  <si>
    <t>Pack &amp; Label for Shipment</t>
  </si>
  <si>
    <t>Calls Per Hour(λ)</t>
  </si>
  <si>
    <t>Move Packages to shipping area</t>
  </si>
  <si>
    <t>Property Plant &amp; Equip Turnover</t>
  </si>
  <si>
    <t>Service Time-Calls Per Hour(μ)</t>
  </si>
  <si>
    <t>Cash &amp; Equivalents Turnover</t>
  </si>
  <si>
    <t>Cycle Time (sec)</t>
  </si>
  <si>
    <t>λ/μ</t>
  </si>
  <si>
    <t>Garmin Key Ratios</t>
  </si>
  <si>
    <t>Total Number of Workers</t>
  </si>
  <si>
    <t>Lq</t>
  </si>
  <si>
    <t>Number of Servers Needed</t>
  </si>
  <si>
    <t>Task Times</t>
  </si>
  <si>
    <t>Quality Check on Raw Material</t>
  </si>
  <si>
    <t>Shape Silicone Band</t>
  </si>
  <si>
    <t>Quality Check on Band</t>
  </si>
  <si>
    <t>Put in MEMS Audio Sensor</t>
  </si>
  <si>
    <t>Put in 32-bit Flash Microcontroller</t>
  </si>
  <si>
    <t>Put Battery in Silicone Band</t>
  </si>
  <si>
    <t>Check Connection Quality</t>
  </si>
  <si>
    <t>Cash % Of Sales</t>
  </si>
  <si>
    <t>Upload Code</t>
  </si>
  <si>
    <t>Check Tech Quality</t>
  </si>
  <si>
    <t>Label Band ID</t>
  </si>
  <si>
    <t>Package Band</t>
  </si>
  <si>
    <t>Final Quality</t>
  </si>
  <si>
    <t>Cycle Time</t>
  </si>
  <si>
    <t>Average Capacity Utilization</t>
  </si>
  <si>
    <t>Annual Capacity</t>
  </si>
  <si>
    <t>Monthly Capacity</t>
  </si>
  <si>
    <t>Task</t>
  </si>
  <si>
    <t>Monthly demands for each year</t>
  </si>
  <si>
    <t>Months</t>
  </si>
  <si>
    <t>Annual Demand</t>
  </si>
  <si>
    <t>Are we expecting a sales spike in this months?</t>
  </si>
  <si>
    <t># of months with sales spike</t>
  </si>
  <si>
    <t>Monthly demand before adjustment</t>
  </si>
  <si>
    <t>Sales Spike Percentage</t>
  </si>
  <si>
    <t>Adjustment for rounding errors</t>
  </si>
  <si>
    <t>Monthly Demand for non sales spike months</t>
  </si>
  <si>
    <t>Adjusted monthly demand</t>
  </si>
  <si>
    <t>Monthly Demand for sales spike months</t>
  </si>
  <si>
    <t>Period</t>
  </si>
  <si>
    <t>Number of DL staffs</t>
  </si>
  <si>
    <t>Forecast</t>
  </si>
  <si>
    <t>Inventory Investment Summary</t>
  </si>
  <si>
    <t>Output</t>
  </si>
  <si>
    <t xml:space="preserve">    Regular</t>
  </si>
  <si>
    <t>Raw Material Investment</t>
  </si>
  <si>
    <t>Work in process Investment</t>
  </si>
  <si>
    <t>Finished goods investment</t>
  </si>
  <si>
    <t xml:space="preserve">    Overtime</t>
  </si>
  <si>
    <t>Total Inventory Investment</t>
  </si>
  <si>
    <t xml:space="preserve">    Part Time</t>
  </si>
  <si>
    <t>Bill of Material</t>
  </si>
  <si>
    <t>Material</t>
  </si>
  <si>
    <t xml:space="preserve">    Subcontract</t>
  </si>
  <si>
    <t>Supplier</t>
  </si>
  <si>
    <t>Lat</t>
  </si>
  <si>
    <t>Long</t>
  </si>
  <si>
    <t>Price per unit</t>
  </si>
  <si>
    <t>Quantity Needed per FG</t>
  </si>
  <si>
    <t>Cost per unit of FG</t>
  </si>
  <si>
    <t>Product</t>
  </si>
  <si>
    <t>Output - Forecast</t>
  </si>
  <si>
    <t xml:space="preserve">    Beginning</t>
  </si>
  <si>
    <t xml:space="preserve">    Ending</t>
  </si>
  <si>
    <t xml:space="preserve">    Average</t>
  </si>
  <si>
    <t>Backorders</t>
  </si>
  <si>
    <t>Costs:</t>
  </si>
  <si>
    <t>Regular @</t>
  </si>
  <si>
    <t>Silicone Rubber</t>
  </si>
  <si>
    <t>36.162124</t>
  </si>
  <si>
    <t>-79.723209</t>
  </si>
  <si>
    <t>Emergency Button</t>
  </si>
  <si>
    <t>Overtime @</t>
  </si>
  <si>
    <t>Part Time @</t>
  </si>
  <si>
    <t>33.946363</t>
  </si>
  <si>
    <t>-118.401085</t>
  </si>
  <si>
    <t>Subcontract @</t>
  </si>
  <si>
    <t>Inventory @</t>
  </si>
  <si>
    <t>LED Lights</t>
  </si>
  <si>
    <t>Backorders @</t>
  </si>
  <si>
    <t>Hire/Lay off</t>
  </si>
  <si>
    <t>Microphone &amp; Speaker</t>
  </si>
  <si>
    <t>32.983423</t>
  </si>
  <si>
    <t>-97.014215</t>
  </si>
  <si>
    <t>Haptic Vibrator</t>
  </si>
  <si>
    <t>Arm 32bit Microcontroller</t>
  </si>
  <si>
    <t>GPS &amp; LTE Module</t>
  </si>
  <si>
    <t>Heart Rate Monitor</t>
  </si>
  <si>
    <t>Battery</t>
  </si>
  <si>
    <t>Microscrews</t>
  </si>
  <si>
    <t>Soldering Lead</t>
  </si>
  <si>
    <t>Packaging</t>
  </si>
  <si>
    <t>Packing Box</t>
  </si>
  <si>
    <t>User's Manual</t>
  </si>
  <si>
    <t>*prices of each material is assumed to grow with projected inflation rate</t>
  </si>
  <si>
    <t>Inventory Parameters</t>
  </si>
  <si>
    <t>Holding cost rate</t>
  </si>
  <si>
    <t>Service Level</t>
  </si>
  <si>
    <t>Slightly differs from year to year: please see below for exact service levels.</t>
  </si>
  <si>
    <t>*For each year, EOQ of GPS &amp; LTE module is multiplied by 2. This is to increase the EOQ which effectively decreases the frequency of the orders for that material. Since these modules are sufficiently small, we believe that we could fit 2 orders worth into a one order container</t>
  </si>
  <si>
    <t>Inventory Quantity</t>
  </si>
  <si>
    <t>Calculating product demand</t>
  </si>
  <si>
    <t>Calculating service level</t>
  </si>
  <si>
    <t>Calculating Finished Goods Unit</t>
  </si>
  <si>
    <t>Estimating Inventory Investment</t>
  </si>
  <si>
    <t>Most likely demand (annual)</t>
  </si>
  <si>
    <t>COGS per unit</t>
  </si>
  <si>
    <t>Finished goods cycle stock</t>
  </si>
  <si>
    <t>Best case demand (annual)</t>
  </si>
  <si>
    <t>Revenue per unit</t>
  </si>
  <si>
    <t>Finished goods safety stock</t>
  </si>
  <si>
    <t>Worst case demand (annual)</t>
  </si>
  <si>
    <t>Cost of excess</t>
  </si>
  <si>
    <t>Finished goods pre-built stock</t>
  </si>
  <si>
    <t>Mean demand (annual)</t>
  </si>
  <si>
    <t>Cost of shortage</t>
  </si>
  <si>
    <t>Total finished goods unit</t>
  </si>
  <si>
    <t>Standard deviation (annual)</t>
  </si>
  <si>
    <t>Mean demand (weekly)</t>
  </si>
  <si>
    <t>Z-level</t>
  </si>
  <si>
    <t>Calculating work in process unit</t>
  </si>
  <si>
    <t>Standard deviation (weekly)</t>
  </si>
  <si>
    <t>Work in process units</t>
  </si>
  <si>
    <t>Calculating raw material units</t>
  </si>
  <si>
    <t>LT (days)</t>
  </si>
  <si>
    <t>LT (weeks)</t>
  </si>
  <si>
    <t>Transit Time (days)</t>
  </si>
  <si>
    <t>Transit Time (weeks)</t>
  </si>
  <si>
    <t>Price per Unit</t>
  </si>
  <si>
    <t>Quantity Needed</t>
  </si>
  <si>
    <t xml:space="preserve">Cost per unit </t>
  </si>
  <si>
    <t>Std Dev (weekly)</t>
  </si>
  <si>
    <t>Best case LT</t>
  </si>
  <si>
    <t>Worst case LT</t>
  </si>
  <si>
    <t>Mean LT</t>
  </si>
  <si>
    <t>Std Dev of LT</t>
  </si>
  <si>
    <t>EOQ</t>
  </si>
  <si>
    <t>EOQ in terms of FG</t>
  </si>
  <si>
    <t>Cycle Stock</t>
  </si>
  <si>
    <t>Safety Stock</t>
  </si>
  <si>
    <t>In-Transit Stock</t>
  </si>
  <si>
    <t>Total Raw Material Units</t>
  </si>
  <si>
    <t>Number of orders</t>
  </si>
  <si>
    <t>EOQ in FG</t>
  </si>
  <si>
    <t>Raw Materials Shipment</t>
  </si>
  <si>
    <t>Raw materials</t>
  </si>
  <si>
    <t>Suppliers</t>
  </si>
  <si>
    <t>Origin location</t>
  </si>
  <si>
    <t xml:space="preserve">Destination </t>
  </si>
  <si>
    <t>Shipper</t>
  </si>
  <si>
    <t>IT Expenses (Indirect Labor)</t>
  </si>
  <si>
    <t>Shenzhen (China)</t>
  </si>
  <si>
    <t>Port of Los Angeles, CA</t>
  </si>
  <si>
    <t>Alibaba Logistics</t>
  </si>
  <si>
    <t>Per month</t>
  </si>
  <si>
    <t>Durham, NC</t>
  </si>
  <si>
    <t>Fixed</t>
  </si>
  <si>
    <t>Per Year</t>
  </si>
  <si>
    <t>per user</t>
  </si>
  <si>
    <t>Main. Fee</t>
  </si>
  <si>
    <t>Employees</t>
  </si>
  <si>
    <t>SOFTWARE</t>
  </si>
  <si>
    <t xml:space="preserve">Coppell, TX </t>
  </si>
  <si>
    <t>Assembly Line Workers</t>
  </si>
  <si>
    <t xml:space="preserve">    ERP Software</t>
  </si>
  <si>
    <t>Managers</t>
  </si>
  <si>
    <t>Ningbo (China)</t>
  </si>
  <si>
    <t xml:space="preserve">    Personal Productivity Software (Office) + Backup Software</t>
  </si>
  <si>
    <t>IT Support</t>
  </si>
  <si>
    <t xml:space="preserve">    Security Software</t>
  </si>
  <si>
    <t>Number of orders per year</t>
  </si>
  <si>
    <t>Executives</t>
  </si>
  <si>
    <t>Transportation cost per material</t>
  </si>
  <si>
    <t>International Suppliers</t>
  </si>
  <si>
    <t xml:space="preserve">    Google Cloud Storage 1TB</t>
  </si>
  <si>
    <t xml:space="preserve">    Credit Card Processing Software</t>
  </si>
  <si>
    <t xml:space="preserve">    Online Sale Pick &amp; Pack</t>
  </si>
  <si>
    <t>Startup Development Costs (Outsourced)</t>
  </si>
  <si>
    <t>HARDWARE</t>
  </si>
  <si>
    <t>Number of Engineers</t>
  </si>
  <si>
    <t xml:space="preserve">    Macbook Laptops</t>
  </si>
  <si>
    <t>Month expected</t>
  </si>
  <si>
    <t xml:space="preserve">    3 year warranty for laptops</t>
  </si>
  <si>
    <t>Days in a month</t>
  </si>
  <si>
    <t xml:space="preserve">    desktop</t>
  </si>
  <si>
    <t>Hours / Day</t>
  </si>
  <si>
    <t xml:space="preserve">    highspeed printer</t>
  </si>
  <si>
    <t>Wage / Hr</t>
  </si>
  <si>
    <t xml:space="preserve">    photocopier</t>
  </si>
  <si>
    <t>Total development cost</t>
  </si>
  <si>
    <t xml:space="preserve">    high-end networking equipment</t>
  </si>
  <si>
    <t xml:space="preserve">    VPN</t>
  </si>
  <si>
    <t xml:space="preserve">    Firewall Security Software &amp; Equipment</t>
  </si>
  <si>
    <t>WEBSITE DEVELOPMENT</t>
  </si>
  <si>
    <t xml:space="preserve">    Development</t>
  </si>
  <si>
    <t xml:space="preserve">    Maintenance</t>
  </si>
  <si>
    <t>International subtotal</t>
  </si>
  <si>
    <t>Internet, Phone, Other</t>
  </si>
  <si>
    <t xml:space="preserve">    Cellular Service Provider</t>
  </si>
  <si>
    <t>Domestic Suppliers</t>
  </si>
  <si>
    <t xml:space="preserve">    Phone &amp; Internet Package</t>
  </si>
  <si>
    <t xml:space="preserve">    Security Systems</t>
  </si>
  <si>
    <t xml:space="preserve">    Part Time Systems and Network Administrator</t>
  </si>
  <si>
    <t xml:space="preserve">    Software Costs Maintenance</t>
  </si>
  <si>
    <t>Domestic subtotal</t>
  </si>
  <si>
    <t>Total costs</t>
  </si>
  <si>
    <t>Total Costs</t>
  </si>
  <si>
    <t>Month</t>
  </si>
  <si>
    <t>Internation subtotal</t>
  </si>
  <si>
    <t>Cost of goods sold</t>
  </si>
  <si>
    <t>Quantity produced</t>
  </si>
  <si>
    <t>Number of workers</t>
  </si>
  <si>
    <t>Wage per hour</t>
  </si>
  <si>
    <t>Wage per Year</t>
  </si>
  <si>
    <t>Regular direct labor</t>
  </si>
  <si>
    <t>Overtime direct labor</t>
  </si>
  <si>
    <t>Direct Labor per unit</t>
  </si>
  <si>
    <t>Direct material per unit</t>
  </si>
  <si>
    <t>Annual lease cost</t>
  </si>
  <si>
    <t>Number of supervisors</t>
  </si>
  <si>
    <t>Salary per supervisor</t>
  </si>
  <si>
    <t>Supervisor cost</t>
  </si>
  <si>
    <t>Transportation cost</t>
  </si>
  <si>
    <t>Total manufacturing overhead</t>
  </si>
  <si>
    <t>Manufacturing overhead per unit</t>
  </si>
  <si>
    <t>NPV Profile</t>
  </si>
  <si>
    <t>IT Cost</t>
  </si>
  <si>
    <t>Gross Magin % (Subscription Included)</t>
  </si>
  <si>
    <t>COGS % Sales (Subscription Included)</t>
  </si>
  <si>
    <t>Gross Magin % (No Subscription)</t>
  </si>
  <si>
    <t>COGS % Sales (No Subscription)</t>
  </si>
  <si>
    <t>Duration of Annual Contracts</t>
  </si>
  <si>
    <t>Subscriber Percentage</t>
  </si>
  <si>
    <t>Separate from IT COSTS</t>
  </si>
  <si>
    <t>Accounts Payable %</t>
  </si>
  <si>
    <t>Accounts Receivable %</t>
  </si>
  <si>
    <t>% Change NI</t>
  </si>
  <si>
    <t>Unadjusted Subscription Rev and Costs</t>
  </si>
  <si>
    <t>Adjusted Subscription Rev and Costs</t>
  </si>
  <si>
    <t xml:space="preserve"> Finished Goods Inventory</t>
  </si>
  <si>
    <t>Funding from Founders</t>
  </si>
  <si>
    <t xml:space="preserve">      IT Costs</t>
  </si>
  <si>
    <t>NPV with 1% Decrease</t>
  </si>
  <si>
    <t>Change in NPV with 1% Decrease</t>
  </si>
  <si>
    <t>Direct Material</t>
  </si>
  <si>
    <t>Purchase Intent</t>
  </si>
  <si>
    <t>Direct Labor</t>
  </si>
  <si>
    <t>Competition</t>
  </si>
  <si>
    <t>Rent</t>
  </si>
  <si>
    <t>IRR</t>
  </si>
  <si>
    <t>IRR with 1% Increase</t>
  </si>
  <si>
    <t>Change in IRR with 1% Increase</t>
  </si>
  <si>
    <t>IRR with 1% Decrease</t>
  </si>
  <si>
    <t>Change in IRR with 1% Decrease</t>
  </si>
  <si>
    <t>Breakeven % Change NPV</t>
  </si>
  <si>
    <t>Breakeven % Change IRR</t>
  </si>
  <si>
    <t>Accounting Breakeven</t>
  </si>
  <si>
    <t>Revenue Per Unit</t>
  </si>
  <si>
    <t>Variable Costs Per Unit</t>
  </si>
  <si>
    <t>Contribution Margin Per Unit</t>
  </si>
  <si>
    <t>Overhead Per Unit</t>
  </si>
  <si>
    <t>Break Even Units</t>
  </si>
  <si>
    <t>Actual Units</t>
  </si>
  <si>
    <t>Margin of Safety Units</t>
  </si>
  <si>
    <t>Margin of Safety %</t>
  </si>
  <si>
    <t>EBIT Breakeven</t>
  </si>
  <si>
    <t>Influence Chart</t>
  </si>
  <si>
    <t>Simulation Analysis</t>
  </si>
  <si>
    <t>Direct Material with Mitigation</t>
  </si>
  <si>
    <t>Direct Labor with Mitigation</t>
  </si>
  <si>
    <t>Awareness with Mitigation</t>
  </si>
  <si>
    <t>Lease Cost</t>
  </si>
  <si>
    <t>Lease Cost with Mitigation</t>
  </si>
  <si>
    <t>All Variables</t>
  </si>
  <si>
    <t>All Variables with Mitigation</t>
  </si>
  <si>
    <t>Min</t>
  </si>
  <si>
    <t>Max</t>
  </si>
  <si>
    <t>Mean</t>
  </si>
  <si>
    <t>Std. Dev</t>
  </si>
  <si>
    <t>Median</t>
  </si>
  <si>
    <t>5th Percentile</t>
  </si>
  <si>
    <t>95th Percentile</t>
  </si>
  <si>
    <t>% Losses</t>
  </si>
  <si>
    <t>% Profitable</t>
  </si>
  <si>
    <t>Starting Value</t>
  </si>
  <si>
    <t>Breakeven Variable Value</t>
  </si>
  <si>
    <t>RemBand Corp. Statement of Cash Flows as of November 21, 2017</t>
  </si>
  <si>
    <t>RemBand Corp. Balance Sheet as of November 21, 2017</t>
  </si>
  <si>
    <t>RemBand Corp. Income Statement as of November 21, 2017</t>
  </si>
  <si>
    <t>Retained Earnings (Cumulative)</t>
  </si>
  <si>
    <t>Accounts Receivable Days (% of revenue)</t>
  </si>
  <si>
    <t>Accounts Receivable Online Days (% of revenue)</t>
  </si>
  <si>
    <t>Inventory Days (% of COGS)</t>
  </si>
  <si>
    <t>RemBand Corp. Base Case Assumptions</t>
  </si>
  <si>
    <t>INITIAL INVESTMENT IN FIXED ASSETS</t>
  </si>
  <si>
    <t>Original IRR</t>
  </si>
  <si>
    <t>NPV with 1% Increase</t>
  </si>
  <si>
    <t>Change in NPV with 1% Increase</t>
  </si>
  <si>
    <t>Elasticities (due to 1% Increase)</t>
  </si>
  <si>
    <t>Elasticities (due to 1% Decrease)</t>
  </si>
  <si>
    <t xml:space="preserve">     Total Cash Flow % Change</t>
  </si>
  <si>
    <t xml:space="preserve">     NI Percent Change</t>
  </si>
  <si>
    <t xml:space="preserve">     Net FCF % Change</t>
  </si>
  <si>
    <t>Original NPV</t>
  </si>
  <si>
    <t>Number of months available per year</t>
  </si>
  <si>
    <t>Free Cash Flows</t>
  </si>
  <si>
    <t>FCF</t>
  </si>
  <si>
    <t>*= Due to our COGS and correspondingly high Accounts Payable %, ROA and ROE are not the same when they should be because we don't have any debt.</t>
  </si>
  <si>
    <t>Purchase Intent Carebears 1</t>
  </si>
  <si>
    <t>Purchase Intent Carebears 2</t>
  </si>
  <si>
    <t>Purchase Intent Lone Wolves</t>
  </si>
  <si>
    <t>Awareness CareBears 1</t>
  </si>
  <si>
    <t>Awareness CareBears 2</t>
  </si>
  <si>
    <t>Awareness LoneWolves</t>
  </si>
  <si>
    <t>Competition Carebears 1</t>
  </si>
  <si>
    <t>Competition Carebears 2</t>
  </si>
  <si>
    <t>Competition Lone Wolves</t>
  </si>
  <si>
    <t>Gross Margin</t>
  </si>
  <si>
    <t>EV/EBITDA Multiple</t>
  </si>
  <si>
    <t>RemBand</t>
  </si>
  <si>
    <t>Competitor Key Ratios</t>
  </si>
  <si>
    <t>Scenario</t>
  </si>
  <si>
    <t>Fitbit Key Ratios</t>
  </si>
  <si>
    <t>KEY</t>
  </si>
  <si>
    <t xml:space="preserve"> -1 for Pessimistic Case</t>
  </si>
  <si>
    <t>0 for Base Case</t>
  </si>
  <si>
    <t>1 for Optimistic Case</t>
  </si>
  <si>
    <t>Enter Value in Cell C16 - Values in the Workbook Will Change Accordingly</t>
  </si>
  <si>
    <t>RemBand Corp.</t>
  </si>
  <si>
    <t>Monthly Demand</t>
  </si>
  <si>
    <t>PPE &amp; Amortization Schedule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</si>
</sst>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6">
    <numFmt numFmtId="41" formatCode="_(* #,##0_);_(* \(#,##0\);_(* &quot;-&quot;_);_(@_)"/>
    <numFmt numFmtId="44" formatCode="_(&quot;$&quot;* #,##0.00_);_(&quot;$&quot;* \(#,##0.00\);_(&quot;$&quot;* &quot;-&quot;??_);_(@_)"/>
    <numFmt numFmtId="43" formatCode="_(* #,##0.00_);_(* \(#,##0.00\);_(* &quot;-&quot;??_);_(@_)"/>
    <numFmt numFmtId="164" formatCode="0.000%"/>
    <numFmt numFmtId="165" formatCode="&quot;$&quot;#,##0.00"/>
    <numFmt numFmtId="166" formatCode="0.0"/>
    <numFmt numFmtId="167" formatCode="0.000000000000000%"/>
    <numFmt numFmtId="168" formatCode="0.0%"/>
    <numFmt numFmtId="169" formatCode="_(&quot;$&quot;* #,##0_);_(&quot;$&quot;* \(#,##0\);_(&quot;$&quot;* &quot;-&quot;??_);_(@_)"/>
    <numFmt numFmtId="170" formatCode="&quot;$&quot;#,##0"/>
    <numFmt numFmtId="171" formatCode="_(* #,##0_);_(* \(#,##0\);_(* &quot;-&quot;??_);_(@_)"/>
    <numFmt numFmtId="172" formatCode="_(* #,##0.0_);_(* \(#,##0.0\);_(* &quot;-&quot;??_);_(@_)"/>
    <numFmt numFmtId="173" formatCode="#,##0;\(#,##0\)"/>
    <numFmt numFmtId="174" formatCode="0.0000"/>
    <numFmt numFmtId="175" formatCode="#,##0.0"/>
    <numFmt numFmtId="176" formatCode="0.0\x"/>
    <numFmt numFmtId="177" formatCode="_(* #,##0.000_);_(* \(#,##0.000\);_(* &quot;-&quot;??.000_);_(@_)"/>
    <numFmt numFmtId="178" formatCode="#,##0.0000000"/>
    <numFmt numFmtId="179" formatCode="0.00\x"/>
    <numFmt numFmtId="180" formatCode="#,##0.00;\(#,##0.00\)"/>
    <numFmt numFmtId="181" formatCode="0.000"/>
    <numFmt numFmtId="182" formatCode="_(&quot;$&quot;* #,##0.00_);_(&quot;$&quot;* \(#,##0.00\);_(&quot;$&quot;* &quot;-&quot;??.00_);_(@_)"/>
    <numFmt numFmtId="183" formatCode="_(* #,##0.0000_);_(* \(#,##0.0000\);_(* &quot;-&quot;??_);_(@_)"/>
    <numFmt numFmtId="184" formatCode="#,##0.0000"/>
    <numFmt numFmtId="185" formatCode="0.0000%"/>
    <numFmt numFmtId="186" formatCode="#,##0.00%"/>
  </numFmts>
  <fonts count="71">
    <font>
      <sz val="11"/>
      <color rgb="FF000000"/>
      <name val="Calibri"/>
    </font>
    <font>
      <sz val="11"/>
      <name val="Calibri"/>
      <family val="2"/>
    </font>
    <font>
      <sz val="14"/>
      <name val="Calibri"/>
      <family val="2"/>
    </font>
    <font>
      <b/>
      <sz val="20"/>
      <color rgb="FF000000"/>
      <name val="Calibri"/>
      <family val="2"/>
    </font>
    <font>
      <b/>
      <sz val="14"/>
      <color rgb="FF000000"/>
      <name val="Calibri"/>
      <family val="2"/>
    </font>
    <font>
      <b/>
      <sz val="14"/>
      <name val="Calibri"/>
      <family val="2"/>
    </font>
    <font>
      <sz val="11"/>
      <name val="Calibri"/>
      <family val="2"/>
    </font>
    <font>
      <u/>
      <sz val="10"/>
      <color rgb="FF0000FF"/>
      <name val="Calibri"/>
      <family val="2"/>
    </font>
    <font>
      <sz val="14"/>
      <color rgb="FF000000"/>
      <name val="Calibri"/>
      <family val="2"/>
    </font>
    <font>
      <sz val="14"/>
      <color rgb="FF1155CC"/>
      <name val="Calibri"/>
      <family val="2"/>
    </font>
    <font>
      <sz val="11"/>
      <color rgb="FF000000"/>
      <name val="Inconsolata"/>
    </font>
    <font>
      <sz val="12"/>
      <name val="Calibri"/>
      <family val="2"/>
    </font>
    <font>
      <b/>
      <sz val="12"/>
      <name val="Calibri"/>
      <family val="2"/>
    </font>
    <font>
      <b/>
      <sz val="12"/>
      <color rgb="FF000000"/>
      <name val="Calibri"/>
      <family val="2"/>
    </font>
    <font>
      <sz val="12"/>
      <color rgb="FF000000"/>
      <name val="Calibri"/>
      <family val="2"/>
    </font>
    <font>
      <sz val="12"/>
      <color rgb="FF4B4F56"/>
      <name val="Calibri"/>
      <family val="2"/>
    </font>
    <font>
      <b/>
      <sz val="11"/>
      <name val="Calibri"/>
      <family val="2"/>
    </font>
    <font>
      <sz val="11"/>
      <color rgb="FF000000"/>
      <name val="Calibri"/>
      <family val="2"/>
    </font>
    <font>
      <b/>
      <i/>
      <sz val="12"/>
      <color rgb="FF000000"/>
      <name val="Calibri"/>
      <family val="2"/>
    </font>
    <font>
      <sz val="12"/>
      <color rgb="FFFFE599"/>
      <name val="Calibri"/>
      <family val="2"/>
    </font>
    <font>
      <b/>
      <sz val="12"/>
      <color rgb="FFFFFFFF"/>
      <name val="Calibri"/>
      <family val="2"/>
    </font>
    <font>
      <b/>
      <u/>
      <sz val="12"/>
      <color rgb="FF000000"/>
      <name val="Calibri"/>
      <family val="2"/>
    </font>
    <font>
      <b/>
      <u/>
      <sz val="12"/>
      <color rgb="FF000000"/>
      <name val="Calibri"/>
      <family val="2"/>
    </font>
    <font>
      <u/>
      <sz val="12"/>
      <color rgb="FF1155CC"/>
      <name val="Calibri"/>
      <family val="2"/>
    </font>
    <font>
      <sz val="11"/>
      <name val="Calibri"/>
      <family val="2"/>
    </font>
    <font>
      <i/>
      <sz val="12"/>
      <name val="Calibri"/>
      <family val="2"/>
    </font>
    <font>
      <u/>
      <sz val="12"/>
      <name val="Calibri"/>
      <family val="2"/>
    </font>
    <font>
      <i/>
      <sz val="14"/>
      <name val="Calibri"/>
      <family val="2"/>
    </font>
    <font>
      <b/>
      <sz val="14"/>
      <color rgb="FFFF0000"/>
      <name val="Calibri"/>
      <family val="2"/>
    </font>
    <font>
      <u/>
      <sz val="12"/>
      <name val="Calibri"/>
      <family val="2"/>
    </font>
    <font>
      <u/>
      <sz val="12"/>
      <name val="Calibri"/>
      <family val="2"/>
    </font>
    <font>
      <u/>
      <sz val="14"/>
      <color rgb="FF0000FF"/>
      <name val="Calibri"/>
      <family val="2"/>
    </font>
    <font>
      <b/>
      <i/>
      <u/>
      <sz val="14"/>
      <name val="Calibri"/>
      <family val="2"/>
    </font>
    <font>
      <b/>
      <u/>
      <sz val="14"/>
      <name val="Calibri"/>
      <family val="2"/>
    </font>
    <font>
      <u/>
      <sz val="14"/>
      <color rgb="FF0000FF"/>
      <name val="Calibri"/>
      <family val="2"/>
    </font>
    <font>
      <u/>
      <sz val="14"/>
      <color rgb="FF0000FF"/>
      <name val="Calibri"/>
      <family val="2"/>
    </font>
    <font>
      <sz val="12"/>
      <color rgb="FF444444"/>
      <name val="Calibri"/>
      <family val="2"/>
    </font>
    <font>
      <b/>
      <sz val="11"/>
      <name val="Calibri"/>
      <family val="2"/>
    </font>
    <font>
      <b/>
      <sz val="12"/>
      <color rgb="FF0000DD"/>
      <name val="Calibri"/>
      <family val="2"/>
    </font>
    <font>
      <sz val="12"/>
      <color rgb="FF0000DD"/>
      <name val="Calibri"/>
      <family val="2"/>
    </font>
    <font>
      <sz val="12"/>
      <color rgb="FF9A2820"/>
      <name val="Calibri"/>
      <family val="2"/>
    </font>
    <font>
      <b/>
      <sz val="11"/>
      <name val="Arial"/>
      <family val="2"/>
    </font>
    <font>
      <sz val="11"/>
      <name val="Arial"/>
      <family val="2"/>
    </font>
    <font>
      <u/>
      <sz val="11"/>
      <color rgb="FF1155CC"/>
      <name val="Calibri"/>
      <family val="2"/>
    </font>
    <font>
      <u/>
      <sz val="11"/>
      <color rgb="FF0000FF"/>
      <name val="Calibri"/>
      <family val="2"/>
    </font>
    <font>
      <i/>
      <sz val="11"/>
      <name val="Calibri"/>
      <family val="2"/>
    </font>
    <font>
      <i/>
      <sz val="11"/>
      <name val="Calibri"/>
      <family val="2"/>
    </font>
    <font>
      <b/>
      <sz val="11"/>
      <name val="Calibri"/>
      <family val="2"/>
    </font>
    <font>
      <b/>
      <sz val="11"/>
      <color rgb="FF000000"/>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font>
    <font>
      <b/>
      <i/>
      <sz val="11"/>
      <name val="Calibri"/>
      <family val="2"/>
    </font>
    <font>
      <u/>
      <sz val="11"/>
      <color rgb="FF1155CC"/>
      <name val="Calibri"/>
      <family val="2"/>
    </font>
    <font>
      <u/>
      <sz val="11"/>
      <color theme="10"/>
      <name val="Calibri"/>
      <family val="2"/>
    </font>
    <font>
      <sz val="11"/>
      <color rgb="FF000000"/>
      <name val="Calibri"/>
      <family val="2"/>
    </font>
    <font>
      <u/>
      <sz val="11"/>
      <color theme="4" tint="-0.249977111117893"/>
      <name val="Calibri"/>
      <family val="2"/>
    </font>
    <font>
      <sz val="11"/>
      <color rgb="FF000000"/>
      <name val="Calibri"/>
      <family val="2"/>
    </font>
    <font>
      <b/>
      <u/>
      <sz val="11"/>
      <color theme="4" tint="-0.249977111117893"/>
      <name val="Calibri"/>
      <family val="2"/>
    </font>
    <font>
      <sz val="11"/>
      <name val="Calibri"/>
      <family val="2"/>
      <scheme val="minor"/>
    </font>
    <font>
      <b/>
      <sz val="11"/>
      <name val="Calibri"/>
      <family val="2"/>
      <scheme val="minor"/>
    </font>
    <font>
      <sz val="11"/>
      <color theme="4" tint="-0.249977111117893"/>
      <name val="Calibri"/>
      <family val="2"/>
    </font>
    <font>
      <sz val="11"/>
      <color rgb="FF000000"/>
      <name val="Calibri"/>
      <family val="2"/>
      <scheme val="minor"/>
    </font>
    <font>
      <sz val="14"/>
      <color theme="4" tint="-0.249977111117893"/>
      <name val="Calibri"/>
      <family val="2"/>
    </font>
    <font>
      <u/>
      <sz val="14"/>
      <color theme="4" tint="-0.249977111117893"/>
      <name val="Calibri"/>
      <family val="2"/>
    </font>
    <font>
      <b/>
      <sz val="11"/>
      <color rgb="FFFF0000"/>
      <name val="Calibri"/>
      <family val="2"/>
    </font>
    <font>
      <i/>
      <sz val="11"/>
      <color rgb="FF000000"/>
      <name val="Calibri"/>
      <family val="2"/>
    </font>
    <font>
      <sz val="11"/>
      <color rgb="FF9966FF"/>
      <name val="Calibri"/>
      <family val="2"/>
    </font>
    <font>
      <b/>
      <u/>
      <sz val="13"/>
      <color theme="4" tint="-0.249977111117893"/>
      <name val="Calibri"/>
      <family val="2"/>
    </font>
    <font>
      <b/>
      <sz val="13"/>
      <color theme="4" tint="-0.249977111117893"/>
      <name val="Calibri"/>
      <family val="2"/>
    </font>
  </fonts>
  <fills count="38">
    <fill>
      <patternFill patternType="none"/>
    </fill>
    <fill>
      <patternFill patternType="gray125"/>
    </fill>
    <fill>
      <patternFill patternType="solid">
        <fgColor rgb="FFEA9999"/>
        <bgColor rgb="FFEA9999"/>
      </patternFill>
    </fill>
    <fill>
      <patternFill patternType="solid">
        <fgColor rgb="FFCFE2F3"/>
        <bgColor rgb="FFCFE2F3"/>
      </patternFill>
    </fill>
    <fill>
      <patternFill patternType="solid">
        <fgColor rgb="FFB6D7A8"/>
        <bgColor rgb="FFB6D7A8"/>
      </patternFill>
    </fill>
    <fill>
      <patternFill patternType="solid">
        <fgColor rgb="FFD9D2E9"/>
        <bgColor rgb="FFD9D2E9"/>
      </patternFill>
    </fill>
    <fill>
      <patternFill patternType="solid">
        <fgColor rgb="FFF4CCCC"/>
        <bgColor rgb="FFF4CCCC"/>
      </patternFill>
    </fill>
    <fill>
      <patternFill patternType="solid">
        <fgColor rgb="FFFFE599"/>
        <bgColor rgb="FFFFE599"/>
      </patternFill>
    </fill>
    <fill>
      <patternFill patternType="solid">
        <fgColor rgb="FFE06666"/>
        <bgColor rgb="FFE06666"/>
      </patternFill>
    </fill>
    <fill>
      <patternFill patternType="solid">
        <fgColor rgb="FFFFFFFF"/>
        <bgColor rgb="FFFFFFFF"/>
      </patternFill>
    </fill>
    <fill>
      <patternFill patternType="solid">
        <fgColor rgb="FFD9EAD3"/>
        <bgColor rgb="FFD9EAD3"/>
      </patternFill>
    </fill>
    <fill>
      <patternFill patternType="solid">
        <fgColor rgb="FFEAD1DC"/>
        <bgColor rgb="FFEAD1DC"/>
      </patternFill>
    </fill>
    <fill>
      <patternFill patternType="solid">
        <fgColor rgb="FFC9DAF8"/>
        <bgColor rgb="FFC9DAF8"/>
      </patternFill>
    </fill>
    <fill>
      <patternFill patternType="solid">
        <fgColor rgb="FFE6B8AF"/>
        <bgColor rgb="FFE6B8AF"/>
      </patternFill>
    </fill>
    <fill>
      <patternFill patternType="solid">
        <fgColor rgb="FFD9D9D9"/>
        <bgColor rgb="FFD9D9D9"/>
      </patternFill>
    </fill>
    <fill>
      <patternFill patternType="solid">
        <fgColor rgb="FFFFFF00"/>
        <bgColor rgb="FFFFFF00"/>
      </patternFill>
    </fill>
    <fill>
      <patternFill patternType="solid">
        <fgColor rgb="FFFEF2CB"/>
        <bgColor rgb="FFFEF2CB"/>
      </patternFill>
    </fill>
    <fill>
      <patternFill patternType="solid">
        <fgColor rgb="FFFFF2CC"/>
        <bgColor rgb="FFFFF2CC"/>
      </patternFill>
    </fill>
    <fill>
      <patternFill patternType="solid">
        <fgColor rgb="FFFCE5CD"/>
        <bgColor rgb="FFFCE5CD"/>
      </patternFill>
    </fill>
    <fill>
      <patternFill patternType="solid">
        <fgColor rgb="FF93C47D"/>
        <bgColor rgb="FF93C47D"/>
      </patternFill>
    </fill>
    <fill>
      <patternFill patternType="solid">
        <fgColor rgb="FF6AA84F"/>
        <bgColor rgb="FF6AA84F"/>
      </patternFill>
    </fill>
    <fill>
      <patternFill patternType="solid">
        <fgColor rgb="FFEFEFEF"/>
        <bgColor rgb="FFEFEFEF"/>
      </patternFill>
    </fill>
    <fill>
      <patternFill patternType="solid">
        <fgColor rgb="FF4A86E8"/>
        <bgColor rgb="FF4A86E8"/>
      </patternFill>
    </fill>
    <fill>
      <patternFill patternType="solid">
        <fgColor rgb="FFF4C7C3"/>
        <bgColor rgb="FFF4C7C3"/>
      </patternFill>
    </fill>
    <fill>
      <patternFill patternType="solid">
        <fgColor rgb="FFB7E1CD"/>
        <bgColor rgb="FFB7E1CD"/>
      </patternFill>
    </fill>
    <fill>
      <patternFill patternType="solid">
        <fgColor theme="9" tint="0.79998168889431442"/>
        <bgColor rgb="FFD9EAD3"/>
      </patternFill>
    </fill>
    <fill>
      <patternFill patternType="solid">
        <fgColor theme="9" tint="0.79998168889431442"/>
        <bgColor rgb="FF93C47D"/>
      </patternFill>
    </fill>
    <fill>
      <patternFill patternType="solid">
        <fgColor theme="9" tint="0.79998168889431442"/>
        <bgColor rgb="FFE2EFD9"/>
      </patternFill>
    </fill>
    <fill>
      <patternFill patternType="solid">
        <fgColor theme="0"/>
        <bgColor rgb="FF93C47D"/>
      </patternFill>
    </fill>
    <fill>
      <patternFill patternType="solid">
        <fgColor theme="9" tint="0.39997558519241921"/>
        <bgColor rgb="FF6AA84F"/>
      </patternFill>
    </fill>
    <fill>
      <patternFill patternType="solid">
        <fgColor theme="0"/>
        <bgColor rgb="FFEFEFEF"/>
      </patternFill>
    </fill>
    <fill>
      <patternFill patternType="solid">
        <fgColor rgb="FF8E7CC3"/>
        <bgColor indexed="64"/>
      </patternFill>
    </fill>
    <fill>
      <patternFill patternType="solid">
        <fgColor rgb="FFD9D2E9"/>
        <bgColor indexed="64"/>
      </patternFill>
    </fill>
    <fill>
      <patternFill patternType="solid">
        <fgColor theme="0"/>
        <bgColor indexed="64"/>
      </patternFill>
    </fill>
    <fill>
      <patternFill patternType="solid">
        <fgColor rgb="FFFFFF00"/>
        <bgColor rgb="FFD9EAD3"/>
      </patternFill>
    </fill>
    <fill>
      <patternFill patternType="solid">
        <fgColor theme="9" tint="0.79998168889431442"/>
        <bgColor indexed="64"/>
      </patternFill>
    </fill>
    <fill>
      <patternFill patternType="solid">
        <fgColor theme="9" tint="0.59999389629810485"/>
        <bgColor indexed="64"/>
      </patternFill>
    </fill>
    <fill>
      <patternFill patternType="solid">
        <fgColor theme="2"/>
        <bgColor indexed="64"/>
      </patternFill>
    </fill>
  </fills>
  <borders count="132">
    <border>
      <left/>
      <right/>
      <top/>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diagonal/>
    </border>
    <border>
      <left/>
      <right style="thin">
        <color rgb="FF000000"/>
      </right>
      <top/>
      <bottom/>
      <diagonal/>
    </border>
    <border>
      <left/>
      <right style="thin">
        <color rgb="FF000000"/>
      </right>
      <top/>
      <bottom style="thin">
        <color rgb="FF000000"/>
      </bottom>
      <diagonal/>
    </border>
    <border>
      <left/>
      <right/>
      <top/>
      <bottom style="thin">
        <color rgb="FFE2EFDA"/>
      </bottom>
      <diagonal/>
    </border>
    <border>
      <left/>
      <right/>
      <top/>
      <bottom style="double">
        <color rgb="FF548235"/>
      </bottom>
      <diagonal/>
    </border>
    <border>
      <left/>
      <right/>
      <top style="medium">
        <color rgb="FF000000"/>
      </top>
      <bottom/>
      <diagonal/>
    </border>
    <border>
      <left/>
      <right/>
      <top style="medium">
        <color rgb="FF000000"/>
      </top>
      <bottom style="medium">
        <color rgb="FF000000"/>
      </bottom>
      <diagonal/>
    </border>
    <border>
      <left/>
      <right style="thin">
        <color rgb="FF000000"/>
      </right>
      <top style="thin">
        <color rgb="FF000000"/>
      </top>
      <bottom style="thick">
        <color rgb="FF000000"/>
      </bottom>
      <diagonal/>
    </border>
    <border>
      <left/>
      <right style="thin">
        <color rgb="FF000000"/>
      </right>
      <top/>
      <bottom style="thick">
        <color rgb="FF000000"/>
      </bottom>
      <diagonal/>
    </border>
    <border>
      <left/>
      <right/>
      <top/>
      <bottom style="thick">
        <color rgb="FF000000"/>
      </bottom>
      <diagonal/>
    </border>
    <border>
      <left style="thick">
        <color rgb="FF000000"/>
      </left>
      <right style="thick">
        <color rgb="FF000000"/>
      </right>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medium">
        <color rgb="FF000000"/>
      </top>
      <bottom style="thin">
        <color rgb="FF000000"/>
      </bottom>
      <diagonal/>
    </border>
    <border>
      <left/>
      <right/>
      <top style="thin">
        <color rgb="FF000000"/>
      </top>
      <bottom style="thick">
        <color rgb="FF000000"/>
      </bottom>
      <diagonal/>
    </border>
    <border>
      <left style="thick">
        <color rgb="FF000000"/>
      </left>
      <right style="thick">
        <color rgb="FF000000"/>
      </right>
      <top style="thin">
        <color rgb="FF000000"/>
      </top>
      <bottom/>
      <diagonal/>
    </border>
    <border>
      <left style="thin">
        <color rgb="FF000000"/>
      </left>
      <right style="thin">
        <color rgb="FF000000"/>
      </right>
      <top/>
      <bottom style="medium">
        <color rgb="FF000000"/>
      </bottom>
      <diagonal/>
    </border>
    <border>
      <left/>
      <right/>
      <top/>
      <bottom style="double">
        <color rgb="FF000000"/>
      </bottom>
      <diagonal/>
    </border>
    <border>
      <left style="thick">
        <color rgb="FF000000"/>
      </left>
      <right style="thick">
        <color rgb="FF000000"/>
      </right>
      <top/>
      <bottom style="double">
        <color rgb="FF000000"/>
      </bottom>
      <diagonal/>
    </border>
    <border>
      <left style="thin">
        <color rgb="FF000000"/>
      </left>
      <right style="thin">
        <color rgb="FF000000"/>
      </right>
      <top style="thick">
        <color rgb="FF000000"/>
      </top>
      <bottom style="thin">
        <color rgb="FF000000"/>
      </bottom>
      <diagonal/>
    </border>
    <border>
      <left/>
      <right style="thin">
        <color rgb="FF000000"/>
      </right>
      <top style="double">
        <color rgb="FF000000"/>
      </top>
      <bottom style="thick">
        <color rgb="FF000000"/>
      </bottom>
      <diagonal/>
    </border>
    <border>
      <left/>
      <right/>
      <top style="double">
        <color rgb="FF000000"/>
      </top>
      <bottom style="thick">
        <color rgb="FF000000"/>
      </bottom>
      <diagonal/>
    </border>
    <border>
      <left style="thick">
        <color rgb="FF000000"/>
      </left>
      <right style="thick">
        <color rgb="FF000000"/>
      </right>
      <top style="double">
        <color rgb="FF000000"/>
      </top>
      <bottom/>
      <diagonal/>
    </border>
    <border>
      <left/>
      <right/>
      <top style="double">
        <color rgb="FF000000"/>
      </top>
      <bottom/>
      <diagonal/>
    </border>
    <border>
      <left/>
      <right style="thin">
        <color rgb="FFEA9999"/>
      </right>
      <top style="thin">
        <color rgb="FFEA9999"/>
      </top>
      <bottom/>
      <diagonal/>
    </border>
    <border>
      <left style="thin">
        <color rgb="FFEA9999"/>
      </left>
      <right style="thin">
        <color rgb="FFEA9999"/>
      </right>
      <top style="thin">
        <color rgb="FFEA9999"/>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bottom style="thin">
        <color rgb="FF000000"/>
      </bottom>
      <diagonal/>
    </border>
    <border>
      <left/>
      <right style="medium">
        <color rgb="FF000000"/>
      </right>
      <top/>
      <bottom style="thin">
        <color rgb="FF000000"/>
      </bottom>
      <diagonal/>
    </border>
    <border>
      <left style="medium">
        <color rgb="FF000000"/>
      </left>
      <right/>
      <top/>
      <bottom/>
      <diagonal/>
    </border>
    <border>
      <left/>
      <right style="medium">
        <color rgb="FF000000"/>
      </right>
      <top/>
      <bottom/>
      <diagonal/>
    </border>
    <border>
      <left/>
      <right style="thin">
        <color rgb="FFEA9999"/>
      </right>
      <top style="thin">
        <color rgb="FFEA9999"/>
      </top>
      <bottom style="thin">
        <color rgb="FFEA9999"/>
      </bottom>
      <diagonal/>
    </border>
    <border>
      <left style="thin">
        <color rgb="FFEA9999"/>
      </left>
      <right style="thin">
        <color rgb="FFEA9999"/>
      </right>
      <top style="thin">
        <color rgb="FFEA9999"/>
      </top>
      <bottom style="thin">
        <color rgb="FFEA9999"/>
      </bottom>
      <diagonal/>
    </border>
    <border>
      <left/>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right/>
      <top/>
      <bottom style="thin">
        <color rgb="FF000000"/>
      </bottom>
      <diagonal/>
    </border>
    <border>
      <left style="thin">
        <color rgb="FF000000"/>
      </left>
      <right/>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style="thin">
        <color rgb="FF000000"/>
      </left>
      <right/>
      <top/>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diagonal/>
    </border>
    <border>
      <left style="thin">
        <color rgb="FF000000"/>
      </left>
      <right style="thin">
        <color rgb="FF000000"/>
      </right>
      <top style="thin">
        <color rgb="FF000000"/>
      </top>
      <bottom/>
      <diagonal/>
    </border>
    <border>
      <left/>
      <right style="thin">
        <color rgb="FF000000"/>
      </right>
      <top/>
      <bottom style="medium">
        <color rgb="FF000000"/>
      </bottom>
      <diagonal/>
    </border>
    <border>
      <left/>
      <right style="thin">
        <color rgb="FF000000"/>
      </right>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bottom style="thin">
        <color auto="1"/>
      </bottom>
      <diagonal/>
    </border>
    <border>
      <left/>
      <right style="thin">
        <color rgb="FF000000"/>
      </right>
      <top style="thin">
        <color rgb="FF000000"/>
      </top>
      <bottom style="double">
        <color auto="1"/>
      </bottom>
      <diagonal/>
    </border>
    <border>
      <left style="thin">
        <color rgb="FF000000"/>
      </left>
      <right style="thin">
        <color rgb="FF000000"/>
      </right>
      <top style="thin">
        <color rgb="FF000000"/>
      </top>
      <bottom style="double">
        <color auto="1"/>
      </bottom>
      <diagonal/>
    </border>
    <border>
      <left style="thin">
        <color rgb="FF000000"/>
      </left>
      <right/>
      <top style="thin">
        <color rgb="FF000000"/>
      </top>
      <bottom style="double">
        <color auto="1"/>
      </bottom>
      <diagonal/>
    </border>
    <border>
      <left/>
      <right/>
      <top/>
      <bottom style="medium">
        <color auto="1"/>
      </bottom>
      <diagonal/>
    </border>
    <border>
      <left/>
      <right/>
      <top/>
      <bottom style="thin">
        <color auto="1"/>
      </bottom>
      <diagonal/>
    </border>
    <border>
      <left/>
      <right style="thin">
        <color auto="1"/>
      </right>
      <top/>
      <bottom style="thin">
        <color auto="1"/>
      </bottom>
      <diagonal/>
    </border>
    <border>
      <left style="thin">
        <color auto="1"/>
      </left>
      <right/>
      <top/>
      <bottom/>
      <diagonal/>
    </border>
    <border>
      <left style="thin">
        <color auto="1"/>
      </left>
      <right/>
      <top style="thin">
        <color auto="1"/>
      </top>
      <bottom/>
      <diagonal/>
    </border>
    <border>
      <left/>
      <right/>
      <top style="thin">
        <color auto="1"/>
      </top>
      <bottom/>
      <diagonal/>
    </border>
    <border>
      <left/>
      <right style="thin">
        <color auto="1"/>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thin">
        <color auto="1"/>
      </left>
      <right/>
      <top style="medium">
        <color auto="1"/>
      </top>
      <bottom/>
      <diagonal/>
    </border>
    <border>
      <left style="thin">
        <color auto="1"/>
      </left>
      <right style="medium">
        <color auto="1"/>
      </right>
      <top style="medium">
        <color auto="1"/>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rgb="FF000000"/>
      </right>
      <top style="medium">
        <color auto="1"/>
      </top>
      <bottom style="medium">
        <color auto="1"/>
      </bottom>
      <diagonal/>
    </border>
    <border>
      <left style="thin">
        <color auto="1"/>
      </left>
      <right style="medium">
        <color auto="1"/>
      </right>
      <top style="medium">
        <color auto="1"/>
      </top>
      <bottom style="medium">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diagonal/>
    </border>
    <border>
      <left style="thin">
        <color auto="1"/>
      </left>
      <right style="medium">
        <color auto="1"/>
      </right>
      <top/>
      <bottom/>
      <diagonal/>
    </border>
    <border>
      <left style="medium">
        <color auto="1"/>
      </left>
      <right/>
      <top/>
      <bottom style="thin">
        <color auto="1"/>
      </bottom>
      <diagonal/>
    </border>
    <border>
      <left style="thin">
        <color auto="1"/>
      </left>
      <right style="medium">
        <color auto="1"/>
      </right>
      <top/>
      <bottom style="thin">
        <color auto="1"/>
      </bottom>
      <diagonal/>
    </border>
    <border>
      <left style="medium">
        <color auto="1"/>
      </left>
      <right/>
      <top style="thin">
        <color auto="1"/>
      </top>
      <bottom style="medium">
        <color auto="1"/>
      </bottom>
      <diagonal/>
    </border>
    <border>
      <left/>
      <right style="thin">
        <color auto="1"/>
      </right>
      <top style="thin">
        <color auto="1"/>
      </top>
      <bottom style="medium">
        <color auto="1"/>
      </bottom>
      <diagonal/>
    </border>
    <border>
      <left/>
      <right style="medium">
        <color auto="1"/>
      </right>
      <top/>
      <bottom style="thin">
        <color auto="1"/>
      </bottom>
      <diagonal/>
    </border>
    <border>
      <left style="thin">
        <color rgb="FF000000"/>
      </left>
      <right style="medium">
        <color auto="1"/>
      </right>
      <top style="medium">
        <color auto="1"/>
      </top>
      <bottom style="medium">
        <color auto="1"/>
      </bottom>
      <diagonal/>
    </border>
    <border>
      <left style="medium">
        <color auto="1"/>
      </left>
      <right style="thin">
        <color rgb="FF000000"/>
      </right>
      <top style="medium">
        <color auto="1"/>
      </top>
      <bottom style="thin">
        <color rgb="FF000000"/>
      </bottom>
      <diagonal/>
    </border>
    <border>
      <left style="thin">
        <color rgb="FF000000"/>
      </left>
      <right style="medium">
        <color auto="1"/>
      </right>
      <top style="medium">
        <color auto="1"/>
      </top>
      <bottom style="thin">
        <color rgb="FF000000"/>
      </bottom>
      <diagonal/>
    </border>
    <border>
      <left style="medium">
        <color auto="1"/>
      </left>
      <right style="thin">
        <color rgb="FF000000"/>
      </right>
      <top style="thin">
        <color rgb="FF000000"/>
      </top>
      <bottom style="thin">
        <color rgb="FF000000"/>
      </bottom>
      <diagonal/>
    </border>
    <border>
      <left style="thin">
        <color rgb="FF000000"/>
      </left>
      <right style="medium">
        <color auto="1"/>
      </right>
      <top style="thin">
        <color rgb="FF000000"/>
      </top>
      <bottom style="thin">
        <color rgb="FF000000"/>
      </bottom>
      <diagonal/>
    </border>
    <border>
      <left style="medium">
        <color auto="1"/>
      </left>
      <right style="thin">
        <color rgb="FF000000"/>
      </right>
      <top style="thin">
        <color rgb="FF000000"/>
      </top>
      <bottom style="medium">
        <color auto="1"/>
      </bottom>
      <diagonal/>
    </border>
    <border>
      <left style="thin">
        <color rgb="FF000000"/>
      </left>
      <right style="medium">
        <color auto="1"/>
      </right>
      <top style="thin">
        <color rgb="FF000000"/>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double">
        <color auto="1"/>
      </bottom>
      <diagonal/>
    </border>
    <border>
      <left style="thin">
        <color auto="1"/>
      </left>
      <right style="medium">
        <color auto="1"/>
      </right>
      <top style="thin">
        <color auto="1"/>
      </top>
      <bottom style="double">
        <color auto="1"/>
      </bottom>
      <diagonal/>
    </border>
    <border>
      <left style="medium">
        <color auto="1"/>
      </left>
      <right style="thin">
        <color auto="1"/>
      </right>
      <top/>
      <bottom style="thin">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style="thin">
        <color rgb="FF000000"/>
      </top>
      <bottom style="medium">
        <color auto="1"/>
      </bottom>
      <diagonal/>
    </border>
    <border>
      <left/>
      <right/>
      <top style="thin">
        <color rgb="FF000000"/>
      </top>
      <bottom style="medium">
        <color auto="1"/>
      </bottom>
      <diagonal/>
    </border>
    <border>
      <left/>
      <right style="medium">
        <color auto="1"/>
      </right>
      <top style="thin">
        <color rgb="FF000000"/>
      </top>
      <bottom style="medium">
        <color auto="1"/>
      </bottom>
      <diagonal/>
    </border>
    <border>
      <left style="thin">
        <color auto="1"/>
      </left>
      <right style="thin">
        <color auto="1"/>
      </right>
      <top style="thin">
        <color auto="1"/>
      </top>
      <bottom style="medium">
        <color auto="1"/>
      </bottom>
      <diagonal/>
    </border>
    <border>
      <left style="medium">
        <color rgb="FFCCCCCC"/>
      </left>
      <right style="medium">
        <color rgb="FFCCCCCC"/>
      </right>
      <top style="medium">
        <color rgb="FFCCCCCC"/>
      </top>
      <bottom style="medium">
        <color rgb="FFCCCCCC"/>
      </bottom>
      <diagonal/>
    </border>
    <border>
      <left/>
      <right style="medium">
        <color rgb="FFCCCCCC"/>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xf numFmtId="0" fontId="55" fillId="0" borderId="0" applyNumberFormat="0" applyFill="0" applyBorder="0" applyAlignment="0" applyProtection="0"/>
    <xf numFmtId="44" fontId="56" fillId="0" borderId="0" applyFont="0" applyFill="0" applyBorder="0" applyAlignment="0" applyProtection="0"/>
    <xf numFmtId="9" fontId="56" fillId="0" borderId="0" applyFont="0" applyFill="0" applyBorder="0" applyAlignment="0" applyProtection="0"/>
    <xf numFmtId="43" fontId="58" fillId="0" borderId="0" applyFont="0" applyFill="0" applyBorder="0" applyAlignment="0" applyProtection="0"/>
    <xf numFmtId="0" fontId="17" fillId="0" borderId="62"/>
  </cellStyleXfs>
  <cellXfs count="1385">
    <xf numFmtId="0" fontId="0" fillId="0" borderId="0" xfId="0" applyFont="1" applyAlignment="1"/>
    <xf numFmtId="0" fontId="1" fillId="0" borderId="0" xfId="0" applyFont="1"/>
    <xf numFmtId="0" fontId="2" fillId="0" borderId="0" xfId="0" applyFont="1"/>
    <xf numFmtId="0" fontId="3" fillId="0" borderId="0" xfId="0" applyFont="1" applyAlignment="1">
      <alignment horizontal="center"/>
    </xf>
    <xf numFmtId="0" fontId="4" fillId="2" borderId="2" xfId="0" applyFont="1" applyFill="1" applyBorder="1" applyAlignment="1">
      <alignment horizontal="center"/>
    </xf>
    <xf numFmtId="0" fontId="4" fillId="2" borderId="2" xfId="0" applyFont="1" applyFill="1" applyBorder="1"/>
    <xf numFmtId="0" fontId="0" fillId="0" borderId="0" xfId="0" applyFont="1"/>
    <xf numFmtId="0" fontId="4" fillId="6" borderId="2" xfId="0" applyFont="1" applyFill="1" applyBorder="1" applyAlignment="1">
      <alignment horizontal="center"/>
    </xf>
    <xf numFmtId="0" fontId="2" fillId="0" borderId="0" xfId="0" applyFont="1" applyAlignment="1"/>
    <xf numFmtId="0" fontId="5" fillId="2" borderId="2" xfId="0" applyFont="1" applyFill="1" applyBorder="1" applyAlignment="1">
      <alignment horizontal="center" vertical="center" wrapText="1"/>
    </xf>
    <xf numFmtId="0" fontId="5" fillId="2" borderId="2" xfId="0" applyFont="1" applyFill="1" applyBorder="1" applyAlignment="1">
      <alignment horizontal="center" vertical="center"/>
    </xf>
    <xf numFmtId="0" fontId="5" fillId="7" borderId="7" xfId="0" applyFont="1" applyFill="1" applyBorder="1" applyAlignment="1"/>
    <xf numFmtId="0" fontId="2" fillId="7" borderId="7" xfId="0" applyFont="1" applyFill="1" applyBorder="1"/>
    <xf numFmtId="0" fontId="0" fillId="0" borderId="0" xfId="0" applyFont="1" applyAlignment="1">
      <alignment horizontal="center"/>
    </xf>
    <xf numFmtId="44" fontId="8" fillId="6" borderId="2" xfId="0" applyNumberFormat="1" applyFont="1" applyFill="1" applyBorder="1"/>
    <xf numFmtId="0" fontId="2" fillId="7" borderId="7" xfId="0" applyFont="1" applyFill="1" applyBorder="1" applyAlignment="1"/>
    <xf numFmtId="9" fontId="8" fillId="6" borderId="2" xfId="0" applyNumberFormat="1" applyFont="1" applyFill="1" applyBorder="1"/>
    <xf numFmtId="0" fontId="5" fillId="6" borderId="2" xfId="0" applyFont="1" applyFill="1" applyBorder="1" applyAlignment="1">
      <alignment horizontal="center" vertical="center" wrapText="1"/>
    </xf>
    <xf numFmtId="44" fontId="8" fillId="6" borderId="2" xfId="0" applyNumberFormat="1" applyFont="1" applyFill="1" applyBorder="1" applyAlignment="1"/>
    <xf numFmtId="3" fontId="2" fillId="6" borderId="2" xfId="0" applyNumberFormat="1" applyFont="1" applyFill="1" applyBorder="1" applyAlignment="1">
      <alignment horizontal="center" vertical="center"/>
    </xf>
    <xf numFmtId="0" fontId="2" fillId="6" borderId="2" xfId="0" applyFont="1" applyFill="1" applyBorder="1" applyAlignment="1">
      <alignment wrapText="1"/>
    </xf>
    <xf numFmtId="9" fontId="2" fillId="6" borderId="2" xfId="0" applyNumberFormat="1" applyFont="1" applyFill="1" applyBorder="1" applyAlignment="1"/>
    <xf numFmtId="0" fontId="5" fillId="7" borderId="0" xfId="0" applyFont="1" applyFill="1" applyAlignment="1"/>
    <xf numFmtId="0" fontId="2" fillId="7" borderId="0" xfId="0" applyFont="1" applyFill="1" applyAlignment="1"/>
    <xf numFmtId="0" fontId="2" fillId="7" borderId="0" xfId="0" applyFont="1" applyFill="1"/>
    <xf numFmtId="10" fontId="8" fillId="6" borderId="2" xfId="0" applyNumberFormat="1" applyFont="1" applyFill="1" applyBorder="1"/>
    <xf numFmtId="10" fontId="2" fillId="6" borderId="2" xfId="0" applyNumberFormat="1" applyFont="1" applyFill="1" applyBorder="1" applyAlignment="1">
      <alignment horizontal="center" vertical="center"/>
    </xf>
    <xf numFmtId="44" fontId="8" fillId="6" borderId="2" xfId="0" applyNumberFormat="1" applyFont="1" applyFill="1" applyBorder="1" applyAlignment="1">
      <alignment horizontal="center"/>
    </xf>
    <xf numFmtId="9" fontId="2" fillId="0" borderId="0" xfId="0" applyNumberFormat="1" applyFont="1" applyAlignment="1"/>
    <xf numFmtId="10" fontId="2" fillId="6" borderId="2" xfId="0" applyNumberFormat="1" applyFont="1" applyFill="1" applyBorder="1" applyAlignment="1">
      <alignment horizontal="center" vertical="center"/>
    </xf>
    <xf numFmtId="44" fontId="4" fillId="6" borderId="2" xfId="0" applyNumberFormat="1" applyFont="1" applyFill="1" applyBorder="1"/>
    <xf numFmtId="0" fontId="5" fillId="0" borderId="0" xfId="0" applyFont="1"/>
    <xf numFmtId="44" fontId="8" fillId="0" borderId="0" xfId="0" applyNumberFormat="1" applyFont="1"/>
    <xf numFmtId="166" fontId="2" fillId="6" borderId="2" xfId="0" applyNumberFormat="1" applyFont="1" applyFill="1" applyBorder="1" applyAlignment="1">
      <alignment horizontal="center" vertical="center"/>
    </xf>
    <xf numFmtId="44" fontId="8" fillId="0" borderId="11" xfId="0" applyNumberFormat="1" applyFont="1" applyBorder="1"/>
    <xf numFmtId="10" fontId="8" fillId="6" borderId="2" xfId="0" applyNumberFormat="1" applyFont="1" applyFill="1" applyBorder="1" applyAlignment="1"/>
    <xf numFmtId="165" fontId="8" fillId="6" borderId="2" xfId="0" applyNumberFormat="1" applyFont="1" applyFill="1" applyBorder="1"/>
    <xf numFmtId="0" fontId="2" fillId="6" borderId="2" xfId="0" applyFont="1" applyFill="1" applyBorder="1" applyAlignment="1">
      <alignment horizontal="center" vertical="center"/>
    </xf>
    <xf numFmtId="0" fontId="5" fillId="2" borderId="2" xfId="0" applyFont="1" applyFill="1" applyBorder="1" applyAlignment="1">
      <alignment horizontal="center" vertical="center"/>
    </xf>
    <xf numFmtId="0" fontId="5" fillId="8" borderId="2" xfId="0" applyFont="1" applyFill="1" applyBorder="1" applyAlignment="1"/>
    <xf numFmtId="3" fontId="5" fillId="0" borderId="0" xfId="0" applyNumberFormat="1" applyFont="1"/>
    <xf numFmtId="1" fontId="5" fillId="0" borderId="0" xfId="0" applyNumberFormat="1" applyFont="1"/>
    <xf numFmtId="0" fontId="4" fillId="6" borderId="2" xfId="0" applyFont="1" applyFill="1" applyBorder="1" applyAlignment="1">
      <alignment horizontal="center" vertical="center"/>
    </xf>
    <xf numFmtId="3" fontId="5" fillId="6" borderId="2" xfId="0" applyNumberFormat="1" applyFont="1" applyFill="1" applyBorder="1" applyAlignment="1">
      <alignment horizontal="center" vertical="center"/>
    </xf>
    <xf numFmtId="3" fontId="8" fillId="6" borderId="2" xfId="0" applyNumberFormat="1" applyFont="1" applyFill="1" applyBorder="1" applyAlignment="1">
      <alignment horizontal="center" vertical="center"/>
    </xf>
    <xf numFmtId="0" fontId="2" fillId="0" borderId="2" xfId="0" applyFont="1" applyBorder="1"/>
    <xf numFmtId="3" fontId="5" fillId="2" borderId="2" xfId="0" applyNumberFormat="1" applyFont="1" applyFill="1" applyBorder="1" applyAlignment="1">
      <alignment horizontal="center" vertical="center"/>
    </xf>
    <xf numFmtId="44" fontId="8" fillId="0" borderId="0" xfId="0" applyNumberFormat="1" applyFont="1" applyAlignment="1">
      <alignment horizontal="center"/>
    </xf>
    <xf numFmtId="44" fontId="8" fillId="0" borderId="0" xfId="0" applyNumberFormat="1" applyFont="1" applyAlignment="1">
      <alignment horizontal="left"/>
    </xf>
    <xf numFmtId="165" fontId="5" fillId="6" borderId="2" xfId="0" applyNumberFormat="1" applyFont="1" applyFill="1" applyBorder="1" applyAlignment="1">
      <alignment horizontal="center" vertical="center"/>
    </xf>
    <xf numFmtId="165" fontId="2" fillId="6" borderId="2" xfId="0" applyNumberFormat="1" applyFont="1" applyFill="1" applyBorder="1" applyAlignment="1">
      <alignment horizontal="center" vertical="center"/>
    </xf>
    <xf numFmtId="167" fontId="8" fillId="0" borderId="0" xfId="0" applyNumberFormat="1" applyFont="1"/>
    <xf numFmtId="0" fontId="5" fillId="6" borderId="2" xfId="0" applyFont="1" applyFill="1" applyBorder="1" applyAlignment="1">
      <alignment horizontal="center"/>
    </xf>
    <xf numFmtId="0" fontId="2" fillId="6" borderId="2" xfId="0" applyFont="1" applyFill="1" applyBorder="1"/>
    <xf numFmtId="10" fontId="5" fillId="6" borderId="2" xfId="0" applyNumberFormat="1" applyFont="1" applyFill="1" applyBorder="1" applyAlignment="1">
      <alignment horizontal="center"/>
    </xf>
    <xf numFmtId="10" fontId="5" fillId="2" borderId="2" xfId="0" applyNumberFormat="1" applyFont="1" applyFill="1" applyBorder="1" applyAlignment="1">
      <alignment horizontal="center"/>
    </xf>
    <xf numFmtId="3" fontId="5" fillId="6" borderId="2" xfId="0" applyNumberFormat="1" applyFont="1" applyFill="1" applyBorder="1" applyAlignment="1">
      <alignment horizontal="center"/>
    </xf>
    <xf numFmtId="1" fontId="5" fillId="6" borderId="2" xfId="0" applyNumberFormat="1" applyFont="1" applyFill="1" applyBorder="1" applyAlignment="1">
      <alignment horizontal="center"/>
    </xf>
    <xf numFmtId="165" fontId="5" fillId="2" borderId="2" xfId="0" applyNumberFormat="1" applyFont="1" applyFill="1" applyBorder="1" applyAlignment="1">
      <alignment horizontal="center" vertical="center"/>
    </xf>
    <xf numFmtId="0" fontId="2" fillId="0" borderId="0" xfId="0" applyFont="1" applyAlignment="1">
      <alignment horizontal="center" vertical="center"/>
    </xf>
    <xf numFmtId="0" fontId="5" fillId="0" borderId="0" xfId="0" applyFont="1" applyAlignment="1"/>
    <xf numFmtId="3" fontId="2" fillId="6" borderId="2" xfId="0" applyNumberFormat="1" applyFont="1" applyFill="1" applyBorder="1"/>
    <xf numFmtId="3" fontId="5" fillId="0" borderId="0" xfId="0" applyNumberFormat="1" applyFont="1" applyAlignment="1">
      <alignment horizontal="center" vertical="center"/>
    </xf>
    <xf numFmtId="165" fontId="5" fillId="0" borderId="0" xfId="0" applyNumberFormat="1" applyFont="1" applyAlignment="1">
      <alignment horizontal="center"/>
    </xf>
    <xf numFmtId="3" fontId="8" fillId="6" borderId="2" xfId="0" applyNumberFormat="1" applyFont="1" applyFill="1" applyBorder="1" applyAlignment="1">
      <alignment horizontal="center" vertical="center"/>
    </xf>
    <xf numFmtId="3" fontId="8" fillId="6" borderId="2" xfId="0" applyNumberFormat="1" applyFont="1" applyFill="1" applyBorder="1"/>
    <xf numFmtId="44" fontId="4" fillId="6" borderId="2" xfId="0" applyNumberFormat="1" applyFont="1" applyFill="1" applyBorder="1" applyAlignment="1">
      <alignment horizontal="center"/>
    </xf>
    <xf numFmtId="0" fontId="8" fillId="0" borderId="0" xfId="0" applyFont="1" applyAlignment="1"/>
    <xf numFmtId="0" fontId="9" fillId="9" borderId="0" xfId="0" applyFont="1" applyFill="1" applyAlignment="1"/>
    <xf numFmtId="0" fontId="8" fillId="0" borderId="0" xfId="0" applyFont="1"/>
    <xf numFmtId="44" fontId="4" fillId="6" borderId="2" xfId="0" applyNumberFormat="1" applyFont="1" applyFill="1" applyBorder="1" applyAlignment="1"/>
    <xf numFmtId="166" fontId="2" fillId="6" borderId="2" xfId="0" applyNumberFormat="1" applyFont="1" applyFill="1" applyBorder="1" applyAlignment="1">
      <alignment horizontal="center" vertical="center"/>
    </xf>
    <xf numFmtId="3" fontId="8" fillId="6" borderId="2" xfId="0" applyNumberFormat="1" applyFont="1" applyFill="1" applyBorder="1" applyAlignment="1">
      <alignment horizontal="center"/>
    </xf>
    <xf numFmtId="3" fontId="4" fillId="2" borderId="2" xfId="0" applyNumberFormat="1" applyFont="1" applyFill="1" applyBorder="1" applyAlignment="1">
      <alignment horizontal="center" vertical="center"/>
    </xf>
    <xf numFmtId="0" fontId="4" fillId="6" borderId="2" xfId="0" applyFont="1" applyFill="1" applyBorder="1" applyAlignment="1">
      <alignment horizontal="center"/>
    </xf>
    <xf numFmtId="165" fontId="4" fillId="2" borderId="2" xfId="0" applyNumberFormat="1" applyFont="1" applyFill="1" applyBorder="1" applyAlignment="1">
      <alignment horizontal="center" vertical="center"/>
    </xf>
    <xf numFmtId="0" fontId="5" fillId="0" borderId="0" xfId="0" applyFont="1" applyAlignment="1">
      <alignment horizontal="center" vertical="center"/>
    </xf>
    <xf numFmtId="165" fontId="2" fillId="0" borderId="0" xfId="0" applyNumberFormat="1" applyFont="1"/>
    <xf numFmtId="0" fontId="10" fillId="0" borderId="0" xfId="0" applyFont="1" applyAlignment="1"/>
    <xf numFmtId="0" fontId="8" fillId="6" borderId="2" xfId="0" applyFont="1" applyFill="1" applyBorder="1"/>
    <xf numFmtId="0" fontId="11" fillId="0" borderId="0" xfId="0" applyFont="1"/>
    <xf numFmtId="0" fontId="13" fillId="2" borderId="2" xfId="0" applyFont="1" applyFill="1" applyBorder="1" applyAlignment="1"/>
    <xf numFmtId="0" fontId="11" fillId="0" borderId="0" xfId="0" applyFont="1" applyAlignment="1"/>
    <xf numFmtId="0" fontId="11" fillId="0" borderId="12" xfId="0" applyFont="1" applyBorder="1" applyAlignment="1"/>
    <xf numFmtId="0" fontId="13" fillId="2" borderId="2" xfId="0" applyFont="1" applyFill="1" applyBorder="1" applyAlignment="1">
      <alignment horizontal="right"/>
    </xf>
    <xf numFmtId="0" fontId="12" fillId="2" borderId="13" xfId="0" applyFont="1" applyFill="1" applyBorder="1" applyAlignment="1"/>
    <xf numFmtId="0" fontId="14" fillId="6" borderId="2" xfId="0" applyFont="1" applyFill="1" applyBorder="1" applyAlignment="1"/>
    <xf numFmtId="0" fontId="14" fillId="6" borderId="2" xfId="0" applyFont="1" applyFill="1" applyBorder="1" applyAlignment="1">
      <alignment horizontal="right"/>
    </xf>
    <xf numFmtId="0" fontId="14" fillId="6" borderId="14" xfId="0" applyFont="1" applyFill="1" applyBorder="1" applyAlignment="1">
      <alignment horizontal="right"/>
    </xf>
    <xf numFmtId="0" fontId="11" fillId="6" borderId="2" xfId="0" applyFont="1" applyFill="1" applyBorder="1" applyAlignment="1"/>
    <xf numFmtId="0" fontId="14" fillId="6" borderId="15" xfId="0" applyFont="1" applyFill="1" applyBorder="1" applyAlignment="1">
      <alignment horizontal="right"/>
    </xf>
    <xf numFmtId="0" fontId="12" fillId="2" borderId="0" xfId="0" applyFont="1" applyFill="1" applyAlignment="1"/>
    <xf numFmtId="0" fontId="13" fillId="2" borderId="0" xfId="0" applyFont="1" applyFill="1" applyAlignment="1">
      <alignment horizontal="right"/>
    </xf>
    <xf numFmtId="0" fontId="12" fillId="2" borderId="0" xfId="0" applyFont="1" applyFill="1" applyAlignment="1"/>
    <xf numFmtId="0" fontId="12" fillId="2" borderId="0" xfId="0" applyFont="1" applyFill="1" applyAlignment="1">
      <alignment horizontal="left"/>
    </xf>
    <xf numFmtId="0" fontId="12" fillId="0" borderId="0" xfId="0" applyFont="1" applyAlignment="1"/>
    <xf numFmtId="0" fontId="12" fillId="2" borderId="2" xfId="0" applyFont="1" applyFill="1" applyBorder="1" applyAlignment="1"/>
    <xf numFmtId="0" fontId="11" fillId="6" borderId="2" xfId="0" applyFont="1" applyFill="1" applyBorder="1" applyAlignment="1">
      <alignment horizontal="right"/>
    </xf>
    <xf numFmtId="3" fontId="11" fillId="6" borderId="2" xfId="0" applyNumberFormat="1" applyFont="1" applyFill="1" applyBorder="1" applyAlignment="1">
      <alignment horizontal="right"/>
    </xf>
    <xf numFmtId="0" fontId="11" fillId="0" borderId="7" xfId="0" applyFont="1" applyBorder="1" applyAlignment="1"/>
    <xf numFmtId="10" fontId="11" fillId="6" borderId="2" xfId="0" applyNumberFormat="1" applyFont="1" applyFill="1" applyBorder="1" applyAlignment="1">
      <alignment horizontal="right"/>
    </xf>
    <xf numFmtId="165" fontId="11" fillId="0" borderId="0" xfId="0" applyNumberFormat="1" applyFont="1" applyAlignment="1">
      <alignment horizontal="right"/>
    </xf>
    <xf numFmtId="9" fontId="11" fillId="0" borderId="0" xfId="0" applyNumberFormat="1" applyFont="1" applyAlignment="1"/>
    <xf numFmtId="0" fontId="13" fillId="2" borderId="2" xfId="0" applyFont="1" applyFill="1" applyBorder="1" applyAlignment="1"/>
    <xf numFmtId="9" fontId="13" fillId="2" borderId="2" xfId="0" applyNumberFormat="1" applyFont="1" applyFill="1" applyBorder="1" applyAlignment="1"/>
    <xf numFmtId="9" fontId="14" fillId="0" borderId="14" xfId="0" applyNumberFormat="1" applyFont="1" applyBorder="1" applyAlignment="1">
      <alignment horizontal="center"/>
    </xf>
    <xf numFmtId="0" fontId="13" fillId="2" borderId="2" xfId="0" applyFont="1" applyFill="1" applyBorder="1" applyAlignment="1"/>
    <xf numFmtId="9" fontId="14" fillId="0" borderId="0" xfId="0" applyNumberFormat="1" applyFont="1" applyAlignment="1">
      <alignment horizontal="center"/>
    </xf>
    <xf numFmtId="0" fontId="14" fillId="6" borderId="2" xfId="0" applyFont="1" applyFill="1" applyBorder="1" applyAlignment="1"/>
    <xf numFmtId="0" fontId="14" fillId="6" borderId="2" xfId="0" applyFont="1" applyFill="1" applyBorder="1" applyAlignment="1">
      <alignment horizontal="right"/>
    </xf>
    <xf numFmtId="10" fontId="14" fillId="6" borderId="2" xfId="0" applyNumberFormat="1" applyFont="1" applyFill="1" applyBorder="1" applyAlignment="1">
      <alignment horizontal="right"/>
    </xf>
    <xf numFmtId="0" fontId="14" fillId="0" borderId="0" xfId="0" applyFont="1" applyAlignment="1"/>
    <xf numFmtId="9" fontId="14" fillId="0" borderId="0" xfId="0" applyNumberFormat="1" applyFont="1" applyAlignment="1"/>
    <xf numFmtId="0" fontId="13" fillId="2" borderId="0" xfId="0" applyFont="1" applyFill="1" applyAlignment="1"/>
    <xf numFmtId="10" fontId="13" fillId="2" borderId="0" xfId="0" applyNumberFormat="1" applyFont="1" applyFill="1" applyAlignment="1">
      <alignment horizontal="right"/>
    </xf>
    <xf numFmtId="0" fontId="11" fillId="0" borderId="16" xfId="0" applyFont="1" applyBorder="1" applyAlignment="1">
      <alignment horizontal="center"/>
    </xf>
    <xf numFmtId="9" fontId="14" fillId="0" borderId="16" xfId="0" applyNumberFormat="1" applyFont="1" applyBorder="1" applyAlignment="1">
      <alignment horizontal="center"/>
    </xf>
    <xf numFmtId="0" fontId="11" fillId="0" borderId="17" xfId="0" applyFont="1" applyBorder="1"/>
    <xf numFmtId="9" fontId="13" fillId="2" borderId="2" xfId="0" applyNumberFormat="1" applyFont="1" applyFill="1" applyBorder="1" applyAlignment="1"/>
    <xf numFmtId="0" fontId="6" fillId="0" borderId="13" xfId="0" applyFont="1" applyBorder="1"/>
    <xf numFmtId="0" fontId="11" fillId="6" borderId="15" xfId="0" applyFont="1" applyFill="1" applyBorder="1" applyAlignment="1"/>
    <xf numFmtId="0" fontId="12" fillId="2" borderId="0" xfId="0" applyFont="1" applyFill="1" applyAlignment="1"/>
    <xf numFmtId="0" fontId="13" fillId="0" borderId="14" xfId="0" applyFont="1" applyBorder="1" applyAlignment="1"/>
    <xf numFmtId="0" fontId="13" fillId="0" borderId="0" xfId="0" applyFont="1" applyAlignment="1"/>
    <xf numFmtId="0" fontId="14" fillId="0" borderId="16" xfId="0" applyFont="1" applyBorder="1" applyAlignment="1"/>
    <xf numFmtId="0" fontId="13" fillId="0" borderId="16" xfId="0" applyFont="1" applyBorder="1" applyAlignment="1"/>
    <xf numFmtId="10" fontId="13" fillId="0" borderId="16" xfId="0" applyNumberFormat="1" applyFont="1" applyBorder="1" applyAlignment="1">
      <alignment horizontal="right"/>
    </xf>
    <xf numFmtId="0" fontId="13" fillId="0" borderId="16" xfId="0" applyFont="1" applyBorder="1" applyAlignment="1"/>
    <xf numFmtId="9" fontId="12" fillId="2" borderId="2" xfId="0" applyNumberFormat="1" applyFont="1" applyFill="1" applyBorder="1" applyAlignment="1"/>
    <xf numFmtId="9" fontId="14" fillId="6" borderId="2" xfId="0" applyNumberFormat="1" applyFont="1" applyFill="1" applyBorder="1" applyAlignment="1">
      <alignment horizontal="right"/>
    </xf>
    <xf numFmtId="0" fontId="12" fillId="2" borderId="18" xfId="0" applyFont="1" applyFill="1" applyBorder="1" applyAlignment="1"/>
    <xf numFmtId="0" fontId="12" fillId="2" borderId="19" xfId="0" applyFont="1" applyFill="1" applyBorder="1" applyAlignment="1">
      <alignment horizontal="center"/>
    </xf>
    <xf numFmtId="165" fontId="12" fillId="2" borderId="19" xfId="0" applyNumberFormat="1" applyFont="1" applyFill="1" applyBorder="1" applyAlignment="1">
      <alignment horizontal="center" vertical="center"/>
    </xf>
    <xf numFmtId="0" fontId="12" fillId="2" borderId="19" xfId="0" applyFont="1" applyFill="1" applyBorder="1" applyAlignment="1">
      <alignment horizontal="center" vertical="center"/>
    </xf>
    <xf numFmtId="0" fontId="12" fillId="2" borderId="20" xfId="0" applyFont="1" applyFill="1" applyBorder="1" applyAlignment="1">
      <alignment horizontal="center" vertical="center"/>
    </xf>
    <xf numFmtId="0" fontId="11" fillId="0" borderId="0" xfId="0" applyFont="1" applyAlignment="1">
      <alignment horizontal="left"/>
    </xf>
    <xf numFmtId="0" fontId="11" fillId="2" borderId="21" xfId="0" applyFont="1" applyFill="1" applyBorder="1" applyAlignment="1"/>
    <xf numFmtId="0" fontId="14" fillId="0" borderId="0" xfId="0" applyFont="1" applyAlignment="1">
      <alignment horizontal="left"/>
    </xf>
    <xf numFmtId="0" fontId="11" fillId="2" borderId="0" xfId="0" applyFont="1" applyFill="1" applyAlignment="1"/>
    <xf numFmtId="0" fontId="14" fillId="0" borderId="0" xfId="0" applyFont="1"/>
    <xf numFmtId="0" fontId="11" fillId="2" borderId="0" xfId="0" applyFont="1" applyFill="1"/>
    <xf numFmtId="0" fontId="12" fillId="0" borderId="0" xfId="0" applyFont="1" applyAlignment="1">
      <alignment horizontal="center"/>
    </xf>
    <xf numFmtId="165" fontId="12" fillId="0" borderId="0" xfId="0" applyNumberFormat="1" applyFont="1" applyAlignment="1">
      <alignment horizontal="center" vertical="center"/>
    </xf>
    <xf numFmtId="0" fontId="12" fillId="0" borderId="0" xfId="0" applyFont="1" applyAlignment="1">
      <alignment horizontal="center" vertical="center"/>
    </xf>
    <xf numFmtId="168" fontId="12" fillId="0" borderId="0" xfId="0" applyNumberFormat="1" applyFont="1" applyAlignment="1">
      <alignment horizontal="center" vertical="center"/>
    </xf>
    <xf numFmtId="0" fontId="11" fillId="0" borderId="21" xfId="0" applyFont="1" applyBorder="1" applyAlignment="1"/>
    <xf numFmtId="0" fontId="12" fillId="7" borderId="0" xfId="0" applyFont="1" applyFill="1" applyAlignment="1"/>
    <xf numFmtId="0" fontId="11" fillId="7" borderId="0" xfId="0" applyFont="1" applyFill="1" applyAlignment="1">
      <alignment horizontal="right"/>
    </xf>
    <xf numFmtId="0" fontId="12" fillId="2" borderId="0" xfId="0" applyFont="1" applyFill="1" applyAlignment="1">
      <alignment horizontal="center" vertical="center"/>
    </xf>
    <xf numFmtId="0" fontId="11" fillId="10" borderId="0" xfId="0" applyFont="1" applyFill="1" applyAlignment="1"/>
    <xf numFmtId="169" fontId="13" fillId="2" borderId="2" xfId="0" applyNumberFormat="1" applyFont="1" applyFill="1" applyBorder="1" applyAlignment="1">
      <alignment horizontal="center" vertical="center"/>
    </xf>
    <xf numFmtId="0" fontId="11" fillId="2" borderId="0" xfId="0" applyFont="1" applyFill="1" applyAlignment="1">
      <alignment horizontal="center" vertical="center"/>
    </xf>
    <xf numFmtId="0" fontId="11" fillId="0" borderId="0" xfId="0" applyFont="1" applyAlignment="1">
      <alignment horizontal="center" vertical="center"/>
    </xf>
    <xf numFmtId="0" fontId="13" fillId="2" borderId="1" xfId="0" applyFont="1" applyFill="1" applyBorder="1" applyAlignment="1">
      <alignment horizontal="center" vertical="center"/>
    </xf>
    <xf numFmtId="169" fontId="13" fillId="2" borderId="1" xfId="0" applyNumberFormat="1" applyFont="1" applyFill="1" applyBorder="1" applyAlignment="1">
      <alignment horizontal="center" vertical="center"/>
    </xf>
    <xf numFmtId="10" fontId="13" fillId="2" borderId="1" xfId="0" applyNumberFormat="1" applyFont="1" applyFill="1" applyBorder="1" applyAlignment="1">
      <alignment horizontal="center" vertical="center"/>
    </xf>
    <xf numFmtId="0" fontId="11" fillId="11" borderId="0" xfId="0" applyFont="1" applyFill="1" applyAlignment="1"/>
    <xf numFmtId="0" fontId="12" fillId="2" borderId="0" xfId="0" applyFont="1" applyFill="1" applyAlignment="1">
      <alignment horizontal="center" vertical="center"/>
    </xf>
    <xf numFmtId="0" fontId="11" fillId="0" borderId="21" xfId="0" applyFont="1" applyBorder="1" applyAlignment="1"/>
    <xf numFmtId="0" fontId="11" fillId="0" borderId="0" xfId="0" applyFont="1" applyAlignment="1">
      <alignment horizontal="center" vertical="center" wrapText="1"/>
    </xf>
    <xf numFmtId="0" fontId="12" fillId="7" borderId="0" xfId="0" applyFont="1" applyFill="1" applyAlignment="1"/>
    <xf numFmtId="0" fontId="13" fillId="6" borderId="9" xfId="0" applyFont="1" applyFill="1" applyBorder="1" applyAlignment="1">
      <alignment horizontal="center" vertical="center"/>
    </xf>
    <xf numFmtId="0" fontId="13" fillId="7" borderId="0" xfId="0" applyFont="1" applyFill="1" applyAlignment="1">
      <alignment horizontal="right"/>
    </xf>
    <xf numFmtId="169" fontId="12" fillId="6" borderId="9" xfId="0" applyNumberFormat="1" applyFont="1" applyFill="1" applyBorder="1" applyAlignment="1">
      <alignment horizontal="center" vertical="center"/>
    </xf>
    <xf numFmtId="165" fontId="11" fillId="7" borderId="0" xfId="0" applyNumberFormat="1" applyFont="1" applyFill="1" applyAlignment="1">
      <alignment horizontal="right"/>
    </xf>
    <xf numFmtId="164" fontId="13" fillId="6" borderId="9" xfId="0" applyNumberFormat="1" applyFont="1" applyFill="1" applyBorder="1" applyAlignment="1">
      <alignment horizontal="center" vertical="center"/>
    </xf>
    <xf numFmtId="3" fontId="12" fillId="6" borderId="0" xfId="0" applyNumberFormat="1" applyFont="1" applyFill="1" applyAlignment="1">
      <alignment horizontal="center" vertical="center"/>
    </xf>
    <xf numFmtId="165" fontId="11" fillId="0" borderId="21" xfId="0" applyNumberFormat="1" applyFont="1" applyBorder="1" applyAlignment="1">
      <alignment horizontal="right"/>
    </xf>
    <xf numFmtId="9" fontId="12" fillId="6" borderId="0" xfId="0" applyNumberFormat="1" applyFont="1" applyFill="1" applyAlignment="1">
      <alignment horizontal="center" vertical="center"/>
    </xf>
    <xf numFmtId="0" fontId="13" fillId="0" borderId="0" xfId="0" applyFont="1" applyAlignment="1">
      <alignment horizontal="center" vertical="center" wrapText="1"/>
    </xf>
    <xf numFmtId="0" fontId="12" fillId="0" borderId="0" xfId="0" applyFont="1" applyAlignment="1">
      <alignment horizontal="center" vertical="center" wrapText="1"/>
    </xf>
    <xf numFmtId="0" fontId="14" fillId="6" borderId="2" xfId="0" applyFont="1" applyFill="1" applyBorder="1" applyAlignment="1">
      <alignment horizontal="center" vertical="center"/>
    </xf>
    <xf numFmtId="169" fontId="11" fillId="6" borderId="2" xfId="0" applyNumberFormat="1" applyFont="1" applyFill="1" applyBorder="1" applyAlignment="1">
      <alignment horizontal="center" vertical="center"/>
    </xf>
    <xf numFmtId="164" fontId="14" fillId="6" borderId="2" xfId="0" applyNumberFormat="1" applyFont="1" applyFill="1" applyBorder="1" applyAlignment="1">
      <alignment horizontal="center" vertical="center"/>
    </xf>
    <xf numFmtId="3" fontId="13" fillId="6" borderId="0" xfId="0" applyNumberFormat="1" applyFont="1" applyFill="1" applyAlignment="1">
      <alignment horizontal="center" vertical="center"/>
    </xf>
    <xf numFmtId="0" fontId="12" fillId="6" borderId="0" xfId="0" applyFont="1" applyFill="1" applyAlignment="1">
      <alignment horizontal="center" vertical="center"/>
    </xf>
    <xf numFmtId="1" fontId="11" fillId="0" borderId="0" xfId="0" applyNumberFormat="1" applyFont="1" applyAlignment="1">
      <alignment horizontal="center" vertical="center" wrapText="1"/>
    </xf>
    <xf numFmtId="169" fontId="11" fillId="0" borderId="0" xfId="0" applyNumberFormat="1" applyFont="1" applyAlignment="1">
      <alignment horizontal="center" vertical="center" wrapText="1"/>
    </xf>
    <xf numFmtId="0" fontId="14" fillId="0" borderId="0" xfId="0" applyFont="1" applyAlignment="1">
      <alignment horizontal="center" vertical="center"/>
    </xf>
    <xf numFmtId="170" fontId="11" fillId="0" borderId="0" xfId="0" applyNumberFormat="1" applyFont="1" applyAlignment="1">
      <alignment horizontal="center" vertical="center" wrapText="1"/>
    </xf>
    <xf numFmtId="165" fontId="11" fillId="0" borderId="0" xfId="0" applyNumberFormat="1" applyFont="1" applyAlignment="1">
      <alignment horizontal="center" vertical="center" wrapText="1"/>
    </xf>
    <xf numFmtId="0" fontId="16" fillId="7" borderId="0" xfId="0" applyFont="1" applyFill="1" applyAlignment="1"/>
    <xf numFmtId="0" fontId="14" fillId="6" borderId="10" xfId="0" applyFont="1" applyFill="1" applyBorder="1" applyAlignment="1">
      <alignment horizontal="center" vertical="center"/>
    </xf>
    <xf numFmtId="169" fontId="11" fillId="6" borderId="10" xfId="0" applyNumberFormat="1" applyFont="1" applyFill="1" applyBorder="1" applyAlignment="1">
      <alignment horizontal="center" vertical="center"/>
    </xf>
    <xf numFmtId="164" fontId="14" fillId="6" borderId="10" xfId="0" applyNumberFormat="1" applyFont="1" applyFill="1" applyBorder="1" applyAlignment="1">
      <alignment horizontal="center" vertical="center"/>
    </xf>
    <xf numFmtId="0" fontId="18" fillId="0" borderId="0" xfId="0" applyFont="1" applyAlignment="1">
      <alignment horizontal="center" vertical="center" wrapText="1"/>
    </xf>
    <xf numFmtId="0" fontId="13" fillId="0" borderId="0" xfId="0" applyFont="1" applyAlignment="1">
      <alignment horizontal="center" vertical="center"/>
    </xf>
    <xf numFmtId="10" fontId="14" fillId="0" borderId="0" xfId="0" applyNumberFormat="1" applyFont="1"/>
    <xf numFmtId="10" fontId="12" fillId="0" borderId="0" xfId="0" applyNumberFormat="1" applyFont="1" applyAlignment="1">
      <alignment horizontal="center" vertical="center"/>
    </xf>
    <xf numFmtId="170" fontId="11" fillId="0" borderId="0" xfId="0" applyNumberFormat="1" applyFont="1" applyAlignment="1">
      <alignment horizontal="center" vertical="center"/>
    </xf>
    <xf numFmtId="168" fontId="14" fillId="0" borderId="0" xfId="0" applyNumberFormat="1" applyFont="1"/>
    <xf numFmtId="0" fontId="11" fillId="12" borderId="0" xfId="0" applyFont="1" applyFill="1" applyAlignment="1"/>
    <xf numFmtId="0" fontId="11" fillId="6" borderId="7" xfId="0" applyFont="1" applyFill="1" applyBorder="1" applyAlignment="1">
      <alignment horizontal="center" vertical="center"/>
    </xf>
    <xf numFmtId="0" fontId="1" fillId="0" borderId="0" xfId="0" applyFont="1" applyAlignment="1">
      <alignment horizontal="right"/>
    </xf>
    <xf numFmtId="164" fontId="11" fillId="6" borderId="13" xfId="0" applyNumberFormat="1" applyFont="1" applyFill="1" applyBorder="1" applyAlignment="1">
      <alignment horizontal="center" vertical="center"/>
    </xf>
    <xf numFmtId="0" fontId="12" fillId="6" borderId="0" xfId="0" applyFont="1" applyFill="1" applyAlignment="1">
      <alignment horizontal="center" vertical="center"/>
    </xf>
    <xf numFmtId="169" fontId="13" fillId="0" borderId="0" xfId="0" applyNumberFormat="1" applyFont="1" applyAlignment="1">
      <alignment horizontal="center" vertical="center" wrapText="1"/>
    </xf>
    <xf numFmtId="165" fontId="1" fillId="0" borderId="0" xfId="0" applyNumberFormat="1" applyFont="1" applyAlignment="1">
      <alignment horizontal="right"/>
    </xf>
    <xf numFmtId="170" fontId="12" fillId="0" borderId="0" xfId="0" applyNumberFormat="1" applyFont="1" applyAlignment="1">
      <alignment horizontal="center" vertical="center" wrapText="1"/>
    </xf>
    <xf numFmtId="164" fontId="11" fillId="0" borderId="0" xfId="0" applyNumberFormat="1" applyFont="1"/>
    <xf numFmtId="0" fontId="11" fillId="6" borderId="22" xfId="0" applyFont="1" applyFill="1" applyBorder="1" applyAlignment="1">
      <alignment horizontal="center" vertical="center"/>
    </xf>
    <xf numFmtId="0" fontId="11" fillId="7" borderId="0" xfId="0" applyFont="1" applyFill="1" applyAlignment="1"/>
    <xf numFmtId="169" fontId="11" fillId="6" borderId="8" xfId="0" applyNumberFormat="1" applyFont="1" applyFill="1" applyBorder="1" applyAlignment="1">
      <alignment horizontal="center" vertical="center"/>
    </xf>
    <xf numFmtId="164" fontId="11" fillId="6" borderId="23" xfId="0" applyNumberFormat="1" applyFont="1" applyFill="1" applyBorder="1" applyAlignment="1">
      <alignment horizontal="center" vertical="center"/>
    </xf>
    <xf numFmtId="168" fontId="11" fillId="0" borderId="0" xfId="0" applyNumberFormat="1" applyFont="1"/>
    <xf numFmtId="0" fontId="11" fillId="7" borderId="0" xfId="0" applyFont="1" applyFill="1" applyAlignment="1"/>
    <xf numFmtId="0" fontId="11" fillId="7" borderId="0" xfId="0" applyFont="1" applyFill="1"/>
    <xf numFmtId="0" fontId="19" fillId="7" borderId="0" xfId="0" applyFont="1" applyFill="1"/>
    <xf numFmtId="0" fontId="19" fillId="0" borderId="0" xfId="0" applyFont="1"/>
    <xf numFmtId="0" fontId="13" fillId="6" borderId="24" xfId="0" applyFont="1" applyFill="1" applyBorder="1" applyAlignment="1">
      <alignment horizontal="center" vertical="center"/>
    </xf>
    <xf numFmtId="169" fontId="12" fillId="6" borderId="24" xfId="0" applyNumberFormat="1" applyFont="1" applyFill="1" applyBorder="1" applyAlignment="1">
      <alignment horizontal="center" vertical="center"/>
    </xf>
    <xf numFmtId="164" fontId="13" fillId="6" borderId="24" xfId="0" applyNumberFormat="1" applyFont="1" applyFill="1" applyBorder="1" applyAlignment="1">
      <alignment horizontal="center" vertical="center"/>
    </xf>
    <xf numFmtId="10" fontId="12" fillId="7" borderId="0" xfId="0" applyNumberFormat="1" applyFont="1" applyFill="1" applyAlignment="1"/>
    <xf numFmtId="3" fontId="12" fillId="2" borderId="0" xfId="0" applyNumberFormat="1" applyFont="1" applyFill="1" applyAlignment="1">
      <alignment horizontal="center" vertical="center"/>
    </xf>
    <xf numFmtId="0" fontId="11" fillId="7" borderId="0" xfId="0" applyFont="1" applyFill="1" applyAlignment="1"/>
    <xf numFmtId="10" fontId="14" fillId="0" borderId="0" xfId="0" applyNumberFormat="1" applyFont="1" applyAlignment="1">
      <alignment horizontal="center" vertical="center"/>
    </xf>
    <xf numFmtId="0" fontId="1" fillId="7" borderId="0" xfId="0" applyFont="1" applyFill="1"/>
    <xf numFmtId="9" fontId="14" fillId="0" borderId="0" xfId="0" applyNumberFormat="1" applyFont="1" applyAlignment="1">
      <alignment horizontal="center" vertical="center"/>
    </xf>
    <xf numFmtId="0" fontId="20" fillId="0" borderId="0" xfId="0" applyFont="1" applyAlignment="1">
      <alignment horizontal="center" vertical="center" wrapText="1"/>
    </xf>
    <xf numFmtId="0" fontId="11" fillId="5" borderId="0" xfId="0" applyFont="1" applyFill="1" applyAlignment="1"/>
    <xf numFmtId="0" fontId="12" fillId="0" borderId="25" xfId="0" applyFont="1" applyBorder="1" applyAlignment="1">
      <alignment horizontal="center"/>
    </xf>
    <xf numFmtId="10" fontId="14" fillId="6" borderId="10" xfId="0" applyNumberFormat="1" applyFont="1" applyFill="1" applyBorder="1" applyAlignment="1">
      <alignment horizontal="center" vertical="center"/>
    </xf>
    <xf numFmtId="0" fontId="11" fillId="0" borderId="25" xfId="0" applyFont="1" applyBorder="1" applyAlignment="1"/>
    <xf numFmtId="0" fontId="12" fillId="0" borderId="25" xfId="0" applyFont="1" applyBorder="1" applyAlignment="1">
      <alignment horizontal="center" vertical="center"/>
    </xf>
    <xf numFmtId="164" fontId="14" fillId="0" borderId="0" xfId="0" applyNumberFormat="1" applyFont="1" applyAlignment="1">
      <alignment horizontal="center" vertical="center"/>
    </xf>
    <xf numFmtId="0" fontId="14" fillId="6" borderId="9" xfId="0" applyFont="1" applyFill="1" applyBorder="1" applyAlignment="1">
      <alignment horizontal="center" vertical="center"/>
    </xf>
    <xf numFmtId="0" fontId="11" fillId="0" borderId="26" xfId="0" applyFont="1" applyBorder="1" applyAlignment="1"/>
    <xf numFmtId="169" fontId="11" fillId="6" borderId="9" xfId="0" applyNumberFormat="1" applyFont="1" applyFill="1" applyBorder="1" applyAlignment="1">
      <alignment horizontal="center" vertical="center"/>
    </xf>
    <xf numFmtId="0" fontId="11" fillId="0" borderId="22" xfId="0" applyFont="1" applyBorder="1" applyAlignment="1"/>
    <xf numFmtId="164" fontId="14" fillId="6" borderId="9" xfId="0" applyNumberFormat="1" applyFont="1" applyFill="1" applyBorder="1" applyAlignment="1">
      <alignment horizontal="center" vertical="center"/>
    </xf>
    <xf numFmtId="0" fontId="11" fillId="0" borderId="22" xfId="0" applyFont="1" applyBorder="1"/>
    <xf numFmtId="165" fontId="12" fillId="0" borderId="0" xfId="0" applyNumberFormat="1" applyFont="1" applyAlignment="1">
      <alignment horizontal="center"/>
    </xf>
    <xf numFmtId="0" fontId="11" fillId="13" borderId="0" xfId="0" applyFont="1" applyFill="1" applyAlignment="1"/>
    <xf numFmtId="0" fontId="11" fillId="13" borderId="7" xfId="0" applyFont="1" applyFill="1" applyBorder="1" applyAlignment="1"/>
    <xf numFmtId="0" fontId="11" fillId="6" borderId="0" xfId="0" applyFont="1" applyFill="1" applyAlignment="1">
      <alignment horizontal="center" vertical="center"/>
    </xf>
    <xf numFmtId="0" fontId="11" fillId="6" borderId="0" xfId="0" applyFont="1" applyFill="1" applyAlignment="1">
      <alignment horizontal="center" vertical="center"/>
    </xf>
    <xf numFmtId="0" fontId="12" fillId="0" borderId="7" xfId="0" applyFont="1" applyBorder="1" applyAlignment="1">
      <alignment horizontal="center" vertical="center"/>
    </xf>
    <xf numFmtId="0" fontId="12" fillId="0" borderId="20" xfId="0" applyFont="1" applyBorder="1" applyAlignment="1">
      <alignment horizontal="center"/>
    </xf>
    <xf numFmtId="0" fontId="14" fillId="6" borderId="27" xfId="0" applyFont="1" applyFill="1" applyBorder="1" applyAlignment="1">
      <alignment horizontal="center" vertical="center"/>
    </xf>
    <xf numFmtId="0" fontId="11" fillId="0" borderId="20" xfId="0" applyFont="1" applyBorder="1" applyAlignment="1"/>
    <xf numFmtId="169" fontId="11" fillId="6" borderId="27" xfId="0" applyNumberFormat="1" applyFont="1" applyFill="1" applyBorder="1" applyAlignment="1">
      <alignment horizontal="center" vertical="center"/>
    </xf>
    <xf numFmtId="164" fontId="14" fillId="6" borderId="27" xfId="0" applyNumberFormat="1" applyFont="1" applyFill="1" applyBorder="1" applyAlignment="1">
      <alignment horizontal="center" vertical="center"/>
    </xf>
    <xf numFmtId="0" fontId="12" fillId="0" borderId="20" xfId="0" applyFont="1" applyBorder="1" applyAlignment="1">
      <alignment horizontal="center" vertical="center"/>
    </xf>
    <xf numFmtId="0" fontId="13" fillId="2" borderId="2" xfId="0" applyFont="1" applyFill="1" applyBorder="1" applyAlignment="1">
      <alignment horizontal="center" vertical="center"/>
    </xf>
    <xf numFmtId="168" fontId="12" fillId="0" borderId="20" xfId="0" applyNumberFormat="1" applyFont="1" applyBorder="1" applyAlignment="1">
      <alignment horizontal="center" vertical="center"/>
    </xf>
    <xf numFmtId="0" fontId="14" fillId="2" borderId="2" xfId="0" applyFont="1" applyFill="1" applyBorder="1" applyAlignment="1">
      <alignment horizontal="center" vertical="center"/>
    </xf>
    <xf numFmtId="0" fontId="12" fillId="0" borderId="28" xfId="0" applyFont="1" applyBorder="1" applyAlignment="1">
      <alignment horizontal="center"/>
    </xf>
    <xf numFmtId="0" fontId="13" fillId="6" borderId="27" xfId="0" applyFont="1" applyFill="1" applyBorder="1" applyAlignment="1">
      <alignment horizontal="center" vertical="center"/>
    </xf>
    <xf numFmtId="0" fontId="11" fillId="0" borderId="28" xfId="0" applyFont="1" applyBorder="1" applyAlignment="1"/>
    <xf numFmtId="169" fontId="12" fillId="6" borderId="27" xfId="0" applyNumberFormat="1" applyFont="1" applyFill="1" applyBorder="1" applyAlignment="1">
      <alignment horizontal="center" vertical="center"/>
    </xf>
    <xf numFmtId="0" fontId="12" fillId="0" borderId="28" xfId="0" applyFont="1" applyBorder="1" applyAlignment="1">
      <alignment horizontal="center" vertical="center"/>
    </xf>
    <xf numFmtId="164" fontId="13" fillId="6" borderId="27" xfId="0" applyNumberFormat="1" applyFont="1" applyFill="1" applyBorder="1" applyAlignment="1">
      <alignment horizontal="center" vertical="center"/>
    </xf>
    <xf numFmtId="0" fontId="14" fillId="6" borderId="2" xfId="0" applyFont="1" applyFill="1" applyBorder="1" applyAlignment="1">
      <alignment horizontal="center" vertical="center"/>
    </xf>
    <xf numFmtId="164" fontId="13" fillId="6" borderId="2" xfId="0" applyNumberFormat="1" applyFont="1" applyFill="1" applyBorder="1" applyAlignment="1">
      <alignment horizontal="center" vertical="center"/>
    </xf>
    <xf numFmtId="0" fontId="11" fillId="0" borderId="29" xfId="0" applyFont="1" applyBorder="1" applyAlignment="1"/>
    <xf numFmtId="0" fontId="13" fillId="6" borderId="9" xfId="0" applyFont="1" applyFill="1" applyBorder="1" applyAlignment="1">
      <alignment horizontal="center" vertical="center"/>
    </xf>
    <xf numFmtId="0" fontId="11" fillId="0" borderId="28" xfId="0" applyFont="1" applyBorder="1"/>
    <xf numFmtId="164" fontId="13" fillId="6" borderId="9" xfId="0" applyNumberFormat="1" applyFont="1" applyFill="1" applyBorder="1" applyAlignment="1">
      <alignment horizontal="center" vertical="center"/>
    </xf>
    <xf numFmtId="0" fontId="11" fillId="14" borderId="0" xfId="0" applyFont="1" applyFill="1" applyAlignment="1"/>
    <xf numFmtId="0" fontId="13" fillId="6" borderId="2" xfId="0" applyFont="1" applyFill="1" applyBorder="1" applyAlignment="1">
      <alignment horizontal="center" vertical="center"/>
    </xf>
    <xf numFmtId="165" fontId="12" fillId="14" borderId="0" xfId="0" applyNumberFormat="1" applyFont="1" applyFill="1" applyAlignment="1">
      <alignment horizontal="center" vertical="center"/>
    </xf>
    <xf numFmtId="9" fontId="14" fillId="6" borderId="2" xfId="0" applyNumberFormat="1" applyFont="1" applyFill="1" applyBorder="1" applyAlignment="1">
      <alignment horizontal="center" vertical="center"/>
    </xf>
    <xf numFmtId="0" fontId="12" fillId="14" borderId="0" xfId="0" applyFont="1" applyFill="1" applyAlignment="1">
      <alignment horizontal="center" vertical="center"/>
    </xf>
    <xf numFmtId="168" fontId="12" fillId="14" borderId="0" xfId="0" applyNumberFormat="1" applyFont="1" applyFill="1" applyAlignment="1">
      <alignment horizontal="center" vertical="center"/>
    </xf>
    <xf numFmtId="0" fontId="11" fillId="14" borderId="21" xfId="0" applyFont="1" applyFill="1" applyBorder="1" applyAlignment="1"/>
    <xf numFmtId="0" fontId="11" fillId="14" borderId="0" xfId="0" applyFont="1" applyFill="1"/>
    <xf numFmtId="0" fontId="13" fillId="2" borderId="30" xfId="0" applyFont="1" applyFill="1" applyBorder="1" applyAlignment="1">
      <alignment horizontal="center" vertical="center"/>
    </xf>
    <xf numFmtId="0" fontId="12" fillId="2" borderId="31" xfId="0" applyFont="1" applyFill="1" applyBorder="1" applyAlignment="1"/>
    <xf numFmtId="169" fontId="21" fillId="2" borderId="30" xfId="0" applyNumberFormat="1" applyFont="1" applyFill="1" applyBorder="1" applyAlignment="1">
      <alignment horizontal="center" vertical="center"/>
    </xf>
    <xf numFmtId="0" fontId="12" fillId="2" borderId="31" xfId="0" applyFont="1" applyFill="1" applyBorder="1" applyAlignment="1">
      <alignment horizontal="center"/>
    </xf>
    <xf numFmtId="165" fontId="12" fillId="2" borderId="31" xfId="0" applyNumberFormat="1" applyFont="1" applyFill="1" applyBorder="1" applyAlignment="1">
      <alignment horizontal="center" vertical="center"/>
    </xf>
    <xf numFmtId="0" fontId="13" fillId="6" borderId="2" xfId="0" applyFont="1" applyFill="1" applyBorder="1" applyAlignment="1">
      <alignment horizontal="center" vertical="center"/>
    </xf>
    <xf numFmtId="0" fontId="12" fillId="2" borderId="31" xfId="0" applyFont="1" applyFill="1" applyBorder="1" applyAlignment="1">
      <alignment horizontal="center" vertical="center"/>
    </xf>
    <xf numFmtId="164" fontId="14" fillId="6" borderId="2" xfId="0" applyNumberFormat="1" applyFont="1" applyFill="1" applyBorder="1" applyAlignment="1">
      <alignment horizontal="center" vertical="center"/>
    </xf>
    <xf numFmtId="0" fontId="12" fillId="2" borderId="32" xfId="0" applyFont="1" applyFill="1" applyBorder="1" applyAlignment="1">
      <alignment horizontal="center" vertical="center"/>
    </xf>
    <xf numFmtId="0" fontId="11" fillId="2" borderId="33" xfId="0" applyFont="1" applyFill="1" applyBorder="1" applyAlignment="1"/>
    <xf numFmtId="0" fontId="11" fillId="2" borderId="34" xfId="0" applyFont="1" applyFill="1" applyBorder="1" applyAlignment="1"/>
    <xf numFmtId="0" fontId="11" fillId="2" borderId="35" xfId="0" applyFont="1" applyFill="1" applyBorder="1" applyAlignment="1">
      <alignment horizontal="center" vertical="center"/>
    </xf>
    <xf numFmtId="0" fontId="12" fillId="2" borderId="34" xfId="0" applyFont="1" applyFill="1" applyBorder="1" applyAlignment="1"/>
    <xf numFmtId="0" fontId="11" fillId="2" borderId="36" xfId="0" applyFont="1" applyFill="1" applyBorder="1" applyAlignment="1">
      <alignment horizontal="center" vertical="center"/>
    </xf>
    <xf numFmtId="0" fontId="11" fillId="2" borderId="34" xfId="0" applyFont="1" applyFill="1" applyBorder="1"/>
    <xf numFmtId="10" fontId="11" fillId="0" borderId="0" xfId="0" applyNumberFormat="1" applyFont="1" applyAlignment="1">
      <alignment horizontal="center" vertical="center"/>
    </xf>
    <xf numFmtId="0" fontId="13" fillId="7" borderId="0" xfId="0" applyFont="1" applyFill="1" applyAlignment="1"/>
    <xf numFmtId="0" fontId="13" fillId="15" borderId="2" xfId="0" applyFont="1" applyFill="1" applyBorder="1" applyAlignment="1">
      <alignment horizontal="center" vertical="center"/>
    </xf>
    <xf numFmtId="10" fontId="13" fillId="15" borderId="2" xfId="0" applyNumberFormat="1" applyFont="1" applyFill="1" applyBorder="1" applyAlignment="1">
      <alignment horizontal="center" vertical="center"/>
    </xf>
    <xf numFmtId="0" fontId="11" fillId="6" borderId="0" xfId="0" applyFont="1" applyFill="1" applyAlignment="1">
      <alignment horizontal="center" vertical="center"/>
    </xf>
    <xf numFmtId="0" fontId="12" fillId="16" borderId="37" xfId="0" applyFont="1" applyFill="1" applyBorder="1" applyAlignment="1">
      <alignment horizontal="left" vertical="center"/>
    </xf>
    <xf numFmtId="0" fontId="11" fillId="16" borderId="38" xfId="0" applyFont="1" applyFill="1" applyBorder="1" applyAlignment="1">
      <alignment horizontal="left" vertical="center"/>
    </xf>
    <xf numFmtId="10" fontId="11" fillId="16" borderId="38" xfId="0" applyNumberFormat="1" applyFont="1" applyFill="1" applyBorder="1" applyAlignment="1">
      <alignment horizontal="left" vertical="center"/>
    </xf>
    <xf numFmtId="0" fontId="11" fillId="16" borderId="39" xfId="0" applyFont="1" applyFill="1" applyBorder="1" applyAlignment="1">
      <alignment horizontal="left" vertical="center"/>
    </xf>
    <xf numFmtId="0" fontId="16" fillId="7" borderId="0" xfId="0" applyFont="1" applyFill="1"/>
    <xf numFmtId="0" fontId="12" fillId="16" borderId="40" xfId="0" applyFont="1" applyFill="1" applyBorder="1" applyAlignment="1">
      <alignment horizontal="left" vertical="center"/>
    </xf>
    <xf numFmtId="0" fontId="11" fillId="16" borderId="7" xfId="0" applyFont="1" applyFill="1" applyBorder="1" applyAlignment="1">
      <alignment horizontal="left" vertical="center"/>
    </xf>
    <xf numFmtId="165" fontId="16" fillId="7" borderId="0" xfId="0" applyNumberFormat="1" applyFont="1" applyFill="1"/>
    <xf numFmtId="10" fontId="11" fillId="16" borderId="7" xfId="0" applyNumberFormat="1" applyFont="1" applyFill="1" applyBorder="1" applyAlignment="1">
      <alignment horizontal="left" vertical="center"/>
    </xf>
    <xf numFmtId="0" fontId="11" fillId="16" borderId="7" xfId="0" applyFont="1" applyFill="1" applyBorder="1" applyAlignment="1">
      <alignment horizontal="left" vertical="center"/>
    </xf>
    <xf numFmtId="0" fontId="11" fillId="16" borderId="41" xfId="0" applyFont="1" applyFill="1" applyBorder="1" applyAlignment="1">
      <alignment horizontal="left" vertical="center"/>
    </xf>
    <xf numFmtId="4" fontId="11" fillId="0" borderId="0" xfId="0" applyNumberFormat="1" applyFont="1" applyAlignment="1">
      <alignment horizontal="center" vertical="center"/>
    </xf>
    <xf numFmtId="0" fontId="11" fillId="0" borderId="0" xfId="0" applyFont="1" applyAlignment="1">
      <alignment horizontal="center" vertical="center"/>
    </xf>
    <xf numFmtId="0" fontId="12" fillId="16" borderId="42" xfId="0" applyFont="1" applyFill="1" applyBorder="1" applyAlignment="1">
      <alignment horizontal="left" vertical="center"/>
    </xf>
    <xf numFmtId="0" fontId="11" fillId="16" borderId="0" xfId="0" applyFont="1" applyFill="1" applyAlignment="1">
      <alignment horizontal="left" vertical="center"/>
    </xf>
    <xf numFmtId="10" fontId="11" fillId="16" borderId="0" xfId="0" applyNumberFormat="1" applyFont="1" applyFill="1" applyAlignment="1">
      <alignment horizontal="left" vertical="center"/>
    </xf>
    <xf numFmtId="0" fontId="11" fillId="16" borderId="0" xfId="0" applyFont="1" applyFill="1" applyAlignment="1">
      <alignment horizontal="left" vertical="center"/>
    </xf>
    <xf numFmtId="0" fontId="11" fillId="16" borderId="43" xfId="0" applyFont="1" applyFill="1" applyBorder="1" applyAlignment="1">
      <alignment horizontal="left" vertical="center"/>
    </xf>
    <xf numFmtId="0" fontId="12" fillId="0" borderId="7" xfId="0" applyFont="1" applyBorder="1" applyAlignment="1"/>
    <xf numFmtId="0" fontId="11" fillId="9" borderId="0" xfId="0" applyFont="1" applyFill="1" applyAlignment="1">
      <alignment horizontal="center" vertical="center"/>
    </xf>
    <xf numFmtId="0" fontId="11" fillId="5" borderId="7" xfId="0" applyFont="1" applyFill="1" applyBorder="1" applyAlignment="1"/>
    <xf numFmtId="0" fontId="11" fillId="16" borderId="42" xfId="0" applyFont="1" applyFill="1" applyBorder="1" applyAlignment="1">
      <alignment horizontal="left" vertical="center"/>
    </xf>
    <xf numFmtId="0" fontId="11" fillId="16" borderId="40" xfId="0" applyFont="1" applyFill="1" applyBorder="1" applyAlignment="1">
      <alignment horizontal="left" vertical="center"/>
    </xf>
    <xf numFmtId="9" fontId="12" fillId="0" borderId="7" xfId="0" applyNumberFormat="1" applyFont="1" applyBorder="1" applyAlignment="1">
      <alignment horizontal="center" vertical="center"/>
    </xf>
    <xf numFmtId="165" fontId="11" fillId="2" borderId="0" xfId="0" applyNumberFormat="1" applyFont="1" applyFill="1" applyAlignment="1">
      <alignment horizontal="center" vertical="center"/>
    </xf>
    <xf numFmtId="0" fontId="11" fillId="2" borderId="44" xfId="0" applyFont="1" applyFill="1" applyBorder="1" applyAlignment="1">
      <alignment horizontal="center" vertical="center"/>
    </xf>
    <xf numFmtId="0" fontId="11" fillId="2" borderId="45" xfId="0" applyFont="1" applyFill="1" applyBorder="1" applyAlignment="1">
      <alignment horizontal="center" vertical="center"/>
    </xf>
    <xf numFmtId="0" fontId="11" fillId="14" borderId="28" xfId="0" applyFont="1" applyFill="1" applyBorder="1" applyAlignment="1"/>
    <xf numFmtId="0" fontId="11" fillId="6" borderId="46" xfId="0" applyFont="1" applyFill="1" applyBorder="1" applyAlignment="1">
      <alignment horizontal="center" vertical="center"/>
    </xf>
    <xf numFmtId="0" fontId="12" fillId="14" borderId="28" xfId="0" applyFont="1" applyFill="1" applyBorder="1" applyAlignment="1">
      <alignment horizontal="center" vertical="center"/>
    </xf>
    <xf numFmtId="0" fontId="11" fillId="14" borderId="29" xfId="0" applyFont="1" applyFill="1" applyBorder="1" applyAlignment="1"/>
    <xf numFmtId="0" fontId="11" fillId="14" borderId="28" xfId="0" applyFont="1" applyFill="1" applyBorder="1"/>
    <xf numFmtId="0" fontId="11" fillId="16" borderId="47" xfId="0" applyFont="1" applyFill="1" applyBorder="1" applyAlignment="1">
      <alignment horizontal="left" vertical="center"/>
    </xf>
    <xf numFmtId="0" fontId="11" fillId="16" borderId="48" xfId="0" applyFont="1" applyFill="1" applyBorder="1" applyAlignment="1">
      <alignment horizontal="left" vertical="center"/>
    </xf>
    <xf numFmtId="10" fontId="11" fillId="16" borderId="48" xfId="0" applyNumberFormat="1" applyFont="1" applyFill="1" applyBorder="1" applyAlignment="1">
      <alignment horizontal="left" vertical="center"/>
    </xf>
    <xf numFmtId="0" fontId="11" fillId="16" borderId="48" xfId="0" applyFont="1" applyFill="1" applyBorder="1" applyAlignment="1">
      <alignment horizontal="left" vertical="center"/>
    </xf>
    <xf numFmtId="0" fontId="11" fillId="16" borderId="49" xfId="0" applyFont="1" applyFill="1" applyBorder="1" applyAlignment="1">
      <alignment horizontal="left" vertical="center"/>
    </xf>
    <xf numFmtId="0" fontId="12" fillId="2" borderId="19" xfId="0" applyFont="1" applyFill="1" applyBorder="1" applyAlignment="1"/>
    <xf numFmtId="0" fontId="11" fillId="0" borderId="0" xfId="0" applyFont="1" applyAlignment="1">
      <alignment horizontal="left" vertical="center"/>
    </xf>
    <xf numFmtId="10" fontId="11" fillId="0" borderId="0" xfId="0" applyNumberFormat="1" applyFont="1" applyAlignment="1">
      <alignment horizontal="left" vertical="center"/>
    </xf>
    <xf numFmtId="0" fontId="12" fillId="16" borderId="50" xfId="0" applyFont="1" applyFill="1" applyBorder="1" applyAlignment="1">
      <alignment horizontal="left" vertical="center"/>
    </xf>
    <xf numFmtId="0" fontId="11" fillId="16" borderId="16" xfId="0" applyFont="1" applyFill="1" applyBorder="1" applyAlignment="1">
      <alignment horizontal="left" vertical="center"/>
    </xf>
    <xf numFmtId="10" fontId="11" fillId="16" borderId="16" xfId="0" applyNumberFormat="1" applyFont="1" applyFill="1" applyBorder="1" applyAlignment="1">
      <alignment horizontal="left" vertical="center"/>
    </xf>
    <xf numFmtId="0" fontId="11" fillId="16" borderId="51" xfId="0" applyFont="1" applyFill="1" applyBorder="1" applyAlignment="1">
      <alignment horizontal="left" vertical="center"/>
    </xf>
    <xf numFmtId="0" fontId="12" fillId="16" borderId="0" xfId="0" applyFont="1" applyFill="1" applyAlignment="1">
      <alignment horizontal="left" vertical="center"/>
    </xf>
    <xf numFmtId="0" fontId="11" fillId="17" borderId="0" xfId="0" applyFont="1" applyFill="1" applyAlignment="1">
      <alignment horizontal="left" vertical="center"/>
    </xf>
    <xf numFmtId="0" fontId="11" fillId="17" borderId="0" xfId="0" applyFont="1" applyFill="1" applyAlignment="1">
      <alignment horizontal="left" vertical="center"/>
    </xf>
    <xf numFmtId="0" fontId="11" fillId="17" borderId="43" xfId="0" applyFont="1" applyFill="1" applyBorder="1" applyAlignment="1">
      <alignment horizontal="left" vertical="center"/>
    </xf>
    <xf numFmtId="10" fontId="11" fillId="17" borderId="0" xfId="0" applyNumberFormat="1" applyFont="1" applyFill="1" applyAlignment="1">
      <alignment horizontal="left" vertical="center"/>
    </xf>
    <xf numFmtId="0" fontId="1" fillId="7" borderId="0" xfId="0" applyFont="1" applyFill="1" applyAlignment="1"/>
    <xf numFmtId="0" fontId="23" fillId="0" borderId="46" xfId="0" applyFont="1" applyBorder="1" applyAlignment="1"/>
    <xf numFmtId="0" fontId="11" fillId="0" borderId="46" xfId="0" applyFont="1" applyBorder="1" applyAlignment="1"/>
    <xf numFmtId="165" fontId="11" fillId="0" borderId="21" xfId="0" applyNumberFormat="1" applyFont="1" applyBorder="1" applyAlignment="1"/>
    <xf numFmtId="165" fontId="11" fillId="0" borderId="0" xfId="0" applyNumberFormat="1" applyFont="1" applyAlignment="1"/>
    <xf numFmtId="0" fontId="11" fillId="18" borderId="0" xfId="0" applyFont="1" applyFill="1" applyAlignment="1"/>
    <xf numFmtId="0" fontId="11" fillId="9" borderId="0" xfId="0" applyFont="1" applyFill="1" applyAlignment="1"/>
    <xf numFmtId="0" fontId="12" fillId="0" borderId="7" xfId="0" applyFont="1" applyBorder="1" applyAlignment="1">
      <alignment horizontal="center"/>
    </xf>
    <xf numFmtId="0" fontId="11" fillId="0" borderId="46" xfId="0" applyFont="1" applyBorder="1" applyAlignment="1"/>
    <xf numFmtId="0" fontId="11" fillId="0" borderId="52" xfId="0" applyFont="1" applyBorder="1" applyAlignment="1"/>
    <xf numFmtId="0" fontId="13" fillId="7" borderId="0" xfId="0" applyFont="1" applyFill="1" applyAlignment="1">
      <alignment horizontal="right"/>
    </xf>
    <xf numFmtId="0" fontId="24" fillId="0" borderId="0" xfId="0" applyFont="1" applyAlignment="1"/>
    <xf numFmtId="0" fontId="12" fillId="7" borderId="0" xfId="0" applyFont="1" applyFill="1" applyAlignment="1"/>
    <xf numFmtId="0" fontId="5" fillId="6" borderId="0" xfId="0" applyFont="1" applyFill="1" applyAlignment="1">
      <alignment horizontal="center"/>
    </xf>
    <xf numFmtId="3" fontId="2" fillId="0" borderId="0" xfId="0" applyNumberFormat="1" applyFont="1" applyAlignment="1">
      <alignment horizontal="center"/>
    </xf>
    <xf numFmtId="0" fontId="2" fillId="0" borderId="0" xfId="0" applyFont="1" applyAlignment="1">
      <alignment horizontal="center"/>
    </xf>
    <xf numFmtId="3" fontId="2" fillId="0" borderId="0" xfId="0" applyNumberFormat="1" applyFont="1" applyAlignment="1"/>
    <xf numFmtId="0" fontId="5" fillId="2" borderId="0" xfId="0" applyFont="1" applyFill="1" applyAlignment="1"/>
    <xf numFmtId="4" fontId="5" fillId="6" borderId="0" xfId="0" applyNumberFormat="1" applyFont="1" applyFill="1" applyAlignment="1">
      <alignment horizontal="center"/>
    </xf>
    <xf numFmtId="0" fontId="12" fillId="0" borderId="28" xfId="0" applyFont="1" applyBorder="1" applyAlignment="1"/>
    <xf numFmtId="0" fontId="12" fillId="0" borderId="29" xfId="0" applyFont="1" applyBorder="1" applyAlignment="1"/>
    <xf numFmtId="0" fontId="12" fillId="0" borderId="28" xfId="0" applyFont="1" applyBorder="1"/>
    <xf numFmtId="0" fontId="12" fillId="0" borderId="0" xfId="0" applyFont="1"/>
    <xf numFmtId="0" fontId="12" fillId="0" borderId="21" xfId="0" applyFont="1" applyBorder="1" applyAlignment="1"/>
    <xf numFmtId="0" fontId="5" fillId="9" borderId="54" xfId="0" applyFont="1" applyFill="1" applyBorder="1" applyAlignment="1">
      <alignment wrapText="1"/>
    </xf>
    <xf numFmtId="0" fontId="6" fillId="0" borderId="7" xfId="0" applyFont="1" applyBorder="1"/>
    <xf numFmtId="0" fontId="25" fillId="0" borderId="0" xfId="0" applyFont="1"/>
    <xf numFmtId="171" fontId="14" fillId="0" borderId="0" xfId="0" applyNumberFormat="1" applyFont="1"/>
    <xf numFmtId="0" fontId="2" fillId="0" borderId="0" xfId="0" applyFont="1" applyAlignment="1">
      <alignment vertical="center"/>
    </xf>
    <xf numFmtId="171" fontId="26" fillId="0" borderId="0" xfId="0" applyNumberFormat="1" applyFont="1"/>
    <xf numFmtId="172" fontId="14" fillId="0" borderId="0" xfId="0" applyNumberFormat="1" applyFont="1"/>
    <xf numFmtId="0" fontId="25" fillId="0" borderId="0" xfId="0" applyFont="1" applyAlignment="1"/>
    <xf numFmtId="0" fontId="14" fillId="9" borderId="0" xfId="0" applyFont="1" applyFill="1" applyAlignment="1"/>
    <xf numFmtId="43" fontId="2" fillId="0" borderId="0" xfId="0" applyNumberFormat="1" applyFont="1"/>
    <xf numFmtId="43" fontId="11" fillId="0" borderId="0" xfId="0" applyNumberFormat="1" applyFont="1"/>
    <xf numFmtId="175" fontId="29" fillId="0" borderId="0" xfId="0" applyNumberFormat="1" applyFont="1"/>
    <xf numFmtId="4" fontId="11" fillId="0" borderId="0" xfId="0" applyNumberFormat="1" applyFont="1"/>
    <xf numFmtId="175" fontId="11" fillId="0" borderId="0" xfId="0" applyNumberFormat="1" applyFont="1"/>
    <xf numFmtId="44" fontId="30" fillId="0" borderId="0" xfId="0" applyNumberFormat="1" applyFont="1"/>
    <xf numFmtId="44" fontId="11" fillId="0" borderId="0" xfId="0" applyNumberFormat="1" applyFont="1"/>
    <xf numFmtId="166" fontId="11" fillId="0" borderId="0" xfId="0" applyNumberFormat="1" applyFont="1"/>
    <xf numFmtId="43" fontId="2" fillId="0" borderId="0" xfId="0" applyNumberFormat="1" applyFont="1" applyAlignment="1">
      <alignment vertical="center"/>
    </xf>
    <xf numFmtId="0" fontId="5" fillId="0" borderId="0" xfId="0" applyFont="1" applyAlignment="1">
      <alignment wrapText="1"/>
    </xf>
    <xf numFmtId="0" fontId="2" fillId="0" borderId="0" xfId="0" applyFont="1" applyAlignment="1">
      <alignment horizontal="left" vertical="center"/>
    </xf>
    <xf numFmtId="0" fontId="5" fillId="0" borderId="0" xfId="0" applyFont="1" applyAlignment="1">
      <alignment horizontal="left" vertical="center"/>
    </xf>
    <xf numFmtId="171" fontId="2" fillId="0" borderId="0" xfId="0" applyNumberFormat="1" applyFont="1" applyAlignment="1">
      <alignment horizontal="left" vertical="center"/>
    </xf>
    <xf numFmtId="171" fontId="2" fillId="0" borderId="0" xfId="0" applyNumberFormat="1" applyFont="1" applyAlignment="1">
      <alignment horizontal="left" vertical="center"/>
    </xf>
    <xf numFmtId="0" fontId="31" fillId="0" borderId="0" xfId="0" applyFont="1" applyAlignment="1">
      <alignment horizontal="left" vertical="center"/>
    </xf>
    <xf numFmtId="0" fontId="27" fillId="0" borderId="0" xfId="0" applyFont="1" applyAlignment="1">
      <alignment horizontal="left" vertical="center"/>
    </xf>
    <xf numFmtId="169" fontId="2" fillId="0" borderId="0" xfId="0" applyNumberFormat="1" applyFont="1" applyAlignment="1">
      <alignment horizontal="left" vertical="center"/>
    </xf>
    <xf numFmtId="0" fontId="2" fillId="0" borderId="0" xfId="0" applyFont="1" applyAlignment="1">
      <alignment horizontal="left" vertical="center"/>
    </xf>
    <xf numFmtId="9" fontId="2" fillId="0" borderId="0" xfId="0" applyNumberFormat="1" applyFont="1" applyAlignment="1">
      <alignment horizontal="left" vertical="center"/>
    </xf>
    <xf numFmtId="44" fontId="2" fillId="0" borderId="0" xfId="0" applyNumberFormat="1" applyFont="1" applyAlignment="1">
      <alignment horizontal="left" vertical="center"/>
    </xf>
    <xf numFmtId="170" fontId="2" fillId="0" borderId="0" xfId="0" applyNumberFormat="1" applyFont="1" applyAlignment="1">
      <alignment horizontal="left" vertical="center"/>
    </xf>
    <xf numFmtId="175" fontId="2" fillId="0" borderId="0" xfId="0" applyNumberFormat="1" applyFont="1" applyAlignment="1">
      <alignment horizontal="left" vertical="center"/>
    </xf>
    <xf numFmtId="2" fontId="2" fillId="0" borderId="0" xfId="0" applyNumberFormat="1" applyFont="1" applyAlignment="1">
      <alignment horizontal="left" vertical="center"/>
    </xf>
    <xf numFmtId="170" fontId="2" fillId="0" borderId="0" xfId="0" applyNumberFormat="1" applyFont="1" applyAlignment="1">
      <alignment horizontal="left" vertical="center"/>
    </xf>
    <xf numFmtId="169" fontId="34" fillId="0" borderId="0" xfId="0" applyNumberFormat="1" applyFont="1" applyAlignment="1">
      <alignment horizontal="left" vertical="center"/>
    </xf>
    <xf numFmtId="175" fontId="35" fillId="0" borderId="0" xfId="0" applyNumberFormat="1" applyFont="1" applyAlignment="1">
      <alignment horizontal="left" vertical="center"/>
    </xf>
    <xf numFmtId="0" fontId="2" fillId="0" borderId="0" xfId="0" applyFont="1" applyAlignment="1">
      <alignment horizontal="left" vertical="center" wrapText="1"/>
    </xf>
    <xf numFmtId="169" fontId="2" fillId="0" borderId="0" xfId="0" applyNumberFormat="1" applyFont="1" applyAlignment="1">
      <alignment horizontal="left" vertical="center" wrapText="1"/>
    </xf>
    <xf numFmtId="0" fontId="2" fillId="0" borderId="0" xfId="0" applyFont="1" applyAlignment="1">
      <alignment horizontal="center" vertical="center"/>
    </xf>
    <xf numFmtId="0" fontId="2" fillId="4" borderId="0" xfId="0" applyFont="1" applyFill="1" applyAlignment="1"/>
    <xf numFmtId="0" fontId="6" fillId="0" borderId="0" xfId="0" applyFont="1" applyAlignment="1"/>
    <xf numFmtId="44" fontId="2" fillId="0" borderId="0" xfId="0" applyNumberFormat="1" applyFont="1" applyAlignment="1">
      <alignment horizontal="center" vertical="center"/>
    </xf>
    <xf numFmtId="0" fontId="2" fillId="4" borderId="0" xfId="0" applyFont="1" applyFill="1"/>
    <xf numFmtId="0" fontId="5" fillId="0" borderId="0" xfId="0" applyFont="1" applyAlignment="1">
      <alignment horizontal="center" vertical="center" wrapText="1"/>
    </xf>
    <xf numFmtId="0" fontId="2" fillId="0" borderId="0" xfId="0" applyFont="1" applyAlignment="1">
      <alignment horizontal="center" vertical="center" wrapText="1"/>
    </xf>
    <xf numFmtId="4" fontId="2" fillId="0" borderId="0" xfId="0" applyNumberFormat="1" applyFont="1" applyAlignment="1">
      <alignment horizontal="center" vertical="center" wrapText="1"/>
    </xf>
    <xf numFmtId="4" fontId="2" fillId="0" borderId="0" xfId="0" applyNumberFormat="1" applyFont="1" applyAlignment="1">
      <alignment horizontal="center" vertical="center"/>
    </xf>
    <xf numFmtId="0" fontId="5" fillId="0" borderId="0" xfId="0" applyFont="1" applyAlignment="1">
      <alignment horizontal="center" vertical="center"/>
    </xf>
    <xf numFmtId="0" fontId="8" fillId="0" borderId="5" xfId="0" applyFont="1" applyBorder="1"/>
    <xf numFmtId="0" fontId="2" fillId="0" borderId="3" xfId="0" applyFont="1" applyBorder="1"/>
    <xf numFmtId="4" fontId="2" fillId="0" borderId="0" xfId="0" applyNumberFormat="1" applyFont="1" applyAlignment="1">
      <alignment horizontal="center" vertical="center"/>
    </xf>
    <xf numFmtId="0" fontId="28" fillId="0" borderId="0" xfId="0" applyFont="1" applyAlignment="1"/>
    <xf numFmtId="0" fontId="28" fillId="0" borderId="0" xfId="0" applyFont="1"/>
    <xf numFmtId="0" fontId="8" fillId="20" borderId="54" xfId="0" applyFont="1" applyFill="1" applyBorder="1"/>
    <xf numFmtId="0" fontId="4" fillId="20" borderId="54" xfId="0" applyFont="1" applyFill="1" applyBorder="1" applyAlignment="1">
      <alignment horizontal="center"/>
    </xf>
    <xf numFmtId="44" fontId="2" fillId="0" borderId="0" xfId="0" applyNumberFormat="1" applyFont="1"/>
    <xf numFmtId="0" fontId="11" fillId="0" borderId="0" xfId="0" applyFont="1" applyAlignment="1"/>
    <xf numFmtId="0" fontId="8" fillId="0" borderId="23" xfId="0" applyFont="1" applyBorder="1"/>
    <xf numFmtId="0" fontId="2" fillId="0" borderId="57" xfId="0" applyFont="1" applyBorder="1"/>
    <xf numFmtId="0" fontId="1" fillId="12" borderId="0" xfId="0" applyFont="1" applyFill="1"/>
    <xf numFmtId="0" fontId="1" fillId="12" borderId="9" xfId="0" applyFont="1" applyFill="1" applyBorder="1" applyAlignment="1"/>
    <xf numFmtId="0" fontId="1" fillId="12" borderId="0" xfId="0" applyFont="1" applyFill="1" applyAlignment="1"/>
    <xf numFmtId="0" fontId="1" fillId="12" borderId="12" xfId="0" applyFont="1" applyFill="1" applyBorder="1" applyAlignment="1"/>
    <xf numFmtId="0" fontId="1" fillId="12" borderId="10" xfId="0" applyFont="1" applyFill="1" applyBorder="1" applyAlignment="1"/>
    <xf numFmtId="10" fontId="1" fillId="12" borderId="7" xfId="0" applyNumberFormat="1" applyFont="1" applyFill="1" applyBorder="1"/>
    <xf numFmtId="10" fontId="1" fillId="12" borderId="13" xfId="0" applyNumberFormat="1" applyFont="1" applyFill="1" applyBorder="1"/>
    <xf numFmtId="0" fontId="16" fillId="0" borderId="0" xfId="0" applyFont="1" applyAlignment="1"/>
    <xf numFmtId="0" fontId="1" fillId="0" borderId="0" xfId="0" applyFont="1" applyAlignment="1"/>
    <xf numFmtId="0" fontId="25" fillId="0" borderId="0" xfId="0" applyFont="1" applyAlignment="1">
      <alignment horizontal="left"/>
    </xf>
    <xf numFmtId="9" fontId="1" fillId="12" borderId="0" xfId="0" applyNumberFormat="1" applyFont="1" applyFill="1" applyAlignment="1"/>
    <xf numFmtId="0" fontId="1" fillId="12" borderId="0" xfId="0" applyFont="1" applyFill="1" applyAlignment="1"/>
    <xf numFmtId="170" fontId="1" fillId="12" borderId="0" xfId="0" applyNumberFormat="1" applyFont="1" applyFill="1" applyAlignment="1"/>
    <xf numFmtId="44" fontId="1" fillId="12" borderId="0" xfId="0" applyNumberFormat="1" applyFont="1" applyFill="1" applyAlignment="1"/>
    <xf numFmtId="44" fontId="1" fillId="12" borderId="0" xfId="0" applyNumberFormat="1" applyFont="1" applyFill="1"/>
    <xf numFmtId="0" fontId="1" fillId="12" borderId="0" xfId="0" applyFont="1" applyFill="1" applyAlignment="1"/>
    <xf numFmtId="44" fontId="1" fillId="12" borderId="0" xfId="0" applyNumberFormat="1" applyFont="1" applyFill="1" applyAlignment="1">
      <alignment horizontal="right"/>
    </xf>
    <xf numFmtId="0" fontId="1" fillId="12" borderId="0" xfId="0" applyFont="1" applyFill="1" applyAlignment="1"/>
    <xf numFmtId="9" fontId="1" fillId="12" borderId="0" xfId="0" applyNumberFormat="1" applyFont="1" applyFill="1" applyAlignment="1">
      <alignment horizontal="right"/>
    </xf>
    <xf numFmtId="0" fontId="1" fillId="12" borderId="0" xfId="0" applyFont="1" applyFill="1" applyAlignment="1"/>
    <xf numFmtId="0" fontId="36" fillId="9" borderId="0" xfId="0" applyFont="1" applyFill="1" applyAlignment="1">
      <alignment horizontal="center"/>
    </xf>
    <xf numFmtId="0" fontId="37" fillId="12" borderId="58" xfId="0" applyFont="1" applyFill="1" applyBorder="1" applyAlignment="1"/>
    <xf numFmtId="0" fontId="37" fillId="12" borderId="0" xfId="0" applyFont="1" applyFill="1" applyAlignment="1"/>
    <xf numFmtId="0" fontId="37" fillId="12" borderId="12" xfId="0" applyFont="1" applyFill="1" applyBorder="1" applyAlignment="1"/>
    <xf numFmtId="0" fontId="6" fillId="0" borderId="12" xfId="0" applyFont="1" applyBorder="1"/>
    <xf numFmtId="0" fontId="6" fillId="12" borderId="58" xfId="0" applyFont="1" applyFill="1" applyBorder="1" applyAlignment="1"/>
    <xf numFmtId="0" fontId="12" fillId="0" borderId="0" xfId="0" applyFont="1" applyAlignment="1">
      <alignment horizontal="right"/>
    </xf>
    <xf numFmtId="0" fontId="6" fillId="12" borderId="0" xfId="0" applyFont="1" applyFill="1" applyAlignment="1"/>
    <xf numFmtId="0" fontId="6" fillId="12" borderId="12" xfId="0" applyFont="1" applyFill="1" applyBorder="1" applyAlignment="1"/>
    <xf numFmtId="0" fontId="6" fillId="0" borderId="58" xfId="0" applyFont="1" applyBorder="1"/>
    <xf numFmtId="0" fontId="6" fillId="12" borderId="53" xfId="0" applyFont="1" applyFill="1" applyBorder="1" applyAlignment="1"/>
    <xf numFmtId="0" fontId="12" fillId="0" borderId="0" xfId="0" applyFont="1" applyAlignment="1">
      <alignment wrapText="1"/>
    </xf>
    <xf numFmtId="174" fontId="12" fillId="0" borderId="0" xfId="0" applyNumberFormat="1" applyFont="1" applyAlignment="1">
      <alignment horizontal="right"/>
    </xf>
    <xf numFmtId="44" fontId="6" fillId="12" borderId="7" xfId="0" applyNumberFormat="1" applyFont="1" applyFill="1" applyBorder="1" applyAlignment="1"/>
    <xf numFmtId="44" fontId="6" fillId="12" borderId="7" xfId="0" applyNumberFormat="1" applyFont="1" applyFill="1" applyBorder="1"/>
    <xf numFmtId="44" fontId="6" fillId="12" borderId="13" xfId="0" applyNumberFormat="1" applyFont="1" applyFill="1" applyBorder="1"/>
    <xf numFmtId="0" fontId="37" fillId="0" borderId="2" xfId="0" applyFont="1" applyBorder="1" applyAlignment="1"/>
    <xf numFmtId="3" fontId="37" fillId="0" borderId="2" xfId="0" applyNumberFormat="1" applyFont="1" applyBorder="1"/>
    <xf numFmtId="0" fontId="37" fillId="0" borderId="58" xfId="0" applyFont="1" applyBorder="1" applyAlignment="1"/>
    <xf numFmtId="0" fontId="37" fillId="0" borderId="0" xfId="0" applyFont="1" applyAlignment="1"/>
    <xf numFmtId="0" fontId="12" fillId="0" borderId="2" xfId="0" applyFont="1" applyBorder="1" applyAlignment="1"/>
    <xf numFmtId="0" fontId="12" fillId="0" borderId="2" xfId="0" applyFont="1" applyBorder="1" applyAlignment="1"/>
    <xf numFmtId="0" fontId="37" fillId="12" borderId="53" xfId="0" applyFont="1" applyFill="1" applyBorder="1" applyAlignment="1"/>
    <xf numFmtId="0" fontId="6" fillId="12" borderId="7" xfId="0" applyFont="1" applyFill="1" applyBorder="1" applyAlignment="1"/>
    <xf numFmtId="0" fontId="6" fillId="12" borderId="13" xfId="0" applyFont="1" applyFill="1" applyBorder="1" applyAlignment="1"/>
    <xf numFmtId="0" fontId="6" fillId="0" borderId="9" xfId="0" applyFont="1" applyBorder="1" applyAlignment="1"/>
    <xf numFmtId="10" fontId="6" fillId="0" borderId="12" xfId="0" applyNumberFormat="1" applyFont="1" applyBorder="1"/>
    <xf numFmtId="3" fontId="6" fillId="12" borderId="0" xfId="0" applyNumberFormat="1" applyFont="1" applyFill="1"/>
    <xf numFmtId="4" fontId="38" fillId="9" borderId="0" xfId="0" applyNumberFormat="1" applyFont="1" applyFill="1" applyAlignment="1">
      <alignment horizontal="right"/>
    </xf>
    <xf numFmtId="174" fontId="13" fillId="9" borderId="0" xfId="0" applyNumberFormat="1" applyFont="1" applyFill="1" applyAlignment="1">
      <alignment horizontal="right"/>
    </xf>
    <xf numFmtId="4" fontId="13" fillId="9" borderId="0" xfId="0" applyNumberFormat="1" applyFont="1" applyFill="1" applyAlignment="1">
      <alignment horizontal="right"/>
    </xf>
    <xf numFmtId="0" fontId="13" fillId="9" borderId="0" xfId="0" applyFont="1" applyFill="1" applyAlignment="1">
      <alignment horizontal="right"/>
    </xf>
    <xf numFmtId="1" fontId="6" fillId="12" borderId="0" xfId="0" applyNumberFormat="1" applyFont="1" applyFill="1"/>
    <xf numFmtId="1" fontId="6" fillId="12" borderId="12" xfId="0" applyNumberFormat="1" applyFont="1" applyFill="1" applyBorder="1"/>
    <xf numFmtId="2" fontId="6" fillId="12" borderId="0" xfId="0" applyNumberFormat="1" applyFont="1" applyFill="1"/>
    <xf numFmtId="2" fontId="6" fillId="12" borderId="12" xfId="0" applyNumberFormat="1" applyFont="1" applyFill="1" applyBorder="1"/>
    <xf numFmtId="0" fontId="6" fillId="0" borderId="10" xfId="0" applyFont="1" applyBorder="1" applyAlignment="1"/>
    <xf numFmtId="0" fontId="6" fillId="0" borderId="7" xfId="0" applyFont="1" applyBorder="1" applyAlignment="1"/>
    <xf numFmtId="10" fontId="6" fillId="0" borderId="13" xfId="0" applyNumberFormat="1" applyFont="1" applyBorder="1"/>
    <xf numFmtId="4" fontId="39" fillId="9" borderId="0" xfId="0" applyNumberFormat="1" applyFont="1" applyFill="1" applyAlignment="1">
      <alignment horizontal="right"/>
    </xf>
    <xf numFmtId="0" fontId="39" fillId="9" borderId="0" xfId="0" applyFont="1" applyFill="1" applyAlignment="1">
      <alignment horizontal="right"/>
    </xf>
    <xf numFmtId="0" fontId="37" fillId="0" borderId="9" xfId="0" applyFont="1" applyBorder="1" applyAlignment="1"/>
    <xf numFmtId="0" fontId="40" fillId="9" borderId="0" xfId="0" applyFont="1" applyFill="1" applyAlignment="1">
      <alignment horizontal="right"/>
    </xf>
    <xf numFmtId="0" fontId="0" fillId="12" borderId="58" xfId="0" applyFont="1" applyFill="1" applyBorder="1" applyAlignment="1">
      <alignment horizontal="left"/>
    </xf>
    <xf numFmtId="181" fontId="6" fillId="12" borderId="0" xfId="0" applyNumberFormat="1" applyFont="1" applyFill="1" applyAlignment="1"/>
    <xf numFmtId="174" fontId="11" fillId="0" borderId="0" xfId="0" applyNumberFormat="1" applyFont="1" applyAlignment="1">
      <alignment horizontal="right"/>
    </xf>
    <xf numFmtId="181" fontId="6" fillId="12" borderId="0" xfId="0" applyNumberFormat="1" applyFont="1" applyFill="1"/>
    <xf numFmtId="181" fontId="6" fillId="12" borderId="12" xfId="0" applyNumberFormat="1" applyFont="1" applyFill="1" applyBorder="1"/>
    <xf numFmtId="0" fontId="37" fillId="0" borderId="10" xfId="0" applyFont="1" applyBorder="1" applyAlignment="1"/>
    <xf numFmtId="3" fontId="6" fillId="0" borderId="2" xfId="0" applyNumberFormat="1" applyFont="1" applyBorder="1"/>
    <xf numFmtId="176" fontId="11" fillId="0" borderId="0" xfId="0" applyNumberFormat="1" applyFont="1" applyAlignment="1">
      <alignment horizontal="right"/>
    </xf>
    <xf numFmtId="0" fontId="6" fillId="0" borderId="2" xfId="0" applyFont="1" applyBorder="1"/>
    <xf numFmtId="0" fontId="12" fillId="0" borderId="0" xfId="0" applyFont="1" applyAlignment="1"/>
    <xf numFmtId="0" fontId="12" fillId="0" borderId="12" xfId="0" applyFont="1" applyBorder="1" applyAlignment="1"/>
    <xf numFmtId="0" fontId="12" fillId="0" borderId="58" xfId="0" applyFont="1" applyBorder="1" applyAlignment="1"/>
    <xf numFmtId="0" fontId="1" fillId="0" borderId="2" xfId="0" applyFont="1" applyBorder="1" applyAlignment="1"/>
    <xf numFmtId="0" fontId="1" fillId="0" borderId="0" xfId="0" applyFont="1" applyAlignment="1"/>
    <xf numFmtId="0" fontId="1" fillId="0" borderId="0" xfId="0" applyFont="1" applyAlignment="1">
      <alignment horizontal="right"/>
    </xf>
    <xf numFmtId="0" fontId="16" fillId="0" borderId="12" xfId="0" applyFont="1" applyBorder="1" applyAlignment="1">
      <alignment horizontal="center"/>
    </xf>
    <xf numFmtId="0" fontId="1" fillId="0" borderId="9" xfId="0" applyFont="1" applyBorder="1" applyAlignment="1"/>
    <xf numFmtId="0" fontId="1" fillId="0" borderId="7" xfId="0" applyFont="1" applyBorder="1" applyAlignment="1"/>
    <xf numFmtId="0" fontId="1" fillId="23" borderId="7" xfId="0" applyFont="1" applyFill="1" applyBorder="1" applyAlignment="1">
      <alignment horizontal="right"/>
    </xf>
    <xf numFmtId="0" fontId="1" fillId="24" borderId="7" xfId="0" applyFont="1" applyFill="1" applyBorder="1" applyAlignment="1">
      <alignment horizontal="right"/>
    </xf>
    <xf numFmtId="0" fontId="1" fillId="0" borderId="13" xfId="0" applyFont="1" applyBorder="1" applyAlignment="1"/>
    <xf numFmtId="0" fontId="17" fillId="0" borderId="9" xfId="0" applyFont="1" applyBorder="1" applyAlignment="1"/>
    <xf numFmtId="0" fontId="17" fillId="0" borderId="12" xfId="0" applyFont="1" applyBorder="1" applyAlignment="1">
      <alignment horizontal="right"/>
    </xf>
    <xf numFmtId="0" fontId="1" fillId="0" borderId="0" xfId="0" applyFont="1" applyAlignment="1"/>
    <xf numFmtId="9" fontId="17" fillId="0" borderId="12" xfId="0" applyNumberFormat="1" applyFont="1" applyBorder="1" applyAlignment="1">
      <alignment horizontal="right"/>
    </xf>
    <xf numFmtId="0" fontId="1" fillId="0" borderId="7" xfId="0" applyFont="1" applyBorder="1" applyAlignment="1"/>
    <xf numFmtId="0" fontId="1" fillId="0" borderId="7" xfId="0" applyFont="1" applyBorder="1" applyAlignment="1"/>
    <xf numFmtId="3" fontId="1" fillId="0" borderId="7" xfId="0" applyNumberFormat="1" applyFont="1" applyBorder="1"/>
    <xf numFmtId="0" fontId="1" fillId="0" borderId="13" xfId="0" applyFont="1" applyBorder="1"/>
    <xf numFmtId="0" fontId="1" fillId="0" borderId="12" xfId="0" applyFont="1" applyBorder="1"/>
    <xf numFmtId="0" fontId="17" fillId="0" borderId="27" xfId="0" applyFont="1" applyBorder="1" applyAlignment="1"/>
    <xf numFmtId="0" fontId="17" fillId="0" borderId="10" xfId="0" applyFont="1" applyBorder="1" applyAlignment="1"/>
    <xf numFmtId="0" fontId="1" fillId="0" borderId="58" xfId="0" applyFont="1" applyBorder="1" applyAlignment="1"/>
    <xf numFmtId="1" fontId="1" fillId="0" borderId="7" xfId="0" applyNumberFormat="1" applyFont="1" applyBorder="1"/>
    <xf numFmtId="0" fontId="1" fillId="0" borderId="58" xfId="0" applyFont="1" applyBorder="1"/>
    <xf numFmtId="0" fontId="42" fillId="0" borderId="0" xfId="0" applyFont="1" applyAlignment="1">
      <alignment horizontal="right"/>
    </xf>
    <xf numFmtId="0" fontId="1" fillId="0" borderId="7" xfId="0" applyFont="1" applyBorder="1"/>
    <xf numFmtId="0" fontId="42" fillId="0" borderId="0" xfId="0" applyFont="1" applyAlignment="1"/>
    <xf numFmtId="0" fontId="6" fillId="12" borderId="2" xfId="0" applyFont="1" applyFill="1" applyBorder="1" applyAlignment="1"/>
    <xf numFmtId="0" fontId="6" fillId="12" borderId="4" xfId="0" applyFont="1" applyFill="1" applyBorder="1" applyAlignment="1">
      <alignment horizontal="center"/>
    </xf>
    <xf numFmtId="0" fontId="6" fillId="12" borderId="5" xfId="0" applyFont="1" applyFill="1" applyBorder="1" applyAlignment="1">
      <alignment horizontal="center"/>
    </xf>
    <xf numFmtId="0" fontId="6" fillId="0" borderId="0" xfId="0" applyFont="1" applyAlignment="1">
      <alignment horizontal="center"/>
    </xf>
    <xf numFmtId="0" fontId="6" fillId="12" borderId="9" xfId="0" applyFont="1" applyFill="1" applyBorder="1" applyAlignment="1"/>
    <xf numFmtId="44" fontId="6" fillId="12" borderId="0" xfId="0" applyNumberFormat="1" applyFont="1" applyFill="1"/>
    <xf numFmtId="44" fontId="6" fillId="12" borderId="12" xfId="0" applyNumberFormat="1" applyFont="1" applyFill="1" applyBorder="1"/>
    <xf numFmtId="0" fontId="6" fillId="12" borderId="10" xfId="0" applyFont="1" applyFill="1" applyBorder="1" applyAlignment="1"/>
    <xf numFmtId="0" fontId="37" fillId="12" borderId="10" xfId="0" applyFont="1" applyFill="1" applyBorder="1" applyAlignment="1"/>
    <xf numFmtId="44" fontId="37" fillId="12" borderId="7" xfId="0" applyNumberFormat="1" applyFont="1" applyFill="1" applyBorder="1"/>
    <xf numFmtId="44" fontId="37" fillId="12" borderId="13" xfId="0" applyNumberFormat="1" applyFont="1" applyFill="1" applyBorder="1"/>
    <xf numFmtId="0" fontId="37" fillId="0" borderId="0" xfId="0" applyFont="1"/>
    <xf numFmtId="0" fontId="16" fillId="12" borderId="2" xfId="0" applyFont="1" applyFill="1" applyBorder="1" applyAlignment="1">
      <alignment horizontal="center"/>
    </xf>
    <xf numFmtId="0" fontId="16" fillId="12" borderId="2" xfId="0" applyFont="1" applyFill="1" applyBorder="1" applyAlignment="1">
      <alignment horizontal="center"/>
    </xf>
    <xf numFmtId="0" fontId="16" fillId="12" borderId="2" xfId="0" applyFont="1" applyFill="1" applyBorder="1" applyAlignment="1"/>
    <xf numFmtId="0" fontId="16" fillId="0" borderId="0" xfId="0" applyFont="1" applyAlignment="1"/>
    <xf numFmtId="0" fontId="43" fillId="12" borderId="2" xfId="0" applyFont="1" applyFill="1" applyBorder="1" applyAlignment="1"/>
    <xf numFmtId="3" fontId="1" fillId="0" borderId="0" xfId="0" applyNumberFormat="1" applyFont="1" applyAlignment="1"/>
    <xf numFmtId="49" fontId="0" fillId="12" borderId="2" xfId="0" applyNumberFormat="1" applyFont="1" applyFill="1" applyBorder="1" applyAlignment="1">
      <alignment horizontal="right"/>
    </xf>
    <xf numFmtId="44" fontId="1" fillId="12" borderId="2" xfId="0" applyNumberFormat="1" applyFont="1" applyFill="1" applyBorder="1" applyAlignment="1">
      <alignment horizontal="right"/>
    </xf>
    <xf numFmtId="0" fontId="1" fillId="12" borderId="2" xfId="0" applyFont="1" applyFill="1" applyBorder="1" applyAlignment="1">
      <alignment horizontal="right"/>
    </xf>
    <xf numFmtId="0" fontId="17" fillId="0" borderId="0" xfId="0" applyFont="1" applyAlignment="1"/>
    <xf numFmtId="0" fontId="17" fillId="0" borderId="0" xfId="0" applyFont="1" applyAlignment="1">
      <alignment horizontal="right"/>
    </xf>
    <xf numFmtId="0" fontId="1" fillId="12" borderId="2" xfId="0" applyFont="1" applyFill="1" applyBorder="1" applyAlignment="1"/>
    <xf numFmtId="44" fontId="42" fillId="0" borderId="0" xfId="0" applyNumberFormat="1" applyFont="1" applyAlignment="1">
      <alignment horizontal="right"/>
    </xf>
    <xf numFmtId="9" fontId="17" fillId="0" borderId="0" xfId="0" applyNumberFormat="1" applyFont="1" applyAlignment="1">
      <alignment horizontal="right"/>
    </xf>
    <xf numFmtId="0" fontId="16" fillId="0" borderId="0" xfId="0" applyFont="1" applyAlignment="1">
      <alignment horizontal="center"/>
    </xf>
    <xf numFmtId="0" fontId="0" fillId="12" borderId="2" xfId="0" applyFont="1" applyFill="1" applyBorder="1" applyAlignment="1">
      <alignment horizontal="right"/>
    </xf>
    <xf numFmtId="0" fontId="16" fillId="12" borderId="2" xfId="0" applyFont="1" applyFill="1" applyBorder="1" applyAlignment="1"/>
    <xf numFmtId="0" fontId="1" fillId="12" borderId="2" xfId="0" applyFont="1" applyFill="1" applyBorder="1" applyAlignment="1"/>
    <xf numFmtId="0" fontId="44" fillId="12" borderId="2" xfId="0" applyFont="1" applyFill="1" applyBorder="1" applyAlignment="1"/>
    <xf numFmtId="0" fontId="1" fillId="12" borderId="2" xfId="0" applyFont="1" applyFill="1" applyBorder="1" applyAlignment="1"/>
    <xf numFmtId="44" fontId="1" fillId="12" borderId="2" xfId="0" applyNumberFormat="1" applyFont="1" applyFill="1" applyBorder="1" applyAlignment="1"/>
    <xf numFmtId="0" fontId="6" fillId="12" borderId="9" xfId="0" applyFont="1" applyFill="1" applyBorder="1" applyAlignment="1"/>
    <xf numFmtId="170" fontId="6" fillId="12" borderId="0" xfId="0" applyNumberFormat="1" applyFont="1" applyFill="1"/>
    <xf numFmtId="0" fontId="6" fillId="12" borderId="0" xfId="0" applyFont="1" applyFill="1"/>
    <xf numFmtId="0" fontId="6" fillId="12" borderId="12" xfId="0" applyFont="1" applyFill="1" applyBorder="1"/>
    <xf numFmtId="9" fontId="6" fillId="12" borderId="0" xfId="0" applyNumberFormat="1" applyFont="1" applyFill="1"/>
    <xf numFmtId="0" fontId="6" fillId="12" borderId="10" xfId="0" applyFont="1" applyFill="1" applyBorder="1" applyAlignment="1"/>
    <xf numFmtId="0" fontId="37" fillId="0" borderId="0" xfId="0" applyFont="1" applyAlignment="1">
      <alignment horizontal="left" vertical="center"/>
    </xf>
    <xf numFmtId="0" fontId="6" fillId="0" borderId="58" xfId="0" applyFont="1" applyBorder="1" applyAlignment="1"/>
    <xf numFmtId="0" fontId="1" fillId="0" borderId="0" xfId="0" applyFont="1" applyAlignment="1">
      <alignment horizontal="left"/>
    </xf>
    <xf numFmtId="44" fontId="1" fillId="0" borderId="0" xfId="0" applyNumberFormat="1" applyFont="1" applyAlignment="1">
      <alignment horizontal="left"/>
    </xf>
    <xf numFmtId="0" fontId="1" fillId="0" borderId="0" xfId="0" applyFont="1" applyAlignment="1">
      <alignment horizontal="left"/>
    </xf>
    <xf numFmtId="44" fontId="6" fillId="0" borderId="0" xfId="0" applyNumberFormat="1" applyFont="1"/>
    <xf numFmtId="0" fontId="1" fillId="0" borderId="58" xfId="0" applyFont="1" applyBorder="1" applyAlignment="1">
      <alignment horizontal="left"/>
    </xf>
    <xf numFmtId="0" fontId="1" fillId="0" borderId="58" xfId="0" applyFont="1" applyBorder="1" applyAlignment="1">
      <alignment horizontal="left"/>
    </xf>
    <xf numFmtId="44" fontId="6" fillId="0" borderId="7" xfId="0" applyNumberFormat="1" applyFont="1" applyBorder="1"/>
    <xf numFmtId="44" fontId="37" fillId="0" borderId="0" xfId="0" applyNumberFormat="1" applyFont="1"/>
    <xf numFmtId="10" fontId="1" fillId="0" borderId="0" xfId="0" applyNumberFormat="1" applyFont="1" applyAlignment="1">
      <alignment horizontal="left"/>
    </xf>
    <xf numFmtId="0" fontId="41" fillId="0" borderId="0" xfId="0" applyFont="1" applyAlignment="1">
      <alignment horizontal="center"/>
    </xf>
    <xf numFmtId="0" fontId="1" fillId="0" borderId="58" xfId="0" applyFont="1" applyBorder="1" applyAlignment="1">
      <alignment horizontal="left"/>
    </xf>
    <xf numFmtId="0" fontId="46" fillId="0" borderId="58" xfId="0" applyFont="1" applyBorder="1" applyAlignment="1">
      <alignment horizontal="left"/>
    </xf>
    <xf numFmtId="0" fontId="16" fillId="0" borderId="0" xfId="0" applyFont="1" applyAlignment="1">
      <alignment horizontal="left"/>
    </xf>
    <xf numFmtId="0" fontId="16" fillId="0" borderId="2" xfId="0" applyFont="1" applyBorder="1" applyAlignment="1">
      <alignment horizontal="center"/>
    </xf>
    <xf numFmtId="3" fontId="16" fillId="0" borderId="2" xfId="0" applyNumberFormat="1" applyFont="1" applyBorder="1" applyAlignment="1">
      <alignment horizontal="center"/>
    </xf>
    <xf numFmtId="0" fontId="41" fillId="0" borderId="2" xfId="0" applyFont="1" applyBorder="1" applyAlignment="1">
      <alignment horizontal="center"/>
    </xf>
    <xf numFmtId="0" fontId="16" fillId="0" borderId="2" xfId="0" applyFont="1" applyBorder="1" applyAlignment="1"/>
    <xf numFmtId="44" fontId="1" fillId="0" borderId="2" xfId="0" applyNumberFormat="1" applyFont="1" applyBorder="1" applyAlignment="1">
      <alignment horizontal="right"/>
    </xf>
    <xf numFmtId="3" fontId="1" fillId="0" borderId="2" xfId="0" applyNumberFormat="1" applyFont="1" applyBorder="1" applyAlignment="1">
      <alignment horizontal="right"/>
    </xf>
    <xf numFmtId="0" fontId="1" fillId="0" borderId="2" xfId="0" applyFont="1" applyBorder="1" applyAlignment="1">
      <alignment horizontal="right"/>
    </xf>
    <xf numFmtId="44" fontId="42" fillId="0" borderId="2" xfId="0" applyNumberFormat="1" applyFont="1" applyBorder="1" applyAlignment="1">
      <alignment horizontal="right"/>
    </xf>
    <xf numFmtId="0" fontId="6" fillId="0" borderId="2" xfId="0" applyFont="1" applyBorder="1" applyAlignment="1"/>
    <xf numFmtId="4" fontId="6" fillId="0" borderId="0" xfId="0" applyNumberFormat="1" applyFont="1"/>
    <xf numFmtId="0" fontId="10" fillId="9" borderId="0" xfId="0" applyFont="1" applyFill="1"/>
    <xf numFmtId="3" fontId="1" fillId="0" borderId="2" xfId="0" applyNumberFormat="1" applyFont="1" applyBorder="1" applyAlignment="1">
      <alignment horizontal="right"/>
    </xf>
    <xf numFmtId="4" fontId="1" fillId="0" borderId="2" xfId="0" applyNumberFormat="1" applyFont="1" applyBorder="1" applyAlignment="1">
      <alignment horizontal="right"/>
    </xf>
    <xf numFmtId="4" fontId="6" fillId="0" borderId="2" xfId="0" applyNumberFormat="1" applyFont="1" applyBorder="1"/>
    <xf numFmtId="3" fontId="1" fillId="0" borderId="2" xfId="0" applyNumberFormat="1" applyFont="1" applyBorder="1" applyAlignment="1"/>
    <xf numFmtId="44" fontId="1" fillId="0" borderId="2" xfId="0" applyNumberFormat="1" applyFont="1" applyBorder="1" applyAlignment="1"/>
    <xf numFmtId="4" fontId="16" fillId="0" borderId="2" xfId="0" applyNumberFormat="1" applyFont="1" applyBorder="1" applyAlignment="1"/>
    <xf numFmtId="0" fontId="1" fillId="0" borderId="2" xfId="0" applyFont="1" applyBorder="1" applyAlignment="1"/>
    <xf numFmtId="3" fontId="1" fillId="0" borderId="0" xfId="0" applyNumberFormat="1" applyFont="1" applyAlignment="1"/>
    <xf numFmtId="3" fontId="1" fillId="0" borderId="58" xfId="0" applyNumberFormat="1" applyFont="1" applyBorder="1" applyAlignment="1">
      <alignment horizontal="right"/>
    </xf>
    <xf numFmtId="44" fontId="1" fillId="0" borderId="58" xfId="0" applyNumberFormat="1" applyFont="1" applyBorder="1" applyAlignment="1"/>
    <xf numFmtId="4" fontId="1" fillId="0" borderId="2" xfId="0" applyNumberFormat="1" applyFont="1" applyBorder="1" applyAlignment="1"/>
    <xf numFmtId="0" fontId="1" fillId="0" borderId="2" xfId="0" applyFont="1" applyBorder="1" applyAlignment="1"/>
    <xf numFmtId="3" fontId="1" fillId="0" borderId="2" xfId="0" applyNumberFormat="1" applyFont="1" applyBorder="1" applyAlignment="1"/>
    <xf numFmtId="44" fontId="1" fillId="0" borderId="2" xfId="0" applyNumberFormat="1" applyFont="1" applyBorder="1" applyAlignment="1"/>
    <xf numFmtId="0" fontId="16" fillId="0" borderId="2" xfId="0" applyFont="1" applyBorder="1" applyAlignment="1"/>
    <xf numFmtId="0" fontId="1" fillId="0" borderId="2" xfId="0" applyFont="1" applyBorder="1" applyAlignment="1"/>
    <xf numFmtId="0" fontId="24" fillId="0" borderId="0" xfId="0" applyFont="1"/>
    <xf numFmtId="0" fontId="41" fillId="0" borderId="0" xfId="0" applyFont="1" applyAlignment="1"/>
    <xf numFmtId="0" fontId="42" fillId="0" borderId="0" xfId="0" applyFont="1" applyAlignment="1"/>
    <xf numFmtId="0" fontId="41" fillId="0" borderId="0" xfId="0" applyFont="1" applyAlignment="1">
      <alignment horizontal="center"/>
    </xf>
    <xf numFmtId="44" fontId="41" fillId="0" borderId="0" xfId="0" applyNumberFormat="1" applyFont="1" applyAlignment="1">
      <alignment horizontal="right"/>
    </xf>
    <xf numFmtId="4" fontId="16" fillId="0" borderId="2" xfId="0" applyNumberFormat="1" applyFont="1" applyBorder="1" applyAlignment="1">
      <alignment horizontal="center"/>
    </xf>
    <xf numFmtId="4" fontId="6" fillId="0" borderId="2" xfId="0" applyNumberFormat="1" applyFont="1" applyBorder="1" applyAlignment="1"/>
    <xf numFmtId="0" fontId="1" fillId="0" borderId="2" xfId="0" applyFont="1" applyBorder="1" applyAlignment="1">
      <alignment horizontal="right"/>
    </xf>
    <xf numFmtId="0" fontId="47" fillId="9" borderId="0" xfId="0" applyFont="1" applyFill="1"/>
    <xf numFmtId="0" fontId="47" fillId="12" borderId="2" xfId="0" applyFont="1" applyFill="1" applyBorder="1"/>
    <xf numFmtId="0" fontId="47" fillId="12" borderId="4" xfId="0" applyFont="1" applyFill="1" applyBorder="1"/>
    <xf numFmtId="44" fontId="47" fillId="12" borderId="4" xfId="0" applyNumberFormat="1" applyFont="1" applyFill="1" applyBorder="1"/>
    <xf numFmtId="0" fontId="47" fillId="12" borderId="5" xfId="0" applyFont="1" applyFill="1" applyBorder="1" applyAlignment="1"/>
    <xf numFmtId="0" fontId="24" fillId="12" borderId="9" xfId="0" applyFont="1" applyFill="1" applyBorder="1" applyAlignment="1"/>
    <xf numFmtId="0" fontId="13" fillId="0" borderId="0" xfId="0" applyFont="1" applyAlignment="1"/>
    <xf numFmtId="0" fontId="49" fillId="12" borderId="0" xfId="0" applyFont="1" applyFill="1" applyAlignment="1"/>
    <xf numFmtId="0" fontId="24" fillId="12" borderId="0" xfId="0" applyFont="1" applyFill="1" applyAlignment="1"/>
    <xf numFmtId="44" fontId="24" fillId="12" borderId="0" xfId="0" applyNumberFormat="1" applyFont="1" applyFill="1"/>
    <xf numFmtId="0" fontId="24" fillId="12" borderId="12" xfId="0" applyFont="1" applyFill="1" applyBorder="1" applyAlignment="1"/>
    <xf numFmtId="0" fontId="24" fillId="9" borderId="0" xfId="0" applyFont="1" applyFill="1"/>
    <xf numFmtId="0" fontId="48" fillId="0" borderId="2" xfId="0" applyFont="1" applyBorder="1" applyAlignment="1"/>
    <xf numFmtId="0" fontId="48" fillId="0" borderId="2" xfId="0" applyFont="1" applyBorder="1" applyAlignment="1">
      <alignment horizontal="left"/>
    </xf>
    <xf numFmtId="44" fontId="48" fillId="0" borderId="2" xfId="0" applyNumberFormat="1" applyFont="1" applyBorder="1" applyAlignment="1">
      <alignment horizontal="left"/>
    </xf>
    <xf numFmtId="0" fontId="48" fillId="0" borderId="2" xfId="0" applyFont="1" applyBorder="1" applyAlignment="1">
      <alignment horizontal="left"/>
    </xf>
    <xf numFmtId="0" fontId="24" fillId="12" borderId="0" xfId="0" applyFont="1" applyFill="1" applyAlignment="1"/>
    <xf numFmtId="0" fontId="13" fillId="22" borderId="2" xfId="0" applyFont="1" applyFill="1" applyBorder="1" applyAlignment="1"/>
    <xf numFmtId="44" fontId="24" fillId="12" borderId="0" xfId="0" applyNumberFormat="1" applyFont="1" applyFill="1" applyAlignment="1"/>
    <xf numFmtId="0" fontId="48" fillId="0" borderId="2" xfId="0" applyFont="1" applyBorder="1" applyAlignment="1">
      <alignment horizontal="left" wrapText="1"/>
    </xf>
    <xf numFmtId="0" fontId="24" fillId="0" borderId="2" xfId="0" applyFont="1" applyBorder="1" applyAlignment="1">
      <alignment wrapText="1"/>
    </xf>
    <xf numFmtId="0" fontId="50" fillId="12" borderId="12" xfId="0" applyFont="1" applyFill="1" applyBorder="1" applyAlignment="1"/>
    <xf numFmtId="44" fontId="0" fillId="0" borderId="2" xfId="0" applyNumberFormat="1" applyFont="1" applyBorder="1" applyAlignment="1">
      <alignment horizontal="center"/>
    </xf>
    <xf numFmtId="0" fontId="0" fillId="0" borderId="2" xfId="0" applyFont="1" applyBorder="1" applyAlignment="1">
      <alignment horizontal="center"/>
    </xf>
    <xf numFmtId="44" fontId="0" fillId="0" borderId="2" xfId="0" applyNumberFormat="1" applyFont="1" applyBorder="1" applyAlignment="1">
      <alignment horizontal="center"/>
    </xf>
    <xf numFmtId="0" fontId="0" fillId="0" borderId="2" xfId="0" applyFont="1" applyBorder="1" applyAlignment="1">
      <alignment horizontal="center"/>
    </xf>
    <xf numFmtId="0" fontId="24" fillId="12" borderId="0" xfId="0" applyFont="1" applyFill="1" applyAlignment="1">
      <alignment horizontal="left"/>
    </xf>
    <xf numFmtId="0" fontId="6" fillId="12" borderId="2" xfId="0" applyFont="1" applyFill="1" applyBorder="1" applyAlignment="1"/>
    <xf numFmtId="0" fontId="51" fillId="12" borderId="12" xfId="0" applyFont="1" applyFill="1" applyBorder="1" applyAlignment="1"/>
    <xf numFmtId="0" fontId="6" fillId="12" borderId="2" xfId="0" applyFont="1" applyFill="1" applyBorder="1"/>
    <xf numFmtId="0" fontId="0" fillId="0" borderId="2" xfId="0" applyFont="1" applyBorder="1" applyAlignment="1">
      <alignment horizontal="left" wrapText="1"/>
    </xf>
    <xf numFmtId="0" fontId="24" fillId="12" borderId="10" xfId="0" applyFont="1" applyFill="1" applyBorder="1" applyAlignment="1"/>
    <xf numFmtId="0" fontId="52" fillId="12" borderId="7" xfId="0" applyFont="1" applyFill="1" applyBorder="1" applyAlignment="1"/>
    <xf numFmtId="0" fontId="24" fillId="12" borderId="7" xfId="0" applyFont="1" applyFill="1" applyBorder="1" applyAlignment="1"/>
    <xf numFmtId="44" fontId="24" fillId="12" borderId="7" xfId="0" applyNumberFormat="1" applyFont="1" applyFill="1" applyBorder="1"/>
    <xf numFmtId="0" fontId="24" fillId="12" borderId="13" xfId="0" applyFont="1" applyFill="1" applyBorder="1" applyAlignment="1"/>
    <xf numFmtId="0" fontId="24" fillId="9" borderId="0" xfId="0" applyFont="1" applyFill="1" applyAlignment="1"/>
    <xf numFmtId="44" fontId="24" fillId="9" borderId="0" xfId="0" applyNumberFormat="1" applyFont="1" applyFill="1"/>
    <xf numFmtId="0" fontId="47" fillId="22" borderId="2" xfId="0" applyFont="1" applyFill="1" applyBorder="1" applyAlignment="1"/>
    <xf numFmtId="44" fontId="47" fillId="22" borderId="2" xfId="0" applyNumberFormat="1" applyFont="1" applyFill="1" applyBorder="1" applyAlignment="1"/>
    <xf numFmtId="3" fontId="6" fillId="12" borderId="2" xfId="0" applyNumberFormat="1" applyFont="1" applyFill="1" applyBorder="1"/>
    <xf numFmtId="0" fontId="16" fillId="12" borderId="0" xfId="0" applyFont="1" applyFill="1" applyAlignment="1"/>
    <xf numFmtId="0" fontId="24" fillId="12" borderId="0" xfId="0" applyFont="1" applyFill="1"/>
    <xf numFmtId="44" fontId="24" fillId="12" borderId="12" xfId="0" applyNumberFormat="1" applyFont="1" applyFill="1" applyBorder="1"/>
    <xf numFmtId="0" fontId="24" fillId="9" borderId="0" xfId="0" applyFont="1" applyFill="1" applyAlignment="1"/>
    <xf numFmtId="0" fontId="1" fillId="0" borderId="58" xfId="0" applyFont="1" applyBorder="1" applyAlignment="1">
      <alignment horizontal="right"/>
    </xf>
    <xf numFmtId="0" fontId="37" fillId="12" borderId="2" xfId="0" applyFont="1" applyFill="1" applyBorder="1" applyAlignment="1"/>
    <xf numFmtId="0" fontId="47" fillId="9" borderId="0" xfId="0" applyFont="1" applyFill="1" applyAlignment="1"/>
    <xf numFmtId="0" fontId="0" fillId="0" borderId="2" xfId="0" applyFont="1" applyBorder="1"/>
    <xf numFmtId="0" fontId="0" fillId="12" borderId="2" xfId="0" applyFont="1" applyFill="1" applyBorder="1" applyAlignment="1"/>
    <xf numFmtId="0" fontId="16" fillId="9" borderId="0" xfId="0" applyFont="1" applyFill="1" applyAlignment="1">
      <alignment horizontal="center"/>
    </xf>
    <xf numFmtId="0" fontId="47" fillId="9" borderId="0" xfId="0" applyFont="1" applyFill="1" applyAlignment="1">
      <alignment horizontal="center"/>
    </xf>
    <xf numFmtId="0" fontId="47" fillId="9" borderId="0" xfId="0" applyFont="1" applyFill="1" applyAlignment="1">
      <alignment horizontal="center"/>
    </xf>
    <xf numFmtId="0" fontId="16" fillId="9" borderId="0" xfId="0" applyFont="1" applyFill="1" applyAlignment="1">
      <alignment horizontal="center"/>
    </xf>
    <xf numFmtId="3" fontId="0" fillId="0" borderId="2" xfId="0" applyNumberFormat="1" applyFont="1" applyBorder="1" applyAlignment="1">
      <alignment horizontal="center"/>
    </xf>
    <xf numFmtId="0" fontId="48" fillId="9" borderId="0" xfId="0" applyFont="1" applyFill="1" applyAlignment="1">
      <alignment horizontal="center"/>
    </xf>
    <xf numFmtId="44" fontId="0" fillId="12" borderId="2" xfId="0" applyNumberFormat="1" applyFont="1" applyFill="1" applyBorder="1" applyAlignment="1"/>
    <xf numFmtId="0" fontId="1" fillId="12" borderId="0" xfId="0" applyFont="1" applyFill="1" applyAlignment="1"/>
    <xf numFmtId="0" fontId="48" fillId="12" borderId="2" xfId="0" applyFont="1" applyFill="1" applyBorder="1" applyAlignment="1"/>
    <xf numFmtId="4" fontId="1" fillId="0" borderId="2" xfId="0" applyNumberFormat="1" applyFont="1" applyBorder="1" applyAlignment="1"/>
    <xf numFmtId="44" fontId="48" fillId="12" borderId="2" xfId="0" applyNumberFormat="1" applyFont="1" applyFill="1" applyBorder="1"/>
    <xf numFmtId="44" fontId="0" fillId="0" borderId="2" xfId="0" applyNumberFormat="1" applyFont="1" applyBorder="1"/>
    <xf numFmtId="0" fontId="1" fillId="12" borderId="7" xfId="0" applyFont="1" applyFill="1" applyBorder="1" applyAlignment="1"/>
    <xf numFmtId="0" fontId="24" fillId="12" borderId="7" xfId="0" applyFont="1" applyFill="1" applyBorder="1"/>
    <xf numFmtId="0" fontId="47" fillId="12" borderId="28" xfId="0" applyFont="1" applyFill="1" applyBorder="1" applyAlignment="1"/>
    <xf numFmtId="0" fontId="24" fillId="12" borderId="28" xfId="0" applyFont="1" applyFill="1" applyBorder="1"/>
    <xf numFmtId="44" fontId="24" fillId="12" borderId="65" xfId="0" applyNumberFormat="1" applyFont="1" applyFill="1" applyBorder="1"/>
    <xf numFmtId="3" fontId="0" fillId="0" borderId="2" xfId="0" applyNumberFormat="1" applyFont="1" applyBorder="1" applyAlignment="1">
      <alignment horizontal="center"/>
    </xf>
    <xf numFmtId="0" fontId="24" fillId="12" borderId="0" xfId="0" applyFont="1" applyFill="1"/>
    <xf numFmtId="0" fontId="47" fillId="12" borderId="66" xfId="0" applyFont="1" applyFill="1" applyBorder="1" applyAlignment="1"/>
    <xf numFmtId="0" fontId="24" fillId="12" borderId="66" xfId="0" applyFont="1" applyFill="1" applyBorder="1"/>
    <xf numFmtId="44" fontId="48" fillId="0" borderId="2" xfId="0" applyNumberFormat="1" applyFont="1" applyBorder="1" applyAlignment="1">
      <alignment horizontal="center"/>
    </xf>
    <xf numFmtId="44" fontId="24" fillId="12" borderId="67" xfId="0" applyNumberFormat="1" applyFont="1" applyFill="1" applyBorder="1"/>
    <xf numFmtId="44" fontId="14" fillId="0" borderId="0" xfId="0" applyNumberFormat="1" applyFont="1"/>
    <xf numFmtId="0" fontId="16" fillId="12" borderId="2" xfId="0" applyFont="1" applyFill="1" applyBorder="1" applyAlignment="1">
      <alignment horizontal="center" vertical="center"/>
    </xf>
    <xf numFmtId="0" fontId="47" fillId="12" borderId="7" xfId="0" applyFont="1" applyFill="1" applyBorder="1" applyAlignment="1"/>
    <xf numFmtId="44" fontId="13" fillId="0" borderId="2" xfId="0" applyNumberFormat="1" applyFont="1" applyBorder="1" applyAlignment="1">
      <alignment horizontal="center"/>
    </xf>
    <xf numFmtId="44" fontId="24" fillId="12" borderId="13" xfId="0" applyNumberFormat="1" applyFont="1" applyFill="1" applyBorder="1"/>
    <xf numFmtId="0" fontId="13" fillId="0" borderId="2" xfId="0" applyFont="1" applyBorder="1" applyAlignment="1">
      <alignment horizontal="center"/>
    </xf>
    <xf numFmtId="44" fontId="47" fillId="9" borderId="0" xfId="0" applyNumberFormat="1" applyFont="1" applyFill="1" applyAlignment="1"/>
    <xf numFmtId="44" fontId="14" fillId="0" borderId="2" xfId="0" applyNumberFormat="1" applyFont="1" applyBorder="1" applyAlignment="1">
      <alignment horizontal="center"/>
    </xf>
    <xf numFmtId="0" fontId="14" fillId="0" borderId="2" xfId="0" applyFont="1" applyBorder="1" applyAlignment="1">
      <alignment horizontal="center"/>
    </xf>
    <xf numFmtId="0" fontId="14" fillId="0" borderId="2" xfId="0" applyFont="1" applyBorder="1" applyAlignment="1">
      <alignment horizontal="center"/>
    </xf>
    <xf numFmtId="44" fontId="14" fillId="0" borderId="2" xfId="0" applyNumberFormat="1" applyFont="1" applyBorder="1" applyAlignment="1">
      <alignment horizontal="center"/>
    </xf>
    <xf numFmtId="3" fontId="14" fillId="0" borderId="2" xfId="0" applyNumberFormat="1" applyFont="1" applyBorder="1" applyAlignment="1">
      <alignment horizontal="center"/>
    </xf>
    <xf numFmtId="44" fontId="14" fillId="0" borderId="2" xfId="0" applyNumberFormat="1" applyFont="1" applyBorder="1"/>
    <xf numFmtId="0" fontId="16" fillId="9" borderId="0" xfId="0" applyFont="1" applyFill="1" applyAlignment="1">
      <alignment horizontal="center" vertical="center"/>
    </xf>
    <xf numFmtId="0" fontId="53" fillId="9" borderId="0" xfId="0" applyFont="1" applyFill="1"/>
    <xf numFmtId="0" fontId="47" fillId="9" borderId="22" xfId="0" applyFont="1" applyFill="1" applyBorder="1" applyAlignment="1"/>
    <xf numFmtId="0" fontId="24" fillId="9" borderId="22" xfId="0" applyFont="1" applyFill="1" applyBorder="1"/>
    <xf numFmtId="44" fontId="24" fillId="9" borderId="22" xfId="0" applyNumberFormat="1" applyFont="1" applyFill="1" applyBorder="1"/>
    <xf numFmtId="0" fontId="48" fillId="0" borderId="2" xfId="0" applyFont="1" applyBorder="1" applyAlignment="1">
      <alignment horizontal="left" wrapText="1"/>
    </xf>
    <xf numFmtId="0" fontId="14" fillId="0" borderId="0" xfId="0" applyFont="1" applyAlignment="1">
      <alignment horizontal="center"/>
    </xf>
    <xf numFmtId="44" fontId="14" fillId="0" borderId="0" xfId="0" applyNumberFormat="1" applyFont="1" applyAlignment="1">
      <alignment horizontal="center"/>
    </xf>
    <xf numFmtId="44" fontId="0" fillId="0" borderId="0" xfId="0" applyNumberFormat="1" applyFont="1" applyAlignment="1">
      <alignment horizontal="center"/>
    </xf>
    <xf numFmtId="0" fontId="24" fillId="12" borderId="22" xfId="0" applyFont="1" applyFill="1" applyBorder="1"/>
    <xf numFmtId="0" fontId="24" fillId="12" borderId="22" xfId="0" applyFont="1" applyFill="1" applyBorder="1" applyAlignment="1"/>
    <xf numFmtId="0" fontId="24" fillId="12" borderId="7" xfId="0" applyFont="1" applyFill="1" applyBorder="1"/>
    <xf numFmtId="0" fontId="24" fillId="12" borderId="7" xfId="0" applyFont="1" applyFill="1" applyBorder="1" applyAlignment="1"/>
    <xf numFmtId="0" fontId="47" fillId="12" borderId="4" xfId="0" applyFont="1" applyFill="1" applyBorder="1" applyAlignment="1"/>
    <xf numFmtId="0" fontId="47" fillId="9" borderId="4" xfId="0" applyFont="1" applyFill="1" applyBorder="1" applyAlignment="1"/>
    <xf numFmtId="0" fontId="47" fillId="9" borderId="7" xfId="0" applyFont="1" applyFill="1" applyBorder="1" applyAlignment="1"/>
    <xf numFmtId="3" fontId="14" fillId="0" borderId="2" xfId="0" applyNumberFormat="1" applyFont="1" applyBorder="1" applyAlignment="1">
      <alignment horizontal="center"/>
    </xf>
    <xf numFmtId="0" fontId="14" fillId="0" borderId="2" xfId="0" applyFont="1" applyBorder="1"/>
    <xf numFmtId="0" fontId="24" fillId="12" borderId="28" xfId="0" applyFont="1" applyFill="1" applyBorder="1" applyAlignment="1"/>
    <xf numFmtId="44" fontId="24" fillId="12" borderId="13" xfId="0" applyNumberFormat="1" applyFont="1" applyFill="1" applyBorder="1" applyAlignment="1"/>
    <xf numFmtId="44" fontId="47" fillId="9" borderId="22" xfId="0" applyNumberFormat="1" applyFont="1" applyFill="1" applyBorder="1" applyAlignment="1"/>
    <xf numFmtId="0" fontId="24" fillId="12" borderId="66" xfId="0" applyFont="1" applyFill="1" applyBorder="1" applyAlignment="1"/>
    <xf numFmtId="0" fontId="13" fillId="0" borderId="2" xfId="0" applyFont="1" applyBorder="1" applyAlignment="1">
      <alignment horizontal="left"/>
    </xf>
    <xf numFmtId="0" fontId="47" fillId="0" borderId="0" xfId="0" applyFont="1" applyAlignment="1"/>
    <xf numFmtId="44" fontId="24" fillId="0" borderId="0" xfId="0" applyNumberFormat="1" applyFont="1" applyAlignment="1"/>
    <xf numFmtId="0" fontId="45" fillId="0" borderId="0" xfId="0" applyFont="1" applyAlignment="1"/>
    <xf numFmtId="0" fontId="6" fillId="0" borderId="0" xfId="0" applyFont="1" applyAlignment="1">
      <alignment horizontal="left"/>
    </xf>
    <xf numFmtId="0" fontId="6" fillId="0" borderId="0" xfId="0" applyFont="1" applyAlignment="1"/>
    <xf numFmtId="0" fontId="1" fillId="0" borderId="0" xfId="0" applyFont="1" applyAlignment="1">
      <alignment horizontal="left"/>
    </xf>
    <xf numFmtId="0" fontId="46" fillId="0" borderId="0" xfId="0" applyFont="1" applyAlignment="1">
      <alignment horizontal="left"/>
    </xf>
    <xf numFmtId="0" fontId="16" fillId="0" borderId="0" xfId="0" applyFont="1" applyAlignment="1">
      <alignment horizontal="center"/>
    </xf>
    <xf numFmtId="0" fontId="16" fillId="0" borderId="0" xfId="0" applyFont="1" applyAlignment="1"/>
    <xf numFmtId="0" fontId="54" fillId="0" borderId="0" xfId="0" applyFont="1" applyAlignment="1"/>
    <xf numFmtId="44" fontId="1" fillId="0" borderId="0" xfId="0" applyNumberFormat="1" applyFont="1" applyAlignment="1">
      <alignment horizontal="right"/>
    </xf>
    <xf numFmtId="0" fontId="1" fillId="0" borderId="0" xfId="0" applyFont="1" applyAlignment="1">
      <alignment horizontal="right"/>
    </xf>
    <xf numFmtId="44" fontId="42" fillId="0" borderId="0" xfId="0" applyNumberFormat="1" applyFont="1" applyAlignment="1">
      <alignment horizontal="right"/>
    </xf>
    <xf numFmtId="0" fontId="1" fillId="0" borderId="0" xfId="0" applyFont="1" applyAlignment="1"/>
    <xf numFmtId="0" fontId="1" fillId="0" borderId="0" xfId="0" applyFont="1" applyAlignment="1"/>
    <xf numFmtId="182" fontId="42" fillId="0" borderId="0" xfId="0" applyNumberFormat="1" applyFont="1" applyAlignment="1">
      <alignment horizontal="right"/>
    </xf>
    <xf numFmtId="0" fontId="45" fillId="0" borderId="0" xfId="0" applyFont="1" applyAlignment="1"/>
    <xf numFmtId="0" fontId="37" fillId="12" borderId="7" xfId="0" applyFont="1" applyFill="1" applyBorder="1" applyAlignment="1"/>
    <xf numFmtId="169" fontId="6" fillId="12" borderId="0" xfId="0" applyNumberFormat="1" applyFont="1" applyFill="1"/>
    <xf numFmtId="182" fontId="6" fillId="12" borderId="0" xfId="0" applyNumberFormat="1" applyFont="1" applyFill="1"/>
    <xf numFmtId="9" fontId="6" fillId="0" borderId="0" xfId="0" applyNumberFormat="1" applyFont="1" applyAlignment="1"/>
    <xf numFmtId="0" fontId="6" fillId="12" borderId="28" xfId="0" applyFont="1" applyFill="1" applyBorder="1" applyAlignment="1"/>
    <xf numFmtId="44" fontId="6" fillId="12" borderId="28" xfId="0" applyNumberFormat="1" applyFont="1" applyFill="1" applyBorder="1"/>
    <xf numFmtId="0" fontId="0" fillId="0" borderId="0" xfId="0" applyFont="1" applyAlignment="1"/>
    <xf numFmtId="0" fontId="0" fillId="0" borderId="0" xfId="0" applyFont="1" applyAlignment="1"/>
    <xf numFmtId="0" fontId="55" fillId="0" borderId="2" xfId="1" applyBorder="1" applyAlignment="1">
      <alignment horizontal="center"/>
    </xf>
    <xf numFmtId="0" fontId="55" fillId="0" borderId="63" xfId="1" applyBorder="1" applyAlignment="1">
      <alignment horizontal="center"/>
    </xf>
    <xf numFmtId="0" fontId="7" fillId="0" borderId="62" xfId="0" applyFont="1" applyBorder="1" applyAlignment="1">
      <alignment horizontal="center"/>
    </xf>
    <xf numFmtId="0" fontId="55" fillId="0" borderId="68" xfId="1" applyBorder="1" applyAlignment="1">
      <alignment horizontal="center"/>
    </xf>
    <xf numFmtId="0" fontId="55" fillId="0" borderId="6" xfId="1" applyBorder="1" applyAlignment="1">
      <alignment horizontal="center"/>
    </xf>
    <xf numFmtId="0" fontId="57" fillId="0" borderId="2" xfId="1" applyFont="1" applyBorder="1" applyAlignment="1">
      <alignment horizontal="center"/>
    </xf>
    <xf numFmtId="0" fontId="2" fillId="0" borderId="0" xfId="0" applyFont="1" applyFill="1" applyAlignment="1">
      <alignment vertical="center"/>
    </xf>
    <xf numFmtId="171" fontId="8" fillId="0" borderId="0" xfId="0" applyNumberFormat="1" applyFont="1" applyFill="1" applyAlignment="1">
      <alignment horizontal="center" vertical="center"/>
    </xf>
    <xf numFmtId="0" fontId="5" fillId="0" borderId="54" xfId="0" applyFont="1" applyFill="1" applyBorder="1" applyAlignment="1">
      <alignment horizontal="center" vertical="center"/>
    </xf>
    <xf numFmtId="171" fontId="8" fillId="0" borderId="54" xfId="0" applyNumberFormat="1" applyFont="1" applyFill="1" applyBorder="1" applyAlignment="1">
      <alignment horizontal="center" vertical="center"/>
    </xf>
    <xf numFmtId="169" fontId="2" fillId="0" borderId="0" xfId="0" applyNumberFormat="1" applyFont="1" applyFill="1" applyAlignment="1">
      <alignment vertical="center"/>
    </xf>
    <xf numFmtId="0" fontId="27" fillId="0" borderId="0" xfId="0" applyFont="1" applyFill="1" applyAlignment="1">
      <alignment horizontal="center" vertical="center"/>
    </xf>
    <xf numFmtId="171" fontId="2" fillId="0" borderId="0" xfId="0" applyNumberFormat="1" applyFont="1" applyFill="1" applyAlignment="1">
      <alignment vertical="center"/>
    </xf>
    <xf numFmtId="169" fontId="8" fillId="0" borderId="0" xfId="0" applyNumberFormat="1" applyFont="1" applyFill="1" applyAlignment="1">
      <alignment horizontal="center" vertical="center"/>
    </xf>
    <xf numFmtId="0" fontId="5" fillId="25" borderId="13" xfId="0" applyFont="1" applyFill="1" applyBorder="1" applyAlignment="1"/>
    <xf numFmtId="44" fontId="2" fillId="25" borderId="10" xfId="0" applyNumberFormat="1" applyFont="1" applyFill="1" applyBorder="1"/>
    <xf numFmtId="44" fontId="2" fillId="25" borderId="53" xfId="0" applyNumberFormat="1" applyFont="1" applyFill="1" applyBorder="1"/>
    <xf numFmtId="4" fontId="2" fillId="25" borderId="68" xfId="0" applyNumberFormat="1" applyFont="1" applyFill="1" applyBorder="1" applyAlignment="1">
      <alignment horizontal="center" vertical="center"/>
    </xf>
    <xf numFmtId="0" fontId="5" fillId="25" borderId="68" xfId="0" applyFont="1" applyFill="1" applyBorder="1" applyAlignment="1">
      <alignment horizontal="center" vertical="center"/>
    </xf>
    <xf numFmtId="0" fontId="2" fillId="10" borderId="68" xfId="0" applyFont="1" applyFill="1" applyBorder="1" applyAlignment="1">
      <alignment horizontal="center" vertical="center"/>
    </xf>
    <xf numFmtId="44" fontId="2" fillId="10" borderId="68" xfId="0" applyNumberFormat="1" applyFont="1" applyFill="1" applyBorder="1" applyAlignment="1">
      <alignment horizontal="center" vertical="center"/>
    </xf>
    <xf numFmtId="9" fontId="2" fillId="10" borderId="68" xfId="0" applyNumberFormat="1" applyFont="1" applyFill="1" applyBorder="1" applyAlignment="1">
      <alignment horizontal="center" vertical="center"/>
    </xf>
    <xf numFmtId="0" fontId="0" fillId="0" borderId="0" xfId="0" applyFont="1" applyAlignment="1">
      <alignment wrapText="1"/>
    </xf>
    <xf numFmtId="178" fontId="6" fillId="0" borderId="0" xfId="0" applyNumberFormat="1" applyFont="1" applyAlignment="1">
      <alignment wrapText="1"/>
    </xf>
    <xf numFmtId="0" fontId="59" fillId="0" borderId="0" xfId="1" applyFont="1"/>
    <xf numFmtId="44" fontId="60" fillId="0" borderId="2" xfId="0" applyNumberFormat="1" applyFont="1" applyBorder="1" applyAlignment="1">
      <alignment horizontal="right"/>
    </xf>
    <xf numFmtId="182" fontId="60" fillId="0" borderId="2" xfId="0" applyNumberFormat="1" applyFont="1" applyBorder="1" applyAlignment="1">
      <alignment horizontal="right"/>
    </xf>
    <xf numFmtId="2" fontId="1" fillId="0" borderId="2" xfId="0" applyNumberFormat="1" applyFont="1" applyBorder="1" applyAlignment="1">
      <alignment horizontal="right"/>
    </xf>
    <xf numFmtId="43" fontId="6" fillId="0" borderId="2" xfId="4" applyFont="1" applyBorder="1"/>
    <xf numFmtId="183" fontId="6" fillId="0" borderId="2" xfId="4" applyNumberFormat="1" applyFont="1" applyBorder="1"/>
    <xf numFmtId="43" fontId="6" fillId="0" borderId="0" xfId="4" applyFont="1" applyAlignment="1">
      <alignment horizontal="left"/>
    </xf>
    <xf numFmtId="43" fontId="1" fillId="0" borderId="0" xfId="4" applyFont="1" applyAlignment="1">
      <alignment horizontal="left"/>
    </xf>
    <xf numFmtId="10" fontId="1" fillId="0" borderId="0" xfId="0" applyNumberFormat="1" applyFont="1" applyAlignment="1">
      <alignment horizontal="right"/>
    </xf>
    <xf numFmtId="174" fontId="1" fillId="0" borderId="0" xfId="0" applyNumberFormat="1" applyFont="1" applyAlignment="1">
      <alignment horizontal="right"/>
    </xf>
    <xf numFmtId="171" fontId="6" fillId="0" borderId="2" xfId="4" applyNumberFormat="1" applyFont="1" applyBorder="1"/>
    <xf numFmtId="184" fontId="6" fillId="0" borderId="2" xfId="0" applyNumberFormat="1" applyFont="1" applyBorder="1"/>
    <xf numFmtId="0" fontId="61" fillId="0" borderId="2" xfId="0" applyFont="1" applyBorder="1" applyAlignment="1">
      <alignment horizontal="center"/>
    </xf>
    <xf numFmtId="2" fontId="1" fillId="12" borderId="2" xfId="0" applyNumberFormat="1" applyFont="1" applyFill="1" applyBorder="1" applyAlignment="1">
      <alignment horizontal="right"/>
    </xf>
    <xf numFmtId="0" fontId="61" fillId="12" borderId="2" xfId="0" applyFont="1" applyFill="1" applyBorder="1" applyAlignment="1">
      <alignment horizontal="center"/>
    </xf>
    <xf numFmtId="44" fontId="60" fillId="12" borderId="2" xfId="0" applyNumberFormat="1" applyFont="1" applyFill="1" applyBorder="1" applyAlignment="1">
      <alignment horizontal="right"/>
    </xf>
    <xf numFmtId="181" fontId="1" fillId="0" borderId="0" xfId="0" applyNumberFormat="1" applyFont="1" applyAlignment="1">
      <alignment horizontal="right"/>
    </xf>
    <xf numFmtId="43" fontId="1" fillId="0" borderId="2" xfId="4" applyFont="1" applyBorder="1" applyAlignment="1">
      <alignment horizontal="right"/>
    </xf>
    <xf numFmtId="43" fontId="1" fillId="0" borderId="2" xfId="4" applyNumberFormat="1" applyFont="1" applyBorder="1" applyAlignment="1">
      <alignment horizontal="right"/>
    </xf>
    <xf numFmtId="0" fontId="37" fillId="0" borderId="2" xfId="0" applyFont="1" applyBorder="1" applyAlignment="1">
      <alignment horizontal="center"/>
    </xf>
    <xf numFmtId="4" fontId="37" fillId="0" borderId="2" xfId="0" applyNumberFormat="1" applyFont="1" applyBorder="1" applyAlignment="1">
      <alignment horizontal="center"/>
    </xf>
    <xf numFmtId="3" fontId="37" fillId="0" borderId="2" xfId="0" applyNumberFormat="1" applyFont="1" applyBorder="1" applyAlignment="1">
      <alignment horizontal="center"/>
    </xf>
    <xf numFmtId="0" fontId="62" fillId="0" borderId="2" xfId="0" applyFont="1" applyBorder="1" applyAlignment="1">
      <alignment wrapText="1"/>
    </xf>
    <xf numFmtId="0" fontId="57" fillId="0" borderId="2" xfId="0" applyFont="1" applyBorder="1" applyAlignment="1">
      <alignment wrapText="1"/>
    </xf>
    <xf numFmtId="0" fontId="57" fillId="0" borderId="2" xfId="0" applyFont="1" applyBorder="1" applyAlignment="1"/>
    <xf numFmtId="0" fontId="62" fillId="0" borderId="2" xfId="0" applyFont="1" applyBorder="1"/>
    <xf numFmtId="0" fontId="60" fillId="0" borderId="53" xfId="0" applyFont="1" applyBorder="1" applyAlignment="1"/>
    <xf numFmtId="0" fontId="60" fillId="0" borderId="13" xfId="0" applyFont="1" applyBorder="1" applyAlignment="1"/>
    <xf numFmtId="0" fontId="60" fillId="0" borderId="7" xfId="0" applyFont="1" applyBorder="1" applyAlignment="1">
      <alignment horizontal="right"/>
    </xf>
    <xf numFmtId="0" fontId="60" fillId="0" borderId="13" xfId="0" applyFont="1" applyBorder="1" applyAlignment="1">
      <alignment horizontal="right"/>
    </xf>
    <xf numFmtId="0" fontId="61" fillId="0" borderId="13" xfId="0" applyFont="1" applyBorder="1" applyAlignment="1">
      <alignment horizontal="center"/>
    </xf>
    <xf numFmtId="0" fontId="60" fillId="0" borderId="58" xfId="0" applyFont="1" applyBorder="1" applyAlignment="1"/>
    <xf numFmtId="0" fontId="60" fillId="0" borderId="12" xfId="0" applyFont="1" applyBorder="1" applyAlignment="1"/>
    <xf numFmtId="0" fontId="60" fillId="0" borderId="0" xfId="0" applyFont="1" applyAlignment="1">
      <alignment horizontal="right"/>
    </xf>
    <xf numFmtId="0" fontId="60" fillId="0" borderId="9" xfId="0" applyFont="1" applyBorder="1" applyAlignment="1">
      <alignment horizontal="right"/>
    </xf>
    <xf numFmtId="0" fontId="60" fillId="0" borderId="0" xfId="0" applyFont="1" applyAlignment="1"/>
    <xf numFmtId="0" fontId="60" fillId="0" borderId="10" xfId="0" applyFont="1" applyBorder="1" applyAlignment="1">
      <alignment horizontal="right"/>
    </xf>
    <xf numFmtId="0" fontId="60" fillId="0" borderId="12" xfId="0" applyFont="1" applyBorder="1" applyAlignment="1">
      <alignment horizontal="right"/>
    </xf>
    <xf numFmtId="44" fontId="60" fillId="0" borderId="12" xfId="0" applyNumberFormat="1" applyFont="1" applyBorder="1" applyAlignment="1"/>
    <xf numFmtId="44" fontId="60" fillId="0" borderId="0" xfId="0" applyNumberFormat="1" applyFont="1" applyAlignment="1"/>
    <xf numFmtId="44" fontId="60" fillId="0" borderId="12" xfId="0" applyNumberFormat="1" applyFont="1" applyBorder="1" applyAlignment="1">
      <alignment horizontal="right"/>
    </xf>
    <xf numFmtId="44" fontId="60" fillId="0" borderId="0" xfId="0" applyNumberFormat="1" applyFont="1" applyAlignment="1">
      <alignment horizontal="right"/>
    </xf>
    <xf numFmtId="44" fontId="60" fillId="0" borderId="13" xfId="0" applyNumberFormat="1" applyFont="1" applyBorder="1" applyAlignment="1"/>
    <xf numFmtId="44" fontId="60" fillId="0" borderId="7" xfId="0" applyNumberFormat="1" applyFont="1" applyBorder="1" applyAlignment="1">
      <alignment horizontal="right"/>
    </xf>
    <xf numFmtId="44" fontId="60" fillId="0" borderId="13" xfId="0" applyNumberFormat="1" applyFont="1" applyBorder="1" applyAlignment="1">
      <alignment horizontal="right"/>
    </xf>
    <xf numFmtId="44" fontId="61" fillId="0" borderId="13" xfId="0" applyNumberFormat="1" applyFont="1" applyBorder="1" applyAlignment="1">
      <alignment horizontal="right"/>
    </xf>
    <xf numFmtId="44" fontId="60" fillId="0" borderId="9" xfId="0" applyNumberFormat="1" applyFont="1" applyBorder="1" applyAlignment="1">
      <alignment horizontal="right"/>
    </xf>
    <xf numFmtId="44" fontId="60" fillId="0" borderId="9" xfId="0" applyNumberFormat="1" applyFont="1" applyBorder="1" applyAlignment="1">
      <alignment horizontal="left"/>
    </xf>
    <xf numFmtId="44" fontId="60" fillId="0" borderId="58" xfId="0" applyNumberFormat="1" applyFont="1" applyBorder="1" applyAlignment="1"/>
    <xf numFmtId="44" fontId="60" fillId="0" borderId="53" xfId="0" applyNumberFormat="1" applyFont="1" applyBorder="1" applyAlignment="1"/>
    <xf numFmtId="171" fontId="60" fillId="0" borderId="0" xfId="4" applyNumberFormat="1" applyFont="1" applyAlignment="1">
      <alignment horizontal="right"/>
    </xf>
    <xf numFmtId="171" fontId="60" fillId="0" borderId="9" xfId="4" applyNumberFormat="1" applyFont="1" applyBorder="1" applyAlignment="1">
      <alignment horizontal="right"/>
    </xf>
    <xf numFmtId="171" fontId="60" fillId="0" borderId="0" xfId="4" applyNumberFormat="1" applyFont="1" applyAlignment="1"/>
    <xf numFmtId="171" fontId="60" fillId="0" borderId="12" xfId="4" applyNumberFormat="1" applyFont="1" applyBorder="1" applyAlignment="1"/>
    <xf numFmtId="171" fontId="60" fillId="0" borderId="9" xfId="4" applyNumberFormat="1" applyFont="1" applyBorder="1" applyAlignment="1"/>
    <xf numFmtId="171" fontId="1" fillId="0" borderId="5" xfId="4" applyNumberFormat="1" applyFont="1" applyBorder="1" applyAlignment="1">
      <alignment horizontal="right"/>
    </xf>
    <xf numFmtId="171" fontId="1" fillId="0" borderId="12" xfId="4" applyNumberFormat="1" applyFont="1" applyBorder="1" applyAlignment="1">
      <alignment horizontal="right"/>
    </xf>
    <xf numFmtId="171" fontId="17" fillId="0" borderId="12" xfId="4" applyNumberFormat="1" applyFont="1" applyBorder="1" applyAlignment="1">
      <alignment horizontal="right"/>
    </xf>
    <xf numFmtId="171" fontId="17" fillId="0" borderId="64" xfId="4" applyNumberFormat="1" applyFont="1" applyBorder="1" applyAlignment="1">
      <alignment horizontal="right"/>
    </xf>
    <xf numFmtId="171" fontId="17" fillId="0" borderId="13" xfId="4" applyNumberFormat="1" applyFont="1" applyBorder="1" applyAlignment="1">
      <alignment horizontal="right"/>
    </xf>
    <xf numFmtId="171" fontId="1" fillId="0" borderId="0" xfId="4" applyNumberFormat="1" applyFont="1" applyAlignment="1">
      <alignment horizontal="right"/>
    </xf>
    <xf numFmtId="171" fontId="1" fillId="0" borderId="0" xfId="4" applyNumberFormat="1" applyFont="1" applyAlignment="1"/>
    <xf numFmtId="171" fontId="1" fillId="0" borderId="12" xfId="4" applyNumberFormat="1" applyFont="1" applyBorder="1"/>
    <xf numFmtId="9" fontId="17" fillId="0" borderId="12" xfId="3" applyFont="1" applyBorder="1" applyAlignment="1">
      <alignment horizontal="right"/>
    </xf>
    <xf numFmtId="174" fontId="6" fillId="0" borderId="2" xfId="0" applyNumberFormat="1" applyFont="1" applyBorder="1"/>
    <xf numFmtId="171" fontId="0" fillId="12" borderId="0" xfId="4" applyNumberFormat="1" applyFont="1" applyFill="1"/>
    <xf numFmtId="171" fontId="6" fillId="12" borderId="0" xfId="4" applyNumberFormat="1" applyFont="1" applyFill="1"/>
    <xf numFmtId="171" fontId="6" fillId="12" borderId="12" xfId="4" applyNumberFormat="1" applyFont="1" applyFill="1" applyBorder="1"/>
    <xf numFmtId="174" fontId="0" fillId="0" borderId="0" xfId="0" applyNumberFormat="1" applyFont="1" applyAlignment="1"/>
    <xf numFmtId="174" fontId="6" fillId="0" borderId="7" xfId="0" applyNumberFormat="1" applyFont="1" applyBorder="1"/>
    <xf numFmtId="174" fontId="6" fillId="0" borderId="0" xfId="0" applyNumberFormat="1" applyFont="1" applyAlignment="1"/>
    <xf numFmtId="174" fontId="6" fillId="0" borderId="7" xfId="0" applyNumberFormat="1" applyFont="1" applyBorder="1" applyAlignment="1"/>
    <xf numFmtId="174" fontId="37" fillId="0" borderId="2" xfId="0" applyNumberFormat="1" applyFont="1" applyBorder="1"/>
    <xf numFmtId="10" fontId="17" fillId="0" borderId="12" xfId="0" applyNumberFormat="1" applyFont="1" applyBorder="1" applyAlignment="1">
      <alignment horizontal="right"/>
    </xf>
    <xf numFmtId="0" fontId="17" fillId="0" borderId="7" xfId="0" applyFont="1" applyBorder="1" applyAlignment="1">
      <alignment horizontal="right"/>
    </xf>
    <xf numFmtId="10" fontId="17" fillId="0" borderId="13" xfId="0" applyNumberFormat="1" applyFont="1" applyBorder="1" applyAlignment="1">
      <alignment horizontal="right"/>
    </xf>
    <xf numFmtId="0" fontId="16" fillId="0" borderId="0" xfId="0" applyFont="1" applyAlignment="1">
      <alignment horizontal="right"/>
    </xf>
    <xf numFmtId="0" fontId="48" fillId="0" borderId="0" xfId="0" applyFont="1" applyAlignment="1">
      <alignment horizontal="right"/>
    </xf>
    <xf numFmtId="0" fontId="1" fillId="0" borderId="12" xfId="0" applyFont="1" applyBorder="1" applyAlignment="1"/>
    <xf numFmtId="10" fontId="17" fillId="0" borderId="0" xfId="0" applyNumberFormat="1" applyFont="1" applyAlignment="1">
      <alignment horizontal="right"/>
    </xf>
    <xf numFmtId="10" fontId="1" fillId="0" borderId="0" xfId="0" applyNumberFormat="1" applyFont="1" applyAlignment="1"/>
    <xf numFmtId="171" fontId="1" fillId="0" borderId="7" xfId="4" applyNumberFormat="1" applyFont="1" applyBorder="1" applyAlignment="1">
      <alignment horizontal="right"/>
    </xf>
    <xf numFmtId="0" fontId="16" fillId="0" borderId="8" xfId="0" applyFont="1" applyBorder="1" applyAlignment="1"/>
    <xf numFmtId="0" fontId="16" fillId="0" borderId="22" xfId="0" applyFont="1" applyBorder="1" applyAlignment="1"/>
    <xf numFmtId="0" fontId="16" fillId="0" borderId="23" xfId="0" applyFont="1" applyBorder="1" applyAlignment="1"/>
    <xf numFmtId="2" fontId="1" fillId="0" borderId="0" xfId="0" applyNumberFormat="1" applyFont="1" applyAlignment="1">
      <alignment horizontal="right"/>
    </xf>
    <xf numFmtId="2" fontId="16" fillId="0" borderId="0" xfId="0" applyNumberFormat="1" applyFont="1" applyAlignment="1">
      <alignment horizontal="right"/>
    </xf>
    <xf numFmtId="0" fontId="1" fillId="0" borderId="10" xfId="0" applyFont="1" applyBorder="1" applyAlignment="1"/>
    <xf numFmtId="0" fontId="16" fillId="0" borderId="57" xfId="0" applyFont="1" applyBorder="1" applyAlignment="1"/>
    <xf numFmtId="0" fontId="17" fillId="0" borderId="53" xfId="0" applyFont="1" applyBorder="1" applyAlignment="1"/>
    <xf numFmtId="0" fontId="1" fillId="0" borderId="53" xfId="0" applyFont="1" applyBorder="1" applyAlignment="1"/>
    <xf numFmtId="0" fontId="16" fillId="0" borderId="4" xfId="0" applyFont="1" applyBorder="1" applyAlignment="1"/>
    <xf numFmtId="0" fontId="16" fillId="0" borderId="5" xfId="0" applyFont="1" applyBorder="1" applyAlignment="1"/>
    <xf numFmtId="0" fontId="1" fillId="12" borderId="0" xfId="0" applyFont="1" applyFill="1" applyAlignment="1">
      <alignment horizontal="right"/>
    </xf>
    <xf numFmtId="0" fontId="17" fillId="12" borderId="0" xfId="0" applyFont="1" applyFill="1" applyAlignment="1"/>
    <xf numFmtId="0" fontId="17" fillId="12" borderId="0" xfId="0" applyFont="1" applyFill="1" applyAlignment="1">
      <alignment horizontal="right"/>
    </xf>
    <xf numFmtId="171" fontId="1" fillId="12" borderId="0" xfId="4" applyNumberFormat="1" applyFont="1" applyFill="1" applyAlignment="1">
      <alignment horizontal="right"/>
    </xf>
    <xf numFmtId="174" fontId="1" fillId="12" borderId="0" xfId="0" applyNumberFormat="1" applyFont="1" applyFill="1" applyAlignment="1"/>
    <xf numFmtId="44" fontId="1" fillId="12" borderId="0" xfId="2" applyFont="1" applyFill="1" applyAlignment="1"/>
    <xf numFmtId="44" fontId="8" fillId="25" borderId="68" xfId="0" applyNumberFormat="1" applyFont="1" applyFill="1" applyBorder="1"/>
    <xf numFmtId="44" fontId="8" fillId="25" borderId="68" xfId="0" applyNumberFormat="1" applyFont="1" applyFill="1" applyBorder="1" applyAlignment="1"/>
    <xf numFmtId="44" fontId="8" fillId="25" borderId="70" xfId="0" applyNumberFormat="1" applyFont="1" applyFill="1" applyBorder="1"/>
    <xf numFmtId="44" fontId="8" fillId="25" borderId="69" xfId="0" applyNumberFormat="1" applyFont="1" applyFill="1" applyBorder="1"/>
    <xf numFmtId="44" fontId="8" fillId="25" borderId="70" xfId="0" applyNumberFormat="1" applyFont="1" applyFill="1" applyBorder="1" applyAlignment="1"/>
    <xf numFmtId="44" fontId="8" fillId="25" borderId="69" xfId="0" applyNumberFormat="1" applyFont="1" applyFill="1" applyBorder="1" applyAlignment="1"/>
    <xf numFmtId="0" fontId="5" fillId="25" borderId="12" xfId="0" applyFont="1" applyFill="1" applyBorder="1" applyAlignment="1"/>
    <xf numFmtId="44" fontId="2" fillId="25" borderId="9" xfId="0" applyNumberFormat="1" applyFont="1" applyFill="1" applyBorder="1" applyAlignment="1"/>
    <xf numFmtId="44" fontId="2" fillId="25" borderId="9" xfId="0" applyNumberFormat="1" applyFont="1" applyFill="1" applyBorder="1"/>
    <xf numFmtId="44" fontId="2" fillId="25" borderId="59" xfId="0" applyNumberFormat="1" applyFont="1" applyFill="1" applyBorder="1"/>
    <xf numFmtId="0" fontId="5" fillId="25" borderId="71" xfId="0" applyFont="1" applyFill="1" applyBorder="1" applyAlignment="1"/>
    <xf numFmtId="44" fontId="2" fillId="25" borderId="72" xfId="0" applyNumberFormat="1" applyFont="1" applyFill="1" applyBorder="1" applyAlignment="1"/>
    <xf numFmtId="44" fontId="2" fillId="25" borderId="72" xfId="0" applyNumberFormat="1" applyFont="1" applyFill="1" applyBorder="1"/>
    <xf numFmtId="44" fontId="2" fillId="25" borderId="73" xfId="0" applyNumberFormat="1" applyFont="1" applyFill="1" applyBorder="1"/>
    <xf numFmtId="0" fontId="0" fillId="0" borderId="62" xfId="0" applyFont="1" applyBorder="1" applyAlignment="1"/>
    <xf numFmtId="44" fontId="2" fillId="0" borderId="62" xfId="0" applyNumberFormat="1" applyFont="1" applyBorder="1" applyAlignment="1">
      <alignment horizontal="center" vertical="center"/>
    </xf>
    <xf numFmtId="44" fontId="2" fillId="25" borderId="68" xfId="0" applyNumberFormat="1" applyFont="1" applyFill="1" applyBorder="1" applyAlignment="1">
      <alignment horizontal="center" vertical="center"/>
    </xf>
    <xf numFmtId="0" fontId="2" fillId="25" borderId="68" xfId="0" applyFont="1" applyFill="1" applyBorder="1" applyAlignment="1">
      <alignment horizontal="center" vertical="center"/>
    </xf>
    <xf numFmtId="0" fontId="5" fillId="25" borderId="68" xfId="0" applyFont="1" applyFill="1" applyBorder="1" applyAlignment="1">
      <alignment horizontal="center" vertical="center" wrapText="1"/>
    </xf>
    <xf numFmtId="165" fontId="2" fillId="25" borderId="68" xfId="0" applyNumberFormat="1" applyFont="1" applyFill="1" applyBorder="1" applyAlignment="1">
      <alignment horizontal="center" vertical="center"/>
    </xf>
    <xf numFmtId="171" fontId="2" fillId="25" borderId="68" xfId="4" applyNumberFormat="1" applyFont="1" applyFill="1" applyBorder="1" applyAlignment="1">
      <alignment horizontal="center" vertical="center"/>
    </xf>
    <xf numFmtId="0" fontId="4" fillId="20" borderId="68" xfId="0" applyFont="1" applyFill="1" applyBorder="1" applyAlignment="1">
      <alignment horizontal="center" vertical="center" wrapText="1"/>
    </xf>
    <xf numFmtId="0" fontId="2" fillId="25" borderId="68" xfId="0" applyFont="1" applyFill="1" applyBorder="1" applyAlignment="1">
      <alignment horizontal="center" vertical="center" wrapText="1"/>
    </xf>
    <xf numFmtId="44" fontId="4" fillId="20" borderId="68" xfId="2" applyFont="1" applyFill="1" applyBorder="1" applyAlignment="1">
      <alignment horizontal="center" vertical="center" wrapText="1"/>
    </xf>
    <xf numFmtId="0" fontId="5" fillId="28" borderId="9" xfId="0" applyFont="1" applyFill="1" applyBorder="1" applyAlignment="1">
      <alignment horizontal="center" vertical="center"/>
    </xf>
    <xf numFmtId="0" fontId="5" fillId="0" borderId="12" xfId="0" applyFont="1" applyFill="1" applyBorder="1" applyAlignment="1">
      <alignment horizontal="center" vertical="center" wrapText="1"/>
    </xf>
    <xf numFmtId="0" fontId="2" fillId="0" borderId="9" xfId="0" applyFont="1" applyFill="1" applyBorder="1" applyAlignment="1">
      <alignment horizontal="center" vertical="center"/>
    </xf>
    <xf numFmtId="0" fontId="4" fillId="20" borderId="68" xfId="0" applyFont="1" applyFill="1" applyBorder="1" applyAlignment="1">
      <alignment horizontal="center"/>
    </xf>
    <xf numFmtId="3" fontId="2" fillId="25" borderId="68" xfId="0" applyNumberFormat="1" applyFont="1" applyFill="1" applyBorder="1" applyAlignment="1">
      <alignment horizontal="center" vertical="center"/>
    </xf>
    <xf numFmtId="9" fontId="2" fillId="25" borderId="68" xfId="0" applyNumberFormat="1" applyFont="1" applyFill="1" applyBorder="1" applyAlignment="1">
      <alignment horizontal="center" vertical="center"/>
    </xf>
    <xf numFmtId="0" fontId="4" fillId="20" borderId="68" xfId="0" applyFont="1" applyFill="1" applyBorder="1" applyAlignment="1">
      <alignment horizontal="center" wrapText="1"/>
    </xf>
    <xf numFmtId="44" fontId="4" fillId="20" borderId="68" xfId="2" applyFont="1" applyFill="1" applyBorder="1" applyAlignment="1">
      <alignment horizontal="center" wrapText="1"/>
    </xf>
    <xf numFmtId="0" fontId="5" fillId="10" borderId="68" xfId="0" applyFont="1" applyFill="1" applyBorder="1" applyAlignment="1">
      <alignment horizontal="center" vertical="center" wrapText="1"/>
    </xf>
    <xf numFmtId="10" fontId="2" fillId="10" borderId="68" xfId="0" applyNumberFormat="1" applyFont="1" applyFill="1" applyBorder="1" applyAlignment="1">
      <alignment horizontal="center" vertical="center"/>
    </xf>
    <xf numFmtId="0" fontId="4" fillId="20" borderId="68" xfId="0" applyFont="1" applyFill="1" applyBorder="1" applyAlignment="1">
      <alignment horizontal="center" vertical="center"/>
    </xf>
    <xf numFmtId="169" fontId="2" fillId="25" borderId="68" xfId="0" applyNumberFormat="1" applyFont="1" applyFill="1" applyBorder="1" applyAlignment="1">
      <alignment horizontal="center" vertical="center" wrapText="1"/>
    </xf>
    <xf numFmtId="169" fontId="8" fillId="25" borderId="68" xfId="0" applyNumberFormat="1" applyFont="1" applyFill="1" applyBorder="1"/>
    <xf numFmtId="0" fontId="2" fillId="21" borderId="62" xfId="0" applyFont="1" applyFill="1" applyBorder="1" applyAlignment="1">
      <alignment horizontal="left" vertical="center"/>
    </xf>
    <xf numFmtId="169" fontId="2" fillId="21" borderId="62" xfId="0" applyNumberFormat="1" applyFont="1" applyFill="1" applyBorder="1" applyAlignment="1">
      <alignment horizontal="right" vertical="center"/>
    </xf>
    <xf numFmtId="171" fontId="2" fillId="21" borderId="62" xfId="0" applyNumberFormat="1" applyFont="1" applyFill="1" applyBorder="1" applyAlignment="1">
      <alignment horizontal="right" vertical="center"/>
    </xf>
    <xf numFmtId="0" fontId="2" fillId="21" borderId="74" xfId="0" applyFont="1" applyFill="1" applyBorder="1" applyAlignment="1">
      <alignment horizontal="left" vertical="center"/>
    </xf>
    <xf numFmtId="169" fontId="2" fillId="21" borderId="74" xfId="0" applyNumberFormat="1" applyFont="1" applyFill="1" applyBorder="1" applyAlignment="1">
      <alignment horizontal="right" vertical="center"/>
    </xf>
    <xf numFmtId="171" fontId="2" fillId="21" borderId="74" xfId="0" applyNumberFormat="1" applyFont="1" applyFill="1" applyBorder="1" applyAlignment="1">
      <alignment horizontal="right" vertical="center"/>
    </xf>
    <xf numFmtId="171" fontId="5" fillId="4" borderId="75" xfId="4" applyNumberFormat="1" applyFont="1" applyFill="1" applyBorder="1" applyAlignment="1">
      <alignment horizontal="left" vertical="center"/>
    </xf>
    <xf numFmtId="171" fontId="5" fillId="21" borderId="74" xfId="4" applyNumberFormat="1" applyFont="1" applyFill="1" applyBorder="1" applyAlignment="1">
      <alignment horizontal="right" vertical="center"/>
    </xf>
    <xf numFmtId="0" fontId="2" fillId="21" borderId="62" xfId="0" applyFont="1" applyFill="1" applyBorder="1" applyAlignment="1">
      <alignment horizontal="center" vertical="center"/>
    </xf>
    <xf numFmtId="0" fontId="2" fillId="21" borderId="76" xfId="0" applyFont="1" applyFill="1" applyBorder="1" applyAlignment="1">
      <alignment horizontal="center" vertical="center"/>
    </xf>
    <xf numFmtId="0" fontId="5" fillId="20" borderId="77" xfId="0" applyFont="1" applyFill="1" applyBorder="1" applyAlignment="1">
      <alignment horizontal="center" vertical="center"/>
    </xf>
    <xf numFmtId="0" fontId="2" fillId="20" borderId="62" xfId="0" applyFont="1" applyFill="1" applyBorder="1" applyAlignment="1">
      <alignment horizontal="center" vertical="center"/>
    </xf>
    <xf numFmtId="0" fontId="2" fillId="4" borderId="62" xfId="0" applyFont="1" applyFill="1" applyBorder="1" applyAlignment="1">
      <alignment horizontal="left" vertical="center"/>
    </xf>
    <xf numFmtId="169" fontId="2" fillId="4" borderId="62" xfId="0" applyNumberFormat="1" applyFont="1" applyFill="1" applyBorder="1" applyAlignment="1">
      <alignment horizontal="right" vertical="center"/>
    </xf>
    <xf numFmtId="171" fontId="2" fillId="4" borderId="62" xfId="0" applyNumberFormat="1" applyFont="1" applyFill="1" applyBorder="1" applyAlignment="1">
      <alignment horizontal="right" vertical="center"/>
    </xf>
    <xf numFmtId="0" fontId="2" fillId="21" borderId="62" xfId="0" applyFont="1" applyFill="1" applyBorder="1" applyAlignment="1">
      <alignment horizontal="right" vertical="center"/>
    </xf>
    <xf numFmtId="44" fontId="2" fillId="4" borderId="62" xfId="0" applyNumberFormat="1" applyFont="1" applyFill="1" applyBorder="1" applyAlignment="1">
      <alignment horizontal="right" vertical="center"/>
    </xf>
    <xf numFmtId="173" fontId="2" fillId="4" borderId="62" xfId="0" applyNumberFormat="1" applyFont="1" applyFill="1" applyBorder="1" applyAlignment="1">
      <alignment horizontal="right" vertical="center"/>
    </xf>
    <xf numFmtId="171" fontId="2" fillId="21" borderId="62" xfId="4" applyNumberFormat="1" applyFont="1" applyFill="1" applyBorder="1" applyAlignment="1">
      <alignment horizontal="right" vertical="center"/>
    </xf>
    <xf numFmtId="171" fontId="2" fillId="4" borderId="62" xfId="4" applyNumberFormat="1" applyFont="1" applyFill="1" applyBorder="1" applyAlignment="1">
      <alignment horizontal="right" vertical="center"/>
    </xf>
    <xf numFmtId="43" fontId="2" fillId="21" borderId="62" xfId="4" applyFont="1" applyFill="1" applyBorder="1" applyAlignment="1">
      <alignment horizontal="right" vertical="center"/>
    </xf>
    <xf numFmtId="171" fontId="5" fillId="21" borderId="62" xfId="4" applyNumberFormat="1" applyFont="1" applyFill="1" applyBorder="1" applyAlignment="1">
      <alignment horizontal="right" vertical="center"/>
    </xf>
    <xf numFmtId="168" fontId="2" fillId="21" borderId="62" xfId="0" applyNumberFormat="1" applyFont="1" applyFill="1" applyBorder="1" applyAlignment="1">
      <alignment horizontal="left" vertical="center"/>
    </xf>
    <xf numFmtId="169" fontId="2" fillId="21" borderId="62" xfId="0" applyNumberFormat="1" applyFont="1" applyFill="1" applyBorder="1" applyAlignment="1">
      <alignment horizontal="left" vertical="center"/>
    </xf>
    <xf numFmtId="10" fontId="2" fillId="21" borderId="62" xfId="0" applyNumberFormat="1" applyFont="1" applyFill="1" applyBorder="1" applyAlignment="1">
      <alignment vertical="center"/>
    </xf>
    <xf numFmtId="0" fontId="5" fillId="10" borderId="79" xfId="0" applyFont="1" applyFill="1" applyBorder="1" applyAlignment="1">
      <alignment vertical="center" wrapText="1"/>
    </xf>
    <xf numFmtId="0" fontId="6" fillId="0" borderId="79" xfId="0" applyFont="1" applyBorder="1" applyAlignment="1"/>
    <xf numFmtId="44" fontId="2" fillId="21" borderId="62" xfId="2" applyFont="1" applyFill="1" applyBorder="1" applyAlignment="1">
      <alignment horizontal="left" vertical="center"/>
    </xf>
    <xf numFmtId="171" fontId="2" fillId="30" borderId="62" xfId="0" applyNumberFormat="1" applyFont="1" applyFill="1" applyBorder="1" applyAlignment="1">
      <alignment horizontal="right" vertical="center"/>
    </xf>
    <xf numFmtId="169" fontId="2" fillId="21" borderId="62" xfId="2" applyNumberFormat="1" applyFont="1" applyFill="1" applyBorder="1" applyAlignment="1">
      <alignment horizontal="left" vertical="center"/>
    </xf>
    <xf numFmtId="0" fontId="64" fillId="25" borderId="68" xfId="0" applyFont="1" applyFill="1" applyBorder="1" applyAlignment="1">
      <alignment horizontal="center" vertical="center" wrapText="1"/>
    </xf>
    <xf numFmtId="0" fontId="65" fillId="25" borderId="68" xfId="0" applyFont="1" applyFill="1" applyBorder="1" applyAlignment="1">
      <alignment horizontal="center" vertical="center"/>
    </xf>
    <xf numFmtId="44" fontId="11" fillId="6" borderId="0" xfId="2" applyFont="1" applyFill="1" applyAlignment="1">
      <alignment horizontal="center" vertical="center"/>
    </xf>
    <xf numFmtId="44" fontId="12" fillId="2" borderId="0" xfId="2" applyFont="1" applyFill="1" applyAlignment="1">
      <alignment horizontal="center" vertical="center"/>
    </xf>
    <xf numFmtId="9" fontId="11" fillId="6" borderId="0" xfId="3" applyFont="1" applyFill="1" applyAlignment="1">
      <alignment horizontal="center" vertical="center"/>
    </xf>
    <xf numFmtId="44" fontId="12" fillId="6" borderId="0" xfId="2" applyFont="1" applyFill="1" applyAlignment="1">
      <alignment horizontal="center" vertical="center"/>
    </xf>
    <xf numFmtId="44" fontId="14" fillId="6" borderId="0" xfId="2" applyFont="1" applyFill="1" applyAlignment="1">
      <alignment horizontal="center" vertical="center"/>
    </xf>
    <xf numFmtId="168" fontId="22" fillId="2" borderId="30" xfId="0" applyNumberFormat="1" applyFont="1" applyFill="1" applyBorder="1" applyAlignment="1">
      <alignment horizontal="center" vertical="center"/>
    </xf>
    <xf numFmtId="44" fontId="12" fillId="0" borderId="0" xfId="2" applyFont="1" applyAlignment="1">
      <alignment horizontal="center" vertical="center"/>
    </xf>
    <xf numFmtId="44" fontId="12" fillId="9" borderId="0" xfId="2" applyFont="1" applyFill="1" applyAlignment="1">
      <alignment horizontal="center" vertical="center"/>
    </xf>
    <xf numFmtId="44" fontId="12" fillId="0" borderId="25" xfId="2" applyFont="1" applyBorder="1" applyAlignment="1">
      <alignment horizontal="center" vertical="center"/>
    </xf>
    <xf numFmtId="44" fontId="12" fillId="0" borderId="7" xfId="2" applyFont="1" applyBorder="1" applyAlignment="1">
      <alignment horizontal="center" vertical="center"/>
    </xf>
    <xf numFmtId="44" fontId="12" fillId="0" borderId="20" xfId="2" applyFont="1" applyBorder="1" applyAlignment="1">
      <alignment horizontal="center" vertical="center"/>
    </xf>
    <xf numFmtId="44" fontId="12" fillId="0" borderId="28" xfId="2" applyFont="1" applyBorder="1" applyAlignment="1">
      <alignment horizontal="center" vertical="center"/>
    </xf>
    <xf numFmtId="10" fontId="12" fillId="0" borderId="7" xfId="0" applyNumberFormat="1" applyFont="1" applyBorder="1" applyAlignment="1">
      <alignment horizontal="center" vertical="center"/>
    </xf>
    <xf numFmtId="185" fontId="11" fillId="7" borderId="0" xfId="3" applyNumberFormat="1" applyFont="1" applyFill="1" applyAlignment="1">
      <alignment horizontal="right"/>
    </xf>
    <xf numFmtId="44" fontId="11" fillId="7" borderId="0" xfId="2" applyFont="1" applyFill="1" applyAlignment="1">
      <alignment horizontal="right"/>
    </xf>
    <xf numFmtId="44" fontId="11" fillId="7" borderId="0" xfId="2" applyFont="1" applyFill="1" applyAlignment="1"/>
    <xf numFmtId="0" fontId="14" fillId="7" borderId="0" xfId="0" applyFont="1" applyFill="1" applyAlignment="1">
      <alignment horizontal="right"/>
    </xf>
    <xf numFmtId="165" fontId="14" fillId="7" borderId="0" xfId="0" applyNumberFormat="1" applyFont="1" applyFill="1" applyAlignment="1">
      <alignment horizontal="right"/>
    </xf>
    <xf numFmtId="44" fontId="14" fillId="7" borderId="0" xfId="2" applyFont="1" applyFill="1" applyAlignment="1">
      <alignment horizontal="right"/>
    </xf>
    <xf numFmtId="44" fontId="12" fillId="7" borderId="0" xfId="2" applyFont="1" applyFill="1"/>
    <xf numFmtId="44" fontId="11" fillId="7" borderId="0" xfId="2" applyFont="1" applyFill="1"/>
    <xf numFmtId="3" fontId="14" fillId="7" borderId="0" xfId="0" applyNumberFormat="1" applyFont="1" applyFill="1" applyAlignment="1">
      <alignment horizontal="right"/>
    </xf>
    <xf numFmtId="3" fontId="15" fillId="7" borderId="0" xfId="0" applyNumberFormat="1" applyFont="1" applyFill="1" applyAlignment="1">
      <alignment horizontal="right"/>
    </xf>
    <xf numFmtId="0" fontId="17" fillId="0" borderId="62" xfId="5" applyFont="1" applyAlignment="1"/>
    <xf numFmtId="0" fontId="17" fillId="0" borderId="62" xfId="5" applyFont="1"/>
    <xf numFmtId="165" fontId="17" fillId="0" borderId="62" xfId="5" applyNumberFormat="1" applyFont="1" applyAlignment="1">
      <alignment horizontal="right"/>
    </xf>
    <xf numFmtId="10" fontId="17" fillId="0" borderId="62" xfId="5" applyNumberFormat="1" applyFont="1" applyAlignment="1">
      <alignment horizontal="right"/>
    </xf>
    <xf numFmtId="165" fontId="17" fillId="0" borderId="62" xfId="5" applyNumberFormat="1" applyFont="1"/>
    <xf numFmtId="9" fontId="17" fillId="0" borderId="62" xfId="5" applyNumberFormat="1" applyFont="1"/>
    <xf numFmtId="170" fontId="17" fillId="0" borderId="62" xfId="5" applyNumberFormat="1" applyFont="1" applyAlignment="1">
      <alignment horizontal="right"/>
    </xf>
    <xf numFmtId="10" fontId="17" fillId="0" borderId="62" xfId="5" applyNumberFormat="1" applyFont="1"/>
    <xf numFmtId="0" fontId="17" fillId="0" borderId="62" xfId="5" applyFont="1" applyAlignment="1">
      <alignment horizontal="right"/>
    </xf>
    <xf numFmtId="9" fontId="17" fillId="0" borderId="62" xfId="5" applyNumberFormat="1" applyFont="1" applyAlignment="1">
      <alignment horizontal="right"/>
    </xf>
    <xf numFmtId="10" fontId="1" fillId="0" borderId="62" xfId="5" applyNumberFormat="1" applyFont="1"/>
    <xf numFmtId="9" fontId="1" fillId="0" borderId="62" xfId="5" applyNumberFormat="1" applyFont="1" applyAlignment="1">
      <alignment horizontal="right"/>
    </xf>
    <xf numFmtId="0" fontId="1" fillId="0" borderId="62" xfId="5" applyFont="1"/>
    <xf numFmtId="170" fontId="17" fillId="0" borderId="62" xfId="5" applyNumberFormat="1" applyFont="1"/>
    <xf numFmtId="9" fontId="1" fillId="0" borderId="62" xfId="5" applyNumberFormat="1" applyFont="1"/>
    <xf numFmtId="0" fontId="66" fillId="0" borderId="62" xfId="5" applyFont="1"/>
    <xf numFmtId="0" fontId="48" fillId="0" borderId="62" xfId="5" applyFont="1"/>
    <xf numFmtId="44" fontId="17" fillId="0" borderId="62" xfId="5" applyNumberFormat="1" applyFont="1"/>
    <xf numFmtId="43" fontId="17" fillId="0" borderId="62" xfId="5" applyNumberFormat="1" applyFont="1"/>
    <xf numFmtId="171" fontId="17" fillId="0" borderId="62" xfId="5" applyNumberFormat="1" applyFont="1"/>
    <xf numFmtId="0" fontId="48" fillId="0" borderId="62" xfId="5" applyFont="1" applyAlignment="1">
      <alignment horizontal="center"/>
    </xf>
    <xf numFmtId="0" fontId="1" fillId="0" borderId="62" xfId="5" applyFont="1" applyAlignment="1"/>
    <xf numFmtId="0" fontId="17" fillId="31" borderId="62" xfId="0" applyFont="1" applyFill="1" applyBorder="1" applyAlignment="1">
      <alignment wrapText="1"/>
    </xf>
    <xf numFmtId="44" fontId="17" fillId="32" borderId="62" xfId="2" applyFont="1" applyFill="1" applyBorder="1" applyAlignment="1">
      <alignment horizontal="right" wrapText="1"/>
    </xf>
    <xf numFmtId="10" fontId="17" fillId="32" borderId="62" xfId="3" applyNumberFormat="1" applyFont="1" applyFill="1" applyBorder="1" applyAlignment="1">
      <alignment horizontal="right" wrapText="1"/>
    </xf>
    <xf numFmtId="0" fontId="48" fillId="31" borderId="62" xfId="0" applyFont="1" applyFill="1" applyBorder="1" applyAlignment="1">
      <alignment wrapText="1"/>
    </xf>
    <xf numFmtId="0" fontId="48" fillId="31" borderId="62" xfId="0" applyFont="1" applyFill="1" applyBorder="1" applyAlignment="1">
      <alignment horizontal="center" wrapText="1"/>
    </xf>
    <xf numFmtId="44" fontId="48" fillId="32" borderId="62" xfId="2" applyFont="1" applyFill="1" applyBorder="1" applyAlignment="1">
      <alignment horizontal="center" wrapText="1"/>
    </xf>
    <xf numFmtId="171" fontId="17" fillId="32" borderId="62" xfId="4" applyNumberFormat="1" applyFont="1" applyFill="1" applyBorder="1" applyAlignment="1">
      <alignment horizontal="right" wrapText="1"/>
    </xf>
    <xf numFmtId="0" fontId="68" fillId="33" borderId="62" xfId="0" applyFont="1" applyFill="1" applyBorder="1" applyAlignment="1">
      <alignment wrapText="1"/>
    </xf>
    <xf numFmtId="44" fontId="17" fillId="32" borderId="84" xfId="2" applyFont="1" applyFill="1" applyBorder="1" applyAlignment="1">
      <alignment horizontal="right" wrapText="1"/>
    </xf>
    <xf numFmtId="44" fontId="48" fillId="32" borderId="85" xfId="2" applyFont="1" applyFill="1" applyBorder="1" applyAlignment="1">
      <alignment horizontal="center" wrapText="1"/>
    </xf>
    <xf numFmtId="44" fontId="67" fillId="32" borderId="84" xfId="2" applyFont="1" applyFill="1" applyBorder="1" applyAlignment="1">
      <alignment horizontal="left" wrapText="1"/>
    </xf>
    <xf numFmtId="44" fontId="17" fillId="32" borderId="85" xfId="2" applyFont="1" applyFill="1" applyBorder="1" applyAlignment="1">
      <alignment horizontal="right" wrapText="1"/>
    </xf>
    <xf numFmtId="171" fontId="17" fillId="32" borderId="85" xfId="4" applyNumberFormat="1" applyFont="1" applyFill="1" applyBorder="1" applyAlignment="1">
      <alignment horizontal="right" wrapText="1"/>
    </xf>
    <xf numFmtId="44" fontId="67" fillId="32" borderId="86" xfId="2" applyFont="1" applyFill="1" applyBorder="1" applyAlignment="1">
      <alignment horizontal="left" wrapText="1"/>
    </xf>
    <xf numFmtId="10" fontId="17" fillId="32" borderId="74" xfId="3" applyNumberFormat="1" applyFont="1" applyFill="1" applyBorder="1" applyAlignment="1">
      <alignment horizontal="right" wrapText="1"/>
    </xf>
    <xf numFmtId="10" fontId="17" fillId="32" borderId="87" xfId="3" applyNumberFormat="1" applyFont="1" applyFill="1" applyBorder="1" applyAlignment="1">
      <alignment horizontal="right" wrapText="1"/>
    </xf>
    <xf numFmtId="0" fontId="48" fillId="31" borderId="62" xfId="0" applyFont="1" applyFill="1" applyBorder="1" applyAlignment="1">
      <alignment horizontal="center" vertical="center" wrapText="1"/>
    </xf>
    <xf numFmtId="186" fontId="17" fillId="32" borderId="62" xfId="3" applyNumberFormat="1" applyFont="1" applyFill="1" applyBorder="1" applyAlignment="1">
      <alignment horizontal="right" wrapText="1"/>
    </xf>
    <xf numFmtId="44" fontId="14" fillId="7" borderId="0" xfId="2" applyFont="1" applyFill="1" applyAlignment="1"/>
    <xf numFmtId="165" fontId="12" fillId="7" borderId="0" xfId="0" applyNumberFormat="1" applyFont="1" applyFill="1"/>
    <xf numFmtId="10" fontId="12" fillId="0" borderId="25" xfId="0" applyNumberFormat="1" applyFont="1" applyBorder="1" applyAlignment="1">
      <alignment horizontal="center" vertical="center"/>
    </xf>
    <xf numFmtId="10" fontId="12" fillId="0" borderId="28" xfId="0" applyNumberFormat="1" applyFont="1" applyBorder="1" applyAlignment="1">
      <alignment horizontal="center" vertical="center"/>
    </xf>
    <xf numFmtId="10" fontId="12" fillId="0" borderId="20" xfId="0" applyNumberFormat="1" applyFont="1" applyBorder="1" applyAlignment="1">
      <alignment horizontal="center" vertical="center"/>
    </xf>
    <xf numFmtId="44" fontId="11" fillId="6" borderId="2" xfId="2" applyFont="1" applyFill="1" applyBorder="1" applyAlignment="1">
      <alignment horizontal="right"/>
    </xf>
    <xf numFmtId="186" fontId="11" fillId="6" borderId="2" xfId="0" applyNumberFormat="1" applyFont="1" applyFill="1" applyBorder="1" applyAlignment="1">
      <alignment horizontal="right"/>
    </xf>
    <xf numFmtId="171" fontId="11" fillId="6" borderId="2" xfId="4" applyNumberFormat="1" applyFont="1" applyFill="1" applyBorder="1" applyAlignment="1">
      <alignment horizontal="right"/>
    </xf>
    <xf numFmtId="44" fontId="2" fillId="6" borderId="2" xfId="2" applyFont="1" applyFill="1" applyBorder="1" applyAlignment="1"/>
    <xf numFmtId="4" fontId="2" fillId="6" borderId="2" xfId="0" applyNumberFormat="1" applyFont="1" applyFill="1" applyBorder="1" applyAlignment="1">
      <alignment horizontal="center" vertical="center"/>
    </xf>
    <xf numFmtId="0" fontId="5" fillId="20" borderId="62" xfId="0" applyFont="1" applyFill="1" applyBorder="1" applyAlignment="1">
      <alignment horizontal="center" vertical="center"/>
    </xf>
    <xf numFmtId="0" fontId="5" fillId="21" borderId="81" xfId="0" quotePrefix="1" applyFont="1" applyFill="1" applyBorder="1" applyAlignment="1">
      <alignment horizontal="center" vertical="center"/>
    </xf>
    <xf numFmtId="0" fontId="5" fillId="21" borderId="88" xfId="0" quotePrefix="1" applyFont="1" applyFill="1" applyBorder="1" applyAlignment="1">
      <alignment horizontal="center" vertical="center"/>
    </xf>
    <xf numFmtId="0" fontId="5" fillId="21" borderId="89" xfId="0" quotePrefix="1" applyFont="1" applyFill="1" applyBorder="1" applyAlignment="1">
      <alignment horizontal="center" vertical="center"/>
    </xf>
    <xf numFmtId="169" fontId="2" fillId="19" borderId="74" xfId="0" applyNumberFormat="1" applyFont="1" applyFill="1" applyBorder="1" applyAlignment="1">
      <alignment vertical="center"/>
    </xf>
    <xf numFmtId="169" fontId="2" fillId="19" borderId="87" xfId="0" applyNumberFormat="1" applyFont="1" applyFill="1" applyBorder="1" applyAlignment="1">
      <alignment vertical="center"/>
    </xf>
    <xf numFmtId="169" fontId="5" fillId="20" borderId="62" xfId="0" applyNumberFormat="1" applyFont="1" applyFill="1" applyBorder="1" applyAlignment="1">
      <alignment horizontal="center" vertical="center"/>
    </xf>
    <xf numFmtId="0" fontId="5" fillId="21" borderId="81" xfId="0" quotePrefix="1" applyFont="1" applyFill="1" applyBorder="1" applyAlignment="1">
      <alignment horizontal="left" vertical="center"/>
    </xf>
    <xf numFmtId="44" fontId="2" fillId="21" borderId="82" xfId="2" applyFont="1" applyFill="1" applyBorder="1" applyAlignment="1">
      <alignment horizontal="left" vertical="center"/>
    </xf>
    <xf numFmtId="171" fontId="2" fillId="21" borderId="82" xfId="4" applyNumberFormat="1" applyFont="1" applyFill="1" applyBorder="1" applyAlignment="1">
      <alignment horizontal="right" vertical="center"/>
    </xf>
    <xf numFmtId="171" fontId="2" fillId="21" borderId="82" xfId="0" applyNumberFormat="1" applyFont="1" applyFill="1" applyBorder="1" applyAlignment="1">
      <alignment horizontal="right" vertical="center"/>
    </xf>
    <xf numFmtId="171" fontId="2" fillId="21" borderId="83" xfId="0" applyNumberFormat="1" applyFont="1" applyFill="1" applyBorder="1" applyAlignment="1">
      <alignment horizontal="right" vertical="center"/>
    </xf>
    <xf numFmtId="0" fontId="27" fillId="4" borderId="84" xfId="0" applyFont="1" applyFill="1" applyBorder="1" applyAlignment="1">
      <alignment horizontal="left" vertical="center"/>
    </xf>
    <xf numFmtId="171" fontId="2" fillId="4" borderId="85" xfId="0" applyNumberFormat="1" applyFont="1" applyFill="1" applyBorder="1" applyAlignment="1">
      <alignment horizontal="right" vertical="center"/>
    </xf>
    <xf numFmtId="0" fontId="27" fillId="21" borderId="84" xfId="0" quotePrefix="1" applyFont="1" applyFill="1" applyBorder="1" applyAlignment="1">
      <alignment horizontal="left" vertical="center"/>
    </xf>
    <xf numFmtId="171" fontId="2" fillId="21" borderId="85" xfId="0" applyNumberFormat="1" applyFont="1" applyFill="1" applyBorder="1" applyAlignment="1">
      <alignment horizontal="right" vertical="center"/>
    </xf>
    <xf numFmtId="0" fontId="5" fillId="4" borderId="84" xfId="0" applyFont="1" applyFill="1" applyBorder="1" applyAlignment="1">
      <alignment horizontal="left" vertical="center"/>
    </xf>
    <xf numFmtId="0" fontId="5" fillId="21" borderId="84" xfId="0" quotePrefix="1" applyFont="1" applyFill="1" applyBorder="1" applyAlignment="1">
      <alignment horizontal="left" vertical="center"/>
    </xf>
    <xf numFmtId="0" fontId="5" fillId="4" borderId="84" xfId="0" applyFont="1" applyFill="1" applyBorder="1" applyAlignment="1">
      <alignment horizontal="center" vertical="center"/>
    </xf>
    <xf numFmtId="0" fontId="2" fillId="21" borderId="84" xfId="0" quotePrefix="1" applyFont="1" applyFill="1" applyBorder="1" applyAlignment="1">
      <alignment horizontal="left" vertical="center"/>
    </xf>
    <xf numFmtId="0" fontId="5" fillId="21" borderId="86" xfId="0" quotePrefix="1" applyFont="1" applyFill="1" applyBorder="1" applyAlignment="1">
      <alignment horizontal="center" vertical="center"/>
    </xf>
    <xf numFmtId="169" fontId="2" fillId="21" borderId="74" xfId="2" applyNumberFormat="1" applyFont="1" applyFill="1" applyBorder="1" applyAlignment="1">
      <alignment horizontal="left" vertical="center"/>
    </xf>
    <xf numFmtId="171" fontId="2" fillId="21" borderId="74" xfId="4" applyNumberFormat="1" applyFont="1" applyFill="1" applyBorder="1" applyAlignment="1">
      <alignment horizontal="right" vertical="center"/>
    </xf>
    <xf numFmtId="171" fontId="2" fillId="21" borderId="87" xfId="0" applyNumberFormat="1" applyFont="1" applyFill="1" applyBorder="1" applyAlignment="1">
      <alignment horizontal="right" vertical="center"/>
    </xf>
    <xf numFmtId="169" fontId="2" fillId="21" borderId="81" xfId="2" quotePrefix="1" applyNumberFormat="1" applyFont="1" applyFill="1" applyBorder="1" applyAlignment="1">
      <alignment horizontal="center" vertical="center"/>
    </xf>
    <xf numFmtId="169" fontId="2" fillId="0" borderId="62" xfId="0" applyNumberFormat="1" applyFont="1" applyFill="1" applyBorder="1" applyAlignment="1">
      <alignment vertical="center"/>
    </xf>
    <xf numFmtId="43" fontId="2" fillId="0" borderId="62" xfId="0" applyNumberFormat="1" applyFont="1" applyFill="1" applyBorder="1" applyAlignment="1">
      <alignment vertical="center"/>
    </xf>
    <xf numFmtId="169" fontId="2" fillId="21" borderId="90" xfId="2" quotePrefix="1" applyNumberFormat="1" applyFont="1" applyFill="1" applyBorder="1" applyAlignment="1">
      <alignment horizontal="center" vertical="center"/>
    </xf>
    <xf numFmtId="169" fontId="2" fillId="4" borderId="86" xfId="2" applyNumberFormat="1" applyFont="1" applyFill="1" applyBorder="1" applyAlignment="1">
      <alignment horizontal="center" vertical="center"/>
    </xf>
    <xf numFmtId="169" fontId="2" fillId="4" borderId="91" xfId="2" applyNumberFormat="1" applyFont="1" applyFill="1" applyBorder="1" applyAlignment="1">
      <alignment horizontal="center" vertical="center"/>
    </xf>
    <xf numFmtId="0" fontId="27" fillId="4" borderId="86" xfId="0" applyFont="1" applyFill="1" applyBorder="1" applyAlignment="1">
      <alignment horizontal="left" vertical="center"/>
    </xf>
    <xf numFmtId="0" fontId="2" fillId="4" borderId="86" xfId="0" applyFont="1" applyFill="1" applyBorder="1" applyAlignment="1">
      <alignment horizontal="left" vertical="center"/>
    </xf>
    <xf numFmtId="10" fontId="2" fillId="21" borderId="62" xfId="3" quotePrefix="1" applyNumberFormat="1" applyFont="1" applyFill="1" applyBorder="1" applyAlignment="1">
      <alignment horizontal="right" vertical="center"/>
    </xf>
    <xf numFmtId="169" fontId="2" fillId="4" borderId="62" xfId="2" applyNumberFormat="1" applyFont="1" applyFill="1" applyBorder="1" applyAlignment="1">
      <alignment horizontal="center" vertical="center"/>
    </xf>
    <xf numFmtId="10" fontId="2" fillId="4" borderId="62" xfId="3" applyNumberFormat="1" applyFont="1" applyFill="1" applyBorder="1" applyAlignment="1">
      <alignment horizontal="right" vertical="center"/>
    </xf>
    <xf numFmtId="43" fontId="2" fillId="4" borderId="62" xfId="4" applyFont="1" applyFill="1" applyBorder="1" applyAlignment="1">
      <alignment horizontal="right" vertical="center"/>
    </xf>
    <xf numFmtId="43" fontId="2" fillId="21" borderId="62" xfId="4" quotePrefix="1" applyFont="1" applyFill="1" applyBorder="1" applyAlignment="1">
      <alignment horizontal="right" vertical="center"/>
    </xf>
    <xf numFmtId="0" fontId="27" fillId="0" borderId="62" xfId="0" applyFont="1" applyFill="1" applyBorder="1" applyAlignment="1">
      <alignment horizontal="center" vertical="center" wrapText="1"/>
    </xf>
    <xf numFmtId="10" fontId="2" fillId="21" borderId="84" xfId="3" quotePrefix="1" applyNumberFormat="1" applyFont="1" applyFill="1" applyBorder="1" applyAlignment="1">
      <alignment horizontal="left" vertical="center"/>
    </xf>
    <xf numFmtId="43" fontId="2" fillId="21" borderId="85" xfId="4" quotePrefix="1" applyFont="1" applyFill="1" applyBorder="1" applyAlignment="1">
      <alignment horizontal="right" vertical="center"/>
    </xf>
    <xf numFmtId="0" fontId="2" fillId="4" borderId="84" xfId="0" applyFont="1" applyFill="1" applyBorder="1" applyAlignment="1">
      <alignment horizontal="left" vertical="center"/>
    </xf>
    <xf numFmtId="43" fontId="2" fillId="4" borderId="85" xfId="4" applyFont="1" applyFill="1" applyBorder="1" applyAlignment="1">
      <alignment horizontal="right" vertical="center"/>
    </xf>
    <xf numFmtId="169" fontId="2" fillId="4" borderId="74" xfId="2" applyNumberFormat="1" applyFont="1" applyFill="1" applyBorder="1" applyAlignment="1">
      <alignment horizontal="center" vertical="center"/>
    </xf>
    <xf numFmtId="43" fontId="2" fillId="4" borderId="74" xfId="4" applyFont="1" applyFill="1" applyBorder="1" applyAlignment="1">
      <alignment horizontal="right" vertical="center"/>
    </xf>
    <xf numFmtId="43" fontId="2" fillId="4" borderId="87" xfId="4" applyFont="1" applyFill="1" applyBorder="1" applyAlignment="1">
      <alignment horizontal="right" vertical="center"/>
    </xf>
    <xf numFmtId="10" fontId="2" fillId="4" borderId="62" xfId="3" applyNumberFormat="1" applyFont="1" applyFill="1" applyBorder="1" applyAlignment="1">
      <alignment vertical="center"/>
    </xf>
    <xf numFmtId="10" fontId="2" fillId="21" borderId="62" xfId="3" applyNumberFormat="1" applyFont="1" applyFill="1" applyBorder="1" applyAlignment="1">
      <alignment vertical="center"/>
    </xf>
    <xf numFmtId="10" fontId="2" fillId="21" borderId="74" xfId="3" applyNumberFormat="1" applyFont="1" applyFill="1" applyBorder="1" applyAlignment="1">
      <alignment vertical="center"/>
    </xf>
    <xf numFmtId="10" fontId="2" fillId="4" borderId="85" xfId="3" applyNumberFormat="1" applyFont="1" applyFill="1" applyBorder="1" applyAlignment="1">
      <alignment vertical="center"/>
    </xf>
    <xf numFmtId="10" fontId="2" fillId="21" borderId="85" xfId="3" applyNumberFormat="1" applyFont="1" applyFill="1" applyBorder="1" applyAlignment="1">
      <alignment vertical="center"/>
    </xf>
    <xf numFmtId="10" fontId="2" fillId="21" borderId="87" xfId="3" applyNumberFormat="1" applyFont="1" applyFill="1" applyBorder="1" applyAlignment="1">
      <alignment vertical="center"/>
    </xf>
    <xf numFmtId="0" fontId="5" fillId="20" borderId="80" xfId="0" applyFont="1" applyFill="1" applyBorder="1" applyAlignment="1">
      <alignment horizontal="center" vertical="center"/>
    </xf>
    <xf numFmtId="0" fontId="2" fillId="4" borderId="81" xfId="0" applyFont="1" applyFill="1" applyBorder="1" applyAlignment="1">
      <alignment horizontal="left" vertical="center"/>
    </xf>
    <xf numFmtId="0" fontId="2" fillId="4" borderId="82" xfId="0" applyFont="1" applyFill="1" applyBorder="1" applyAlignment="1">
      <alignment horizontal="left" vertical="center"/>
    </xf>
    <xf numFmtId="169" fontId="2" fillId="4" borderId="82" xfId="0" applyNumberFormat="1" applyFont="1" applyFill="1" applyBorder="1" applyAlignment="1">
      <alignment horizontal="right" vertical="center"/>
    </xf>
    <xf numFmtId="171" fontId="2" fillId="4" borderId="82" xfId="0" applyNumberFormat="1" applyFont="1" applyFill="1" applyBorder="1" applyAlignment="1">
      <alignment horizontal="right" vertical="center"/>
    </xf>
    <xf numFmtId="0" fontId="2" fillId="4" borderId="82" xfId="0" applyFont="1" applyFill="1" applyBorder="1" applyAlignment="1">
      <alignment horizontal="right" vertical="center"/>
    </xf>
    <xf numFmtId="171" fontId="2" fillId="4" borderId="83" xfId="0" applyNumberFormat="1" applyFont="1" applyFill="1" applyBorder="1" applyAlignment="1">
      <alignment horizontal="left" vertical="center"/>
    </xf>
    <xf numFmtId="0" fontId="2" fillId="21" borderId="84" xfId="0" applyFont="1" applyFill="1" applyBorder="1" applyAlignment="1">
      <alignment horizontal="left" vertical="center"/>
    </xf>
    <xf numFmtId="0" fontId="2" fillId="21" borderId="85" xfId="0" applyFont="1" applyFill="1" applyBorder="1" applyAlignment="1">
      <alignment horizontal="left" vertical="center"/>
    </xf>
    <xf numFmtId="171" fontId="2" fillId="4" borderId="85" xfId="0" applyNumberFormat="1" applyFont="1" applyFill="1" applyBorder="1" applyAlignment="1">
      <alignment horizontal="left" vertical="center"/>
    </xf>
    <xf numFmtId="171" fontId="2" fillId="21" borderId="85" xfId="0" applyNumberFormat="1" applyFont="1" applyFill="1" applyBorder="1" applyAlignment="1">
      <alignment horizontal="left" vertical="center"/>
    </xf>
    <xf numFmtId="171" fontId="2" fillId="21" borderId="85" xfId="4" applyNumberFormat="1" applyFont="1" applyFill="1" applyBorder="1" applyAlignment="1">
      <alignment horizontal="right" vertical="center"/>
    </xf>
    <xf numFmtId="171" fontId="2" fillId="4" borderId="85" xfId="4" applyNumberFormat="1" applyFont="1" applyFill="1" applyBorder="1" applyAlignment="1">
      <alignment horizontal="right" vertical="center"/>
    </xf>
    <xf numFmtId="169" fontId="5" fillId="21" borderId="85" xfId="0" applyNumberFormat="1" applyFont="1" applyFill="1" applyBorder="1" applyAlignment="1">
      <alignment horizontal="right" vertical="center"/>
    </xf>
    <xf numFmtId="0" fontId="5" fillId="4" borderId="85" xfId="0" applyFont="1" applyFill="1" applyBorder="1" applyAlignment="1">
      <alignment horizontal="right" vertical="center"/>
    </xf>
    <xf numFmtId="0" fontId="27" fillId="21" borderId="86" xfId="0" applyFont="1" applyFill="1" applyBorder="1" applyAlignment="1">
      <alignment horizontal="left" vertical="center"/>
    </xf>
    <xf numFmtId="0" fontId="27" fillId="21" borderId="84" xfId="0" applyFont="1" applyFill="1" applyBorder="1" applyAlignment="1">
      <alignment horizontal="left" vertical="center"/>
    </xf>
    <xf numFmtId="177" fontId="2" fillId="21" borderId="85" xfId="0" applyNumberFormat="1" applyFont="1" applyFill="1" applyBorder="1" applyAlignment="1">
      <alignment horizontal="left" vertical="center"/>
    </xf>
    <xf numFmtId="169" fontId="2" fillId="21" borderId="74" xfId="0" applyNumberFormat="1" applyFont="1" applyFill="1" applyBorder="1" applyAlignment="1">
      <alignment horizontal="left" vertical="center"/>
    </xf>
    <xf numFmtId="10" fontId="2" fillId="21" borderId="74" xfId="0" applyNumberFormat="1" applyFont="1" applyFill="1" applyBorder="1" applyAlignment="1">
      <alignment vertical="center"/>
    </xf>
    <xf numFmtId="10" fontId="2" fillId="21" borderId="87" xfId="0" applyNumberFormat="1" applyFont="1" applyFill="1" applyBorder="1" applyAlignment="1">
      <alignment vertical="center"/>
    </xf>
    <xf numFmtId="0" fontId="32" fillId="19" borderId="92" xfId="0" applyFont="1" applyFill="1" applyBorder="1" applyAlignment="1">
      <alignment horizontal="left" vertical="center"/>
    </xf>
    <xf numFmtId="169" fontId="2" fillId="19" borderId="93" xfId="0" applyNumberFormat="1" applyFont="1" applyFill="1" applyBorder="1" applyAlignment="1">
      <alignment horizontal="left" vertical="center"/>
    </xf>
    <xf numFmtId="0" fontId="27" fillId="21" borderId="94" xfId="0" applyFont="1" applyFill="1" applyBorder="1" applyAlignment="1">
      <alignment horizontal="left" vertical="center"/>
    </xf>
    <xf numFmtId="10" fontId="2" fillId="21" borderId="95" xfId="0" applyNumberFormat="1" applyFont="1" applyFill="1" applyBorder="1" applyAlignment="1">
      <alignment vertical="center"/>
    </xf>
    <xf numFmtId="0" fontId="33" fillId="19" borderId="96" xfId="0" applyFont="1" applyFill="1" applyBorder="1" applyAlignment="1">
      <alignment horizontal="left" vertical="center"/>
    </xf>
    <xf numFmtId="10" fontId="2" fillId="21" borderId="97" xfId="0" applyNumberFormat="1" applyFont="1" applyFill="1" applyBorder="1" applyAlignment="1">
      <alignment vertical="center"/>
    </xf>
    <xf numFmtId="0" fontId="2" fillId="0" borderId="62" xfId="0" applyFont="1" applyBorder="1" applyAlignment="1">
      <alignment horizontal="left" vertical="center"/>
    </xf>
    <xf numFmtId="0" fontId="2" fillId="0" borderId="62" xfId="0" applyFont="1" applyBorder="1" applyAlignment="1">
      <alignment horizontal="left" vertical="center" wrapText="1"/>
    </xf>
    <xf numFmtId="169" fontId="2" fillId="0" borderId="62" xfId="0" applyNumberFormat="1" applyFont="1" applyBorder="1" applyAlignment="1">
      <alignment horizontal="left" vertical="center" wrapText="1"/>
    </xf>
    <xf numFmtId="0" fontId="5" fillId="19" borderId="81" xfId="0" applyFont="1" applyFill="1" applyBorder="1" applyAlignment="1">
      <alignment horizontal="left" vertical="center" wrapText="1"/>
    </xf>
    <xf numFmtId="9" fontId="5" fillId="19" borderId="98" xfId="0" applyNumberFormat="1" applyFont="1" applyFill="1" applyBorder="1" applyAlignment="1">
      <alignment horizontal="left" vertical="center" wrapText="1"/>
    </xf>
    <xf numFmtId="169" fontId="5" fillId="19" borderId="99" xfId="0" applyNumberFormat="1" applyFont="1" applyFill="1" applyBorder="1" applyAlignment="1">
      <alignment horizontal="left" vertical="center" wrapText="1"/>
    </xf>
    <xf numFmtId="0" fontId="2" fillId="21" borderId="100" xfId="0" applyFont="1" applyFill="1" applyBorder="1" applyAlignment="1">
      <alignment horizontal="left" vertical="center"/>
    </xf>
    <xf numFmtId="0" fontId="2" fillId="21" borderId="101" xfId="0" applyFont="1" applyFill="1" applyBorder="1" applyAlignment="1">
      <alignment horizontal="center" vertical="center"/>
    </xf>
    <xf numFmtId="0" fontId="2" fillId="21" borderId="102" xfId="0" applyFont="1" applyFill="1" applyBorder="1" applyAlignment="1">
      <alignment horizontal="left" vertical="center"/>
    </xf>
    <xf numFmtId="0" fontId="2" fillId="21" borderId="103" xfId="0" applyFont="1" applyFill="1" applyBorder="1" applyAlignment="1">
      <alignment horizontal="center" vertical="center"/>
    </xf>
    <xf numFmtId="0" fontId="2" fillId="21" borderId="104" xfId="0" applyFont="1" applyFill="1" applyBorder="1" applyAlignment="1">
      <alignment horizontal="left" vertical="center"/>
    </xf>
    <xf numFmtId="0" fontId="2" fillId="21" borderId="105" xfId="0" applyFont="1" applyFill="1" applyBorder="1" applyAlignment="1">
      <alignment horizontal="center" vertical="center"/>
    </xf>
    <xf numFmtId="0" fontId="2" fillId="21" borderId="95" xfId="0" applyFont="1" applyFill="1" applyBorder="1" applyAlignment="1">
      <alignment horizontal="center" vertical="center"/>
    </xf>
    <xf numFmtId="0" fontId="5" fillId="19" borderId="83" xfId="0" applyFont="1" applyFill="1" applyBorder="1" applyAlignment="1">
      <alignment horizontal="center" vertical="center" wrapText="1"/>
    </xf>
    <xf numFmtId="0" fontId="2" fillId="19" borderId="102" xfId="0" applyFont="1" applyFill="1" applyBorder="1" applyAlignment="1">
      <alignment horizontal="left" vertical="center" wrapText="1"/>
    </xf>
    <xf numFmtId="0" fontId="2" fillId="19" borderId="106" xfId="0" applyFont="1" applyFill="1" applyBorder="1" applyAlignment="1">
      <alignment horizontal="center" vertical="center" wrapText="1"/>
    </xf>
    <xf numFmtId="0" fontId="5" fillId="21" borderId="84" xfId="0" applyFont="1" applyFill="1" applyBorder="1" applyAlignment="1">
      <alignment horizontal="left" vertical="center"/>
    </xf>
    <xf numFmtId="0" fontId="5" fillId="21" borderId="85" xfId="0" applyFont="1" applyFill="1" applyBorder="1" applyAlignment="1">
      <alignment horizontal="left" vertical="center"/>
    </xf>
    <xf numFmtId="0" fontId="2" fillId="21" borderId="85" xfId="0" applyFont="1" applyFill="1" applyBorder="1" applyAlignment="1">
      <alignment horizontal="center" vertical="center"/>
    </xf>
    <xf numFmtId="0" fontId="2" fillId="21" borderId="86" xfId="0" applyFont="1" applyFill="1" applyBorder="1" applyAlignment="1">
      <alignment horizontal="left" vertical="center"/>
    </xf>
    <xf numFmtId="0" fontId="2" fillId="21" borderId="87" xfId="0" applyFont="1" applyFill="1" applyBorder="1" applyAlignment="1">
      <alignment horizontal="center" vertical="center"/>
    </xf>
    <xf numFmtId="0" fontId="5" fillId="19" borderId="96" xfId="0" applyFont="1" applyFill="1" applyBorder="1" applyAlignment="1">
      <alignment horizontal="left" vertical="center" wrapText="1"/>
    </xf>
    <xf numFmtId="0" fontId="2" fillId="21" borderId="107" xfId="0" applyFont="1" applyFill="1" applyBorder="1" applyAlignment="1">
      <alignment horizontal="center" vertical="center"/>
    </xf>
    <xf numFmtId="0" fontId="8" fillId="0" borderId="61" xfId="0" applyFont="1" applyBorder="1"/>
    <xf numFmtId="0" fontId="2" fillId="0" borderId="60" xfId="0" applyFont="1" applyBorder="1"/>
    <xf numFmtId="0" fontId="4" fillId="20" borderId="108" xfId="0" applyFont="1" applyFill="1" applyBorder="1" applyAlignment="1">
      <alignment horizontal="center"/>
    </xf>
    <xf numFmtId="0" fontId="4" fillId="20" borderId="109" xfId="0" applyFont="1" applyFill="1" applyBorder="1" applyAlignment="1">
      <alignment horizontal="center"/>
    </xf>
    <xf numFmtId="9" fontId="8" fillId="25" borderId="110" xfId="0" applyNumberFormat="1" applyFont="1" applyFill="1" applyBorder="1"/>
    <xf numFmtId="169" fontId="8" fillId="25" borderId="111" xfId="0" applyNumberFormat="1" applyFont="1" applyFill="1" applyBorder="1"/>
    <xf numFmtId="9" fontId="4" fillId="29" borderId="110" xfId="0" applyNumberFormat="1" applyFont="1" applyFill="1" applyBorder="1"/>
    <xf numFmtId="169" fontId="4" fillId="29" borderId="111" xfId="0" applyNumberFormat="1" applyFont="1" applyFill="1" applyBorder="1"/>
    <xf numFmtId="9" fontId="8" fillId="25" borderId="112" xfId="0" applyNumberFormat="1" applyFont="1" applyFill="1" applyBorder="1"/>
    <xf numFmtId="169" fontId="8" fillId="25" borderId="113" xfId="0" applyNumberFormat="1" applyFont="1" applyFill="1" applyBorder="1"/>
    <xf numFmtId="0" fontId="8" fillId="20" borderId="81" xfId="0" applyFont="1" applyFill="1" applyBorder="1"/>
    <xf numFmtId="0" fontId="4" fillId="20" borderId="82" xfId="0" applyFont="1" applyFill="1" applyBorder="1" applyAlignment="1">
      <alignment horizontal="center"/>
    </xf>
    <xf numFmtId="0" fontId="4" fillId="20" borderId="83" xfId="0" applyFont="1" applyFill="1" applyBorder="1" applyAlignment="1">
      <alignment horizontal="center"/>
    </xf>
    <xf numFmtId="0" fontId="4" fillId="25" borderId="114" xfId="0" applyFont="1" applyFill="1" applyBorder="1" applyAlignment="1">
      <alignment horizontal="center"/>
    </xf>
    <xf numFmtId="44" fontId="8" fillId="25" borderId="115" xfId="0" applyNumberFormat="1" applyFont="1" applyFill="1" applyBorder="1"/>
    <xf numFmtId="0" fontId="4" fillId="25" borderId="116" xfId="0" applyFont="1" applyFill="1" applyBorder="1" applyAlignment="1">
      <alignment horizontal="center"/>
    </xf>
    <xf numFmtId="44" fontId="8" fillId="25" borderId="117" xfId="0" applyNumberFormat="1" applyFont="1" applyFill="1" applyBorder="1"/>
    <xf numFmtId="0" fontId="4" fillId="25" borderId="118" xfId="0" applyFont="1" applyFill="1" applyBorder="1" applyAlignment="1">
      <alignment horizontal="center"/>
    </xf>
    <xf numFmtId="44" fontId="8" fillId="25" borderId="103" xfId="0" applyNumberFormat="1" applyFont="1" applyFill="1" applyBorder="1"/>
    <xf numFmtId="44" fontId="8" fillId="25" borderId="115" xfId="0" applyNumberFormat="1" applyFont="1" applyFill="1" applyBorder="1" applyAlignment="1"/>
    <xf numFmtId="0" fontId="4" fillId="25" borderId="119" xfId="0" applyFont="1" applyFill="1" applyBorder="1" applyAlignment="1">
      <alignment horizontal="center"/>
    </xf>
    <xf numFmtId="44" fontId="8" fillId="25" borderId="120" xfId="0" applyNumberFormat="1" applyFont="1" applyFill="1" applyBorder="1"/>
    <xf numFmtId="44" fontId="8" fillId="25" borderId="121" xfId="0" applyNumberFormat="1" applyFont="1" applyFill="1" applyBorder="1"/>
    <xf numFmtId="44" fontId="8" fillId="25" borderId="109" xfId="0" applyNumberFormat="1" applyFont="1" applyFill="1" applyBorder="1"/>
    <xf numFmtId="0" fontId="4" fillId="20" borderId="110" xfId="0" applyFont="1" applyFill="1" applyBorder="1" applyAlignment="1">
      <alignment horizontal="center"/>
    </xf>
    <xf numFmtId="44" fontId="8" fillId="25" borderId="111" xfId="0" applyNumberFormat="1" applyFont="1" applyFill="1" applyBorder="1"/>
    <xf numFmtId="0" fontId="4" fillId="20" borderId="112" xfId="0" applyFont="1" applyFill="1" applyBorder="1" applyAlignment="1">
      <alignment horizontal="center"/>
    </xf>
    <xf numFmtId="44" fontId="8" fillId="25" borderId="113" xfId="0" applyNumberFormat="1" applyFont="1" applyFill="1" applyBorder="1"/>
    <xf numFmtId="0" fontId="4" fillId="25" borderId="84" xfId="0" applyFont="1" applyFill="1" applyBorder="1"/>
    <xf numFmtId="0" fontId="4" fillId="25" borderId="62" xfId="0" applyFont="1" applyFill="1" applyBorder="1"/>
    <xf numFmtId="0" fontId="4" fillId="25" borderId="85" xfId="0" applyFont="1" applyFill="1" applyBorder="1"/>
    <xf numFmtId="0" fontId="8" fillId="25" borderId="84" xfId="0" applyFont="1" applyFill="1" applyBorder="1" applyAlignment="1"/>
    <xf numFmtId="44" fontId="8" fillId="25" borderId="62" xfId="0" applyNumberFormat="1" applyFont="1" applyFill="1" applyBorder="1" applyAlignment="1"/>
    <xf numFmtId="44" fontId="8" fillId="25" borderId="85" xfId="0" applyNumberFormat="1" applyFont="1" applyFill="1" applyBorder="1"/>
    <xf numFmtId="0" fontId="4" fillId="25" borderId="122" xfId="0" applyFont="1" applyFill="1" applyBorder="1"/>
    <xf numFmtId="0" fontId="4" fillId="25" borderId="123" xfId="0" applyFont="1" applyFill="1" applyBorder="1"/>
    <xf numFmtId="44" fontId="4" fillId="25" borderId="124" xfId="0" applyNumberFormat="1" applyFont="1" applyFill="1" applyBorder="1"/>
    <xf numFmtId="0" fontId="4" fillId="25" borderId="85" xfId="0" applyFont="1" applyFill="1" applyBorder="1" applyAlignment="1"/>
    <xf numFmtId="44" fontId="11" fillId="21" borderId="62" xfId="2" applyFont="1" applyFill="1" applyBorder="1" applyAlignment="1">
      <alignment horizontal="left" vertical="center"/>
    </xf>
    <xf numFmtId="171" fontId="11" fillId="21" borderId="62" xfId="4" applyNumberFormat="1" applyFont="1" applyFill="1" applyBorder="1" applyAlignment="1">
      <alignment horizontal="right" vertical="center"/>
    </xf>
    <xf numFmtId="171" fontId="11" fillId="21" borderId="62" xfId="0" applyNumberFormat="1" applyFont="1" applyFill="1" applyBorder="1" applyAlignment="1">
      <alignment horizontal="right" vertical="center"/>
    </xf>
    <xf numFmtId="171" fontId="11" fillId="21" borderId="85" xfId="0" applyNumberFormat="1" applyFont="1" applyFill="1" applyBorder="1" applyAlignment="1">
      <alignment horizontal="right" vertical="center"/>
    </xf>
    <xf numFmtId="0" fontId="5" fillId="20" borderId="81" xfId="0" applyFont="1" applyFill="1" applyBorder="1" applyAlignment="1">
      <alignment horizontal="left" vertical="center"/>
    </xf>
    <xf numFmtId="0" fontId="5" fillId="20" borderId="82" xfId="0" applyFont="1" applyFill="1" applyBorder="1" applyAlignment="1">
      <alignment horizontal="center" vertical="center"/>
    </xf>
    <xf numFmtId="169" fontId="5" fillId="20" borderId="82" xfId="0" applyNumberFormat="1" applyFont="1" applyFill="1" applyBorder="1" applyAlignment="1">
      <alignment horizontal="center" vertical="center"/>
    </xf>
    <xf numFmtId="0" fontId="5" fillId="20" borderId="83" xfId="0" applyFont="1" applyFill="1" applyBorder="1" applyAlignment="1">
      <alignment horizontal="center" vertical="center"/>
    </xf>
    <xf numFmtId="169" fontId="2" fillId="21" borderId="62" xfId="4" applyNumberFormat="1" applyFont="1" applyFill="1" applyBorder="1" applyAlignment="1">
      <alignment horizontal="right" vertical="center"/>
    </xf>
    <xf numFmtId="169" fontId="2" fillId="21" borderId="85" xfId="0" applyNumberFormat="1" applyFont="1" applyFill="1" applyBorder="1" applyAlignment="1">
      <alignment horizontal="right" vertical="center"/>
    </xf>
    <xf numFmtId="0" fontId="5" fillId="21" borderId="86" xfId="0" quotePrefix="1" applyFont="1" applyFill="1" applyBorder="1" applyAlignment="1">
      <alignment horizontal="left" vertical="center"/>
    </xf>
    <xf numFmtId="169" fontId="2" fillId="21" borderId="74" xfId="4" applyNumberFormat="1" applyFont="1" applyFill="1" applyBorder="1" applyAlignment="1">
      <alignment horizontal="right" vertical="center"/>
    </xf>
    <xf numFmtId="169" fontId="2" fillId="21" borderId="87" xfId="0" applyNumberFormat="1" applyFont="1" applyFill="1" applyBorder="1" applyAlignment="1">
      <alignment horizontal="right" vertical="center"/>
    </xf>
    <xf numFmtId="0" fontId="5" fillId="21" borderId="84" xfId="0" quotePrefix="1" applyFont="1" applyFill="1" applyBorder="1" applyAlignment="1">
      <alignment horizontal="center" vertical="center"/>
    </xf>
    <xf numFmtId="169" fontId="5" fillId="4" borderId="62" xfId="0" applyNumberFormat="1" applyFont="1" applyFill="1" applyBorder="1" applyAlignment="1">
      <alignment horizontal="right" vertical="center"/>
    </xf>
    <xf numFmtId="171" fontId="5" fillId="4" borderId="62" xfId="0" applyNumberFormat="1" applyFont="1" applyFill="1" applyBorder="1" applyAlignment="1">
      <alignment horizontal="right" vertical="center"/>
    </xf>
    <xf numFmtId="171" fontId="5" fillId="4" borderId="85" xfId="0" applyNumberFormat="1" applyFont="1" applyFill="1" applyBorder="1" applyAlignment="1">
      <alignment horizontal="right" vertical="center"/>
    </xf>
    <xf numFmtId="44" fontId="2" fillId="21" borderId="62" xfId="2" applyNumberFormat="1" applyFont="1" applyFill="1" applyBorder="1" applyAlignment="1">
      <alignment horizontal="left" vertical="center"/>
    </xf>
    <xf numFmtId="0" fontId="5" fillId="4" borderId="86" xfId="0" applyFont="1" applyFill="1" applyBorder="1" applyAlignment="1">
      <alignment horizontal="left" vertical="center"/>
    </xf>
    <xf numFmtId="169" fontId="2" fillId="4" borderId="74" xfId="0" applyNumberFormat="1" applyFont="1" applyFill="1" applyBorder="1" applyAlignment="1">
      <alignment horizontal="right" vertical="center"/>
    </xf>
    <xf numFmtId="171" fontId="2" fillId="4" borderId="74" xfId="0" applyNumberFormat="1" applyFont="1" applyFill="1" applyBorder="1" applyAlignment="1">
      <alignment horizontal="right" vertical="center"/>
    </xf>
    <xf numFmtId="171" fontId="2" fillId="4" borderId="87" xfId="0" applyNumberFormat="1" applyFont="1" applyFill="1" applyBorder="1" applyAlignment="1">
      <alignment horizontal="right" vertical="center"/>
    </xf>
    <xf numFmtId="0" fontId="5" fillId="0" borderId="62" xfId="0" applyFont="1" applyFill="1" applyBorder="1" applyAlignment="1">
      <alignment horizontal="center" wrapText="1"/>
    </xf>
    <xf numFmtId="0" fontId="2" fillId="0" borderId="62" xfId="0" applyFont="1" applyFill="1" applyBorder="1"/>
    <xf numFmtId="0" fontId="5" fillId="0" borderId="62" xfId="0" applyFont="1" applyFill="1" applyBorder="1" applyAlignment="1">
      <alignment wrapText="1"/>
    </xf>
    <xf numFmtId="10" fontId="2" fillId="21" borderId="62" xfId="3" applyNumberFormat="1" applyFont="1" applyFill="1" applyBorder="1" applyAlignment="1">
      <alignment horizontal="right" vertical="center" wrapText="1"/>
    </xf>
    <xf numFmtId="171" fontId="2" fillId="21" borderId="62" xfId="4" applyNumberFormat="1" applyFont="1" applyFill="1" applyBorder="1" applyAlignment="1">
      <alignment horizontal="left" vertical="center"/>
    </xf>
    <xf numFmtId="10" fontId="2" fillId="4" borderId="62" xfId="3" applyNumberFormat="1" applyFont="1" applyFill="1" applyBorder="1" applyAlignment="1">
      <alignment horizontal="left" vertical="center"/>
    </xf>
    <xf numFmtId="10" fontId="2" fillId="21" borderId="62" xfId="4" applyNumberFormat="1" applyFont="1" applyFill="1" applyBorder="1" applyAlignment="1">
      <alignment horizontal="right" vertical="center"/>
    </xf>
    <xf numFmtId="10" fontId="2" fillId="21" borderId="62" xfId="0" applyNumberFormat="1" applyFont="1" applyFill="1" applyBorder="1" applyAlignment="1">
      <alignment horizontal="right" vertical="center"/>
    </xf>
    <xf numFmtId="10" fontId="2" fillId="21" borderId="85" xfId="0" applyNumberFormat="1" applyFont="1" applyFill="1" applyBorder="1" applyAlignment="1">
      <alignment horizontal="right" vertical="center"/>
    </xf>
    <xf numFmtId="0" fontId="28" fillId="0" borderId="62" xfId="0" applyFont="1" applyFill="1" applyBorder="1" applyAlignment="1">
      <alignment wrapText="1"/>
    </xf>
    <xf numFmtId="44" fontId="2" fillId="21" borderId="74" xfId="2" applyFont="1" applyFill="1" applyBorder="1" applyAlignment="1">
      <alignment horizontal="left" vertical="center"/>
    </xf>
    <xf numFmtId="44" fontId="2" fillId="4" borderId="62" xfId="0" applyNumberFormat="1" applyFont="1" applyFill="1" applyBorder="1" applyAlignment="1">
      <alignment vertical="center"/>
    </xf>
    <xf numFmtId="44" fontId="2" fillId="4" borderId="85" xfId="0" applyNumberFormat="1" applyFont="1" applyFill="1" applyBorder="1" applyAlignment="1">
      <alignment vertical="center"/>
    </xf>
    <xf numFmtId="44" fontId="2" fillId="21" borderId="62" xfId="4" applyNumberFormat="1" applyFont="1" applyFill="1" applyBorder="1" applyAlignment="1">
      <alignment vertical="center"/>
    </xf>
    <xf numFmtId="44" fontId="2" fillId="21" borderId="62" xfId="0" applyNumberFormat="1" applyFont="1" applyFill="1" applyBorder="1" applyAlignment="1">
      <alignment vertical="center"/>
    </xf>
    <xf numFmtId="44" fontId="2" fillId="21" borderId="85" xfId="0" applyNumberFormat="1" applyFont="1" applyFill="1" applyBorder="1" applyAlignment="1">
      <alignment vertical="center"/>
    </xf>
    <xf numFmtId="44" fontId="5" fillId="21" borderId="62" xfId="2" applyFont="1" applyFill="1" applyBorder="1" applyAlignment="1">
      <alignment horizontal="left" vertical="center"/>
    </xf>
    <xf numFmtId="0" fontId="17" fillId="0" borderId="126" xfId="0" applyFont="1" applyBorder="1" applyAlignment="1">
      <alignment wrapText="1"/>
    </xf>
    <xf numFmtId="43" fontId="17" fillId="32" borderId="62" xfId="4" applyFont="1" applyFill="1" applyBorder="1" applyAlignment="1">
      <alignment horizontal="right" wrapText="1"/>
    </xf>
    <xf numFmtId="0" fontId="0" fillId="0" borderId="0" xfId="0" applyFont="1" applyAlignment="1"/>
    <xf numFmtId="0" fontId="48" fillId="31" borderId="62" xfId="0" applyFont="1" applyFill="1" applyBorder="1" applyAlignment="1">
      <alignment horizontal="center" wrapText="1"/>
    </xf>
    <xf numFmtId="169" fontId="2" fillId="19" borderId="86" xfId="0" applyNumberFormat="1" applyFont="1" applyFill="1" applyBorder="1" applyAlignment="1">
      <alignment vertical="center"/>
    </xf>
    <xf numFmtId="0" fontId="0" fillId="0" borderId="0" xfId="0" applyFont="1" applyAlignment="1"/>
    <xf numFmtId="169" fontId="2" fillId="4" borderId="83" xfId="0" applyNumberFormat="1" applyFont="1" applyFill="1" applyBorder="1" applyAlignment="1">
      <alignment horizontal="right" vertical="center"/>
    </xf>
    <xf numFmtId="10" fontId="2" fillId="21" borderId="74" xfId="3" applyNumberFormat="1" applyFont="1" applyFill="1" applyBorder="1" applyAlignment="1">
      <alignment horizontal="right" vertical="center"/>
    </xf>
    <xf numFmtId="10" fontId="2" fillId="21" borderId="87" xfId="3" applyNumberFormat="1" applyFont="1" applyFill="1" applyBorder="1" applyAlignment="1">
      <alignment horizontal="right" vertical="center"/>
    </xf>
    <xf numFmtId="1" fontId="5" fillId="20" borderId="62" xfId="4" applyNumberFormat="1" applyFont="1" applyFill="1" applyBorder="1" applyAlignment="1">
      <alignment horizontal="center" vertical="center"/>
    </xf>
    <xf numFmtId="171" fontId="5" fillId="20" borderId="62" xfId="4" applyNumberFormat="1" applyFont="1" applyFill="1" applyBorder="1" applyAlignment="1">
      <alignment horizontal="center" vertical="center"/>
    </xf>
    <xf numFmtId="171" fontId="5" fillId="20" borderId="80" xfId="4" applyNumberFormat="1" applyFont="1" applyFill="1" applyBorder="1" applyAlignment="1">
      <alignment horizontal="center" vertical="center"/>
    </xf>
    <xf numFmtId="0" fontId="13" fillId="34" borderId="62" xfId="0" applyFont="1" applyFill="1" applyBorder="1" applyAlignment="1">
      <alignment horizontal="left"/>
    </xf>
    <xf numFmtId="0" fontId="14" fillId="34" borderId="62" xfId="0" applyFont="1" applyFill="1" applyBorder="1" applyAlignment="1">
      <alignment horizontal="left"/>
    </xf>
    <xf numFmtId="10" fontId="2" fillId="4" borderId="85" xfId="3" applyNumberFormat="1" applyFont="1" applyFill="1" applyBorder="1" applyAlignment="1">
      <alignment horizontal="right" vertical="center"/>
    </xf>
    <xf numFmtId="0" fontId="4" fillId="4" borderId="68" xfId="0" applyFont="1" applyFill="1" applyBorder="1" applyAlignment="1">
      <alignment horizontal="center" vertical="center"/>
    </xf>
    <xf numFmtId="0" fontId="4" fillId="2" borderId="1" xfId="0" applyFont="1" applyFill="1" applyBorder="1" applyAlignment="1">
      <alignment horizontal="center" vertical="center"/>
    </xf>
    <xf numFmtId="0" fontId="4" fillId="4" borderId="1" xfId="0" applyFont="1" applyFill="1" applyBorder="1" applyAlignment="1">
      <alignment horizontal="center" vertical="center"/>
    </xf>
    <xf numFmtId="0" fontId="4" fillId="3" borderId="1" xfId="0" applyFont="1" applyFill="1" applyBorder="1" applyAlignment="1">
      <alignment horizontal="center" vertical="center"/>
    </xf>
    <xf numFmtId="0" fontId="4" fillId="5" borderId="1" xfId="0" applyFont="1" applyFill="1" applyBorder="1" applyAlignment="1">
      <alignment horizontal="center" vertical="center"/>
    </xf>
    <xf numFmtId="0" fontId="17" fillId="35" borderId="128" xfId="0" applyFont="1" applyFill="1" applyBorder="1" applyAlignment="1">
      <alignment horizontal="center"/>
    </xf>
    <xf numFmtId="0" fontId="17" fillId="35" borderId="129" xfId="0" applyFont="1" applyFill="1" applyBorder="1" applyAlignment="1">
      <alignment horizontal="center"/>
    </xf>
    <xf numFmtId="0" fontId="17" fillId="35" borderId="70" xfId="0" applyFont="1" applyFill="1" applyBorder="1" applyAlignment="1">
      <alignment horizontal="center"/>
    </xf>
    <xf numFmtId="0" fontId="5" fillId="20" borderId="82" xfId="0" applyFont="1" applyFill="1" applyBorder="1" applyAlignment="1">
      <alignment horizontal="center" vertical="center"/>
    </xf>
    <xf numFmtId="0" fontId="5" fillId="20" borderId="83" xfId="0" applyFont="1" applyFill="1" applyBorder="1" applyAlignment="1">
      <alignment horizontal="center" vertical="center"/>
    </xf>
    <xf numFmtId="0" fontId="4" fillId="20" borderId="81" xfId="0" applyFont="1" applyFill="1" applyBorder="1" applyAlignment="1">
      <alignment horizontal="center"/>
    </xf>
    <xf numFmtId="0" fontId="69" fillId="0" borderId="0" xfId="1" applyFont="1"/>
    <xf numFmtId="0" fontId="69" fillId="0" borderId="78" xfId="1" applyFont="1" applyBorder="1"/>
    <xf numFmtId="0" fontId="4" fillId="20" borderId="81" xfId="0" applyFont="1" applyFill="1" applyBorder="1"/>
    <xf numFmtId="0" fontId="4" fillId="20" borderId="82" xfId="0" applyFont="1" applyFill="1" applyBorder="1"/>
    <xf numFmtId="0" fontId="4" fillId="20" borderId="83" xfId="0" applyFont="1" applyFill="1" applyBorder="1"/>
    <xf numFmtId="0" fontId="4" fillId="20" borderId="84" xfId="0" applyFont="1" applyFill="1" applyBorder="1"/>
    <xf numFmtId="0" fontId="4" fillId="20" borderId="62" xfId="0" applyFont="1" applyFill="1" applyBorder="1"/>
    <xf numFmtId="0" fontId="4" fillId="20" borderId="85" xfId="0" applyFont="1" applyFill="1" applyBorder="1" applyAlignment="1">
      <alignment horizontal="center" vertical="center"/>
    </xf>
    <xf numFmtId="0" fontId="4" fillId="25" borderId="114" xfId="0" applyFont="1" applyFill="1" applyBorder="1" applyAlignment="1">
      <alignment wrapText="1"/>
    </xf>
    <xf numFmtId="41" fontId="8" fillId="25" borderId="68" xfId="0" applyNumberFormat="1" applyFont="1" applyFill="1" applyBorder="1" applyAlignment="1">
      <alignment horizontal="right"/>
    </xf>
    <xf numFmtId="41" fontId="4" fillId="25" borderId="115" xfId="0" applyNumberFormat="1" applyFont="1" applyFill="1" applyBorder="1" applyAlignment="1">
      <alignment horizontal="right"/>
    </xf>
    <xf numFmtId="179" fontId="8" fillId="25" borderId="68" xfId="0" applyNumberFormat="1" applyFont="1" applyFill="1" applyBorder="1" applyAlignment="1">
      <alignment horizontal="right"/>
    </xf>
    <xf numFmtId="179" fontId="4" fillId="25" borderId="115" xfId="0" applyNumberFormat="1" applyFont="1" applyFill="1" applyBorder="1" applyAlignment="1">
      <alignment horizontal="right"/>
    </xf>
    <xf numFmtId="10" fontId="8" fillId="25" borderId="68" xfId="0" applyNumberFormat="1" applyFont="1" applyFill="1" applyBorder="1" applyAlignment="1">
      <alignment horizontal="right"/>
    </xf>
    <xf numFmtId="10" fontId="4" fillId="25" borderId="115" xfId="0" applyNumberFormat="1" applyFont="1" applyFill="1" applyBorder="1" applyAlignment="1">
      <alignment horizontal="right"/>
    </xf>
    <xf numFmtId="0" fontId="8" fillId="25" borderId="68" xfId="0" applyFont="1" applyFill="1" applyBorder="1" applyAlignment="1">
      <alignment horizontal="right"/>
    </xf>
    <xf numFmtId="0" fontId="4" fillId="25" borderId="114" xfId="0" applyFont="1" applyFill="1" applyBorder="1" applyAlignment="1">
      <alignment horizontal="left" wrapText="1"/>
    </xf>
    <xf numFmtId="2" fontId="8" fillId="25" borderId="68" xfId="0" applyNumberFormat="1" applyFont="1" applyFill="1" applyBorder="1" applyAlignment="1">
      <alignment horizontal="right"/>
    </xf>
    <xf numFmtId="2" fontId="4" fillId="25" borderId="115" xfId="0" applyNumberFormat="1" applyFont="1" applyFill="1" applyBorder="1" applyAlignment="1">
      <alignment horizontal="right"/>
    </xf>
    <xf numFmtId="43" fontId="8" fillId="25" borderId="68" xfId="0" applyNumberFormat="1" applyFont="1" applyFill="1" applyBorder="1" applyAlignment="1">
      <alignment horizontal="right"/>
    </xf>
    <xf numFmtId="176" fontId="8" fillId="25" borderId="68" xfId="0" applyNumberFormat="1" applyFont="1" applyFill="1" applyBorder="1" applyAlignment="1">
      <alignment horizontal="right"/>
    </xf>
    <xf numFmtId="176" fontId="4" fillId="25" borderId="115" xfId="0" applyNumberFormat="1" applyFont="1" applyFill="1" applyBorder="1" applyAlignment="1">
      <alignment horizontal="right"/>
    </xf>
    <xf numFmtId="10" fontId="8" fillId="25" borderId="68" xfId="3" applyNumberFormat="1" applyFont="1" applyFill="1" applyBorder="1" applyAlignment="1">
      <alignment horizontal="right"/>
    </xf>
    <xf numFmtId="10" fontId="4" fillId="25" borderId="115" xfId="3" applyNumberFormat="1" applyFont="1" applyFill="1" applyBorder="1" applyAlignment="1">
      <alignment horizontal="right"/>
    </xf>
    <xf numFmtId="0" fontId="8" fillId="25" borderId="68" xfId="0" applyFont="1" applyFill="1" applyBorder="1" applyAlignment="1"/>
    <xf numFmtId="0" fontId="4" fillId="25" borderId="115" xfId="0" applyFont="1" applyFill="1" applyBorder="1" applyAlignment="1">
      <alignment horizontal="right"/>
    </xf>
    <xf numFmtId="0" fontId="4" fillId="25" borderId="94" xfId="0" applyFont="1" applyFill="1" applyBorder="1" applyAlignment="1">
      <alignment wrapText="1"/>
    </xf>
    <xf numFmtId="10" fontId="8" fillId="25" borderId="125" xfId="0" applyNumberFormat="1" applyFont="1" applyFill="1" applyBorder="1" applyAlignment="1">
      <alignment horizontal="right"/>
    </xf>
    <xf numFmtId="0" fontId="8" fillId="25" borderId="125" xfId="0" applyFont="1" applyFill="1" applyBorder="1" applyAlignment="1"/>
    <xf numFmtId="10" fontId="4" fillId="25" borderId="95" xfId="0" applyNumberFormat="1" applyFont="1" applyFill="1" applyBorder="1" applyAlignment="1">
      <alignment horizontal="right"/>
    </xf>
    <xf numFmtId="0" fontId="4" fillId="20" borderId="83" xfId="0" applyFont="1" applyFill="1" applyBorder="1" applyAlignment="1">
      <alignment horizontal="center" vertical="center"/>
    </xf>
    <xf numFmtId="173" fontId="8" fillId="25" borderId="68" xfId="0" applyNumberFormat="1" applyFont="1" applyFill="1" applyBorder="1" applyAlignment="1">
      <alignment horizontal="right"/>
    </xf>
    <xf numFmtId="173" fontId="4" fillId="25" borderId="115" xfId="0" applyNumberFormat="1" applyFont="1" applyFill="1" applyBorder="1" applyAlignment="1">
      <alignment horizontal="right"/>
    </xf>
    <xf numFmtId="173" fontId="2" fillId="25" borderId="68" xfId="0" applyNumberFormat="1" applyFont="1" applyFill="1" applyBorder="1" applyAlignment="1">
      <alignment horizontal="right"/>
    </xf>
    <xf numFmtId="176" fontId="2" fillId="25" borderId="68" xfId="0" applyNumberFormat="1" applyFont="1" applyFill="1" applyBorder="1" applyAlignment="1">
      <alignment horizontal="right"/>
    </xf>
    <xf numFmtId="180" fontId="2" fillId="25" borderId="68" xfId="0" applyNumberFormat="1" applyFont="1" applyFill="1" applyBorder="1" applyAlignment="1">
      <alignment horizontal="right"/>
    </xf>
    <xf numFmtId="174" fontId="2" fillId="25" borderId="68" xfId="0" applyNumberFormat="1" applyFont="1" applyFill="1" applyBorder="1" applyAlignment="1"/>
    <xf numFmtId="10" fontId="2" fillId="25" borderId="68" xfId="3" applyNumberFormat="1" applyFont="1" applyFill="1" applyBorder="1" applyAlignment="1">
      <alignment horizontal="right"/>
    </xf>
    <xf numFmtId="10" fontId="2" fillId="26" borderId="68" xfId="3" applyNumberFormat="1" applyFont="1" applyFill="1" applyBorder="1" applyAlignment="1">
      <alignment horizontal="right"/>
    </xf>
    <xf numFmtId="10" fontId="2" fillId="26" borderId="68" xfId="3" applyNumberFormat="1" applyFont="1" applyFill="1" applyBorder="1" applyAlignment="1"/>
    <xf numFmtId="0" fontId="5" fillId="25" borderId="114" xfId="0" applyFont="1" applyFill="1" applyBorder="1" applyAlignment="1">
      <alignment wrapText="1"/>
    </xf>
    <xf numFmtId="10" fontId="2" fillId="25" borderId="68" xfId="0" applyNumberFormat="1" applyFont="1" applyFill="1" applyBorder="1" applyAlignment="1">
      <alignment horizontal="right"/>
    </xf>
    <xf numFmtId="0" fontId="5" fillId="26" borderId="114" xfId="0" applyFont="1" applyFill="1" applyBorder="1" applyAlignment="1">
      <alignment wrapText="1"/>
    </xf>
    <xf numFmtId="10" fontId="2" fillId="26" borderId="68" xfId="0" applyNumberFormat="1" applyFont="1" applyFill="1" applyBorder="1" applyAlignment="1">
      <alignment horizontal="right"/>
    </xf>
    <xf numFmtId="0" fontId="5" fillId="25" borderId="114" xfId="0" applyFont="1" applyFill="1" applyBorder="1" applyAlignment="1"/>
    <xf numFmtId="10" fontId="2" fillId="25" borderId="68" xfId="0" applyNumberFormat="1" applyFont="1" applyFill="1" applyBorder="1" applyAlignment="1"/>
    <xf numFmtId="10" fontId="5" fillId="25" borderId="115" xfId="3" applyNumberFormat="1" applyFont="1" applyFill="1" applyBorder="1" applyAlignment="1">
      <alignment horizontal="right"/>
    </xf>
    <xf numFmtId="2" fontId="2" fillId="26" borderId="68" xfId="0" applyNumberFormat="1" applyFont="1" applyFill="1" applyBorder="1" applyAlignment="1">
      <alignment horizontal="right"/>
    </xf>
    <xf numFmtId="2" fontId="2" fillId="25" borderId="68" xfId="0" applyNumberFormat="1" applyFont="1" applyFill="1" applyBorder="1" applyAlignment="1">
      <alignment horizontal="right"/>
    </xf>
    <xf numFmtId="176" fontId="2" fillId="26" borderId="68" xfId="0" applyNumberFormat="1" applyFont="1" applyFill="1" applyBorder="1" applyAlignment="1"/>
    <xf numFmtId="176" fontId="2" fillId="26" borderId="68" xfId="0" applyNumberFormat="1" applyFont="1" applyFill="1" applyBorder="1" applyAlignment="1">
      <alignment horizontal="right"/>
    </xf>
    <xf numFmtId="176" fontId="5" fillId="26" borderId="115" xfId="0" applyNumberFormat="1" applyFont="1" applyFill="1" applyBorder="1" applyAlignment="1">
      <alignment horizontal="right"/>
    </xf>
    <xf numFmtId="176" fontId="5" fillId="25" borderId="115" xfId="0" applyNumberFormat="1" applyFont="1" applyFill="1" applyBorder="1" applyAlignment="1">
      <alignment horizontal="right"/>
    </xf>
    <xf numFmtId="0" fontId="4" fillId="25" borderId="95" xfId="0" applyFont="1" applyFill="1" applyBorder="1" applyAlignment="1">
      <alignment horizontal="right"/>
    </xf>
    <xf numFmtId="0" fontId="5" fillId="0" borderId="61" xfId="0" applyFont="1" applyBorder="1"/>
    <xf numFmtId="0" fontId="2" fillId="0" borderId="10" xfId="0" applyFont="1" applyBorder="1"/>
    <xf numFmtId="41" fontId="8" fillId="27" borderId="68" xfId="0" applyNumberFormat="1" applyFont="1" applyFill="1" applyBorder="1" applyAlignment="1">
      <alignment horizontal="right"/>
    </xf>
    <xf numFmtId="41" fontId="2" fillId="25" borderId="68" xfId="0" applyNumberFormat="1" applyFont="1" applyFill="1" applyBorder="1" applyAlignment="1"/>
    <xf numFmtId="41" fontId="4" fillId="27" borderId="115" xfId="0" applyNumberFormat="1" applyFont="1" applyFill="1" applyBorder="1" applyAlignment="1">
      <alignment horizontal="right"/>
    </xf>
    <xf numFmtId="10" fontId="5" fillId="25" borderId="115" xfId="0" applyNumberFormat="1" applyFont="1" applyFill="1" applyBorder="1" applyAlignment="1">
      <alignment horizontal="right"/>
    </xf>
    <xf numFmtId="10" fontId="5" fillId="26" borderId="115" xfId="0" applyNumberFormat="1" applyFont="1" applyFill="1" applyBorder="1" applyAlignment="1">
      <alignment horizontal="right"/>
    </xf>
    <xf numFmtId="10" fontId="8" fillId="25" borderId="115" xfId="0" applyNumberFormat="1" applyFont="1" applyFill="1" applyBorder="1" applyAlignment="1">
      <alignment horizontal="right"/>
    </xf>
    <xf numFmtId="176" fontId="8" fillId="25" borderId="115" xfId="0" applyNumberFormat="1" applyFont="1" applyFill="1" applyBorder="1" applyAlignment="1">
      <alignment horizontal="right"/>
    </xf>
    <xf numFmtId="176" fontId="8" fillId="25" borderId="95" xfId="0" applyNumberFormat="1" applyFont="1" applyFill="1" applyBorder="1" applyAlignment="1">
      <alignment horizontal="right"/>
    </xf>
    <xf numFmtId="0" fontId="4" fillId="20" borderId="90" xfId="0" applyFont="1" applyFill="1" applyBorder="1" applyAlignment="1">
      <alignment horizontal="center"/>
    </xf>
    <xf numFmtId="0" fontId="5" fillId="4" borderId="86" xfId="0" applyFont="1" applyFill="1" applyBorder="1" applyAlignment="1">
      <alignment horizontal="center" vertical="center"/>
    </xf>
    <xf numFmtId="0" fontId="27" fillId="0" borderId="62" xfId="0" applyFont="1" applyFill="1" applyBorder="1" applyAlignment="1">
      <alignment horizontal="center"/>
    </xf>
    <xf numFmtId="44" fontId="2" fillId="0" borderId="62" xfId="0" applyNumberFormat="1" applyFont="1" applyFill="1" applyBorder="1"/>
    <xf numFmtId="43" fontId="8" fillId="0" borderId="62" xfId="0" applyNumberFormat="1" applyFont="1" applyFill="1" applyBorder="1"/>
    <xf numFmtId="43" fontId="2" fillId="0" borderId="62" xfId="0" applyNumberFormat="1" applyFont="1" applyFill="1" applyBorder="1"/>
    <xf numFmtId="0" fontId="27" fillId="0" borderId="62" xfId="0" applyFont="1" applyFill="1" applyBorder="1" applyAlignment="1">
      <alignment horizontal="left"/>
    </xf>
    <xf numFmtId="171" fontId="2" fillId="0" borderId="62" xfId="0" applyNumberFormat="1" applyFont="1" applyFill="1" applyBorder="1"/>
    <xf numFmtId="10" fontId="2" fillId="21" borderId="62" xfId="3" applyNumberFormat="1" applyFont="1" applyFill="1" applyBorder="1" applyAlignment="1">
      <alignment horizontal="left" vertical="center"/>
    </xf>
    <xf numFmtId="10" fontId="2" fillId="21" borderId="62" xfId="3" applyNumberFormat="1" applyFont="1" applyFill="1" applyBorder="1" applyAlignment="1">
      <alignment horizontal="right" vertical="center"/>
    </xf>
    <xf numFmtId="10" fontId="2" fillId="21" borderId="85" xfId="3" applyNumberFormat="1" applyFont="1" applyFill="1" applyBorder="1" applyAlignment="1">
      <alignment horizontal="right" vertical="center"/>
    </xf>
    <xf numFmtId="0" fontId="5" fillId="4" borderId="81" xfId="0" applyFont="1" applyFill="1" applyBorder="1" applyAlignment="1"/>
    <xf numFmtId="0" fontId="2" fillId="4" borderId="82" xfId="0" applyFont="1" applyFill="1" applyBorder="1"/>
    <xf numFmtId="0" fontId="2" fillId="4" borderId="83" xfId="0" applyFont="1" applyFill="1" applyBorder="1"/>
    <xf numFmtId="0" fontId="5" fillId="10" borderId="84" xfId="0" applyFont="1" applyFill="1" applyBorder="1"/>
    <xf numFmtId="169" fontId="2" fillId="10" borderId="62" xfId="0" applyNumberFormat="1" applyFont="1" applyFill="1" applyBorder="1"/>
    <xf numFmtId="171" fontId="2" fillId="10" borderId="62" xfId="0" applyNumberFormat="1" applyFont="1" applyFill="1" applyBorder="1"/>
    <xf numFmtId="171" fontId="2" fillId="10" borderId="85" xfId="0" applyNumberFormat="1" applyFont="1" applyFill="1" applyBorder="1"/>
    <xf numFmtId="0" fontId="5" fillId="10" borderId="86" xfId="0" applyFont="1" applyFill="1" applyBorder="1"/>
    <xf numFmtId="10" fontId="2" fillId="10" borderId="74" xfId="3" applyNumberFormat="1" applyFont="1" applyFill="1" applyBorder="1"/>
    <xf numFmtId="10" fontId="2" fillId="10" borderId="87" xfId="3" applyNumberFormat="1" applyFont="1" applyFill="1" applyBorder="1"/>
    <xf numFmtId="0" fontId="70" fillId="28" borderId="9" xfId="0" applyFont="1" applyFill="1" applyBorder="1" applyAlignment="1">
      <alignment horizontal="left" vertical="center"/>
    </xf>
    <xf numFmtId="0" fontId="3" fillId="0" borderId="0" xfId="0" applyFont="1" applyAlignment="1">
      <alignment horizontal="center"/>
    </xf>
    <xf numFmtId="0" fontId="0" fillId="0" borderId="0" xfId="0" applyFont="1" applyAlignment="1"/>
    <xf numFmtId="0" fontId="48" fillId="37" borderId="128" xfId="0" applyFont="1" applyFill="1" applyBorder="1" applyAlignment="1">
      <alignment horizontal="center" vertical="center"/>
    </xf>
    <xf numFmtId="0" fontId="48" fillId="37" borderId="129" xfId="0" applyFont="1" applyFill="1" applyBorder="1" applyAlignment="1">
      <alignment horizontal="center" vertical="center"/>
    </xf>
    <xf numFmtId="0" fontId="48" fillId="37" borderId="70" xfId="0" applyFont="1" applyFill="1" applyBorder="1" applyAlignment="1">
      <alignment horizontal="center" vertical="center"/>
    </xf>
    <xf numFmtId="0" fontId="48" fillId="36" borderId="130" xfId="0" applyFont="1" applyFill="1" applyBorder="1" applyAlignment="1">
      <alignment horizontal="center"/>
    </xf>
    <xf numFmtId="0" fontId="48" fillId="36" borderId="131" xfId="0" applyFont="1" applyFill="1" applyBorder="1" applyAlignment="1">
      <alignment horizontal="center"/>
    </xf>
    <xf numFmtId="0" fontId="4" fillId="0" borderId="0" xfId="0" applyFont="1" applyAlignment="1">
      <alignment horizontal="center"/>
    </xf>
    <xf numFmtId="0" fontId="5" fillId="2" borderId="3" xfId="0" applyFont="1" applyFill="1" applyBorder="1" applyAlignment="1">
      <alignment horizontal="center" vertical="center"/>
    </xf>
    <xf numFmtId="0" fontId="6" fillId="0" borderId="4" xfId="0" applyFont="1" applyBorder="1"/>
    <xf numFmtId="0" fontId="6" fillId="0" borderId="5" xfId="0" applyFont="1" applyBorder="1"/>
    <xf numFmtId="0" fontId="2" fillId="2" borderId="3" xfId="0" applyFont="1" applyFill="1" applyBorder="1" applyAlignment="1">
      <alignment horizontal="center"/>
    </xf>
    <xf numFmtId="0" fontId="5" fillId="6" borderId="8" xfId="0" applyFont="1" applyFill="1" applyBorder="1" applyAlignment="1">
      <alignment horizontal="center" vertical="center"/>
    </xf>
    <xf numFmtId="0" fontId="6" fillId="0" borderId="9" xfId="0" applyFont="1" applyBorder="1"/>
    <xf numFmtId="0" fontId="6" fillId="0" borderId="10" xfId="0" applyFont="1" applyBorder="1"/>
    <xf numFmtId="0" fontId="5" fillId="2" borderId="3" xfId="0" applyFont="1" applyFill="1" applyBorder="1" applyAlignment="1">
      <alignment horizontal="center"/>
    </xf>
    <xf numFmtId="0" fontId="4" fillId="2" borderId="3" xfId="0" applyFont="1" applyFill="1" applyBorder="1" applyAlignment="1">
      <alignment horizontal="center"/>
    </xf>
    <xf numFmtId="44" fontId="4" fillId="2" borderId="3" xfId="0" applyNumberFormat="1" applyFont="1" applyFill="1" applyBorder="1" applyAlignment="1">
      <alignment horizontal="center"/>
    </xf>
    <xf numFmtId="0" fontId="12" fillId="2" borderId="3" xfId="0" applyFont="1" applyFill="1" applyBorder="1" applyAlignment="1">
      <alignment horizontal="center"/>
    </xf>
    <xf numFmtId="9" fontId="13" fillId="2" borderId="3" xfId="0" applyNumberFormat="1" applyFont="1" applyFill="1" applyBorder="1" applyAlignment="1"/>
    <xf numFmtId="0" fontId="12" fillId="2" borderId="4" xfId="0" applyFont="1" applyFill="1" applyBorder="1" applyAlignment="1"/>
    <xf numFmtId="0" fontId="11" fillId="2" borderId="3" xfId="0" applyFont="1" applyFill="1" applyBorder="1" applyAlignment="1">
      <alignment horizontal="center"/>
    </xf>
    <xf numFmtId="0" fontId="13" fillId="2" borderId="3" xfId="0" applyFont="1" applyFill="1" applyBorder="1" applyAlignment="1"/>
    <xf numFmtId="0" fontId="12" fillId="2" borderId="7" xfId="0" applyFont="1" applyFill="1" applyBorder="1" applyAlignment="1"/>
    <xf numFmtId="0" fontId="6" fillId="0" borderId="13" xfId="0" applyFont="1" applyBorder="1"/>
    <xf numFmtId="0" fontId="13" fillId="0" borderId="0" xfId="0" applyFont="1" applyAlignment="1">
      <alignment horizontal="center" vertical="center" wrapText="1"/>
    </xf>
    <xf numFmtId="0" fontId="12" fillId="2" borderId="0" xfId="0" applyFont="1" applyFill="1" applyAlignment="1">
      <alignment horizontal="center" vertical="center"/>
    </xf>
    <xf numFmtId="0" fontId="12" fillId="10" borderId="55" xfId="0" applyFont="1" applyFill="1" applyBorder="1" applyAlignment="1">
      <alignment horizontal="center" wrapText="1"/>
    </xf>
    <xf numFmtId="0" fontId="6" fillId="0" borderId="56" xfId="0" applyFont="1" applyBorder="1"/>
    <xf numFmtId="0" fontId="5" fillId="20" borderId="81" xfId="0" applyFont="1" applyFill="1" applyBorder="1" applyAlignment="1">
      <alignment horizontal="center" vertical="center"/>
    </xf>
    <xf numFmtId="0" fontId="5" fillId="20" borderId="82" xfId="0" applyFont="1" applyFill="1" applyBorder="1" applyAlignment="1">
      <alignment horizontal="center" vertical="center"/>
    </xf>
    <xf numFmtId="0" fontId="5" fillId="20" borderId="83" xfId="0" applyFont="1" applyFill="1" applyBorder="1" applyAlignment="1">
      <alignment horizontal="center" vertical="center"/>
    </xf>
    <xf numFmtId="0" fontId="5" fillId="4" borderId="81" xfId="0" applyFont="1" applyFill="1" applyBorder="1" applyAlignment="1">
      <alignment horizontal="center" vertical="center"/>
    </xf>
    <xf numFmtId="0" fontId="5" fillId="4" borderId="82" xfId="0" applyFont="1" applyFill="1" applyBorder="1" applyAlignment="1">
      <alignment horizontal="center" vertical="center"/>
    </xf>
    <xf numFmtId="0" fontId="5" fillId="4" borderId="83" xfId="0" applyFont="1" applyFill="1" applyBorder="1" applyAlignment="1">
      <alignment horizontal="center" vertical="center"/>
    </xf>
    <xf numFmtId="0" fontId="5" fillId="10" borderId="55" xfId="0" applyFont="1" applyFill="1" applyBorder="1" applyAlignment="1">
      <alignment horizontal="center" vertical="center" wrapText="1"/>
    </xf>
    <xf numFmtId="0" fontId="5" fillId="10" borderId="79" xfId="0" applyFont="1" applyFill="1" applyBorder="1" applyAlignment="1">
      <alignment horizontal="center" vertical="center" wrapText="1"/>
    </xf>
    <xf numFmtId="0" fontId="6" fillId="0" borderId="79" xfId="0" applyFont="1" applyBorder="1"/>
    <xf numFmtId="0" fontId="4" fillId="20" borderId="81" xfId="0" applyFont="1" applyFill="1" applyBorder="1" applyAlignment="1">
      <alignment horizontal="center"/>
    </xf>
    <xf numFmtId="0" fontId="6" fillId="0" borderId="82" xfId="0" applyFont="1" applyBorder="1"/>
    <xf numFmtId="0" fontId="6" fillId="0" borderId="83" xfId="0" applyFont="1" applyBorder="1"/>
    <xf numFmtId="0" fontId="16" fillId="22" borderId="0" xfId="0" applyFont="1" applyFill="1" applyAlignment="1">
      <alignment horizontal="center"/>
    </xf>
    <xf numFmtId="0" fontId="1" fillId="12" borderId="3" xfId="0" applyFont="1" applyFill="1" applyBorder="1" applyAlignment="1">
      <alignment horizontal="left"/>
    </xf>
    <xf numFmtId="0" fontId="1" fillId="0" borderId="4" xfId="0" applyFont="1" applyBorder="1"/>
    <xf numFmtId="0" fontId="1" fillId="0" borderId="5" xfId="0" applyFont="1" applyBorder="1"/>
    <xf numFmtId="0" fontId="37" fillId="12" borderId="58" xfId="0" applyFont="1" applyFill="1" applyBorder="1" applyAlignment="1">
      <alignment horizontal="center" vertical="center"/>
    </xf>
    <xf numFmtId="0" fontId="6" fillId="0" borderId="12" xfId="0" applyFont="1" applyBorder="1"/>
    <xf numFmtId="0" fontId="6" fillId="0" borderId="58" xfId="0" applyFont="1" applyBorder="1"/>
    <xf numFmtId="0" fontId="37" fillId="22" borderId="57" xfId="0" applyFont="1" applyFill="1" applyBorder="1" applyAlignment="1">
      <alignment horizontal="center"/>
    </xf>
    <xf numFmtId="0" fontId="6" fillId="0" borderId="22" xfId="0" applyFont="1" applyBorder="1"/>
    <xf numFmtId="0" fontId="6" fillId="0" borderId="23" xfId="0" applyFont="1" applyBorder="1"/>
    <xf numFmtId="0" fontId="16" fillId="12" borderId="58" xfId="0" applyFont="1" applyFill="1" applyBorder="1" applyAlignment="1">
      <alignment horizontal="center" vertical="center"/>
    </xf>
    <xf numFmtId="0" fontId="16" fillId="22" borderId="57" xfId="0" applyFont="1" applyFill="1" applyBorder="1" applyAlignment="1">
      <alignment horizontal="center" vertical="center"/>
    </xf>
    <xf numFmtId="0" fontId="61" fillId="12" borderId="58" xfId="0" applyFont="1" applyFill="1" applyBorder="1" applyAlignment="1">
      <alignment horizontal="center" vertical="center"/>
    </xf>
    <xf numFmtId="0" fontId="63" fillId="0" borderId="0" xfId="0" applyFont="1" applyAlignment="1"/>
    <xf numFmtId="0" fontId="60" fillId="0" borderId="12" xfId="0" applyFont="1" applyBorder="1"/>
    <xf numFmtId="0" fontId="60" fillId="0" borderId="53" xfId="0" applyFont="1" applyBorder="1"/>
    <xf numFmtId="0" fontId="60" fillId="0" borderId="7" xfId="0" applyFont="1" applyBorder="1"/>
    <xf numFmtId="0" fontId="60" fillId="0" borderId="13" xfId="0" applyFont="1" applyBorder="1"/>
    <xf numFmtId="0" fontId="61" fillId="22" borderId="57" xfId="0" applyFont="1" applyFill="1" applyBorder="1" applyAlignment="1">
      <alignment horizontal="center"/>
    </xf>
    <xf numFmtId="0" fontId="60" fillId="0" borderId="22" xfId="0" applyFont="1" applyBorder="1"/>
    <xf numFmtId="0" fontId="60" fillId="0" borderId="23" xfId="0" applyFont="1" applyBorder="1"/>
    <xf numFmtId="0" fontId="46" fillId="0" borderId="0" xfId="0" applyFont="1" applyAlignment="1">
      <alignment horizontal="center"/>
    </xf>
    <xf numFmtId="0" fontId="37" fillId="22" borderId="0" xfId="0" applyFont="1" applyFill="1" applyAlignment="1">
      <alignment horizontal="center"/>
    </xf>
    <xf numFmtId="0" fontId="6" fillId="12" borderId="7" xfId="0" applyFont="1" applyFill="1" applyBorder="1" applyAlignment="1"/>
    <xf numFmtId="0" fontId="6" fillId="0" borderId="7" xfId="0" applyFont="1" applyBorder="1"/>
    <xf numFmtId="0" fontId="45" fillId="0" borderId="58" xfId="0" applyFont="1" applyBorder="1" applyAlignment="1">
      <alignment horizontal="center"/>
    </xf>
    <xf numFmtId="0" fontId="37" fillId="22" borderId="3" xfId="0" applyFont="1" applyFill="1" applyBorder="1" applyAlignment="1">
      <alignment horizontal="center"/>
    </xf>
    <xf numFmtId="0" fontId="6" fillId="15" borderId="0" xfId="0" applyFont="1" applyFill="1" applyAlignment="1"/>
    <xf numFmtId="0" fontId="37" fillId="12" borderId="58" xfId="0" applyFont="1" applyFill="1" applyBorder="1" applyAlignment="1">
      <alignment vertical="center"/>
    </xf>
    <xf numFmtId="0" fontId="37" fillId="22" borderId="57" xfId="0" applyFont="1" applyFill="1" applyBorder="1" applyAlignment="1">
      <alignment horizontal="left" vertical="center"/>
    </xf>
    <xf numFmtId="0" fontId="45" fillId="0" borderId="0" xfId="0" applyFont="1" applyAlignment="1">
      <alignment horizontal="center"/>
    </xf>
    <xf numFmtId="0" fontId="6" fillId="15" borderId="0" xfId="0" applyFont="1" applyFill="1" applyAlignment="1">
      <alignment horizontal="left" vertical="center"/>
    </xf>
    <xf numFmtId="0" fontId="6" fillId="0" borderId="0" xfId="0" applyFont="1" applyAlignment="1">
      <alignment horizontal="center"/>
    </xf>
    <xf numFmtId="0" fontId="37" fillId="12" borderId="58" xfId="0" applyFont="1" applyFill="1" applyBorder="1" applyAlignment="1">
      <alignment horizontal="left" vertical="center"/>
    </xf>
    <xf numFmtId="0" fontId="47" fillId="9" borderId="0" xfId="0" applyFont="1" applyFill="1" applyAlignment="1">
      <alignment horizontal="center"/>
    </xf>
    <xf numFmtId="0" fontId="47" fillId="22" borderId="0" xfId="0" applyFont="1" applyFill="1" applyAlignment="1">
      <alignment horizontal="center"/>
    </xf>
    <xf numFmtId="0" fontId="47" fillId="22" borderId="3" xfId="0" applyFont="1" applyFill="1" applyBorder="1" applyAlignment="1">
      <alignment horizontal="center"/>
    </xf>
    <xf numFmtId="0" fontId="16" fillId="12" borderId="8" xfId="0" applyFont="1" applyFill="1" applyBorder="1" applyAlignment="1">
      <alignment horizontal="center" vertical="center"/>
    </xf>
    <xf numFmtId="0" fontId="13" fillId="12" borderId="0" xfId="0" applyFont="1" applyFill="1" applyAlignment="1">
      <alignment horizontal="center" vertical="center"/>
    </xf>
    <xf numFmtId="0" fontId="48" fillId="22" borderId="0" xfId="0" applyFont="1" applyFill="1" applyAlignment="1">
      <alignment horizontal="center"/>
    </xf>
    <xf numFmtId="0" fontId="48" fillId="12" borderId="57" xfId="0" applyFont="1" applyFill="1" applyBorder="1" applyAlignment="1">
      <alignment horizontal="center" vertical="center"/>
    </xf>
    <xf numFmtId="0" fontId="6" fillId="0" borderId="53" xfId="0" applyFont="1" applyBorder="1"/>
    <xf numFmtId="0" fontId="13" fillId="12" borderId="57" xfId="0" applyFont="1" applyFill="1" applyBorder="1" applyAlignment="1">
      <alignment horizontal="center" vertical="center"/>
    </xf>
    <xf numFmtId="0" fontId="48" fillId="31" borderId="62" xfId="0" applyFont="1" applyFill="1" applyBorder="1" applyAlignment="1">
      <alignment horizontal="center" wrapText="1"/>
    </xf>
    <xf numFmtId="0" fontId="48" fillId="31" borderId="127" xfId="0" applyFont="1" applyFill="1" applyBorder="1" applyAlignment="1">
      <alignment horizontal="center" wrapText="1"/>
    </xf>
    <xf numFmtId="0" fontId="4" fillId="31" borderId="81" xfId="0" applyFont="1" applyFill="1" applyBorder="1" applyAlignment="1">
      <alignment horizontal="center" vertical="center" wrapText="1"/>
    </xf>
    <xf numFmtId="0" fontId="4" fillId="31" borderId="82" xfId="0" applyFont="1" applyFill="1" applyBorder="1" applyAlignment="1">
      <alignment horizontal="center" vertical="center" wrapText="1"/>
    </xf>
    <xf numFmtId="0" fontId="4" fillId="31" borderId="83" xfId="0" applyFont="1" applyFill="1" applyBorder="1" applyAlignment="1">
      <alignment horizontal="center" vertical="center" wrapText="1"/>
    </xf>
  </cellXfs>
  <cellStyles count="6">
    <cellStyle name="Comma" xfId="4" builtinId="3"/>
    <cellStyle name="Currency" xfId="2" builtinId="4"/>
    <cellStyle name="Hyperlink" xfId="1" builtinId="8"/>
    <cellStyle name="Normal" xfId="0" builtinId="0"/>
    <cellStyle name="Normal 2" xfId="5"/>
    <cellStyle name="Percent" xfId="3" builtinId="5"/>
  </cellStyles>
  <dxfs count="7">
    <dxf>
      <fill>
        <patternFill patternType="solid">
          <fgColor rgb="FFE06666"/>
          <bgColor rgb="FFE06666"/>
        </patternFill>
      </fill>
    </dxf>
    <dxf>
      <fill>
        <patternFill patternType="solid">
          <fgColor rgb="FF6AA84F"/>
          <bgColor rgb="FF6AA84F"/>
        </patternFill>
      </fill>
    </dxf>
    <dxf>
      <fill>
        <patternFill patternType="solid">
          <fgColor rgb="FFE06666"/>
          <bgColor rgb="FFE06666"/>
        </patternFill>
      </fill>
    </dxf>
    <dxf>
      <fill>
        <patternFill patternType="solid">
          <fgColor rgb="FF6AA84F"/>
          <bgColor rgb="FF6AA84F"/>
        </patternFill>
      </fill>
    </dxf>
    <dxf>
      <fill>
        <patternFill patternType="solid">
          <fgColor rgb="FFDEEAF6"/>
          <bgColor rgb="FFDEEAF6"/>
        </patternFill>
      </fill>
    </dxf>
    <dxf>
      <fill>
        <patternFill patternType="solid">
          <fgColor rgb="FFE2EFD9"/>
          <bgColor rgb="FFE2EFD9"/>
        </patternFill>
      </fill>
    </dxf>
    <dxf>
      <fill>
        <patternFill patternType="solid">
          <fgColor rgb="FFFFFFFF"/>
          <bgColor rgb="FFFFFFFF"/>
        </patternFill>
      </fill>
    </dxf>
  </dxfs>
  <tableStyles count="1" defaultPivotStyle="PivotStyleMedium7">
    <tableStyle name="Logistics &amp; Transportation-style" pivot="0" count="3">
      <tableStyleElement type="headerRow" dxfId="6"/>
      <tableStyleElement type="firstRowStripe" dxfId="5"/>
      <tableStyleElement type="secondRowStripe" dxfId="4"/>
    </tableStyle>
  </tableStyles>
  <colors>
    <mruColors>
      <color rgb="FFFBF1FD"/>
      <color rgb="FFEEC7F5"/>
      <color rgb="FFCCCCFF"/>
      <color rgb="FFCC99FF"/>
      <color rgb="FFB192D6"/>
      <color rgb="FFB56FF5"/>
      <color rgb="FF9966FF"/>
      <color rgb="FF00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300" b="1" i="0">
                <a:solidFill>
                  <a:srgbClr val="595959"/>
                </a:solidFill>
              </a:defRPr>
            </a:pPr>
            <a:r>
              <a:rPr lang="en-US"/>
              <a:t>EBT by Unit Sales</a:t>
            </a:r>
          </a:p>
        </c:rich>
      </c:tx>
      <c:overlay val="0"/>
    </c:title>
    <c:autoTitleDeleted val="0"/>
    <c:plotArea>
      <c:layout/>
      <c:scatterChart>
        <c:scatterStyle val="lineMarker"/>
        <c:varyColors val="0"/>
        <c:ser>
          <c:idx val="0"/>
          <c:order val="0"/>
          <c:spPr>
            <a:ln w="47625">
              <a:noFill/>
            </a:ln>
          </c:spPr>
          <c:marker>
            <c:symbol val="circle"/>
            <c:size val="5"/>
            <c:spPr>
              <a:solidFill>
                <a:srgbClr val="ED7D31"/>
              </a:solidFill>
              <a:ln cmpd="sng">
                <a:solidFill>
                  <a:srgbClr val="ED7D31"/>
                </a:solidFill>
              </a:ln>
            </c:spPr>
          </c:marker>
          <c:trendline>
            <c:name>Linear (EBT)</c:name>
            <c:spPr>
              <a:ln w="19050">
                <a:solidFill>
                  <a:srgbClr val="ED7D31"/>
                </a:solidFill>
              </a:ln>
            </c:spPr>
            <c:trendlineType val="linear"/>
            <c:dispRSqr val="1"/>
            <c:dispEq val="0"/>
            <c:trendlineLbl>
              <c:numFmt formatCode="General" sourceLinked="0"/>
            </c:trendlineLbl>
          </c:trendline>
          <c:xVal>
            <c:numRef>
              <c:f>'FE Income Statement'!$D$48:$H$48</c:f>
              <c:numCache>
                <c:formatCode>#,##0.0</c:formatCode>
                <c:ptCount val="5"/>
              </c:numCache>
            </c:numRef>
          </c:xVal>
          <c:yVal>
            <c:numRef>
              <c:f>'FE Income Statement'!$C$49:$H$49</c:f>
              <c:numCache>
                <c:formatCode>_("$"* #,##0.00_);_("$"* \(#,##0.00\);_("$"* "-"??_);_(@_)</c:formatCode>
                <c:ptCount val="6"/>
              </c:numCache>
            </c:numRef>
          </c:yVal>
          <c:smooth val="1"/>
          <c:extLst>
            <c:ext xmlns:c16="http://schemas.microsoft.com/office/drawing/2014/chart" uri="{C3380CC4-5D6E-409C-BE32-E72D297353CC}">
              <c16:uniqueId val="{00000000-2D59-4DEB-9396-A556903F9263}"/>
            </c:ext>
          </c:extLst>
        </c:ser>
        <c:dLbls>
          <c:showLegendKey val="0"/>
          <c:showVal val="0"/>
          <c:showCatName val="0"/>
          <c:showSerName val="0"/>
          <c:showPercent val="0"/>
          <c:showBubbleSize val="0"/>
        </c:dLbls>
        <c:axId val="828075424"/>
        <c:axId val="794629984"/>
      </c:scatterChart>
      <c:valAx>
        <c:axId val="828075424"/>
        <c:scaling>
          <c:orientation val="minMax"/>
        </c:scaling>
        <c:delete val="0"/>
        <c:axPos val="b"/>
        <c:majorGridlines>
          <c:spPr>
            <a:ln>
              <a:solidFill>
                <a:srgbClr val="FFFFFF"/>
              </a:solidFill>
            </a:ln>
          </c:spPr>
        </c:majorGridlines>
        <c:title>
          <c:tx>
            <c:rich>
              <a:bodyPr/>
              <a:lstStyle/>
              <a:p>
                <a:pPr lvl="0">
                  <a:defRPr sz="1600" b="1" i="0">
                    <a:solidFill>
                      <a:srgbClr val="595959"/>
                    </a:solidFill>
                  </a:defRPr>
                </a:pPr>
                <a:r>
                  <a:rPr lang="en-US"/>
                  <a:t>Annual Unit Sales</a:t>
                </a:r>
              </a:p>
            </c:rich>
          </c:tx>
          <c:overlay val="0"/>
        </c:title>
        <c:numFmt formatCode="#,##0.0" sourceLinked="1"/>
        <c:majorTickMark val="cross"/>
        <c:minorTickMark val="cross"/>
        <c:tickLblPos val="nextTo"/>
        <c:spPr>
          <a:ln w="47625">
            <a:noFill/>
          </a:ln>
        </c:spPr>
        <c:txPr>
          <a:bodyPr/>
          <a:lstStyle/>
          <a:p>
            <a:pPr lvl="0">
              <a:defRPr sz="1100" b="1" i="0">
                <a:solidFill>
                  <a:srgbClr val="595959"/>
                </a:solidFill>
              </a:defRPr>
            </a:pPr>
            <a:endParaRPr lang="en-US"/>
          </a:p>
        </c:txPr>
        <c:crossAx val="794629984"/>
        <c:crosses val="autoZero"/>
        <c:crossBetween val="midCat"/>
      </c:valAx>
      <c:valAx>
        <c:axId val="794629984"/>
        <c:scaling>
          <c:orientation val="minMax"/>
        </c:scaling>
        <c:delete val="0"/>
        <c:axPos val="l"/>
        <c:majorGridlines>
          <c:spPr>
            <a:ln>
              <a:solidFill>
                <a:srgbClr val="D9D9D9"/>
              </a:solidFill>
            </a:ln>
          </c:spPr>
        </c:majorGridlines>
        <c:title>
          <c:tx>
            <c:rich>
              <a:bodyPr/>
              <a:lstStyle/>
              <a:p>
                <a:pPr lvl="0">
                  <a:defRPr sz="1100" b="1" i="0">
                    <a:solidFill>
                      <a:srgbClr val="595959"/>
                    </a:solidFill>
                  </a:defRPr>
                </a:pPr>
                <a:r>
                  <a:rPr lang="en-US"/>
                  <a:t>Earnings Before Tax</a:t>
                </a:r>
              </a:p>
            </c:rich>
          </c:tx>
          <c:overlay val="0"/>
        </c:title>
        <c:numFmt formatCode="#,##0.0" sourceLinked="1"/>
        <c:majorTickMark val="cross"/>
        <c:minorTickMark val="cross"/>
        <c:tickLblPos val="nextTo"/>
        <c:spPr>
          <a:ln w="47625">
            <a:noFill/>
          </a:ln>
        </c:spPr>
        <c:txPr>
          <a:bodyPr/>
          <a:lstStyle/>
          <a:p>
            <a:pPr lvl="0">
              <a:defRPr sz="1100" b="1" i="0">
                <a:solidFill>
                  <a:srgbClr val="595959"/>
                </a:solidFill>
              </a:defRPr>
            </a:pPr>
            <a:endParaRPr lang="en-US"/>
          </a:p>
        </c:txPr>
        <c:crossAx val="828075424"/>
        <c:crosses val="autoZero"/>
        <c:crossBetween val="midCat"/>
      </c:valAx>
      <c:spPr>
        <a:solidFill>
          <a:srgbClr val="FFFFFF"/>
        </a:solidFill>
      </c:spPr>
    </c:plotArea>
    <c:plotVisOnly val="1"/>
    <c:dispBlanksAs val="zero"/>
    <c:showDLblsOverMax val="1"/>
  </c:chart>
  <c:spPr>
    <a:solidFill>
      <a:srgbClr val="FFFFFF"/>
    </a:solidFill>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800" b="1" i="0">
                <a:solidFill>
                  <a:srgbClr val="595959"/>
                </a:solidFill>
              </a:defRPr>
            </a:pPr>
            <a:r>
              <a:rPr lang="en-US"/>
              <a:t>Annual Revenues and Net Income</a:t>
            </a:r>
          </a:p>
        </c:rich>
      </c:tx>
      <c:layout/>
      <c:overlay val="0"/>
    </c:title>
    <c:autoTitleDeleted val="0"/>
    <c:plotArea>
      <c:layout>
        <c:manualLayout>
          <c:xMode val="edge"/>
          <c:yMode val="edge"/>
          <c:x val="0.14296981627296601"/>
          <c:y val="0.17171296296296301"/>
          <c:w val="0.84869685039370102"/>
          <c:h val="0.763472222222222"/>
        </c:manualLayout>
      </c:layout>
      <c:barChart>
        <c:barDir val="col"/>
        <c:grouping val="clustered"/>
        <c:varyColors val="1"/>
        <c:ser>
          <c:idx val="0"/>
          <c:order val="0"/>
          <c:tx>
            <c:strRef>
              <c:f>'FE Income Statement'!$M$25</c:f>
              <c:strCache>
                <c:ptCount val="1"/>
                <c:pt idx="0">
                  <c:v>Revenue</c:v>
                </c:pt>
              </c:strCache>
            </c:strRef>
          </c:tx>
          <c:spPr>
            <a:solidFill>
              <a:srgbClr val="5B9BD5"/>
            </a:solidFill>
          </c:spPr>
          <c:invertIfNegative val="1"/>
          <c:cat>
            <c:numRef>
              <c:extLst>
                <c:ext xmlns:c15="http://schemas.microsoft.com/office/drawing/2012/chart" uri="{02D57815-91ED-43cb-92C2-25804820EDAC}">
                  <c15:fullRef>
                    <c15:sqref>'FE Income Statement'!$N$24:$S$24</c15:sqref>
                  </c15:fullRef>
                </c:ext>
              </c:extLst>
              <c:f>'FE Income Statement'!$N$24:$R$24</c:f>
              <c:numCache>
                <c:formatCode>General</c:formatCode>
                <c:ptCount val="5"/>
                <c:pt idx="0">
                  <c:v>1</c:v>
                </c:pt>
                <c:pt idx="1">
                  <c:v>2</c:v>
                </c:pt>
                <c:pt idx="2">
                  <c:v>3</c:v>
                </c:pt>
                <c:pt idx="3">
                  <c:v>4</c:v>
                </c:pt>
                <c:pt idx="4">
                  <c:v>5</c:v>
                </c:pt>
              </c:numCache>
            </c:numRef>
          </c:cat>
          <c:val>
            <c:numRef>
              <c:extLst>
                <c:ext xmlns:c15="http://schemas.microsoft.com/office/drawing/2012/chart" uri="{02D57815-91ED-43cb-92C2-25804820EDAC}">
                  <c15:fullRef>
                    <c15:sqref>'FE Income Statement'!$N$25:$S$25</c15:sqref>
                  </c15:fullRef>
                </c:ext>
              </c:extLst>
              <c:f>'FE Income Statement'!$N$25:$R$25</c:f>
              <c:numCache>
                <c:formatCode>_(* #,##0_);_(* \(#,##0\);_(* "-"??_);_(@_)</c:formatCode>
                <c:ptCount val="5"/>
                <c:pt idx="0" formatCode="_(&quot;$&quot;* #,##0_);_(&quot;$&quot;* \(#,##0\);_(&quot;$&quot;* &quot;-&quot;??_);_(@_)">
                  <c:v>8432922.4425324332</c:v>
                </c:pt>
                <c:pt idx="1">
                  <c:v>11197104.395625159</c:v>
                </c:pt>
                <c:pt idx="2">
                  <c:v>19589865.691685975</c:v>
                </c:pt>
                <c:pt idx="3">
                  <c:v>29205018.74808573</c:v>
                </c:pt>
                <c:pt idx="4">
                  <c:v>35153182.257459655</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0E6B-4711-AFF1-EBA3C8789708}"/>
            </c:ext>
          </c:extLst>
        </c:ser>
        <c:ser>
          <c:idx val="1"/>
          <c:order val="1"/>
          <c:tx>
            <c:strRef>
              <c:f>'FE Income Statement'!$M$26</c:f>
              <c:strCache>
                <c:ptCount val="1"/>
                <c:pt idx="0">
                  <c:v>Net Income</c:v>
                </c:pt>
              </c:strCache>
            </c:strRef>
          </c:tx>
          <c:spPr>
            <a:solidFill>
              <a:srgbClr val="ED7D31"/>
            </a:solidFill>
          </c:spPr>
          <c:invertIfNegative val="1"/>
          <c:cat>
            <c:numRef>
              <c:extLst>
                <c:ext xmlns:c15="http://schemas.microsoft.com/office/drawing/2012/chart" uri="{02D57815-91ED-43cb-92C2-25804820EDAC}">
                  <c15:fullRef>
                    <c15:sqref>'FE Income Statement'!$N$24:$S$24</c15:sqref>
                  </c15:fullRef>
                </c:ext>
              </c:extLst>
              <c:f>'FE Income Statement'!$N$24:$R$24</c:f>
              <c:numCache>
                <c:formatCode>General</c:formatCode>
                <c:ptCount val="5"/>
                <c:pt idx="0">
                  <c:v>1</c:v>
                </c:pt>
                <c:pt idx="1">
                  <c:v>2</c:v>
                </c:pt>
                <c:pt idx="2">
                  <c:v>3</c:v>
                </c:pt>
                <c:pt idx="3">
                  <c:v>4</c:v>
                </c:pt>
                <c:pt idx="4">
                  <c:v>5</c:v>
                </c:pt>
              </c:numCache>
            </c:numRef>
          </c:cat>
          <c:val>
            <c:numRef>
              <c:extLst>
                <c:ext xmlns:c15="http://schemas.microsoft.com/office/drawing/2012/chart" uri="{02D57815-91ED-43cb-92C2-25804820EDAC}">
                  <c15:fullRef>
                    <c15:sqref>'FE Income Statement'!$N$26:$S$26</c15:sqref>
                  </c15:fullRef>
                </c:ext>
              </c:extLst>
              <c:f>'FE Income Statement'!$N$26:$R$26</c:f>
              <c:numCache>
                <c:formatCode>_(* #,##0_);_(* \(#,##0\);_(* "-"??_);_(@_)</c:formatCode>
                <c:ptCount val="5"/>
                <c:pt idx="0" formatCode="_(&quot;$&quot;* #,##0_);_(&quot;$&quot;* \(#,##0\);_(&quot;$&quot;* &quot;-&quot;??_);_(@_)">
                  <c:v>-286777.105125</c:v>
                </c:pt>
                <c:pt idx="1">
                  <c:v>320395.35741437343</c:v>
                </c:pt>
                <c:pt idx="2">
                  <c:v>492658.40435119154</c:v>
                </c:pt>
                <c:pt idx="3">
                  <c:v>1081353.7124360255</c:v>
                </c:pt>
                <c:pt idx="4">
                  <c:v>1589477.2390872031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0E6B-4711-AFF1-EBA3C8789708}"/>
            </c:ext>
          </c:extLst>
        </c:ser>
        <c:dLbls>
          <c:showLegendKey val="0"/>
          <c:showVal val="0"/>
          <c:showCatName val="0"/>
          <c:showSerName val="0"/>
          <c:showPercent val="0"/>
          <c:showBubbleSize val="0"/>
        </c:dLbls>
        <c:gapWidth val="150"/>
        <c:axId val="831980656"/>
        <c:axId val="831984208"/>
      </c:barChart>
      <c:catAx>
        <c:axId val="831980656"/>
        <c:scaling>
          <c:orientation val="minMax"/>
        </c:scaling>
        <c:delete val="0"/>
        <c:axPos val="b"/>
        <c:numFmt formatCode="General" sourceLinked="1"/>
        <c:majorTickMark val="cross"/>
        <c:minorTickMark val="cross"/>
        <c:tickLblPos val="nextTo"/>
        <c:txPr>
          <a:bodyPr/>
          <a:lstStyle/>
          <a:p>
            <a:pPr lvl="0">
              <a:defRPr sz="900" b="0" i="0">
                <a:solidFill>
                  <a:srgbClr val="595959"/>
                </a:solidFill>
              </a:defRPr>
            </a:pPr>
            <a:endParaRPr lang="en-US"/>
          </a:p>
        </c:txPr>
        <c:crossAx val="831984208"/>
        <c:crosses val="autoZero"/>
        <c:auto val="1"/>
        <c:lblAlgn val="ctr"/>
        <c:lblOffset val="100"/>
        <c:noMultiLvlLbl val="1"/>
      </c:catAx>
      <c:valAx>
        <c:axId val="831984208"/>
        <c:scaling>
          <c:orientation val="minMax"/>
          <c:max val="39000000"/>
          <c:min val="-1000000"/>
        </c:scaling>
        <c:delete val="0"/>
        <c:axPos val="l"/>
        <c:majorGridlines>
          <c:spPr>
            <a:ln>
              <a:solidFill>
                <a:srgbClr val="D9D9D9"/>
              </a:solidFill>
            </a:ln>
          </c:spPr>
        </c:majorGridlines>
        <c:numFmt formatCode="_(&quot;$&quot;* #,##0_);_(&quot;$&quot;* \(#,##0\);_(&quot;$&quot;* &quot;-&quot;??_);_(@_)" sourceLinked="1"/>
        <c:majorTickMark val="cross"/>
        <c:minorTickMark val="cross"/>
        <c:tickLblPos val="nextTo"/>
        <c:spPr>
          <a:ln w="47625">
            <a:noFill/>
          </a:ln>
        </c:spPr>
        <c:txPr>
          <a:bodyPr/>
          <a:lstStyle/>
          <a:p>
            <a:pPr lvl="0">
              <a:defRPr sz="1000" b="1" i="0">
                <a:solidFill>
                  <a:srgbClr val="595959"/>
                </a:solidFill>
              </a:defRPr>
            </a:pPr>
            <a:endParaRPr lang="en-US"/>
          </a:p>
        </c:txPr>
        <c:crossAx val="831980656"/>
        <c:crosses val="autoZero"/>
        <c:crossBetween val="between"/>
      </c:valAx>
      <c:spPr>
        <a:solidFill>
          <a:srgbClr val="FFFFFF"/>
        </a:solidFill>
      </c:spPr>
    </c:plotArea>
    <c:legend>
      <c:legendPos val="b"/>
      <c:layout/>
      <c:overlay val="0"/>
      <c:txPr>
        <a:bodyPr/>
        <a:lstStyle/>
        <a:p>
          <a:pPr lvl="0">
            <a:defRPr sz="1200">
              <a:solidFill>
                <a:srgbClr val="595959"/>
              </a:solidFill>
            </a:defRPr>
          </a:pPr>
          <a:endParaRPr lang="en-US"/>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Fixed</a:t>
            </a:r>
            <a:r>
              <a:rPr lang="en-US" baseline="0"/>
              <a:t> and Variable Expenses % of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'FE Income Statement'!$B$33</c:f>
              <c:strCache>
                <c:ptCount val="1"/>
                <c:pt idx="0">
                  <c:v>COGS % Sales</c:v>
                </c:pt>
              </c:strCache>
            </c:strRef>
          </c:tx>
          <c:spPr>
            <a:ln w="28575" cap="rnd">
              <a:solidFill>
                <a:srgbClr val="FFC000"/>
              </a:solidFill>
              <a:round/>
            </a:ln>
            <a:effectLst/>
          </c:spPr>
          <c:marker>
            <c:symbol val="circle"/>
            <c:size val="5"/>
            <c:spPr>
              <a:noFill/>
              <a:ln w="9525">
                <a:solidFill>
                  <a:schemeClr val="accent1"/>
                </a:solidFill>
              </a:ln>
              <a:effectLst/>
            </c:spPr>
          </c:marker>
          <c:cat>
            <c:numRef>
              <c:f>'FE Income Statement'!$N$24:$R$24</c:f>
              <c:numCache>
                <c:formatCode>General</c:formatCode>
                <c:ptCount val="5"/>
                <c:pt idx="0">
                  <c:v>1</c:v>
                </c:pt>
                <c:pt idx="1">
                  <c:v>2</c:v>
                </c:pt>
                <c:pt idx="2">
                  <c:v>3</c:v>
                </c:pt>
                <c:pt idx="3">
                  <c:v>4</c:v>
                </c:pt>
                <c:pt idx="4">
                  <c:v>5</c:v>
                </c:pt>
              </c:numCache>
            </c:numRef>
          </c:cat>
          <c:val>
            <c:numRef>
              <c:f>'FE Income Statement'!$D$33:$H$33</c:f>
              <c:numCache>
                <c:formatCode>0.00%</c:formatCode>
                <c:ptCount val="5"/>
                <c:pt idx="0">
                  <c:v>0.82327199356382452</c:v>
                </c:pt>
                <c:pt idx="1">
                  <c:v>0.83788848764346457</c:v>
                </c:pt>
                <c:pt idx="2">
                  <c:v>0.83109112359970128</c:v>
                </c:pt>
                <c:pt idx="3">
                  <c:v>0.84793564501825691</c:v>
                </c:pt>
                <c:pt idx="4">
                  <c:v>0.85730023041454595</c:v>
                </c:pt>
              </c:numCache>
            </c:numRef>
          </c:val>
          <c:smooth val="0"/>
          <c:extLst>
            <c:ext xmlns:c16="http://schemas.microsoft.com/office/drawing/2014/chart" uri="{C3380CC4-5D6E-409C-BE32-E72D297353CC}">
              <c16:uniqueId val="{00000000-80EF-4ED5-95E7-8D4EB886A75A}"/>
            </c:ext>
          </c:extLst>
        </c:ser>
        <c:ser>
          <c:idx val="1"/>
          <c:order val="1"/>
          <c:tx>
            <c:v>SG&amp;A % Sales</c:v>
          </c:tx>
          <c:spPr>
            <a:ln w="28575" cap="rnd">
              <a:solidFill>
                <a:schemeClr val="accent1">
                  <a:lumMod val="75000"/>
                </a:schemeClr>
              </a:solidFill>
              <a:round/>
            </a:ln>
            <a:effectLst/>
          </c:spPr>
          <c:marker>
            <c:symbol val="circle"/>
            <c:size val="5"/>
            <c:spPr>
              <a:noFill/>
              <a:ln w="9525">
                <a:solidFill>
                  <a:schemeClr val="accent2"/>
                </a:solidFill>
              </a:ln>
              <a:effectLst/>
            </c:spPr>
          </c:marker>
          <c:cat>
            <c:numRef>
              <c:f>'FE Income Statement'!$N$24:$R$24</c:f>
              <c:numCache>
                <c:formatCode>General</c:formatCode>
                <c:ptCount val="5"/>
                <c:pt idx="0">
                  <c:v>1</c:v>
                </c:pt>
                <c:pt idx="1">
                  <c:v>2</c:v>
                </c:pt>
                <c:pt idx="2">
                  <c:v>3</c:v>
                </c:pt>
                <c:pt idx="3">
                  <c:v>4</c:v>
                </c:pt>
                <c:pt idx="4">
                  <c:v>5</c:v>
                </c:pt>
              </c:numCache>
            </c:numRef>
          </c:cat>
          <c:val>
            <c:numRef>
              <c:f>'FE Income Statement'!$D$36:$H$36</c:f>
              <c:numCache>
                <c:formatCode>0.00%</c:formatCode>
                <c:ptCount val="5"/>
                <c:pt idx="0">
                  <c:v>0.11646885420720773</c:v>
                </c:pt>
                <c:pt idx="1">
                  <c:v>9.2327637983255648E-2</c:v>
                </c:pt>
                <c:pt idx="2">
                  <c:v>8.1359869077069213E-2</c:v>
                </c:pt>
                <c:pt idx="3">
                  <c:v>6.5744295084857393E-2</c:v>
                </c:pt>
                <c:pt idx="4">
                  <c:v>5.8236593376894512E-2</c:v>
                </c:pt>
              </c:numCache>
            </c:numRef>
          </c:val>
          <c:smooth val="0"/>
          <c:extLst>
            <c:ext xmlns:c16="http://schemas.microsoft.com/office/drawing/2014/chart" uri="{C3380CC4-5D6E-409C-BE32-E72D297353CC}">
              <c16:uniqueId val="{00000001-80EF-4ED5-95E7-8D4EB886A75A}"/>
            </c:ext>
          </c:extLst>
        </c:ser>
        <c:dLbls>
          <c:showLegendKey val="0"/>
          <c:showVal val="0"/>
          <c:showCatName val="0"/>
          <c:showSerName val="0"/>
          <c:showPercent val="0"/>
          <c:showBubbleSize val="0"/>
        </c:dLbls>
        <c:marker val="1"/>
        <c:smooth val="0"/>
        <c:axId val="1062145104"/>
        <c:axId val="1064489824"/>
      </c:lineChart>
      <c:catAx>
        <c:axId val="1062145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489824"/>
        <c:crosses val="autoZero"/>
        <c:auto val="1"/>
        <c:lblAlgn val="ctr"/>
        <c:lblOffset val="100"/>
        <c:noMultiLvlLbl val="0"/>
      </c:catAx>
      <c:valAx>
        <c:axId val="1064489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t>
                </a:r>
                <a:r>
                  <a:rPr lang="en-US" baseline="0"/>
                  <a:t> of Sales</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1451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Changes</a:t>
            </a:r>
            <a:r>
              <a:rPr lang="en-US" baseline="0"/>
              <a:t> in </a:t>
            </a:r>
            <a:r>
              <a:rPr lang="en-US"/>
              <a:t>Net Working Capital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'FE Balance Sheet'!$B$33</c:f>
              <c:strCache>
                <c:ptCount val="1"/>
                <c:pt idx="0">
                  <c:v>Net Working Capital Balance</c:v>
                </c:pt>
              </c:strCache>
            </c:strRef>
          </c:tx>
          <c:spPr>
            <a:solidFill>
              <a:schemeClr val="accent1">
                <a:lumMod val="40000"/>
                <a:lumOff val="60000"/>
              </a:schemeClr>
            </a:solidFill>
            <a:ln>
              <a:noFill/>
            </a:ln>
            <a:effectLst/>
          </c:spPr>
          <c:invertIfNegative val="0"/>
          <c:cat>
            <c:numRef>
              <c:f>'FE Balance Sheet'!$C$32:$H$32</c:f>
              <c:numCache>
                <c:formatCode>_(* #,##0_);_(* \(#,##0\);_(* "-"??_);_(@_)</c:formatCode>
                <c:ptCount val="6"/>
                <c:pt idx="0" formatCode="General">
                  <c:v>0</c:v>
                </c:pt>
                <c:pt idx="1">
                  <c:v>1</c:v>
                </c:pt>
                <c:pt idx="2" formatCode="General">
                  <c:v>2</c:v>
                </c:pt>
                <c:pt idx="3" formatCode="General">
                  <c:v>3</c:v>
                </c:pt>
                <c:pt idx="4" formatCode="General">
                  <c:v>4</c:v>
                </c:pt>
                <c:pt idx="5" formatCode="General">
                  <c:v>5</c:v>
                </c:pt>
              </c:numCache>
            </c:numRef>
          </c:cat>
          <c:val>
            <c:numRef>
              <c:f>'FE Balance Sheet'!$C$33:$H$33</c:f>
              <c:numCache>
                <c:formatCode>_("$"* #,##0_);_("$"* \(#,##0\);_("$"* "-"??_);_(@_)</c:formatCode>
                <c:ptCount val="6"/>
                <c:pt idx="0">
                  <c:v>252274.08</c:v>
                </c:pt>
                <c:pt idx="1">
                  <c:v>914025.21</c:v>
                </c:pt>
                <c:pt idx="2">
                  <c:v>1296248.52</c:v>
                </c:pt>
                <c:pt idx="3">
                  <c:v>2306317.98</c:v>
                </c:pt>
                <c:pt idx="4">
                  <c:v>3332203.84</c:v>
                </c:pt>
                <c:pt idx="5">
                  <c:v>3945974.56</c:v>
                </c:pt>
              </c:numCache>
            </c:numRef>
          </c:val>
          <c:extLst>
            <c:ext xmlns:c16="http://schemas.microsoft.com/office/drawing/2014/chart" uri="{C3380CC4-5D6E-409C-BE32-E72D297353CC}">
              <c16:uniqueId val="{00000000-B91E-45BD-AD17-D4475977D300}"/>
            </c:ext>
          </c:extLst>
        </c:ser>
        <c:ser>
          <c:idx val="1"/>
          <c:order val="1"/>
          <c:tx>
            <c:strRef>
              <c:f>'FE Balance Sheet'!$B$34</c:f>
              <c:strCache>
                <c:ptCount val="1"/>
                <c:pt idx="0">
                  <c:v>Change in NWC</c:v>
                </c:pt>
              </c:strCache>
            </c:strRef>
          </c:tx>
          <c:spPr>
            <a:solidFill>
              <a:schemeClr val="accent1">
                <a:lumMod val="75000"/>
              </a:schemeClr>
            </a:solidFill>
            <a:ln>
              <a:noFill/>
            </a:ln>
            <a:effectLst/>
          </c:spPr>
          <c:invertIfNegative val="0"/>
          <c:cat>
            <c:numRef>
              <c:f>'FE Balance Sheet'!$C$32:$H$32</c:f>
              <c:numCache>
                <c:formatCode>_(* #,##0_);_(* \(#,##0\);_(* "-"??_);_(@_)</c:formatCode>
                <c:ptCount val="6"/>
                <c:pt idx="0" formatCode="General">
                  <c:v>0</c:v>
                </c:pt>
                <c:pt idx="1">
                  <c:v>1</c:v>
                </c:pt>
                <c:pt idx="2" formatCode="General">
                  <c:v>2</c:v>
                </c:pt>
                <c:pt idx="3" formatCode="General">
                  <c:v>3</c:v>
                </c:pt>
                <c:pt idx="4" formatCode="General">
                  <c:v>4</c:v>
                </c:pt>
                <c:pt idx="5" formatCode="General">
                  <c:v>5</c:v>
                </c:pt>
              </c:numCache>
            </c:numRef>
          </c:cat>
          <c:val>
            <c:numRef>
              <c:f>'FE Balance Sheet'!$C$34:$H$34</c:f>
              <c:numCache>
                <c:formatCode>_("$"* #,##0_);_("$"* \(#,##0\);_("$"* "-"??_);_(@_)</c:formatCode>
                <c:ptCount val="6"/>
                <c:pt idx="0">
                  <c:v>252274.08</c:v>
                </c:pt>
                <c:pt idx="1">
                  <c:v>661751.13</c:v>
                </c:pt>
                <c:pt idx="2">
                  <c:v>382223.31</c:v>
                </c:pt>
                <c:pt idx="3">
                  <c:v>1010069.46</c:v>
                </c:pt>
                <c:pt idx="4">
                  <c:v>1025885.86</c:v>
                </c:pt>
                <c:pt idx="5">
                  <c:v>613770.72</c:v>
                </c:pt>
              </c:numCache>
            </c:numRef>
          </c:val>
          <c:extLst>
            <c:ext xmlns:c16="http://schemas.microsoft.com/office/drawing/2014/chart" uri="{C3380CC4-5D6E-409C-BE32-E72D297353CC}">
              <c16:uniqueId val="{00000001-B91E-45BD-AD17-D4475977D300}"/>
            </c:ext>
          </c:extLst>
        </c:ser>
        <c:dLbls>
          <c:showLegendKey val="0"/>
          <c:showVal val="0"/>
          <c:showCatName val="0"/>
          <c:showSerName val="0"/>
          <c:showPercent val="0"/>
          <c:showBubbleSize val="0"/>
        </c:dLbls>
        <c:gapWidth val="219"/>
        <c:overlap val="-27"/>
        <c:axId val="830785072"/>
        <c:axId val="830783824"/>
      </c:barChart>
      <c:catAx>
        <c:axId val="8307850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783824"/>
        <c:crosses val="autoZero"/>
        <c:auto val="1"/>
        <c:lblAlgn val="ctr"/>
        <c:lblOffset val="100"/>
        <c:noMultiLvlLbl val="0"/>
      </c:catAx>
      <c:valAx>
        <c:axId val="830783824"/>
        <c:scaling>
          <c:orientation val="minMax"/>
          <c:max val="42000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USD</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78507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Free Cash Flows</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'FE Cash Flow'!$N$3</c:f>
              <c:strCache>
                <c:ptCount val="1"/>
                <c:pt idx="0">
                  <c:v>FCF</c:v>
                </c:pt>
              </c:strCache>
            </c:strRef>
          </c:tx>
          <c:spPr>
            <a:solidFill>
              <a:schemeClr val="accent1"/>
            </a:solidFill>
            <a:ln>
              <a:noFill/>
            </a:ln>
            <a:effectLst/>
          </c:spPr>
          <c:invertIfNegative val="0"/>
          <c:cat>
            <c:numRef>
              <c:f>'FE Cash Flow'!$O$2:$U$2</c:f>
              <c:numCache>
                <c:formatCode>_(* #,##0_);_(* \(#,##0\);_(* "-"??_);_(@_)</c:formatCode>
                <c:ptCount val="7"/>
                <c:pt idx="0" formatCode="0">
                  <c:v>0</c:v>
                </c:pt>
                <c:pt idx="1">
                  <c:v>1</c:v>
                </c:pt>
                <c:pt idx="2">
                  <c:v>2</c:v>
                </c:pt>
                <c:pt idx="3">
                  <c:v>3</c:v>
                </c:pt>
                <c:pt idx="4">
                  <c:v>4</c:v>
                </c:pt>
                <c:pt idx="5">
                  <c:v>5</c:v>
                </c:pt>
                <c:pt idx="6">
                  <c:v>6</c:v>
                </c:pt>
              </c:numCache>
            </c:numRef>
          </c:cat>
          <c:val>
            <c:numRef>
              <c:f>'FE Cash Flow'!$O$3:$U$3</c:f>
              <c:numCache>
                <c:formatCode>_("$"* #,##0_);_("$"* \(#,##0\);_("$"* "-"??_);_(@_)</c:formatCode>
                <c:ptCount val="7"/>
                <c:pt idx="0">
                  <c:v>-858030.18312499998</c:v>
                </c:pt>
                <c:pt idx="1">
                  <c:v>-301559.97258562659</c:v>
                </c:pt>
                <c:pt idx="2">
                  <c:v>150230.89395119151</c:v>
                </c:pt>
                <c:pt idx="3">
                  <c:v>103768.64484896627</c:v>
                </c:pt>
                <c:pt idx="4">
                  <c:v>605215.03150014381</c:v>
                </c:pt>
                <c:pt idx="5">
                  <c:v>1299901.6463277496</c:v>
                </c:pt>
                <c:pt idx="6">
                  <c:v>1299901.6463277496</c:v>
                </c:pt>
              </c:numCache>
            </c:numRef>
          </c:val>
          <c:extLst>
            <c:ext xmlns:c16="http://schemas.microsoft.com/office/drawing/2014/chart" uri="{C3380CC4-5D6E-409C-BE32-E72D297353CC}">
              <c16:uniqueId val="{00000000-D809-4982-A554-9AA1A690B2B8}"/>
            </c:ext>
          </c:extLst>
        </c:ser>
        <c:dLbls>
          <c:showLegendKey val="0"/>
          <c:showVal val="0"/>
          <c:showCatName val="0"/>
          <c:showSerName val="0"/>
          <c:showPercent val="0"/>
          <c:showBubbleSize val="0"/>
        </c:dLbls>
        <c:gapWidth val="219"/>
        <c:overlap val="-27"/>
        <c:axId val="248327056"/>
        <c:axId val="248319984"/>
      </c:barChart>
      <c:lineChart>
        <c:grouping val="standard"/>
        <c:varyColors val="0"/>
        <c:ser>
          <c:idx val="1"/>
          <c:order val="1"/>
          <c:tx>
            <c:strRef>
              <c:f>'FE Cash Flow'!$N$4</c:f>
              <c:strCache>
                <c:ptCount val="1"/>
                <c:pt idx="0">
                  <c:v>% Change</c:v>
                </c:pt>
              </c:strCache>
            </c:strRef>
          </c:tx>
          <c:spPr>
            <a:ln w="28575" cap="rnd">
              <a:solidFill>
                <a:schemeClr val="accent2"/>
              </a:solidFill>
              <a:round/>
            </a:ln>
            <a:effectLst/>
          </c:spPr>
          <c:marker>
            <c:symbol val="none"/>
          </c:marker>
          <c:cat>
            <c:numRef>
              <c:f>'FE Cash Flow'!$O$2:$U$2</c:f>
              <c:numCache>
                <c:formatCode>_(* #,##0_);_(* \(#,##0\);_(* "-"??_);_(@_)</c:formatCode>
                <c:ptCount val="7"/>
                <c:pt idx="0" formatCode="0">
                  <c:v>0</c:v>
                </c:pt>
                <c:pt idx="1">
                  <c:v>1</c:v>
                </c:pt>
                <c:pt idx="2">
                  <c:v>2</c:v>
                </c:pt>
                <c:pt idx="3">
                  <c:v>3</c:v>
                </c:pt>
                <c:pt idx="4">
                  <c:v>4</c:v>
                </c:pt>
                <c:pt idx="5">
                  <c:v>5</c:v>
                </c:pt>
                <c:pt idx="6">
                  <c:v>6</c:v>
                </c:pt>
              </c:numCache>
            </c:numRef>
          </c:cat>
          <c:val>
            <c:numRef>
              <c:f>'FE Cash Flow'!$O$4:$U$4</c:f>
              <c:numCache>
                <c:formatCode>0.00%</c:formatCode>
                <c:ptCount val="7"/>
                <c:pt idx="0">
                  <c:v>0</c:v>
                </c:pt>
                <c:pt idx="1">
                  <c:v>1.3514561358288426</c:v>
                </c:pt>
                <c:pt idx="2">
                  <c:v>1.4981791603941539</c:v>
                </c:pt>
                <c:pt idx="3">
                  <c:v>-0.30927226671047003</c:v>
                </c:pt>
                <c:pt idx="4">
                  <c:v>4.8323497659724222</c:v>
                </c:pt>
                <c:pt idx="5">
                  <c:v>1.1478343707123222</c:v>
                </c:pt>
                <c:pt idx="6">
                  <c:v>0</c:v>
                </c:pt>
              </c:numCache>
            </c:numRef>
          </c:val>
          <c:smooth val="0"/>
          <c:extLst>
            <c:ext xmlns:c16="http://schemas.microsoft.com/office/drawing/2014/chart" uri="{C3380CC4-5D6E-409C-BE32-E72D297353CC}">
              <c16:uniqueId val="{00000001-D809-4982-A554-9AA1A690B2B8}"/>
            </c:ext>
          </c:extLst>
        </c:ser>
        <c:dLbls>
          <c:showLegendKey val="0"/>
          <c:showVal val="0"/>
          <c:showCatName val="0"/>
          <c:showSerName val="0"/>
          <c:showPercent val="0"/>
          <c:showBubbleSize val="0"/>
        </c:dLbls>
        <c:marker val="1"/>
        <c:smooth val="0"/>
        <c:axId val="248325808"/>
        <c:axId val="248315408"/>
      </c:lineChart>
      <c:catAx>
        <c:axId val="2483270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319984"/>
        <c:crosses val="autoZero"/>
        <c:auto val="1"/>
        <c:lblAlgn val="ctr"/>
        <c:lblOffset val="100"/>
        <c:noMultiLvlLbl val="0"/>
      </c:catAx>
      <c:valAx>
        <c:axId val="248319984"/>
        <c:scaling>
          <c:orientation val="minMax"/>
          <c:min val="-1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USD</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out"/>
        <c:minorTickMark val="in"/>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327056"/>
        <c:crosses val="autoZero"/>
        <c:crossBetween val="between"/>
      </c:valAx>
      <c:valAx>
        <c:axId val="248315408"/>
        <c:scaling>
          <c:orientation val="minMax"/>
          <c:min val="-3.5"/>
        </c:scaling>
        <c:delete val="0"/>
        <c:axPos val="r"/>
        <c:numFmt formatCode="0%" sourceLinked="0"/>
        <c:majorTickMark val="out"/>
        <c:minorTickMark val="none"/>
        <c:tickLblPos val="nextTo"/>
        <c:spPr>
          <a:noFill/>
          <a:ln>
            <a:solidFill>
              <a:schemeClr val="accent1"/>
            </a:solidFill>
          </a:ln>
          <a:effectLst/>
        </c:spPr>
        <c:txPr>
          <a:bodyPr rot="-60000000" spcFirstLastPara="1" vertOverflow="ellipsis" vert="horz"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248325808"/>
        <c:crosses val="max"/>
        <c:crossBetween val="between"/>
        <c:majorUnit val="1"/>
      </c:valAx>
      <c:catAx>
        <c:axId val="248325808"/>
        <c:scaling>
          <c:orientation val="minMax"/>
        </c:scaling>
        <c:delete val="1"/>
        <c:axPos val="b"/>
        <c:numFmt formatCode="0" sourceLinked="1"/>
        <c:majorTickMark val="none"/>
        <c:minorTickMark val="none"/>
        <c:tickLblPos val="nextTo"/>
        <c:crossAx val="248315408"/>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2400" b="1" i="0">
                <a:solidFill>
                  <a:srgbClr val="595959"/>
                </a:solidFill>
              </a:defRPr>
            </a:pPr>
            <a:r>
              <a:rPr lang="en-US"/>
              <a:t>NPV Profile</a:t>
            </a:r>
          </a:p>
        </c:rich>
      </c:tx>
      <c:layout/>
      <c:overlay val="0"/>
    </c:title>
    <c:autoTitleDeleted val="0"/>
    <c:plotArea>
      <c:layout/>
      <c:lineChart>
        <c:grouping val="standard"/>
        <c:varyColors val="0"/>
        <c:ser>
          <c:idx val="0"/>
          <c:order val="0"/>
          <c:tx>
            <c:strRef>
              <c:f>'NPV Profile'!$B$2</c:f>
              <c:strCache>
                <c:ptCount val="1"/>
                <c:pt idx="0">
                  <c:v>NPV</c:v>
                </c:pt>
              </c:strCache>
            </c:strRef>
          </c:tx>
          <c:spPr>
            <a:ln w="28575" cmpd="sng">
              <a:solidFill>
                <a:srgbClr val="5B9BD5"/>
              </a:solidFill>
              <a:prstDash val="solid"/>
            </a:ln>
          </c:spPr>
          <c:marker>
            <c:symbol val="none"/>
          </c:marker>
          <c:dLbls>
            <c:delete val="1"/>
          </c:dLbls>
          <c:cat>
            <c:numRef>
              <c:f>'NPV Profile'!$A$3:$A$43</c:f>
              <c:numCache>
                <c:formatCode>0%</c:formatCode>
                <c:ptCount val="41"/>
                <c:pt idx="0">
                  <c:v>0.1</c:v>
                </c:pt>
                <c:pt idx="1">
                  <c:v>0.11</c:v>
                </c:pt>
                <c:pt idx="2">
                  <c:v>0.12</c:v>
                </c:pt>
                <c:pt idx="3">
                  <c:v>0.13</c:v>
                </c:pt>
                <c:pt idx="4">
                  <c:v>0.14000000000000001</c:v>
                </c:pt>
                <c:pt idx="5">
                  <c:v>0.15</c:v>
                </c:pt>
                <c:pt idx="6">
                  <c:v>0.1613</c:v>
                </c:pt>
                <c:pt idx="7">
                  <c:v>0.17</c:v>
                </c:pt>
                <c:pt idx="8">
                  <c:v>0.18</c:v>
                </c:pt>
                <c:pt idx="9">
                  <c:v>0.19</c:v>
                </c:pt>
                <c:pt idx="10">
                  <c:v>0.2</c:v>
                </c:pt>
                <c:pt idx="11">
                  <c:v>0.21</c:v>
                </c:pt>
                <c:pt idx="12">
                  <c:v>0.22</c:v>
                </c:pt>
                <c:pt idx="13">
                  <c:v>0.23</c:v>
                </c:pt>
                <c:pt idx="14">
                  <c:v>0.24</c:v>
                </c:pt>
                <c:pt idx="15">
                  <c:v>0.25</c:v>
                </c:pt>
                <c:pt idx="16">
                  <c:v>0.26</c:v>
                </c:pt>
                <c:pt idx="17">
                  <c:v>0.27</c:v>
                </c:pt>
                <c:pt idx="18">
                  <c:v>0.28000000000000003</c:v>
                </c:pt>
                <c:pt idx="19">
                  <c:v>0.28999999999999998</c:v>
                </c:pt>
                <c:pt idx="20">
                  <c:v>0.30277799999999999</c:v>
                </c:pt>
                <c:pt idx="21">
                  <c:v>0.31</c:v>
                </c:pt>
                <c:pt idx="22">
                  <c:v>0.32</c:v>
                </c:pt>
                <c:pt idx="23">
                  <c:v>0.33</c:v>
                </c:pt>
                <c:pt idx="24">
                  <c:v>0.34</c:v>
                </c:pt>
                <c:pt idx="25">
                  <c:v>0.35</c:v>
                </c:pt>
                <c:pt idx="26">
                  <c:v>0.36</c:v>
                </c:pt>
                <c:pt idx="27">
                  <c:v>0.37</c:v>
                </c:pt>
                <c:pt idx="28">
                  <c:v>0.38</c:v>
                </c:pt>
                <c:pt idx="29">
                  <c:v>0.39</c:v>
                </c:pt>
                <c:pt idx="30">
                  <c:v>0.4</c:v>
                </c:pt>
                <c:pt idx="31">
                  <c:v>0.41</c:v>
                </c:pt>
                <c:pt idx="32">
                  <c:v>0.42</c:v>
                </c:pt>
                <c:pt idx="33">
                  <c:v>0.43</c:v>
                </c:pt>
                <c:pt idx="34">
                  <c:v>0.44</c:v>
                </c:pt>
                <c:pt idx="35">
                  <c:v>0.45</c:v>
                </c:pt>
                <c:pt idx="36">
                  <c:v>0.46</c:v>
                </c:pt>
                <c:pt idx="37">
                  <c:v>0.47</c:v>
                </c:pt>
                <c:pt idx="38">
                  <c:v>0.48</c:v>
                </c:pt>
                <c:pt idx="39">
                  <c:v>0.49</c:v>
                </c:pt>
                <c:pt idx="40">
                  <c:v>0.5</c:v>
                </c:pt>
              </c:numCache>
            </c:numRef>
          </c:cat>
          <c:val>
            <c:numRef>
              <c:f>'NPV Profile'!$B$3:$B$43</c:f>
              <c:numCache>
                <c:formatCode>_("$"* #,##0_);_("$"* \(#,##0\);_("$"* "-"??_);_(@_)</c:formatCode>
                <c:ptCount val="41"/>
                <c:pt idx="0">
                  <c:v>2596739.1788979457</c:v>
                </c:pt>
                <c:pt idx="1">
                  <c:v>2442457.5883394699</c:v>
                </c:pt>
                <c:pt idx="2">
                  <c:v>2296160.6625034977</c:v>
                </c:pt>
                <c:pt idx="3">
                  <c:v>2157369.221969753</c:v>
                </c:pt>
                <c:pt idx="4">
                  <c:v>2025636.7755842437</c:v>
                </c:pt>
                <c:pt idx="5">
                  <c:v>1900547.0272699608</c:v>
                </c:pt>
                <c:pt idx="6">
                  <c:v>1766703.1790794469</c:v>
                </c:pt>
                <c:pt idx="7">
                  <c:v>1668767.9064933951</c:v>
                </c:pt>
                <c:pt idx="8">
                  <c:v>1561377.3027107893</c:v>
                </c:pt>
                <c:pt idx="9">
                  <c:v>1459223.2527478212</c:v>
                </c:pt>
                <c:pt idx="10">
                  <c:v>1362009.7467491874</c:v>
                </c:pt>
                <c:pt idx="11">
                  <c:v>1269459.8056436451</c:v>
                </c:pt>
                <c:pt idx="12">
                  <c:v>1181314.1123253524</c:v>
                </c:pt>
                <c:pt idx="13">
                  <c:v>1097329.7515515753</c:v>
                </c:pt>
                <c:pt idx="14">
                  <c:v>1017279.0491216336</c:v>
                </c:pt>
                <c:pt idx="15">
                  <c:v>940948.5017890681</c:v>
                </c:pt>
                <c:pt idx="16">
                  <c:v>868137.7901563996</c:v>
                </c:pt>
                <c:pt idx="17">
                  <c:v>798658.86751924758</c:v>
                </c:pt>
                <c:pt idx="18">
                  <c:v>732335.11827248544</c:v>
                </c:pt>
                <c:pt idx="19">
                  <c:v>669000.58007326769</c:v>
                </c:pt>
                <c:pt idx="20">
                  <c:v>592174.80653948779</c:v>
                </c:pt>
                <c:pt idx="21">
                  <c:v>550684.29126637196</c:v>
                </c:pt>
                <c:pt idx="22">
                  <c:v>495417.67201647419</c:v>
                </c:pt>
                <c:pt idx="23">
                  <c:v>442569.33903661231</c:v>
                </c:pt>
                <c:pt idx="24">
                  <c:v>392016.81591662741</c:v>
                </c:pt>
                <c:pt idx="25">
                  <c:v>343644.68643318629</c:v>
                </c:pt>
                <c:pt idx="26">
                  <c:v>297344.13875370775</c:v>
                </c:pt>
                <c:pt idx="27">
                  <c:v>253012.54216634645</c:v>
                </c:pt>
                <c:pt idx="28">
                  <c:v>210553.05379730323</c:v>
                </c:pt>
                <c:pt idx="29">
                  <c:v>169874.25299154967</c:v>
                </c:pt>
                <c:pt idx="30">
                  <c:v>130889.80122844153</c:v>
                </c:pt>
                <c:pt idx="31">
                  <c:v>93518.125621212414</c:v>
                </c:pt>
                <c:pt idx="32">
                  <c:v>57682.124211110757</c:v>
                </c:pt>
                <c:pt idx="33">
                  <c:v>23308.891414097743</c:v>
                </c:pt>
                <c:pt idx="34">
                  <c:v>-9670.5378877349431</c:v>
                </c:pt>
                <c:pt idx="35">
                  <c:v>-41321.42699549871</c:v>
                </c:pt>
                <c:pt idx="36">
                  <c:v>-71705.560057384544</c:v>
                </c:pt>
                <c:pt idx="37">
                  <c:v>-100881.44991888071</c:v>
                </c:pt>
                <c:pt idx="38">
                  <c:v>-128904.53223793453</c:v>
                </c:pt>
                <c:pt idx="39">
                  <c:v>-155827.34685845603</c:v>
                </c:pt>
                <c:pt idx="40">
                  <c:v>-181699.70735760231</c:v>
                </c:pt>
              </c:numCache>
            </c:numRef>
          </c:val>
          <c:smooth val="0"/>
          <c:extLst>
            <c:ext xmlns:c16="http://schemas.microsoft.com/office/drawing/2014/chart" uri="{C3380CC4-5D6E-409C-BE32-E72D297353CC}">
              <c16:uniqueId val="{00000000-EDB5-445F-AB68-8961C85A2418}"/>
            </c:ext>
          </c:extLst>
        </c:ser>
        <c:dLbls>
          <c:showLegendKey val="0"/>
          <c:showVal val="1"/>
          <c:showCatName val="0"/>
          <c:showSerName val="0"/>
          <c:showPercent val="0"/>
          <c:showBubbleSize val="0"/>
        </c:dLbls>
        <c:smooth val="0"/>
        <c:axId val="832182560"/>
        <c:axId val="832189744"/>
      </c:lineChart>
      <c:catAx>
        <c:axId val="832182560"/>
        <c:scaling>
          <c:orientation val="minMax"/>
        </c:scaling>
        <c:delete val="0"/>
        <c:axPos val="b"/>
        <c:title>
          <c:tx>
            <c:rich>
              <a:bodyPr/>
              <a:lstStyle/>
              <a:p>
                <a:pPr lvl="0">
                  <a:defRPr sz="1800" b="1" i="0">
                    <a:solidFill>
                      <a:srgbClr val="595959"/>
                    </a:solidFill>
                  </a:defRPr>
                </a:pPr>
                <a:r>
                  <a:rPr lang="en-US"/>
                  <a:t>Discount Rate</a:t>
                </a:r>
              </a:p>
            </c:rich>
          </c:tx>
          <c:layout/>
          <c:overlay val="0"/>
        </c:title>
        <c:numFmt formatCode="0%" sourceLinked="1"/>
        <c:majorTickMark val="cross"/>
        <c:minorTickMark val="cross"/>
        <c:tickLblPos val="nextTo"/>
        <c:txPr>
          <a:bodyPr/>
          <a:lstStyle/>
          <a:p>
            <a:pPr lvl="0">
              <a:defRPr sz="1000" b="1" i="0">
                <a:solidFill>
                  <a:srgbClr val="595959"/>
                </a:solidFill>
              </a:defRPr>
            </a:pPr>
            <a:endParaRPr lang="en-US"/>
          </a:p>
        </c:txPr>
        <c:crossAx val="832189744"/>
        <c:crosses val="autoZero"/>
        <c:auto val="1"/>
        <c:lblAlgn val="ctr"/>
        <c:lblOffset val="100"/>
        <c:noMultiLvlLbl val="1"/>
      </c:catAx>
      <c:valAx>
        <c:axId val="832189744"/>
        <c:scaling>
          <c:orientation val="minMax"/>
        </c:scaling>
        <c:delete val="0"/>
        <c:axPos val="l"/>
        <c:majorGridlines>
          <c:spPr>
            <a:ln>
              <a:solidFill>
                <a:srgbClr val="D9D9D9"/>
              </a:solidFill>
            </a:ln>
          </c:spPr>
        </c:majorGridlines>
        <c:title>
          <c:tx>
            <c:rich>
              <a:bodyPr/>
              <a:lstStyle/>
              <a:p>
                <a:pPr lvl="0">
                  <a:defRPr/>
                </a:pPr>
                <a:r>
                  <a:rPr lang="en-US"/>
                  <a:t>Net Present Value (in US Dollars $)</a:t>
                </a:r>
              </a:p>
            </c:rich>
          </c:tx>
          <c:layout/>
          <c:overlay val="0"/>
        </c:title>
        <c:numFmt formatCode="_(&quot;$&quot;* #,##0_);_(&quot;$&quot;* \(#,##0\);_(&quot;$&quot;* &quot;-&quot;??_);_(@_)" sourceLinked="1"/>
        <c:majorTickMark val="cross"/>
        <c:minorTickMark val="cross"/>
        <c:tickLblPos val="nextTo"/>
        <c:spPr>
          <a:ln w="47625">
            <a:noFill/>
          </a:ln>
        </c:spPr>
        <c:txPr>
          <a:bodyPr/>
          <a:lstStyle/>
          <a:p>
            <a:pPr lvl="0">
              <a:defRPr sz="1100" b="1" i="0">
                <a:solidFill>
                  <a:srgbClr val="595959"/>
                </a:solidFill>
              </a:defRPr>
            </a:pPr>
            <a:endParaRPr lang="en-US"/>
          </a:p>
        </c:txPr>
        <c:crossAx val="832182560"/>
        <c:crosses val="autoZero"/>
        <c:crossBetween val="between"/>
      </c:valAx>
      <c:spPr>
        <a:solidFill>
          <a:srgbClr val="FFFFFF"/>
        </a:solidFill>
      </c:spPr>
    </c:plotArea>
    <c:legend>
      <c:legendPos val="r"/>
      <c:layout/>
      <c:overlay val="0"/>
    </c:legend>
    <c:plotVisOnly val="1"/>
    <c:dispBlanksAs val="zero"/>
    <c:showDLblsOverMax val="1"/>
  </c:chart>
  <c:spPr>
    <a:solidFill>
      <a:srgbClr val="FFFFFF"/>
    </a:solidFill>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a:solidFill>
                  <a:srgbClr val="000000"/>
                </a:solidFill>
              </a:defRPr>
            </a:pPr>
            <a:r>
              <a:rPr lang="en-US"/>
              <a:t>Unadjusted</a:t>
            </a:r>
            <a:r>
              <a:rPr lang="en-US" baseline="0"/>
              <a:t> </a:t>
            </a:r>
            <a:r>
              <a:rPr lang="en-US"/>
              <a:t>Subscription Revenue and Costs</a:t>
            </a:r>
          </a:p>
        </c:rich>
      </c:tx>
      <c:layout/>
      <c:overlay val="0"/>
    </c:title>
    <c:autoTitleDeleted val="0"/>
    <c:plotArea>
      <c:layout/>
      <c:barChart>
        <c:barDir val="col"/>
        <c:grouping val="clustered"/>
        <c:varyColors val="1"/>
        <c:ser>
          <c:idx val="0"/>
          <c:order val="0"/>
          <c:tx>
            <c:strRef>
              <c:f>'Service Subscription Model'!$A$18</c:f>
              <c:strCache>
                <c:ptCount val="1"/>
                <c:pt idx="0">
                  <c:v>Rev</c:v>
                </c:pt>
              </c:strCache>
            </c:strRef>
          </c:tx>
          <c:spPr>
            <a:solidFill>
              <a:srgbClr val="2E75B6"/>
            </a:solidFill>
          </c:spPr>
          <c:invertIfNegative val="1"/>
          <c:cat>
            <c:numRef>
              <c:f>'Service Subscription Model'!$B$17:$F$17</c:f>
              <c:numCache>
                <c:formatCode>General</c:formatCode>
                <c:ptCount val="5"/>
                <c:pt idx="0">
                  <c:v>1</c:v>
                </c:pt>
                <c:pt idx="1">
                  <c:v>2</c:v>
                </c:pt>
                <c:pt idx="2">
                  <c:v>3</c:v>
                </c:pt>
                <c:pt idx="3">
                  <c:v>4</c:v>
                </c:pt>
                <c:pt idx="4">
                  <c:v>5</c:v>
                </c:pt>
              </c:numCache>
            </c:numRef>
          </c:cat>
          <c:val>
            <c:numRef>
              <c:f>'Service Subscription Model'!$B$18:$F$18</c:f>
              <c:numCache>
                <c:formatCode>_("$"* #,##0_);_("$"* \(#,##0\);_("$"* "-"??_);_(@_)</c:formatCode>
                <c:ptCount val="5"/>
                <c:pt idx="0">
                  <c:v>4092720</c:v>
                </c:pt>
                <c:pt idx="1">
                  <c:v>5473380</c:v>
                </c:pt>
                <c:pt idx="2">
                  <c:v>9696360</c:v>
                </c:pt>
                <c:pt idx="3">
                  <c:v>14745420</c:v>
                </c:pt>
                <c:pt idx="4">
                  <c:v>17823480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521A-4E2E-A715-07AB750B1C2B}"/>
            </c:ext>
          </c:extLst>
        </c:ser>
        <c:ser>
          <c:idx val="1"/>
          <c:order val="1"/>
          <c:tx>
            <c:strRef>
              <c:f>'Service Subscription Model'!$A$19</c:f>
              <c:strCache>
                <c:ptCount val="1"/>
                <c:pt idx="0">
                  <c:v>Costs</c:v>
                </c:pt>
              </c:strCache>
            </c:strRef>
          </c:tx>
          <c:spPr>
            <a:solidFill>
              <a:srgbClr val="C00000"/>
            </a:solidFill>
          </c:spPr>
          <c:invertIfNegative val="1"/>
          <c:cat>
            <c:numRef>
              <c:f>'Service Subscription Model'!$B$17:$F$17</c:f>
              <c:numCache>
                <c:formatCode>General</c:formatCode>
                <c:ptCount val="5"/>
                <c:pt idx="0">
                  <c:v>1</c:v>
                </c:pt>
                <c:pt idx="1">
                  <c:v>2</c:v>
                </c:pt>
                <c:pt idx="2">
                  <c:v>3</c:v>
                </c:pt>
                <c:pt idx="3">
                  <c:v>4</c:v>
                </c:pt>
                <c:pt idx="4">
                  <c:v>5</c:v>
                </c:pt>
              </c:numCache>
            </c:numRef>
          </c:cat>
          <c:val>
            <c:numRef>
              <c:f>'Service Subscription Model'!$B$19:$F$19</c:f>
              <c:numCache>
                <c:formatCode>_("$"* #,##0_);_("$"* \(#,##0\);_("$"* "-"??_);_(@_)</c:formatCode>
                <c:ptCount val="5"/>
                <c:pt idx="0">
                  <c:v>5721622.5600000005</c:v>
                </c:pt>
                <c:pt idx="1">
                  <c:v>7651785.2400000012</c:v>
                </c:pt>
                <c:pt idx="2">
                  <c:v>13555511.280000001</c:v>
                </c:pt>
                <c:pt idx="3">
                  <c:v>20614097.160000004</c:v>
                </c:pt>
                <c:pt idx="4">
                  <c:v>24917225.040000003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521A-4E2E-A715-07AB750B1C2B}"/>
            </c:ext>
          </c:extLst>
        </c:ser>
        <c:dLbls>
          <c:showLegendKey val="0"/>
          <c:showVal val="0"/>
          <c:showCatName val="0"/>
          <c:showSerName val="0"/>
          <c:showPercent val="0"/>
          <c:showBubbleSize val="0"/>
        </c:dLbls>
        <c:gapWidth val="150"/>
        <c:axId val="832039296"/>
        <c:axId val="833507616"/>
      </c:barChart>
      <c:catAx>
        <c:axId val="832039296"/>
        <c:scaling>
          <c:orientation val="minMax"/>
        </c:scaling>
        <c:delete val="0"/>
        <c:axPos val="b"/>
        <c:title>
          <c:tx>
            <c:rich>
              <a:bodyPr/>
              <a:lstStyle/>
              <a:p>
                <a:pPr lvl="0">
                  <a:defRPr>
                    <a:solidFill>
                      <a:srgbClr val="000000"/>
                    </a:solidFill>
                  </a:defRPr>
                </a:pPr>
                <a:r>
                  <a:rPr lang="en-US"/>
                  <a:t>Year</a:t>
                </a:r>
              </a:p>
            </c:rich>
          </c:tx>
          <c:layout/>
          <c:overlay val="0"/>
        </c:title>
        <c:numFmt formatCode="General" sourceLinked="1"/>
        <c:majorTickMark val="cross"/>
        <c:minorTickMark val="cross"/>
        <c:tickLblPos val="nextTo"/>
        <c:txPr>
          <a:bodyPr/>
          <a:lstStyle/>
          <a:p>
            <a:pPr lvl="0">
              <a:defRPr>
                <a:solidFill>
                  <a:srgbClr val="000000"/>
                </a:solidFill>
              </a:defRPr>
            </a:pPr>
            <a:endParaRPr lang="en-US"/>
          </a:p>
        </c:txPr>
        <c:crossAx val="833507616"/>
        <c:crosses val="autoZero"/>
        <c:auto val="1"/>
        <c:lblAlgn val="ctr"/>
        <c:lblOffset val="100"/>
        <c:noMultiLvlLbl val="1"/>
      </c:catAx>
      <c:valAx>
        <c:axId val="833507616"/>
        <c:scaling>
          <c:orientation val="minMax"/>
          <c:max val="30000000"/>
          <c:min val="0"/>
        </c:scaling>
        <c:delete val="0"/>
        <c:axPos val="l"/>
        <c:majorGridlines>
          <c:spPr>
            <a:ln>
              <a:solidFill>
                <a:srgbClr val="B7B7B7"/>
              </a:solidFill>
            </a:ln>
          </c:spPr>
        </c:majorGridlines>
        <c:title>
          <c:tx>
            <c:rich>
              <a:bodyPr/>
              <a:lstStyle/>
              <a:p>
                <a:pPr lvl="0">
                  <a:defRPr>
                    <a:solidFill>
                      <a:srgbClr val="000000"/>
                    </a:solidFill>
                  </a:defRPr>
                </a:pPr>
                <a:r>
                  <a:rPr lang="en-US"/>
                  <a:t>USD</a:t>
                </a:r>
              </a:p>
            </c:rich>
          </c:tx>
          <c:layout/>
          <c:overlay val="0"/>
        </c:title>
        <c:numFmt formatCode="_(&quot;$&quot;* #,##0_);_(&quot;$&quot;* \(#,##0\);_(&quot;$&quot;* &quot;-&quot;??_);_(@_)" sourceLinked="1"/>
        <c:majorTickMark val="cross"/>
        <c:minorTickMark val="cross"/>
        <c:tickLblPos val="nextTo"/>
        <c:spPr>
          <a:ln w="47625">
            <a:noFill/>
          </a:ln>
        </c:spPr>
        <c:txPr>
          <a:bodyPr/>
          <a:lstStyle/>
          <a:p>
            <a:pPr lvl="0">
              <a:defRPr>
                <a:solidFill>
                  <a:srgbClr val="000000"/>
                </a:solidFill>
              </a:defRPr>
            </a:pPr>
            <a:endParaRPr lang="en-US"/>
          </a:p>
        </c:txPr>
        <c:crossAx val="832039296"/>
        <c:crosses val="autoZero"/>
        <c:crossBetween val="between"/>
        <c:majorUnit val="5000000"/>
      </c:valAx>
    </c:plotArea>
    <c:legend>
      <c:legendPos val="r"/>
      <c:layout/>
      <c:overlay val="0"/>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a:pPr>
            <a:r>
              <a:rPr lang="en-US"/>
              <a:t>Adjusted Subscription Revenue and Costs</a:t>
            </a:r>
          </a:p>
        </c:rich>
      </c:tx>
      <c:layout/>
      <c:overlay val="0"/>
    </c:title>
    <c:autoTitleDeleted val="0"/>
    <c:plotArea>
      <c:layout/>
      <c:barChart>
        <c:barDir val="col"/>
        <c:grouping val="clustered"/>
        <c:varyColors val="1"/>
        <c:ser>
          <c:idx val="1"/>
          <c:order val="0"/>
          <c:tx>
            <c:strRef>
              <c:f>'Service Subscription Model'!$A$23</c:f>
              <c:strCache>
                <c:ptCount val="1"/>
                <c:pt idx="0">
                  <c:v>SIM Costs</c:v>
                </c:pt>
              </c:strCache>
            </c:strRef>
          </c:tx>
          <c:spPr>
            <a:solidFill>
              <a:srgbClr val="C00000"/>
            </a:solidFill>
          </c:spPr>
          <c:invertIfNegative val="1"/>
          <c:cat>
            <c:numRef>
              <c:f>'Service Subscription Model'!$B$21:$F$21</c:f>
              <c:numCache>
                <c:formatCode>General</c:formatCode>
                <c:ptCount val="5"/>
                <c:pt idx="0">
                  <c:v>1</c:v>
                </c:pt>
                <c:pt idx="1">
                  <c:v>2</c:v>
                </c:pt>
                <c:pt idx="2">
                  <c:v>3</c:v>
                </c:pt>
                <c:pt idx="3">
                  <c:v>4</c:v>
                </c:pt>
                <c:pt idx="4">
                  <c:v>5</c:v>
                </c:pt>
              </c:numCache>
            </c:numRef>
          </c:cat>
          <c:val>
            <c:numRef>
              <c:f>'Service Subscription Model'!$B$23:$F$23</c:f>
              <c:numCache>
                <c:formatCode>_("$"* #,##0_);_("$"* \(#,##0\);_("$"* "-"??_);_(@_)</c:formatCode>
                <c:ptCount val="5"/>
                <c:pt idx="0">
                  <c:v>2447446.56</c:v>
                </c:pt>
                <c:pt idx="1">
                  <c:v>3273081.24</c:v>
                </c:pt>
                <c:pt idx="2">
                  <c:v>5798423.2800000012</c:v>
                </c:pt>
                <c:pt idx="3">
                  <c:v>8817761.1600000001</c:v>
                </c:pt>
                <c:pt idx="4">
                  <c:v>10658441.040000001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62D2-4292-9701-CF550958A657}"/>
            </c:ext>
          </c:extLst>
        </c:ser>
        <c:ser>
          <c:idx val="0"/>
          <c:order val="1"/>
          <c:tx>
            <c:strRef>
              <c:f>'Service Subscription Model'!$A$22</c:f>
              <c:strCache>
                <c:ptCount val="1"/>
                <c:pt idx="0">
                  <c:v>Rev</c:v>
                </c:pt>
              </c:strCache>
            </c:strRef>
          </c:tx>
          <c:spPr>
            <a:solidFill>
              <a:srgbClr val="2E75B6"/>
            </a:solidFill>
          </c:spPr>
          <c:invertIfNegative val="1"/>
          <c:cat>
            <c:numRef>
              <c:f>'Service Subscription Model'!$B$21:$F$21</c:f>
              <c:numCache>
                <c:formatCode>General</c:formatCode>
                <c:ptCount val="5"/>
                <c:pt idx="0">
                  <c:v>1</c:v>
                </c:pt>
                <c:pt idx="1">
                  <c:v>2</c:v>
                </c:pt>
                <c:pt idx="2">
                  <c:v>3</c:v>
                </c:pt>
                <c:pt idx="3">
                  <c:v>4</c:v>
                </c:pt>
                <c:pt idx="4">
                  <c:v>5</c:v>
                </c:pt>
              </c:numCache>
            </c:numRef>
          </c:cat>
          <c:val>
            <c:numRef>
              <c:f>'Service Subscription Model'!$B$22:$F$22</c:f>
              <c:numCache>
                <c:formatCode>_("$"* #,##0_);_("$"* \(#,##0\);_("$"* "-"??_);_(@_)</c:formatCode>
                <c:ptCount val="5"/>
                <c:pt idx="0">
                  <c:v>4092720</c:v>
                </c:pt>
                <c:pt idx="1">
                  <c:v>5473380</c:v>
                </c:pt>
                <c:pt idx="2">
                  <c:v>9696360</c:v>
                </c:pt>
                <c:pt idx="3">
                  <c:v>14745420</c:v>
                </c:pt>
                <c:pt idx="4">
                  <c:v>17823480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62D2-4292-9701-CF550958A657}"/>
            </c:ext>
          </c:extLst>
        </c:ser>
        <c:dLbls>
          <c:showLegendKey val="0"/>
          <c:showVal val="0"/>
          <c:showCatName val="0"/>
          <c:showSerName val="0"/>
          <c:showPercent val="0"/>
          <c:showBubbleSize val="0"/>
        </c:dLbls>
        <c:gapWidth val="150"/>
        <c:axId val="835715456"/>
        <c:axId val="835722016"/>
      </c:barChart>
      <c:catAx>
        <c:axId val="835715456"/>
        <c:scaling>
          <c:orientation val="minMax"/>
        </c:scaling>
        <c:delete val="0"/>
        <c:axPos val="b"/>
        <c:title>
          <c:tx>
            <c:rich>
              <a:bodyPr/>
              <a:lstStyle/>
              <a:p>
                <a:pPr lvl="0">
                  <a:defRPr/>
                </a:pPr>
                <a:r>
                  <a:rPr lang="en-US"/>
                  <a:t>Year</a:t>
                </a:r>
              </a:p>
            </c:rich>
          </c:tx>
          <c:layout/>
          <c:overlay val="0"/>
        </c:title>
        <c:numFmt formatCode="General" sourceLinked="1"/>
        <c:majorTickMark val="cross"/>
        <c:minorTickMark val="cross"/>
        <c:tickLblPos val="nextTo"/>
        <c:txPr>
          <a:bodyPr/>
          <a:lstStyle/>
          <a:p>
            <a:pPr lvl="0">
              <a:defRPr/>
            </a:pPr>
            <a:endParaRPr lang="en-US"/>
          </a:p>
        </c:txPr>
        <c:crossAx val="835722016"/>
        <c:crosses val="autoZero"/>
        <c:auto val="1"/>
        <c:lblAlgn val="ctr"/>
        <c:lblOffset val="100"/>
        <c:noMultiLvlLbl val="1"/>
      </c:catAx>
      <c:valAx>
        <c:axId val="835722016"/>
        <c:scaling>
          <c:orientation val="minMax"/>
        </c:scaling>
        <c:delete val="0"/>
        <c:axPos val="l"/>
        <c:majorGridlines>
          <c:spPr>
            <a:ln>
              <a:solidFill>
                <a:srgbClr val="B7B7B7"/>
              </a:solidFill>
            </a:ln>
          </c:spPr>
        </c:majorGridlines>
        <c:title>
          <c:tx>
            <c:rich>
              <a:bodyPr/>
              <a:lstStyle/>
              <a:p>
                <a:pPr>
                  <a:defRPr/>
                </a:pPr>
                <a:r>
                  <a:rPr lang="en-US"/>
                  <a:t>USD</a:t>
                </a:r>
              </a:p>
            </c:rich>
          </c:tx>
          <c:layout/>
          <c:overlay val="0"/>
        </c:title>
        <c:numFmt formatCode="_(&quot;$&quot;* #,##0_);_(&quot;$&quot;* \(#,##0\);_(&quot;$&quot;* &quot;-&quot;??_);_(@_)" sourceLinked="1"/>
        <c:majorTickMark val="cross"/>
        <c:minorTickMark val="cross"/>
        <c:tickLblPos val="nextTo"/>
        <c:spPr>
          <a:ln w="47625">
            <a:noFill/>
          </a:ln>
        </c:spPr>
        <c:txPr>
          <a:bodyPr/>
          <a:lstStyle/>
          <a:p>
            <a:pPr lvl="0">
              <a:defRPr/>
            </a:pPr>
            <a:endParaRPr lang="en-US"/>
          </a:p>
        </c:txPr>
        <c:crossAx val="835715456"/>
        <c:crosses val="autoZero"/>
        <c:crossBetween val="between"/>
      </c:valAx>
    </c:plotArea>
    <c:legend>
      <c:legendPos val="r"/>
      <c:layout/>
      <c:overlay val="0"/>
    </c:legend>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628650</xdr:colOff>
      <xdr:row>52</xdr:row>
      <xdr:rowOff>85725</xdr:rowOff>
    </xdr:to>
    <xdr:sp macro="" textlink="">
      <xdr:nvSpPr>
        <xdr:cNvPr id="1026"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152400</xdr:colOff>
      <xdr:row>1</xdr:row>
      <xdr:rowOff>23813</xdr:rowOff>
    </xdr:from>
    <xdr:to>
      <xdr:col>12</xdr:col>
      <xdr:colOff>504825</xdr:colOff>
      <xdr:row>24</xdr:row>
      <xdr:rowOff>204788</xdr:rowOff>
    </xdr:to>
    <xdr:pic>
      <xdr:nvPicPr>
        <xdr:cNvPr id="2" name="image2.png" title="Image"/>
        <xdr:cNvPicPr preferRelativeResize="0"/>
      </xdr:nvPicPr>
      <xdr:blipFill>
        <a:blip xmlns:r="http://schemas.openxmlformats.org/officeDocument/2006/relationships" r:embed="rId1" cstate="print"/>
        <a:stretch>
          <a:fillRect/>
        </a:stretch>
      </xdr:blipFill>
      <xdr:spPr>
        <a:xfrm>
          <a:off x="152400" y="214313"/>
          <a:ext cx="13496925" cy="4600575"/>
        </a:xfrm>
        <a:prstGeom prst="rect">
          <a:avLst/>
        </a:prstGeom>
        <a:noFill/>
      </xdr:spPr>
    </xdr:pic>
    <xdr:clientData fLocksWithSheet="0"/>
  </xdr:twoCellAnchor>
</xdr:wsDr>
</file>

<file path=xl/drawings/drawing3.xml><?xml version="1.0" encoding="utf-8"?>
<xdr:wsDr xmlns:xdr="http://schemas.openxmlformats.org/drawingml/2006/spreadsheetDrawing" xmlns:a="http://schemas.openxmlformats.org/drawingml/2006/main">
  <xdr:twoCellAnchor>
    <xdr:from>
      <xdr:col>2</xdr:col>
      <xdr:colOff>180975</xdr:colOff>
      <xdr:row>67</xdr:row>
      <xdr:rowOff>0</xdr:rowOff>
    </xdr:from>
    <xdr:to>
      <xdr:col>8</xdr:col>
      <xdr:colOff>114300</xdr:colOff>
      <xdr:row>91</xdr:row>
      <xdr:rowOff>142875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xdr:from>
      <xdr:col>11</xdr:col>
      <xdr:colOff>614363</xdr:colOff>
      <xdr:row>29</xdr:row>
      <xdr:rowOff>152400</xdr:rowOff>
    </xdr:from>
    <xdr:to>
      <xdr:col>18</xdr:col>
      <xdr:colOff>161925</xdr:colOff>
      <xdr:row>49</xdr:row>
      <xdr:rowOff>114300</xdr:rowOff>
    </xdr:to>
    <xdr:graphicFrame macro="">
      <xdr:nvGraphicFramePr>
        <xdr:cNvPr id="3" name="Chart 2"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12</xdr:col>
      <xdr:colOff>109537</xdr:colOff>
      <xdr:row>2</xdr:row>
      <xdr:rowOff>195717</xdr:rowOff>
    </xdr:from>
    <xdr:to>
      <xdr:col>17</xdr:col>
      <xdr:colOff>833436</xdr:colOff>
      <xdr:row>22</xdr:row>
      <xdr:rowOff>26535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30615</xdr:colOff>
      <xdr:row>28</xdr:row>
      <xdr:rowOff>203425</xdr:rowOff>
    </xdr:from>
    <xdr:to>
      <xdr:col>11</xdr:col>
      <xdr:colOff>282348</xdr:colOff>
      <xdr:row>40</xdr:row>
      <xdr:rowOff>170768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600603</xdr:colOff>
      <xdr:row>5</xdr:row>
      <xdr:rowOff>111132</xdr:rowOff>
    </xdr:from>
    <xdr:to>
      <xdr:col>21</xdr:col>
      <xdr:colOff>6160</xdr:colOff>
      <xdr:row>26</xdr:row>
      <xdr:rowOff>31749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689372</xdr:colOff>
      <xdr:row>3</xdr:row>
      <xdr:rowOff>200026</xdr:rowOff>
    </xdr:from>
    <xdr:to>
      <xdr:col>18</xdr:col>
      <xdr:colOff>41672</xdr:colOff>
      <xdr:row>35</xdr:row>
      <xdr:rowOff>95251</xdr:rowOff>
    </xdr:to>
    <xdr:graphicFrame macro="">
      <xdr:nvGraphicFramePr>
        <xdr:cNvPr id="4" name="Chart 4"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xdr:from>
      <xdr:col>11</xdr:col>
      <xdr:colOff>442079</xdr:colOff>
      <xdr:row>22</xdr:row>
      <xdr:rowOff>146010</xdr:rowOff>
    </xdr:from>
    <xdr:to>
      <xdr:col>11</xdr:col>
      <xdr:colOff>550029</xdr:colOff>
      <xdr:row>23</xdr:row>
      <xdr:rowOff>25757</xdr:rowOff>
    </xdr:to>
    <xdr:sp macro="" textlink="">
      <xdr:nvSpPr>
        <xdr:cNvPr id="3" name="Flowchart: Connector 2"/>
        <xdr:cNvSpPr/>
      </xdr:nvSpPr>
      <xdr:spPr>
        <a:xfrm>
          <a:off x="9590048" y="5121831"/>
          <a:ext cx="107950" cy="107950"/>
        </a:xfrm>
        <a:prstGeom prst="flowChartConnector">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0" marR="0" algn="ctr">
            <a:lnSpc>
              <a:spcPct val="115000"/>
            </a:lnSpc>
            <a:spcBef>
              <a:spcPts val="0"/>
            </a:spcBef>
            <a:spcAft>
              <a:spcPts val="0"/>
            </a:spcAft>
          </a:pPr>
          <a:r>
            <a:rPr lang="en-US" sz="1100">
              <a:solidFill>
                <a:srgbClr val="000000"/>
              </a:solidFill>
              <a:effectLst/>
              <a:latin typeface="Arial" panose="020B0604020202020204" pitchFamily="34" charset="0"/>
              <a:ea typeface="Arial" panose="020B0604020202020204" pitchFamily="34" charset="0"/>
            </a:rPr>
            <a:t> </a:t>
          </a:r>
        </a:p>
      </xdr:txBody>
    </xdr:sp>
    <xdr:clientData/>
  </xdr:twoCellAnchor>
  <xdr:twoCellAnchor>
    <xdr:from>
      <xdr:col>11</xdr:col>
      <xdr:colOff>233164</xdr:colOff>
      <xdr:row>20</xdr:row>
      <xdr:rowOff>193476</xdr:rowOff>
    </xdr:from>
    <xdr:to>
      <xdr:col>11</xdr:col>
      <xdr:colOff>817999</xdr:colOff>
      <xdr:row>22</xdr:row>
      <xdr:rowOff>15835</xdr:rowOff>
    </xdr:to>
    <xdr:sp macro="" textlink="">
      <xdr:nvSpPr>
        <xdr:cNvPr id="5" name="Text Box 2"/>
        <xdr:cNvSpPr txBox="1">
          <a:spLocks noChangeArrowheads="1"/>
        </xdr:cNvSpPr>
      </xdr:nvSpPr>
      <xdr:spPr bwMode="auto">
        <a:xfrm>
          <a:off x="9381133" y="4712891"/>
          <a:ext cx="584835" cy="278765"/>
        </a:xfrm>
        <a:prstGeom prst="rect">
          <a:avLst/>
        </a:prstGeom>
        <a:noFill/>
        <a:ln w="9525">
          <a:noFill/>
          <a:miter lim="800000"/>
          <a:headEnd/>
          <a:tailEnd/>
        </a:ln>
      </xdr:spPr>
      <xdr:txBody>
        <a:bodyPr rot="0" vert="horz" wrap="square" lIns="91440" tIns="45720" rIns="91440" bIns="45720" anchor="t" anchorCtr="0">
          <a:spAutoFit/>
        </a:bodyPr>
        <a:lstStyle/>
        <a:p>
          <a:pPr marL="0" marR="0">
            <a:lnSpc>
              <a:spcPct val="115000"/>
            </a:lnSpc>
            <a:spcBef>
              <a:spcPts val="0"/>
            </a:spcBef>
            <a:spcAft>
              <a:spcPts val="0"/>
            </a:spcAft>
          </a:pPr>
          <a:r>
            <a:rPr lang="en-US" sz="1000">
              <a:solidFill>
                <a:srgbClr val="000000"/>
              </a:solidFill>
              <a:effectLst/>
              <a:latin typeface="Calibri" panose="020F0502020204030204" pitchFamily="34" charset="0"/>
              <a:ea typeface="Arial" panose="020B0604020202020204" pitchFamily="34" charset="0"/>
            </a:rPr>
            <a:t>26.28%</a:t>
          </a:r>
          <a:endParaRPr lang="en-US" sz="1100">
            <a:solidFill>
              <a:srgbClr val="000000"/>
            </a:solidFill>
            <a:effectLst/>
            <a:latin typeface="Arial" panose="020B0604020202020204" pitchFamily="34" charset="0"/>
            <a:ea typeface="Arial" panose="020B0604020202020204" pitchFamily="34" charset="0"/>
          </a:endParaRPr>
        </a:p>
      </xdr:txBody>
    </xdr:sp>
    <xdr:clientData/>
  </xdr:twoCellAnchor>
  <xdr:twoCellAnchor>
    <xdr:from>
      <xdr:col>11</xdr:col>
      <xdr:colOff>489189</xdr:colOff>
      <xdr:row>21</xdr:row>
      <xdr:rowOff>197565</xdr:rowOff>
    </xdr:from>
    <xdr:to>
      <xdr:col>11</xdr:col>
      <xdr:colOff>492999</xdr:colOff>
      <xdr:row>22</xdr:row>
      <xdr:rowOff>150972</xdr:rowOff>
    </xdr:to>
    <xdr:cxnSp macro="">
      <xdr:nvCxnSpPr>
        <xdr:cNvPr id="6" name="Straight Arrow Connector 5"/>
        <xdr:cNvCxnSpPr/>
      </xdr:nvCxnSpPr>
      <xdr:spPr>
        <a:xfrm flipH="1" flipV="1">
          <a:off x="9637158" y="4945183"/>
          <a:ext cx="3810" cy="181610"/>
        </a:xfrm>
        <a:prstGeom prst="straightConnector1">
          <a:avLst/>
        </a:prstGeom>
        <a:ln w="25400">
          <a:solidFill>
            <a:schemeClr val="accent1">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279298</xdr:colOff>
      <xdr:row>26</xdr:row>
      <xdr:rowOff>51311</xdr:rowOff>
    </xdr:from>
    <xdr:to>
      <xdr:col>4</xdr:col>
      <xdr:colOff>616361</xdr:colOff>
      <xdr:row>44</xdr:row>
      <xdr:rowOff>156086</xdr:rowOff>
    </xdr:to>
    <xdr:graphicFrame macro="">
      <xdr:nvGraphicFramePr>
        <xdr:cNvPr id="3" name="Chart 3"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xdr:from>
      <xdr:col>4</xdr:col>
      <xdr:colOff>1410621</xdr:colOff>
      <xdr:row>26</xdr:row>
      <xdr:rowOff>34105</xdr:rowOff>
    </xdr:from>
    <xdr:to>
      <xdr:col>9</xdr:col>
      <xdr:colOff>764150</xdr:colOff>
      <xdr:row>44</xdr:row>
      <xdr:rowOff>138880</xdr:rowOff>
    </xdr:to>
    <xdr:graphicFrame macro="">
      <xdr:nvGraphicFramePr>
        <xdr:cNvPr id="5" name="Chart 5"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wsDr>
</file>

<file path=xl/drawings/drawing8.xml><?xml version="1.0" encoding="utf-8"?>
<xdr:wsDr xmlns:xdr="http://schemas.openxmlformats.org/drawingml/2006/spreadsheetDrawing" xmlns:a="http://schemas.openxmlformats.org/drawingml/2006/main">
  <xdr:twoCellAnchor editAs="oneCell">
    <xdr:from>
      <xdr:col>0</xdr:col>
      <xdr:colOff>114301</xdr:colOff>
      <xdr:row>1</xdr:row>
      <xdr:rowOff>18522</xdr:rowOff>
    </xdr:from>
    <xdr:to>
      <xdr:col>9</xdr:col>
      <xdr:colOff>929958</xdr:colOff>
      <xdr:row>29</xdr:row>
      <xdr:rowOff>161925</xdr:rowOff>
    </xdr:to>
    <xdr:pic>
      <xdr:nvPicPr>
        <xdr:cNvPr id="3" name="Picture 2"/>
        <xdr:cNvPicPr>
          <a:picLocks noChangeAspect="1"/>
        </xdr:cNvPicPr>
      </xdr:nvPicPr>
      <xdr:blipFill rotWithShape="1">
        <a:blip xmlns:r="http://schemas.openxmlformats.org/officeDocument/2006/relationships" r:embed="rId1"/>
        <a:srcRect r="10630" b="36790"/>
        <a:stretch/>
      </xdr:blipFill>
      <xdr:spPr>
        <a:xfrm>
          <a:off x="114301" y="209022"/>
          <a:ext cx="10073957" cy="5477403"/>
        </a:xfrm>
        <a:prstGeom prst="rect">
          <a:avLst/>
        </a:prstGeom>
      </xdr:spPr>
    </xdr:pic>
    <xdr:clientData/>
  </xdr:twoCellAnchor>
</xdr:wsDr>
</file>

<file path=xl/tables/table1.xml><?xml version="1.0" encoding="utf-8"?>
<table xmlns="http://schemas.openxmlformats.org/spreadsheetml/2006/main" id="1" name="Table_1" displayName="Table_1" ref="A3:E15">
  <tableColumns count="5">
    <tableColumn id="1" name="Raw materials"/>
    <tableColumn id="2" name="Suppliers"/>
    <tableColumn id="3" name="Origin location"/>
    <tableColumn id="4" name="Destination "/>
    <tableColumn id="5" name="Shipper"/>
  </tableColumns>
  <tableStyleInfo name="Logistics &amp; Transportation-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hyperlink" Target="http://www.seniortimesmagazine.com/specs" TargetMode="External"/><Relationship Id="rId1" Type="http://schemas.openxmlformats.org/officeDocument/2006/relationships/hyperlink" Target="http://www.seniortimesmagazine.com/specs"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57070"/>
  </sheetPr>
  <dimension ref="A1:Z1002"/>
  <sheetViews>
    <sheetView showGridLines="0" tabSelected="1" workbookViewId="0">
      <selection activeCell="C15" sqref="C15"/>
    </sheetView>
  </sheetViews>
  <sheetFormatPr defaultColWidth="14.33203125" defaultRowHeight="15" customHeight="1"/>
  <cols>
    <col min="1" max="1" width="11.33203125" customWidth="1"/>
    <col min="2" max="5" width="38.53125" customWidth="1"/>
    <col min="6" max="26" width="11.33203125" customWidth="1"/>
  </cols>
  <sheetData>
    <row r="1" spans="1:26" ht="26.35" customHeight="1">
      <c r="A1" s="3"/>
      <c r="B1" s="1303" t="s">
        <v>957</v>
      </c>
      <c r="C1" s="1303"/>
      <c r="D1" s="1303"/>
      <c r="E1" s="1303"/>
      <c r="F1" s="1"/>
      <c r="G1" s="1"/>
      <c r="H1" s="1"/>
      <c r="I1" s="1"/>
      <c r="J1" s="1"/>
      <c r="K1" s="1"/>
      <c r="L1" s="1"/>
      <c r="M1" s="1"/>
      <c r="N1" s="1"/>
      <c r="O1" s="1"/>
      <c r="P1" s="1"/>
      <c r="Q1" s="1"/>
      <c r="R1" s="1"/>
      <c r="S1" s="1"/>
      <c r="T1" s="1"/>
      <c r="U1" s="1"/>
      <c r="V1" s="1"/>
      <c r="W1" s="1"/>
      <c r="X1" s="1"/>
    </row>
    <row r="2" spans="1:26" ht="26.35" customHeight="1">
      <c r="A2" s="1"/>
      <c r="B2" s="1296" t="s">
        <v>2</v>
      </c>
      <c r="C2" s="1297"/>
      <c r="D2" s="1297"/>
      <c r="E2" s="1297"/>
      <c r="F2" s="1"/>
      <c r="G2" s="1"/>
      <c r="H2" s="1"/>
      <c r="I2" s="1"/>
      <c r="J2" s="1"/>
      <c r="K2" s="1"/>
      <c r="L2" s="1"/>
      <c r="M2" s="1"/>
      <c r="N2" s="1"/>
      <c r="O2" s="1"/>
      <c r="P2" s="1"/>
      <c r="Q2" s="1"/>
      <c r="R2" s="1"/>
      <c r="S2" s="1"/>
      <c r="T2" s="1"/>
      <c r="U2" s="1"/>
      <c r="V2" s="1"/>
      <c r="W2" s="1"/>
      <c r="X2" s="1"/>
      <c r="Y2" s="1"/>
      <c r="Z2" s="1"/>
    </row>
    <row r="3" spans="1:26" ht="14.25" customHeight="1">
      <c r="A3" s="1"/>
      <c r="B3" s="3"/>
      <c r="C3" s="3"/>
      <c r="D3" s="3"/>
      <c r="E3" s="1"/>
      <c r="F3" s="1"/>
      <c r="G3" s="1"/>
      <c r="H3" s="1"/>
      <c r="I3" s="1"/>
      <c r="J3" s="1"/>
      <c r="K3" s="1"/>
      <c r="L3" s="1"/>
      <c r="M3" s="1"/>
      <c r="N3" s="1"/>
      <c r="O3" s="1"/>
      <c r="P3" s="1"/>
      <c r="Q3" s="1"/>
      <c r="R3" s="1"/>
      <c r="S3" s="1"/>
      <c r="T3" s="1"/>
      <c r="U3" s="1"/>
      <c r="V3" s="1"/>
      <c r="W3" s="1"/>
      <c r="X3" s="1"/>
      <c r="Y3" s="1"/>
      <c r="Z3" s="1"/>
    </row>
    <row r="4" spans="1:26" ht="16.899999999999999" customHeight="1" thickBot="1">
      <c r="A4" s="1"/>
      <c r="B4" s="1200" t="s">
        <v>3</v>
      </c>
      <c r="C4" s="1201" t="s">
        <v>7</v>
      </c>
      <c r="D4" s="1202" t="s">
        <v>5</v>
      </c>
      <c r="E4" s="1203" t="s">
        <v>8</v>
      </c>
      <c r="F4" s="1"/>
      <c r="G4" s="1"/>
      <c r="H4" s="1"/>
      <c r="I4" s="1"/>
      <c r="J4" s="1"/>
      <c r="K4" s="1"/>
      <c r="L4" s="1"/>
      <c r="M4" s="1"/>
      <c r="N4" s="1"/>
      <c r="O4" s="1"/>
      <c r="P4" s="1"/>
      <c r="Q4" s="1"/>
      <c r="R4" s="1"/>
      <c r="S4" s="1"/>
      <c r="T4" s="1"/>
      <c r="U4" s="1"/>
      <c r="V4" s="1"/>
      <c r="W4" s="1"/>
      <c r="X4" s="1"/>
      <c r="Y4" s="1"/>
      <c r="Z4" s="1"/>
    </row>
    <row r="5" spans="1:26" ht="15" customHeight="1">
      <c r="A5" s="6"/>
      <c r="B5" s="741" t="s">
        <v>13</v>
      </c>
      <c r="C5" s="745" t="s">
        <v>16</v>
      </c>
      <c r="D5" s="745" t="s">
        <v>15</v>
      </c>
      <c r="E5" s="741" t="s">
        <v>895</v>
      </c>
      <c r="F5" s="1"/>
      <c r="G5" s="1"/>
      <c r="H5" s="1"/>
      <c r="I5" s="1"/>
      <c r="J5" s="1"/>
      <c r="K5" s="1"/>
      <c r="L5" s="1"/>
      <c r="M5" s="1"/>
      <c r="N5" s="1"/>
      <c r="O5" s="1"/>
      <c r="P5" s="1"/>
      <c r="Q5" s="1"/>
      <c r="R5" s="1"/>
      <c r="S5" s="1"/>
      <c r="T5" s="1"/>
      <c r="U5" s="1"/>
      <c r="V5" s="1"/>
      <c r="W5" s="1"/>
      <c r="X5" s="1"/>
      <c r="Y5" s="1"/>
      <c r="Z5" s="1"/>
    </row>
    <row r="6" spans="1:26" ht="15.75" customHeight="1">
      <c r="A6" s="6"/>
      <c r="B6" s="741" t="s">
        <v>19</v>
      </c>
      <c r="C6" s="741" t="s">
        <v>21</v>
      </c>
      <c r="D6" s="741" t="s">
        <v>20</v>
      </c>
      <c r="E6" s="741" t="s">
        <v>22</v>
      </c>
      <c r="F6" s="1"/>
      <c r="G6" s="1"/>
      <c r="H6" s="1"/>
      <c r="I6" s="1"/>
      <c r="J6" s="1"/>
      <c r="K6" s="1"/>
      <c r="L6" s="1"/>
      <c r="M6" s="1"/>
      <c r="N6" s="1"/>
      <c r="O6" s="1"/>
      <c r="P6" s="1"/>
      <c r="Q6" s="1"/>
      <c r="R6" s="1"/>
      <c r="S6" s="1"/>
      <c r="T6" s="1"/>
      <c r="U6" s="1"/>
      <c r="V6" s="1"/>
      <c r="W6" s="1"/>
      <c r="X6" s="1"/>
      <c r="Y6" s="1"/>
      <c r="Z6" s="1"/>
    </row>
    <row r="7" spans="1:26" ht="14.25" customHeight="1">
      <c r="A7" s="6"/>
      <c r="B7" s="741" t="s">
        <v>23</v>
      </c>
      <c r="C7" s="741" t="s">
        <v>25</v>
      </c>
      <c r="D7" s="741" t="s">
        <v>958</v>
      </c>
      <c r="E7" s="741" t="s">
        <v>896</v>
      </c>
      <c r="F7" s="1"/>
      <c r="G7" s="1"/>
      <c r="H7" s="1"/>
      <c r="I7" s="1"/>
      <c r="J7" s="1"/>
      <c r="K7" s="1"/>
      <c r="L7" s="1"/>
      <c r="M7" s="1"/>
      <c r="N7" s="1"/>
      <c r="O7" s="1"/>
      <c r="P7" s="1"/>
      <c r="Q7" s="1"/>
      <c r="R7" s="1"/>
      <c r="S7" s="1"/>
      <c r="T7" s="1"/>
      <c r="U7" s="1"/>
      <c r="V7" s="1"/>
      <c r="W7" s="1"/>
      <c r="X7" s="1"/>
      <c r="Y7" s="1"/>
      <c r="Z7" s="1"/>
    </row>
    <row r="8" spans="1:26" ht="14.25" customHeight="1">
      <c r="A8" s="6"/>
      <c r="B8" s="741" t="s">
        <v>26</v>
      </c>
      <c r="C8" s="741" t="s">
        <v>28</v>
      </c>
      <c r="D8" s="741" t="s">
        <v>24</v>
      </c>
      <c r="E8" s="741" t="s">
        <v>18</v>
      </c>
      <c r="F8" s="1"/>
      <c r="G8" s="1"/>
      <c r="H8" s="1"/>
      <c r="I8" s="1"/>
      <c r="J8" s="1"/>
      <c r="K8" s="1"/>
      <c r="L8" s="1"/>
      <c r="M8" s="1"/>
      <c r="N8" s="1"/>
      <c r="O8" s="1"/>
      <c r="P8" s="1"/>
      <c r="Q8" s="1"/>
      <c r="R8" s="1"/>
      <c r="S8" s="1"/>
      <c r="T8" s="1"/>
      <c r="U8" s="1"/>
      <c r="V8" s="1"/>
      <c r="W8" s="1"/>
      <c r="X8" s="1"/>
      <c r="Y8" s="1"/>
      <c r="Z8" s="1"/>
    </row>
    <row r="9" spans="1:26" ht="14.25" customHeight="1">
      <c r="A9" s="6"/>
      <c r="B9" s="742" t="s">
        <v>29</v>
      </c>
      <c r="C9" s="746" t="s">
        <v>31</v>
      </c>
      <c r="D9" s="741" t="s">
        <v>27</v>
      </c>
      <c r="E9" s="1"/>
      <c r="F9" s="1"/>
      <c r="G9" s="1"/>
      <c r="H9" s="1"/>
      <c r="I9" s="1"/>
      <c r="J9" s="1"/>
      <c r="K9" s="1"/>
      <c r="L9" s="1"/>
      <c r="M9" s="1"/>
      <c r="N9" s="1"/>
      <c r="O9" s="1"/>
      <c r="P9" s="1"/>
      <c r="Q9" s="1"/>
      <c r="R9" s="1"/>
      <c r="S9" s="1"/>
      <c r="T9" s="1"/>
      <c r="U9" s="1"/>
      <c r="V9" s="1"/>
      <c r="W9" s="1"/>
      <c r="X9" s="1"/>
      <c r="Y9" s="1"/>
      <c r="Z9" s="1"/>
    </row>
    <row r="10" spans="1:26" ht="14.25" customHeight="1">
      <c r="A10" s="6"/>
      <c r="B10" s="744" t="s">
        <v>32</v>
      </c>
      <c r="C10" s="741" t="s">
        <v>854</v>
      </c>
      <c r="D10" s="741" t="s">
        <v>30</v>
      </c>
      <c r="E10" s="1"/>
      <c r="F10" s="1"/>
      <c r="G10" s="1"/>
      <c r="H10" s="1"/>
      <c r="I10" s="1"/>
      <c r="J10" s="1"/>
      <c r="K10" s="1"/>
      <c r="L10" s="1"/>
      <c r="M10" s="1"/>
      <c r="N10" s="1"/>
      <c r="O10" s="1"/>
      <c r="P10" s="1"/>
      <c r="Q10" s="1"/>
      <c r="R10" s="1"/>
      <c r="S10" s="1"/>
      <c r="T10" s="1"/>
      <c r="U10" s="1"/>
      <c r="V10" s="1"/>
      <c r="W10" s="1"/>
      <c r="X10" s="1"/>
      <c r="Y10" s="1"/>
      <c r="Z10" s="1"/>
    </row>
    <row r="11" spans="1:26" ht="14.25" customHeight="1">
      <c r="A11" s="6"/>
      <c r="B11" s="743"/>
      <c r="C11" s="741" t="s">
        <v>959</v>
      </c>
      <c r="D11" s="741" t="s">
        <v>855</v>
      </c>
      <c r="E11" s="1"/>
      <c r="F11" s="1"/>
      <c r="G11" s="1"/>
      <c r="H11" s="1"/>
      <c r="I11" s="1"/>
      <c r="J11" s="1"/>
      <c r="K11" s="1"/>
      <c r="L11" s="1"/>
      <c r="M11" s="1"/>
      <c r="N11" s="1"/>
      <c r="O11" s="1"/>
      <c r="P11" s="1"/>
      <c r="Q11" s="1"/>
      <c r="R11" s="1"/>
      <c r="S11" s="1"/>
      <c r="T11" s="1"/>
      <c r="U11" s="1"/>
      <c r="V11" s="1"/>
      <c r="W11" s="1"/>
      <c r="X11" s="1"/>
      <c r="Y11" s="1"/>
      <c r="Z11" s="1"/>
    </row>
    <row r="12" spans="1:26" ht="14.25" customHeight="1">
      <c r="A12" s="6"/>
      <c r="B12" s="1"/>
      <c r="C12" s="741" t="s">
        <v>33</v>
      </c>
      <c r="D12" s="741" t="s">
        <v>570</v>
      </c>
      <c r="E12" s="1"/>
      <c r="F12" s="1"/>
      <c r="G12" s="1"/>
      <c r="H12" s="1"/>
      <c r="I12" s="1"/>
      <c r="J12" s="1"/>
      <c r="K12" s="1"/>
      <c r="L12" s="1"/>
      <c r="M12" s="1"/>
      <c r="N12" s="1"/>
      <c r="O12" s="1"/>
      <c r="P12" s="1"/>
      <c r="Q12" s="1"/>
      <c r="R12" s="1"/>
      <c r="S12" s="1"/>
      <c r="T12" s="1"/>
      <c r="U12" s="1"/>
      <c r="V12" s="1"/>
      <c r="W12" s="1"/>
      <c r="X12" s="1"/>
      <c r="Y12" s="1"/>
      <c r="Z12" s="1"/>
    </row>
    <row r="13" spans="1:26" ht="14.25" customHeight="1">
      <c r="A13" s="6"/>
      <c r="B13" s="1"/>
      <c r="D13" s="1"/>
      <c r="E13" s="1"/>
      <c r="F13" s="1"/>
      <c r="G13" s="1"/>
      <c r="H13" s="1"/>
      <c r="I13" s="1"/>
      <c r="J13" s="1"/>
      <c r="K13" s="1"/>
      <c r="L13" s="1"/>
      <c r="M13" s="1"/>
      <c r="N13" s="1"/>
      <c r="O13" s="1"/>
      <c r="P13" s="1"/>
      <c r="Q13" s="1"/>
      <c r="R13" s="1"/>
      <c r="S13" s="1"/>
      <c r="T13" s="1"/>
      <c r="U13" s="1"/>
      <c r="V13" s="1"/>
      <c r="W13" s="1"/>
      <c r="X13" s="1"/>
      <c r="Y13" s="1"/>
      <c r="Z13" s="1"/>
    </row>
    <row r="14" spans="1:26" ht="14.25" customHeight="1">
      <c r="A14" s="6"/>
      <c r="B14" s="1"/>
      <c r="C14" s="6"/>
      <c r="D14" s="1"/>
      <c r="E14" s="1"/>
      <c r="F14" s="1"/>
      <c r="G14" s="1"/>
      <c r="H14" s="1"/>
      <c r="I14" s="1"/>
      <c r="J14" s="1"/>
      <c r="K14" s="1"/>
      <c r="L14" s="1"/>
      <c r="M14" s="1"/>
      <c r="N14" s="1"/>
      <c r="O14" s="1"/>
      <c r="P14" s="1"/>
      <c r="Q14" s="1"/>
      <c r="R14" s="1"/>
      <c r="S14" s="1"/>
      <c r="T14" s="1"/>
      <c r="U14" s="1"/>
      <c r="V14" s="1"/>
      <c r="W14" s="1"/>
      <c r="X14" s="1"/>
      <c r="Y14" s="1"/>
      <c r="Z14" s="1"/>
    </row>
    <row r="15" spans="1:26" ht="14.25" customHeight="1">
      <c r="A15" s="6"/>
      <c r="C15" s="1199" t="s">
        <v>950</v>
      </c>
      <c r="D15" s="1199" t="s">
        <v>952</v>
      </c>
      <c r="E15" s="1"/>
      <c r="F15" s="1"/>
      <c r="G15" s="1"/>
      <c r="H15" s="1"/>
      <c r="I15" s="1"/>
      <c r="J15" s="1"/>
      <c r="K15" s="1"/>
      <c r="L15" s="1"/>
      <c r="M15" s="1"/>
      <c r="N15" s="1"/>
      <c r="O15" s="1"/>
      <c r="P15" s="1"/>
      <c r="Q15" s="1"/>
      <c r="R15" s="1"/>
      <c r="S15" s="1"/>
      <c r="T15" s="1"/>
      <c r="U15" s="1"/>
      <c r="V15" s="1"/>
      <c r="W15" s="1"/>
      <c r="X15" s="1"/>
      <c r="Y15" s="1"/>
      <c r="Z15" s="1"/>
    </row>
    <row r="16" spans="1:26" ht="14.25" customHeight="1">
      <c r="A16" s="6"/>
      <c r="C16" s="1298">
        <v>0</v>
      </c>
      <c r="D16" s="1204" t="s">
        <v>953</v>
      </c>
      <c r="E16" s="1"/>
      <c r="F16" s="1"/>
      <c r="G16" s="1"/>
      <c r="H16" s="1"/>
      <c r="I16" s="1"/>
      <c r="J16" s="1"/>
      <c r="K16" s="1"/>
      <c r="L16" s="1"/>
      <c r="M16" s="1"/>
      <c r="N16" s="1"/>
      <c r="O16" s="1"/>
      <c r="P16" s="1"/>
      <c r="Q16" s="1"/>
      <c r="R16" s="1"/>
      <c r="S16" s="1"/>
      <c r="T16" s="1"/>
      <c r="U16" s="1"/>
      <c r="V16" s="1"/>
      <c r="W16" s="1"/>
      <c r="X16" s="1"/>
      <c r="Y16" s="1"/>
      <c r="Z16" s="1"/>
    </row>
    <row r="17" spans="1:26" ht="14.25" customHeight="1">
      <c r="A17" s="6"/>
      <c r="C17" s="1299"/>
      <c r="D17" s="1205" t="s">
        <v>954</v>
      </c>
      <c r="E17" s="1"/>
      <c r="F17" s="1"/>
      <c r="G17" s="1"/>
      <c r="H17" s="1"/>
      <c r="I17" s="1"/>
      <c r="J17" s="1"/>
      <c r="K17" s="1"/>
      <c r="L17" s="1"/>
      <c r="M17" s="1"/>
      <c r="N17" s="1"/>
      <c r="O17" s="1"/>
      <c r="P17" s="1"/>
      <c r="Q17" s="1"/>
      <c r="R17" s="1"/>
      <c r="S17" s="1"/>
      <c r="T17" s="1"/>
      <c r="U17" s="1"/>
      <c r="V17" s="1"/>
      <c r="W17" s="1"/>
      <c r="X17" s="1"/>
      <c r="Y17" s="1"/>
      <c r="Z17" s="1"/>
    </row>
    <row r="18" spans="1:26" ht="14.25" customHeight="1">
      <c r="A18" s="6"/>
      <c r="C18" s="1300"/>
      <c r="D18" s="1206" t="s">
        <v>955</v>
      </c>
      <c r="E18" s="1"/>
      <c r="F18" s="1"/>
      <c r="G18" s="1"/>
      <c r="H18" s="1"/>
      <c r="I18" s="1"/>
      <c r="J18" s="1"/>
      <c r="K18" s="1"/>
      <c r="L18" s="1"/>
      <c r="M18" s="1"/>
      <c r="N18" s="1"/>
      <c r="O18" s="1"/>
      <c r="P18" s="1"/>
      <c r="Q18" s="1"/>
      <c r="R18" s="1"/>
      <c r="S18" s="1"/>
      <c r="T18" s="1"/>
      <c r="U18" s="1"/>
      <c r="V18" s="1"/>
      <c r="W18" s="1"/>
      <c r="X18" s="1"/>
      <c r="Y18" s="1"/>
      <c r="Z18" s="1"/>
    </row>
    <row r="19" spans="1:26" ht="14.25" customHeight="1">
      <c r="A19" s="6"/>
      <c r="B19" s="1"/>
      <c r="C19" s="1"/>
      <c r="D19" s="6"/>
      <c r="E19" s="1"/>
      <c r="F19" s="1"/>
      <c r="G19" s="1"/>
      <c r="H19" s="1"/>
      <c r="I19" s="1"/>
      <c r="J19" s="1"/>
      <c r="K19" s="1"/>
      <c r="L19" s="1"/>
      <c r="M19" s="1"/>
      <c r="N19" s="1"/>
      <c r="O19" s="1"/>
      <c r="P19" s="1"/>
      <c r="Q19" s="1"/>
      <c r="R19" s="1"/>
      <c r="S19" s="1"/>
      <c r="T19" s="1"/>
      <c r="U19" s="1"/>
      <c r="V19" s="1"/>
      <c r="W19" s="1"/>
      <c r="X19" s="1"/>
      <c r="Y19" s="1"/>
      <c r="Z19" s="1"/>
    </row>
    <row r="20" spans="1:26" ht="14.25" customHeight="1">
      <c r="A20" s="6"/>
      <c r="C20" s="1301" t="s">
        <v>956</v>
      </c>
      <c r="D20" s="1302"/>
      <c r="E20" s="1"/>
      <c r="F20" s="1"/>
      <c r="G20" s="1"/>
      <c r="H20" s="1"/>
      <c r="I20" s="1"/>
      <c r="J20" s="1"/>
      <c r="K20" s="1"/>
      <c r="L20" s="1"/>
      <c r="M20" s="1"/>
      <c r="N20" s="1"/>
      <c r="O20" s="1"/>
      <c r="P20" s="1"/>
      <c r="Q20" s="1"/>
      <c r="R20" s="1"/>
      <c r="S20" s="1"/>
      <c r="T20" s="1"/>
      <c r="U20" s="1"/>
      <c r="V20" s="1"/>
      <c r="W20" s="1"/>
      <c r="X20" s="1"/>
      <c r="Y20" s="1"/>
      <c r="Z20" s="1"/>
    </row>
    <row r="21" spans="1:26" ht="14.25" customHeight="1">
      <c r="A21" s="6"/>
      <c r="D21" s="6"/>
      <c r="E21" s="1"/>
      <c r="F21" s="1"/>
      <c r="G21" s="1"/>
      <c r="H21" s="1"/>
      <c r="I21" s="1"/>
      <c r="J21" s="1"/>
      <c r="K21" s="1"/>
      <c r="L21" s="1"/>
      <c r="M21" s="1"/>
      <c r="N21" s="1"/>
      <c r="O21" s="1"/>
      <c r="P21" s="1"/>
      <c r="Q21" s="1"/>
      <c r="R21" s="1"/>
      <c r="S21" s="1"/>
      <c r="T21" s="1"/>
      <c r="U21" s="1"/>
      <c r="V21" s="1"/>
      <c r="W21" s="1"/>
      <c r="X21" s="1"/>
      <c r="Y21" s="1"/>
      <c r="Z21" s="1"/>
    </row>
    <row r="22" spans="1:26" ht="14.25" customHeight="1">
      <c r="A22" s="6"/>
      <c r="B22" s="6"/>
      <c r="C22" s="1"/>
      <c r="D22" s="6"/>
      <c r="E22" s="1"/>
      <c r="F22" s="1"/>
      <c r="G22" s="1"/>
      <c r="H22" s="1"/>
      <c r="I22" s="1"/>
      <c r="J22" s="1"/>
      <c r="K22" s="1"/>
      <c r="L22" s="1"/>
      <c r="M22" s="1"/>
      <c r="N22" s="1"/>
      <c r="O22" s="1"/>
      <c r="P22" s="1"/>
      <c r="Q22" s="1"/>
      <c r="R22" s="1"/>
      <c r="S22" s="1"/>
      <c r="T22" s="1"/>
      <c r="U22" s="1"/>
      <c r="V22" s="1"/>
      <c r="W22" s="1"/>
      <c r="X22" s="1"/>
      <c r="Y22" s="1"/>
      <c r="Z22" s="1"/>
    </row>
    <row r="23" spans="1:26" ht="14.25" customHeight="1">
      <c r="A23" s="6"/>
      <c r="B23" s="6"/>
      <c r="C23" s="1"/>
      <c r="D23" s="6"/>
      <c r="E23" s="1"/>
      <c r="F23" s="1"/>
      <c r="G23" s="1"/>
      <c r="H23" s="1"/>
      <c r="I23" s="1"/>
      <c r="J23" s="1"/>
      <c r="K23" s="1"/>
      <c r="L23" s="1"/>
      <c r="M23" s="1"/>
      <c r="N23" s="1"/>
      <c r="O23" s="1"/>
      <c r="P23" s="1"/>
      <c r="Q23" s="1"/>
      <c r="R23" s="1"/>
      <c r="S23" s="1"/>
      <c r="T23" s="1"/>
      <c r="U23" s="1"/>
      <c r="V23" s="1"/>
      <c r="W23" s="1"/>
      <c r="X23" s="1"/>
      <c r="Y23" s="1"/>
      <c r="Z23" s="1"/>
    </row>
    <row r="24" spans="1:26" ht="14.25" customHeight="1">
      <c r="A24" s="6"/>
      <c r="B24" s="6"/>
      <c r="C24" s="1"/>
      <c r="D24" s="6"/>
      <c r="E24" s="1"/>
      <c r="F24" s="1"/>
      <c r="G24" s="1"/>
      <c r="H24" s="1"/>
      <c r="I24" s="1"/>
      <c r="J24" s="1"/>
      <c r="K24" s="1"/>
      <c r="L24" s="1"/>
      <c r="M24" s="1"/>
      <c r="N24" s="1"/>
      <c r="O24" s="1"/>
      <c r="P24" s="1"/>
      <c r="Q24" s="1"/>
      <c r="R24" s="1"/>
      <c r="S24" s="1"/>
      <c r="T24" s="1"/>
      <c r="U24" s="1"/>
      <c r="V24" s="1"/>
      <c r="W24" s="1"/>
      <c r="X24" s="1"/>
      <c r="Y24" s="1"/>
      <c r="Z24" s="1"/>
    </row>
    <row r="25" spans="1:26" ht="14.25" customHeight="1">
      <c r="A25" s="6"/>
      <c r="B25" s="6"/>
      <c r="C25" s="1"/>
      <c r="D25" s="6"/>
      <c r="E25" s="1"/>
      <c r="F25" s="1"/>
      <c r="G25" s="1"/>
      <c r="H25" s="1"/>
      <c r="I25" s="1"/>
      <c r="J25" s="1"/>
      <c r="K25" s="1"/>
      <c r="L25" s="1"/>
      <c r="M25" s="1"/>
      <c r="N25" s="1"/>
      <c r="O25" s="1"/>
      <c r="P25" s="1"/>
      <c r="Q25" s="1"/>
      <c r="R25" s="1"/>
      <c r="S25" s="1"/>
      <c r="T25" s="1"/>
      <c r="U25" s="1"/>
      <c r="V25" s="1"/>
      <c r="W25" s="1"/>
      <c r="X25" s="1"/>
      <c r="Y25" s="1"/>
      <c r="Z25" s="1"/>
    </row>
    <row r="26" spans="1:26" ht="14.25" customHeight="1">
      <c r="A26" s="6"/>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4.2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sheetData>
  <mergeCells count="4">
    <mergeCell ref="B2:E2"/>
    <mergeCell ref="C16:C18"/>
    <mergeCell ref="C20:D20"/>
    <mergeCell ref="B1:E1"/>
  </mergeCells>
  <hyperlinks>
    <hyperlink ref="B5" location="'BASES Model'!A1" display="BASES Model"/>
    <hyperlink ref="B6" location="'Avg. Weighted Manufacturer''s Pr'!A1" display="Avg. Weighted Manufacturer's Price to Channel"/>
    <hyperlink ref="B7" location="'Purchase Intent and Price'!A1" display="Purchase Intent and Price"/>
    <hyperlink ref="B8" location="'IMC Schedule'!A1" display="IMC Schedule"/>
    <hyperlink ref="B9" location="ACV!A1" display="ACV"/>
    <hyperlink ref="B10" location="'Segmentation Tree'!A1" display="Segmentation Tree"/>
    <hyperlink ref="C5" location="'FE Assumptions'!A1" display="FE Assumptions"/>
    <hyperlink ref="C6" location="'FE Income Statement'!A1" display="Income Statement"/>
    <hyperlink ref="C7" location="'FE Balance Sheet'!A1" display="Balance Sheet"/>
    <hyperlink ref="C8" location="'FE Cash Flow'!A1" display="Cash Flow Statement"/>
    <hyperlink ref="C9" location="'Service Subscription Model'!A1" display="Service Subscription Model"/>
    <hyperlink ref="C11" location="'PPE &amp; Amortization Schedule'!A1" display="PPE Schedule"/>
    <hyperlink ref="C10" location="'NPV Profile'!A1" display="NPV Profile"/>
    <hyperlink ref="C12" location="Ratios!A1" display="Ratios"/>
    <hyperlink ref="D5" location="'OM Assumptions'!A1" display="OM Assumptions"/>
    <hyperlink ref="D6" location="Capacity!A1" display="Capacity"/>
    <hyperlink ref="D8" location="'Aggregate Plan'!A1" display="Aggregate Plan"/>
    <hyperlink ref="D9" location="Inventory!A1" display="Inventory"/>
    <hyperlink ref="D10" location="'Logistics &amp; Transportation'!A1" display="Logistics and Transportation"/>
    <hyperlink ref="D11" location="'IT Costs'!A1" display="IT Cost"/>
    <hyperlink ref="D12" location="COGS!A1" display="COGS"/>
    <hyperlink ref="E5" location="'Influence Chart'!A1" display="Break Even Analysis"/>
    <hyperlink ref="E6" location="'Sensitivity Analysis'!A1" display="Sensitivity Analysis"/>
    <hyperlink ref="E8" location="'Break Even Analysis'!A1" display="Risk Simulation Summary "/>
    <hyperlink ref="E7" location="'Simulation Analysis'!A1" display="Sensitivity Analysis"/>
    <hyperlink ref="D7" location="'Monthly Demand'!A1" display="Capacity"/>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A9999"/>
  </sheetPr>
  <dimension ref="A1:X1000"/>
  <sheetViews>
    <sheetView workbookViewId="0"/>
  </sheetViews>
  <sheetFormatPr defaultColWidth="14.33203125" defaultRowHeight="14.25"/>
  <cols>
    <col min="1" max="1" width="33.6640625" bestFit="1" customWidth="1"/>
    <col min="2" max="4" width="18" bestFit="1" customWidth="1"/>
    <col min="5" max="6" width="19.33203125" bestFit="1" customWidth="1"/>
    <col min="8" max="8" width="19.33203125" bestFit="1" customWidth="1"/>
    <col min="9" max="9" width="72.796875" bestFit="1" customWidth="1"/>
    <col min="10" max="11" width="18" bestFit="1" customWidth="1"/>
    <col min="12" max="13" width="19.33203125" bestFit="1" customWidth="1"/>
    <col min="14" max="14" width="18.33203125" bestFit="1" customWidth="1"/>
  </cols>
  <sheetData>
    <row r="1" spans="1:24" ht="18">
      <c r="A1" s="765" t="s">
        <v>0</v>
      </c>
      <c r="B1" s="2"/>
      <c r="C1" s="2"/>
      <c r="D1" s="2"/>
      <c r="E1" s="2"/>
      <c r="F1" s="2"/>
      <c r="G1" s="2"/>
      <c r="H1" s="2"/>
      <c r="I1" s="2"/>
      <c r="J1" s="2"/>
      <c r="K1" s="2"/>
      <c r="L1" s="2"/>
      <c r="M1" s="2"/>
      <c r="N1" s="2"/>
      <c r="O1" s="2"/>
      <c r="P1" s="2"/>
      <c r="Q1" s="2"/>
      <c r="R1" s="2"/>
      <c r="S1" s="2"/>
      <c r="T1" s="2"/>
      <c r="U1" s="2"/>
      <c r="V1" s="2"/>
      <c r="W1" s="2"/>
      <c r="X1" s="2"/>
    </row>
    <row r="2" spans="1:24" ht="18">
      <c r="A2" s="1304" t="s">
        <v>1</v>
      </c>
      <c r="B2" s="1305"/>
      <c r="C2" s="1305"/>
      <c r="D2" s="1305"/>
      <c r="E2" s="1305"/>
      <c r="F2" s="1306"/>
      <c r="G2" s="2"/>
      <c r="H2" s="2"/>
      <c r="I2" s="2"/>
      <c r="J2" s="8"/>
      <c r="K2" s="2"/>
      <c r="L2" s="2"/>
      <c r="M2" s="2"/>
      <c r="N2" s="2"/>
      <c r="O2" s="2"/>
      <c r="P2" s="2"/>
      <c r="Q2" s="2"/>
      <c r="R2" s="2"/>
      <c r="S2" s="2"/>
      <c r="T2" s="2"/>
      <c r="U2" s="2"/>
      <c r="V2" s="2"/>
      <c r="W2" s="2"/>
      <c r="X2" s="2"/>
    </row>
    <row r="3" spans="1:24" ht="18">
      <c r="A3" s="9" t="s">
        <v>17</v>
      </c>
      <c r="B3" s="10">
        <v>1</v>
      </c>
      <c r="C3" s="10">
        <v>2</v>
      </c>
      <c r="D3" s="10">
        <v>3</v>
      </c>
      <c r="E3" s="10">
        <v>4</v>
      </c>
      <c r="F3" s="10">
        <v>5</v>
      </c>
      <c r="G3" s="2"/>
      <c r="H3" s="11" t="s">
        <v>12</v>
      </c>
      <c r="I3" s="12"/>
      <c r="J3" s="15"/>
      <c r="K3" s="12"/>
      <c r="L3" s="12"/>
      <c r="M3" s="2"/>
      <c r="N3" s="2"/>
      <c r="O3" s="2"/>
      <c r="P3" s="2"/>
      <c r="Q3" s="2"/>
      <c r="R3" s="2"/>
      <c r="S3" s="2"/>
      <c r="T3" s="2"/>
      <c r="U3" s="2"/>
      <c r="V3" s="2"/>
      <c r="W3" s="2"/>
      <c r="X3" s="2"/>
    </row>
    <row r="4" spans="1:24" ht="18">
      <c r="A4" s="17" t="s">
        <v>34</v>
      </c>
      <c r="B4" s="19">
        <f>'Segmentation Tree'!C27</f>
        <v>2438453</v>
      </c>
      <c r="C4" s="19">
        <f t="shared" ref="C4:F4" si="0">(B4*1.04375)-B12</f>
        <v>2536508.3187500001</v>
      </c>
      <c r="D4" s="19">
        <f t="shared" si="0"/>
        <v>2636780.5576953124</v>
      </c>
      <c r="E4" s="19">
        <f t="shared" si="0"/>
        <v>2732405.7070944821</v>
      </c>
      <c r="F4" s="19">
        <f t="shared" si="0"/>
        <v>2821641.4567798655</v>
      </c>
      <c r="G4" s="2"/>
      <c r="H4" s="22" t="s">
        <v>37</v>
      </c>
      <c r="I4" s="23" t="s">
        <v>39</v>
      </c>
      <c r="J4" s="23"/>
      <c r="K4" s="24"/>
      <c r="L4" s="24"/>
      <c r="M4" s="2"/>
      <c r="N4" s="2"/>
      <c r="O4" s="2"/>
      <c r="P4" s="2"/>
      <c r="Q4" s="2"/>
      <c r="R4" s="2"/>
      <c r="S4" s="2"/>
      <c r="T4" s="2"/>
      <c r="U4" s="2"/>
      <c r="V4" s="2"/>
      <c r="W4" s="2"/>
      <c r="X4" s="2"/>
    </row>
    <row r="5" spans="1:24" ht="36">
      <c r="A5" s="17" t="s">
        <v>40</v>
      </c>
      <c r="B5" s="26">
        <f>'Purchase Intent and Price'!M19</f>
        <v>0.33899999999999952</v>
      </c>
      <c r="C5" s="26">
        <f>'Purchase Intent and Price'!M20</f>
        <v>0.33899999999999952</v>
      </c>
      <c r="D5" s="26">
        <f>'Purchase Intent and Price'!M21</f>
        <v>0.34265248096012746</v>
      </c>
      <c r="E5" s="26">
        <f>'Purchase Intent and Price'!M22</f>
        <v>0.36547198765873734</v>
      </c>
      <c r="F5" s="26">
        <f>'Purchase Intent and Price'!M23</f>
        <v>0.36968150582517589</v>
      </c>
      <c r="G5" s="28"/>
      <c r="H5" s="24"/>
      <c r="I5" s="23" t="s">
        <v>45</v>
      </c>
      <c r="J5" s="23"/>
      <c r="K5" s="24"/>
      <c r="L5" s="24"/>
      <c r="M5" s="2"/>
      <c r="N5" s="2"/>
      <c r="O5" s="2"/>
      <c r="P5" s="2"/>
      <c r="Q5" s="2"/>
      <c r="R5" s="2"/>
      <c r="S5" s="2"/>
      <c r="T5" s="2"/>
      <c r="U5" s="2"/>
      <c r="V5" s="2"/>
      <c r="W5" s="2"/>
      <c r="X5" s="2"/>
    </row>
    <row r="6" spans="1:24" ht="18">
      <c r="A6" s="17" t="s">
        <v>46</v>
      </c>
      <c r="B6" s="29">
        <f>'IMC Schedule'!P48</f>
        <v>7.9000000000000015E-2</v>
      </c>
      <c r="C6" s="29">
        <f>'IMC Schedule'!P92</f>
        <v>8.7999999999999995E-2</v>
      </c>
      <c r="D6" s="29">
        <f>'IMC Schedule'!P137</f>
        <v>0.16700000000000001</v>
      </c>
      <c r="E6" s="29">
        <f>'IMC Schedule'!P182</f>
        <v>0.17800000000000002</v>
      </c>
      <c r="F6" s="29">
        <f>'IMC Schedule'!P227</f>
        <v>0.19</v>
      </c>
      <c r="G6" s="2"/>
      <c r="H6" s="24"/>
      <c r="I6" s="23" t="s">
        <v>50</v>
      </c>
      <c r="J6" s="24"/>
      <c r="K6" s="24"/>
      <c r="L6" s="24"/>
      <c r="M6" s="2"/>
      <c r="N6" s="2"/>
      <c r="O6" s="2"/>
      <c r="P6" s="2"/>
      <c r="Q6" s="2"/>
      <c r="R6" s="2"/>
      <c r="S6" s="2"/>
      <c r="T6" s="2"/>
      <c r="U6" s="2"/>
      <c r="V6" s="2"/>
      <c r="W6" s="2"/>
      <c r="X6" s="2"/>
    </row>
    <row r="7" spans="1:24" ht="18">
      <c r="A7" s="17" t="s">
        <v>29</v>
      </c>
      <c r="B7" s="29">
        <f>ACV!F28</f>
        <v>0.13210060000000001</v>
      </c>
      <c r="C7" s="29">
        <f>ACV!G28</f>
        <v>0.141399996</v>
      </c>
      <c r="D7" s="29">
        <f>ACV!H28</f>
        <v>0.16348599816000001</v>
      </c>
      <c r="E7" s="29">
        <f>ACV!I28-0.0015%</f>
        <v>0.24357390140416002</v>
      </c>
      <c r="F7" s="29">
        <f>ACV!J28-0.004%</f>
        <v>0.27086580355361028</v>
      </c>
      <c r="G7" s="2"/>
      <c r="H7" s="24"/>
      <c r="I7" s="24"/>
      <c r="J7" s="24"/>
      <c r="K7" s="24"/>
      <c r="L7" s="24"/>
      <c r="M7" s="2"/>
      <c r="N7" s="2"/>
      <c r="O7" s="2"/>
      <c r="P7" s="2"/>
      <c r="Q7" s="2"/>
      <c r="R7" s="2"/>
      <c r="S7" s="2"/>
      <c r="T7" s="2"/>
      <c r="U7" s="2"/>
      <c r="V7" s="2"/>
      <c r="W7" s="2"/>
      <c r="X7" s="2"/>
    </row>
    <row r="8" spans="1:24" ht="18">
      <c r="A8" s="17" t="s">
        <v>53</v>
      </c>
      <c r="B8" s="33">
        <v>1</v>
      </c>
      <c r="C8" s="33">
        <v>1</v>
      </c>
      <c r="D8" s="33">
        <v>1</v>
      </c>
      <c r="E8" s="33">
        <v>1</v>
      </c>
      <c r="F8" s="33">
        <v>1</v>
      </c>
      <c r="G8" s="2"/>
      <c r="H8" s="2"/>
      <c r="I8" s="2"/>
      <c r="J8" s="2"/>
      <c r="K8" s="2"/>
      <c r="L8" s="2"/>
      <c r="M8" s="8"/>
      <c r="N8" s="2"/>
      <c r="O8" s="2"/>
      <c r="P8" s="2"/>
      <c r="Q8" s="2"/>
      <c r="R8" s="2"/>
      <c r="S8" s="2"/>
      <c r="T8" s="2"/>
      <c r="U8" s="2"/>
      <c r="V8" s="2"/>
      <c r="W8" s="2"/>
      <c r="X8" s="2"/>
    </row>
    <row r="9" spans="1:24" ht="18">
      <c r="A9" s="17" t="s">
        <v>54</v>
      </c>
      <c r="B9" s="19">
        <f t="shared" ref="B9:F9" si="1">B4*B5*B6*B7</f>
        <v>8626.7252961811664</v>
      </c>
      <c r="C9" s="19">
        <f t="shared" si="1"/>
        <v>10699.61272304745</v>
      </c>
      <c r="D9" s="19">
        <f t="shared" si="1"/>
        <v>24667.486703754319</v>
      </c>
      <c r="E9" s="19">
        <f t="shared" si="1"/>
        <v>43296.225182683716</v>
      </c>
      <c r="F9" s="19">
        <f t="shared" si="1"/>
        <v>53683.068559003754</v>
      </c>
      <c r="G9" s="2"/>
      <c r="H9" s="1307" t="s">
        <v>55</v>
      </c>
      <c r="I9" s="1305"/>
      <c r="J9" s="1305"/>
      <c r="K9" s="1305"/>
      <c r="L9" s="1305"/>
      <c r="M9" s="1305"/>
      <c r="N9" s="1306"/>
      <c r="O9" s="2"/>
      <c r="P9" s="2"/>
      <c r="Q9" s="2"/>
      <c r="R9" s="2"/>
      <c r="S9" s="2"/>
      <c r="T9" s="2"/>
      <c r="U9" s="2"/>
      <c r="V9" s="2"/>
      <c r="W9" s="2"/>
      <c r="X9" s="2"/>
    </row>
    <row r="10" spans="1:24" ht="18">
      <c r="A10" s="17" t="s">
        <v>56</v>
      </c>
      <c r="B10" s="37">
        <v>0</v>
      </c>
      <c r="C10" s="37">
        <v>0</v>
      </c>
      <c r="D10" s="37">
        <v>0</v>
      </c>
      <c r="E10" s="37">
        <v>0</v>
      </c>
      <c r="F10" s="37">
        <v>0</v>
      </c>
      <c r="G10" s="2"/>
      <c r="H10" s="38" t="s">
        <v>17</v>
      </c>
      <c r="I10" s="38">
        <v>1</v>
      </c>
      <c r="J10" s="38">
        <v>2</v>
      </c>
      <c r="K10" s="38">
        <v>3</v>
      </c>
      <c r="L10" s="38">
        <v>4</v>
      </c>
      <c r="M10" s="38">
        <v>5</v>
      </c>
      <c r="N10" s="39" t="s">
        <v>58</v>
      </c>
      <c r="O10" s="2"/>
      <c r="P10" s="2"/>
      <c r="Q10" s="2"/>
      <c r="R10" s="2"/>
      <c r="S10" s="2"/>
      <c r="T10" s="2"/>
      <c r="U10" s="2"/>
      <c r="V10" s="2"/>
      <c r="W10" s="2"/>
      <c r="X10" s="2"/>
    </row>
    <row r="11" spans="1:24" ht="36">
      <c r="A11" s="17" t="s">
        <v>59</v>
      </c>
      <c r="B11" s="1005">
        <v>0</v>
      </c>
      <c r="C11" s="1005">
        <v>0</v>
      </c>
      <c r="D11" s="1005">
        <f>0.2*D9*D8</f>
        <v>4933.4973407508642</v>
      </c>
      <c r="E11" s="1005">
        <f>0.3*E9*E8</f>
        <v>12988.867554805114</v>
      </c>
      <c r="F11" s="1005">
        <f>0.35*F9*F8</f>
        <v>18789.073995651313</v>
      </c>
      <c r="G11" s="2"/>
      <c r="H11" s="17" t="s">
        <v>60</v>
      </c>
      <c r="I11" s="43">
        <f>(B$12+B$27+B$42)*IF(Index!$C$16=-1,0.9,IF(Index!$C$16=1,1.1,1))</f>
        <v>68212</v>
      </c>
      <c r="J11" s="43">
        <f>(C$12+C$27+C$42)*IF(Index!$C$16=-1,0.9,IF(Index!$C$16=1,1.1,1))</f>
        <v>91223</v>
      </c>
      <c r="K11" s="43">
        <f>(D$12+D$27+D$42)*IF(Index!$C$16=-1,0.9,IF(Index!$C$16=1,1.1,1))</f>
        <v>161606</v>
      </c>
      <c r="L11" s="43">
        <f>(E$12+E$27+E$42)*IF(Index!$C$16=-1,0.9,IF(Index!$C$16=1,1.1,1))</f>
        <v>245757</v>
      </c>
      <c r="M11" s="43">
        <f>(F$12+F$27+F$42)*IF(Index!$C$16=-1,0.9,IF(Index!$C$16=1,1.1,1))</f>
        <v>297058</v>
      </c>
      <c r="N11" s="45"/>
      <c r="O11" s="2"/>
      <c r="P11" s="2"/>
      <c r="Q11" s="2"/>
      <c r="R11" s="2"/>
      <c r="S11" s="2"/>
      <c r="T11" s="2"/>
      <c r="U11" s="2"/>
      <c r="V11" s="2"/>
      <c r="W11" s="2"/>
      <c r="X11" s="2"/>
    </row>
    <row r="12" spans="1:24" ht="36">
      <c r="A12" s="9" t="s">
        <v>62</v>
      </c>
      <c r="B12" s="46">
        <f t="shared" ref="B12:F12" si="2">ROUND(B9*B8+B10-B11,0)</f>
        <v>8627</v>
      </c>
      <c r="C12" s="46">
        <f t="shared" si="2"/>
        <v>10700</v>
      </c>
      <c r="D12" s="46">
        <f t="shared" si="2"/>
        <v>19734</v>
      </c>
      <c r="E12" s="46">
        <f t="shared" si="2"/>
        <v>30307</v>
      </c>
      <c r="F12" s="46">
        <f t="shared" si="2"/>
        <v>34894</v>
      </c>
      <c r="G12" s="2"/>
      <c r="H12" s="17" t="s">
        <v>64</v>
      </c>
      <c r="I12" s="49">
        <f t="shared" ref="I12:M12" si="3">B14+B29+B44</f>
        <v>4340202.4425324332</v>
      </c>
      <c r="J12" s="49">
        <f t="shared" si="3"/>
        <v>5723724.3956251601</v>
      </c>
      <c r="K12" s="49">
        <f t="shared" si="3"/>
        <v>9893505.6916859746</v>
      </c>
      <c r="L12" s="49">
        <f t="shared" si="3"/>
        <v>14459598.748085728</v>
      </c>
      <c r="M12" s="49">
        <f t="shared" si="3"/>
        <v>17329702.257459659</v>
      </c>
      <c r="N12" s="45"/>
      <c r="O12" s="2"/>
      <c r="P12" s="2"/>
      <c r="Q12" s="2"/>
      <c r="R12" s="2"/>
      <c r="S12" s="2"/>
      <c r="T12" s="2"/>
      <c r="U12" s="2"/>
      <c r="V12" s="2"/>
      <c r="W12" s="2"/>
      <c r="X12" s="2"/>
    </row>
    <row r="13" spans="1:24" ht="54">
      <c r="A13" s="17" t="s">
        <v>66</v>
      </c>
      <c r="B13" s="50">
        <f>'Avg. Weighted Manufacturer''s Pr'!C7</f>
        <v>63.628136435413609</v>
      </c>
      <c r="C13" s="50">
        <f>'Avg. Weighted Manufacturer''s Pr'!C16</f>
        <v>62.744312241706147</v>
      </c>
      <c r="D13" s="50">
        <f>'Avg. Weighted Manufacturer''s Pr'!C25</f>
        <v>61.219915669504694</v>
      </c>
      <c r="E13" s="50">
        <f>'Avg. Weighted Manufacturer''s Pr'!C34</f>
        <v>58.836976151587656</v>
      </c>
      <c r="F13" s="50">
        <f>'Avg. Weighted Manufacturer''s Pr'!C43</f>
        <v>58.337773288245586</v>
      </c>
      <c r="G13" s="2"/>
      <c r="H13" s="52" t="s">
        <v>68</v>
      </c>
      <c r="I13" s="53"/>
      <c r="J13" s="54">
        <f t="shared" ref="J13:M13" si="4">(J11-I11)/I11</f>
        <v>0.33734533513164838</v>
      </c>
      <c r="K13" s="54">
        <f t="shared" si="4"/>
        <v>0.77154884184909511</v>
      </c>
      <c r="L13" s="54">
        <f t="shared" si="4"/>
        <v>0.52071705258468126</v>
      </c>
      <c r="M13" s="54">
        <f t="shared" si="4"/>
        <v>0.20874685156475706</v>
      </c>
      <c r="N13" s="55">
        <f>AVERAGE(J13:M13)</f>
        <v>0.45958952028254541</v>
      </c>
      <c r="O13" s="2"/>
      <c r="P13" s="2"/>
      <c r="Q13" s="2"/>
      <c r="R13" s="2"/>
      <c r="S13" s="2"/>
      <c r="T13" s="2"/>
      <c r="U13" s="2"/>
      <c r="V13" s="2"/>
      <c r="W13" s="2"/>
      <c r="X13" s="2"/>
    </row>
    <row r="14" spans="1:24" ht="18">
      <c r="A14" s="9" t="s">
        <v>70</v>
      </c>
      <c r="B14" s="58">
        <f t="shared" ref="B14:F14" si="5">B12*B13</f>
        <v>548919.93302831321</v>
      </c>
      <c r="C14" s="58">
        <f t="shared" si="5"/>
        <v>671364.14098625572</v>
      </c>
      <c r="D14" s="58">
        <f t="shared" si="5"/>
        <v>1208113.8158220057</v>
      </c>
      <c r="E14" s="58">
        <f t="shared" si="5"/>
        <v>1783172.2362261671</v>
      </c>
      <c r="F14" s="58">
        <f t="shared" si="5"/>
        <v>2035638.2611200414</v>
      </c>
      <c r="G14" s="2"/>
      <c r="H14" s="2"/>
      <c r="I14" s="2"/>
      <c r="J14" s="2"/>
      <c r="K14" s="2"/>
      <c r="L14" s="2"/>
      <c r="M14" s="2"/>
      <c r="N14" s="2"/>
      <c r="O14" s="2"/>
      <c r="P14" s="2"/>
      <c r="Q14" s="2"/>
      <c r="R14" s="2"/>
      <c r="S14" s="2"/>
      <c r="T14" s="2"/>
      <c r="U14" s="2"/>
      <c r="V14" s="2"/>
      <c r="W14" s="2"/>
      <c r="X14" s="2"/>
    </row>
    <row r="15" spans="1:24" ht="18">
      <c r="A15" s="59"/>
      <c r="B15" s="59"/>
      <c r="C15" s="59"/>
      <c r="D15" s="59"/>
      <c r="E15" s="59"/>
      <c r="F15" s="59"/>
      <c r="G15" s="2"/>
      <c r="H15" s="60"/>
      <c r="I15" s="62"/>
      <c r="J15" s="62"/>
      <c r="K15" s="62"/>
      <c r="L15" s="62"/>
      <c r="M15" s="62"/>
      <c r="N15" s="2"/>
      <c r="O15" s="2"/>
      <c r="P15" s="2"/>
      <c r="Q15" s="2"/>
      <c r="R15" s="2"/>
      <c r="S15" s="2"/>
      <c r="T15" s="2"/>
      <c r="U15" s="2"/>
      <c r="V15" s="2"/>
      <c r="W15" s="2"/>
      <c r="X15" s="2"/>
    </row>
    <row r="16" spans="1:24" ht="18">
      <c r="A16" s="59"/>
      <c r="B16" s="59"/>
      <c r="C16" s="59"/>
      <c r="D16" s="59"/>
      <c r="E16" s="59"/>
      <c r="F16" s="59"/>
      <c r="G16" s="2"/>
      <c r="H16" s="2"/>
      <c r="I16" s="63"/>
      <c r="J16" s="63"/>
      <c r="K16" s="63"/>
      <c r="L16" s="63"/>
      <c r="M16" s="63"/>
      <c r="N16" s="2"/>
      <c r="O16" s="2"/>
      <c r="P16" s="2"/>
      <c r="Q16" s="2"/>
      <c r="R16" s="2"/>
      <c r="S16" s="2"/>
      <c r="T16" s="2"/>
      <c r="U16" s="2"/>
      <c r="V16" s="2"/>
      <c r="W16" s="2"/>
      <c r="X16" s="2"/>
    </row>
    <row r="17" spans="1:24" ht="18">
      <c r="A17" s="1304" t="s">
        <v>71</v>
      </c>
      <c r="B17" s="1305"/>
      <c r="C17" s="1305"/>
      <c r="D17" s="1305"/>
      <c r="E17" s="1305"/>
      <c r="F17" s="1306"/>
      <c r="G17" s="2"/>
      <c r="H17" s="2"/>
      <c r="I17" s="2"/>
      <c r="J17" s="2"/>
      <c r="K17" s="2"/>
      <c r="L17" s="2"/>
      <c r="M17" s="2"/>
      <c r="N17" s="2"/>
      <c r="O17" s="2"/>
      <c r="P17" s="2"/>
      <c r="Q17" s="2"/>
      <c r="R17" s="2"/>
      <c r="S17" s="2"/>
      <c r="T17" s="2"/>
      <c r="U17" s="2"/>
      <c r="V17" s="2"/>
      <c r="W17" s="2"/>
      <c r="X17" s="2"/>
    </row>
    <row r="18" spans="1:24" ht="18">
      <c r="A18" s="9" t="s">
        <v>17</v>
      </c>
      <c r="B18" s="10">
        <v>1</v>
      </c>
      <c r="C18" s="10">
        <v>2</v>
      </c>
      <c r="D18" s="10">
        <v>3</v>
      </c>
      <c r="E18" s="10">
        <v>4</v>
      </c>
      <c r="F18" s="10">
        <v>5</v>
      </c>
      <c r="G18" s="2"/>
      <c r="H18" s="2"/>
      <c r="I18" s="2"/>
      <c r="J18" s="2"/>
      <c r="K18" s="2"/>
      <c r="L18" s="2"/>
      <c r="M18" s="2"/>
      <c r="N18" s="2"/>
      <c r="O18" s="2"/>
      <c r="P18" s="2"/>
      <c r="Q18" s="2"/>
      <c r="R18" s="2"/>
      <c r="S18" s="2"/>
      <c r="T18" s="2"/>
      <c r="U18" s="2"/>
      <c r="V18" s="2"/>
      <c r="W18" s="2"/>
      <c r="X18" s="2"/>
    </row>
    <row r="19" spans="1:24" ht="18">
      <c r="A19" s="17" t="s">
        <v>34</v>
      </c>
      <c r="B19" s="64">
        <f>'Segmentation Tree'!G27</f>
        <v>6759463</v>
      </c>
      <c r="C19" s="64">
        <f t="shared" ref="C19:F19" si="6">(B19*1.007)-B27</f>
        <v>6793275.2409999995</v>
      </c>
      <c r="D19" s="64">
        <f t="shared" si="6"/>
        <v>6824771.1676869988</v>
      </c>
      <c r="E19" s="64">
        <f t="shared" si="6"/>
        <v>6844442.565860807</v>
      </c>
      <c r="F19" s="64">
        <f t="shared" si="6"/>
        <v>6849160.6638218323</v>
      </c>
      <c r="G19" s="2"/>
      <c r="H19" s="2"/>
      <c r="I19" s="2"/>
      <c r="J19" s="2"/>
      <c r="K19" s="2"/>
      <c r="L19" s="2"/>
      <c r="M19" s="2"/>
      <c r="N19" s="2"/>
      <c r="O19" s="2"/>
      <c r="P19" s="2"/>
      <c r="Q19" s="2"/>
      <c r="R19" s="2"/>
      <c r="S19" s="2"/>
      <c r="T19" s="2"/>
      <c r="U19" s="2"/>
      <c r="V19" s="2"/>
      <c r="W19" s="2"/>
      <c r="X19" s="2"/>
    </row>
    <row r="20" spans="1:24" ht="36">
      <c r="A20" s="17" t="s">
        <v>72</v>
      </c>
      <c r="B20" s="26">
        <f>'Purchase Intent and Price'!M44</f>
        <v>0.19900000000000012</v>
      </c>
      <c r="C20" s="26">
        <f>'Purchase Intent and Price'!M45</f>
        <v>0.19900000000000001</v>
      </c>
      <c r="D20" s="26">
        <f>'Purchase Intent and Price'!M46</f>
        <v>0.20181861312897192</v>
      </c>
      <c r="E20" s="26">
        <f>'Purchase Intent and Price'!M47</f>
        <v>0.22029887860820113</v>
      </c>
      <c r="F20" s="26">
        <f>'Purchase Intent and Price'!M48</f>
        <v>0.22390072891428747</v>
      </c>
      <c r="G20" s="2"/>
      <c r="H20" s="2"/>
      <c r="I20" s="2"/>
      <c r="J20" s="67"/>
      <c r="K20" s="67"/>
      <c r="L20" s="68"/>
      <c r="M20" s="69"/>
      <c r="N20" s="2"/>
      <c r="O20" s="2"/>
      <c r="P20" s="2"/>
      <c r="Q20" s="2"/>
      <c r="R20" s="2"/>
      <c r="S20" s="2"/>
      <c r="T20" s="2"/>
      <c r="U20" s="2"/>
      <c r="V20" s="2"/>
      <c r="W20" s="2"/>
      <c r="X20" s="2"/>
    </row>
    <row r="21" spans="1:24" ht="18">
      <c r="A21" s="17" t="s">
        <v>46</v>
      </c>
      <c r="B21" s="29">
        <f>'IMC Schedule'!Q48</f>
        <v>7.5997999999999996E-2</v>
      </c>
      <c r="C21" s="29">
        <f>'IMC Schedule'!Q92</f>
        <v>8.3999999999999977E-2</v>
      </c>
      <c r="D21" s="29">
        <f>'IMC Schedule'!Q137</f>
        <v>0.156</v>
      </c>
      <c r="E21" s="29">
        <f>'IMC Schedule'!Q182</f>
        <v>0.16800000000000004</v>
      </c>
      <c r="F21" s="29">
        <f>'IMC Schedule'!Q227</f>
        <v>0.17900000000000002</v>
      </c>
      <c r="G21" s="2"/>
      <c r="H21" s="2"/>
      <c r="I21" s="2"/>
      <c r="J21" s="2"/>
      <c r="K21" s="2"/>
      <c r="L21" s="2"/>
      <c r="M21" s="2"/>
      <c r="N21" s="2"/>
      <c r="O21" s="2"/>
      <c r="P21" s="2"/>
      <c r="Q21" s="2"/>
      <c r="R21" s="2"/>
      <c r="S21" s="2"/>
      <c r="T21" s="2"/>
      <c r="U21" s="2"/>
      <c r="V21" s="2"/>
      <c r="W21" s="2"/>
      <c r="X21" s="2"/>
    </row>
    <row r="22" spans="1:24" ht="18">
      <c r="A22" s="17" t="s">
        <v>29</v>
      </c>
      <c r="B22" s="29">
        <f>ACV!F28</f>
        <v>0.13210060000000001</v>
      </c>
      <c r="C22" s="29">
        <f>ACV!G28</f>
        <v>0.141399996</v>
      </c>
      <c r="D22" s="29">
        <f>ACV!H28</f>
        <v>0.16348599816000001</v>
      </c>
      <c r="E22" s="29">
        <f>ACV!I28</f>
        <v>0.24358890140416001</v>
      </c>
      <c r="F22" s="29">
        <f>ACV!J28</f>
        <v>0.27090580355361027</v>
      </c>
      <c r="G22" s="2"/>
      <c r="H22" s="2"/>
      <c r="I22" s="2"/>
      <c r="J22" s="2"/>
      <c r="K22" s="2"/>
      <c r="L22" s="2"/>
      <c r="M22" s="2"/>
      <c r="N22" s="2"/>
      <c r="O22" s="2"/>
      <c r="P22" s="2"/>
      <c r="Q22" s="2"/>
      <c r="R22" s="2"/>
      <c r="S22" s="2"/>
      <c r="T22" s="2"/>
      <c r="U22" s="2"/>
      <c r="V22" s="2"/>
      <c r="W22" s="2"/>
      <c r="X22" s="2"/>
    </row>
    <row r="23" spans="1:24" ht="18">
      <c r="A23" s="17" t="s">
        <v>53</v>
      </c>
      <c r="B23" s="71">
        <v>1</v>
      </c>
      <c r="C23" s="71">
        <v>1</v>
      </c>
      <c r="D23" s="71">
        <v>1</v>
      </c>
      <c r="E23" s="71">
        <v>1</v>
      </c>
      <c r="F23" s="71">
        <v>1</v>
      </c>
      <c r="G23" s="2"/>
      <c r="H23" s="2"/>
      <c r="I23" s="2"/>
      <c r="J23" s="2"/>
      <c r="K23" s="2"/>
      <c r="L23" s="2"/>
      <c r="M23" s="2"/>
      <c r="N23" s="2"/>
      <c r="O23" s="2"/>
      <c r="P23" s="2"/>
      <c r="Q23" s="2"/>
      <c r="R23" s="2"/>
      <c r="S23" s="2"/>
      <c r="T23" s="2"/>
      <c r="U23" s="2"/>
      <c r="V23" s="2"/>
      <c r="W23" s="2"/>
      <c r="X23" s="2"/>
    </row>
    <row r="24" spans="1:24" ht="18">
      <c r="A24" s="17" t="s">
        <v>54</v>
      </c>
      <c r="B24" s="64">
        <f t="shared" ref="B24:F24" si="7">B19*B20*B21*B22</f>
        <v>13504.304594507301</v>
      </c>
      <c r="C24" s="64">
        <f t="shared" si="7"/>
        <v>16056.872940272258</v>
      </c>
      <c r="D24" s="64">
        <f t="shared" si="7"/>
        <v>35128.08485835429</v>
      </c>
      <c r="E24" s="64">
        <f t="shared" si="7"/>
        <v>61704.544176323601</v>
      </c>
      <c r="F24" s="64">
        <f t="shared" si="7"/>
        <v>74364.249809502231</v>
      </c>
      <c r="G24" s="2"/>
      <c r="H24" s="2"/>
      <c r="I24" s="2"/>
      <c r="J24" s="2"/>
      <c r="K24" s="2"/>
      <c r="L24" s="2"/>
      <c r="M24" s="2"/>
      <c r="N24" s="2"/>
      <c r="O24" s="2"/>
      <c r="P24" s="2"/>
      <c r="Q24" s="2"/>
      <c r="R24" s="2"/>
      <c r="S24" s="2"/>
      <c r="T24" s="2"/>
      <c r="U24" s="2"/>
      <c r="V24" s="2"/>
      <c r="W24" s="2"/>
      <c r="X24" s="2"/>
    </row>
    <row r="25" spans="1:24" ht="18">
      <c r="A25" s="17" t="s">
        <v>56</v>
      </c>
      <c r="B25" s="44">
        <v>0</v>
      </c>
      <c r="C25" s="44">
        <v>0</v>
      </c>
      <c r="D25" s="44">
        <v>0</v>
      </c>
      <c r="E25" s="44">
        <v>0</v>
      </c>
      <c r="F25" s="44">
        <v>0</v>
      </c>
      <c r="G25" s="2"/>
      <c r="H25" s="2"/>
      <c r="I25" s="2"/>
      <c r="J25" s="2"/>
      <c r="K25" s="2"/>
      <c r="L25" s="2"/>
      <c r="M25" s="2"/>
      <c r="N25" s="2"/>
      <c r="O25" s="2"/>
      <c r="P25" s="2"/>
      <c r="Q25" s="2"/>
      <c r="R25" s="2"/>
      <c r="S25" s="2"/>
      <c r="T25" s="2"/>
      <c r="U25" s="2"/>
      <c r="V25" s="2"/>
      <c r="W25" s="2"/>
      <c r="X25" s="2"/>
    </row>
    <row r="26" spans="1:24" ht="18">
      <c r="A26" s="17" t="s">
        <v>59</v>
      </c>
      <c r="B26" s="64">
        <v>0</v>
      </c>
      <c r="C26" s="64">
        <v>0</v>
      </c>
      <c r="D26" s="64">
        <f>0.2*D24*D23</f>
        <v>7025.6169716708582</v>
      </c>
      <c r="E26" s="64">
        <f t="shared" ref="E26:F26" si="8">0.3*E24*E23</f>
        <v>18511.363252897081</v>
      </c>
      <c r="F26" s="64">
        <f t="shared" si="8"/>
        <v>22309.274942850669</v>
      </c>
      <c r="G26" s="2"/>
      <c r="H26" s="2"/>
      <c r="I26" s="2"/>
      <c r="J26" s="2"/>
      <c r="K26" s="2"/>
      <c r="L26" s="2"/>
      <c r="M26" s="2"/>
      <c r="N26" s="2"/>
      <c r="O26" s="2"/>
      <c r="P26" s="2"/>
      <c r="Q26" s="2"/>
      <c r="R26" s="2"/>
      <c r="S26" s="2"/>
      <c r="T26" s="2"/>
      <c r="U26" s="2"/>
      <c r="V26" s="2"/>
      <c r="W26" s="2"/>
      <c r="X26" s="2"/>
    </row>
    <row r="27" spans="1:24" ht="18">
      <c r="A27" s="9" t="s">
        <v>62</v>
      </c>
      <c r="B27" s="73">
        <f t="shared" ref="B27:F27" si="9">ROUND(B24*B23+B25-B26,0)</f>
        <v>13504</v>
      </c>
      <c r="C27" s="73">
        <f t="shared" si="9"/>
        <v>16057</v>
      </c>
      <c r="D27" s="73">
        <f t="shared" si="9"/>
        <v>28102</v>
      </c>
      <c r="E27" s="73">
        <f t="shared" si="9"/>
        <v>43193</v>
      </c>
      <c r="F27" s="73">
        <f t="shared" si="9"/>
        <v>52055</v>
      </c>
      <c r="G27" s="2"/>
      <c r="H27" s="2"/>
      <c r="I27" s="2"/>
      <c r="J27" s="2"/>
      <c r="K27" s="2"/>
      <c r="L27" s="2"/>
      <c r="M27" s="2"/>
      <c r="N27" s="2"/>
      <c r="O27" s="2"/>
      <c r="P27" s="2"/>
      <c r="Q27" s="2"/>
      <c r="R27" s="2"/>
      <c r="S27" s="2"/>
      <c r="T27" s="2"/>
      <c r="U27" s="2"/>
      <c r="V27" s="2"/>
      <c r="W27" s="2"/>
      <c r="X27" s="2"/>
    </row>
    <row r="28" spans="1:24" ht="54">
      <c r="A28" s="17" t="s">
        <v>66</v>
      </c>
      <c r="B28" s="50">
        <f t="shared" ref="B28:F28" si="10">B13</f>
        <v>63.628136435413609</v>
      </c>
      <c r="C28" s="50">
        <f t="shared" si="10"/>
        <v>62.744312241706147</v>
      </c>
      <c r="D28" s="50">
        <f t="shared" si="10"/>
        <v>61.219915669504694</v>
      </c>
      <c r="E28" s="50">
        <f t="shared" si="10"/>
        <v>58.836976151587656</v>
      </c>
      <c r="F28" s="50">
        <f t="shared" si="10"/>
        <v>58.337773288245586</v>
      </c>
      <c r="G28" s="2"/>
      <c r="H28" s="2"/>
      <c r="I28" s="2"/>
      <c r="J28" s="2"/>
      <c r="K28" s="2"/>
      <c r="L28" s="2"/>
      <c r="M28" s="2"/>
      <c r="N28" s="2"/>
      <c r="O28" s="2"/>
      <c r="P28" s="2"/>
      <c r="Q28" s="2"/>
      <c r="R28" s="2"/>
      <c r="S28" s="2"/>
      <c r="T28" s="2"/>
      <c r="U28" s="2"/>
      <c r="V28" s="2"/>
      <c r="W28" s="2"/>
      <c r="X28" s="2"/>
    </row>
    <row r="29" spans="1:24" ht="18">
      <c r="A29" s="9" t="s">
        <v>70</v>
      </c>
      <c r="B29" s="75">
        <f t="shared" ref="B29:F29" si="11">B27*B28</f>
        <v>859234.3544238254</v>
      </c>
      <c r="C29" s="75">
        <f t="shared" si="11"/>
        <v>1007485.4216650756</v>
      </c>
      <c r="D29" s="75">
        <f t="shared" si="11"/>
        <v>1720402.070144421</v>
      </c>
      <c r="E29" s="75">
        <f t="shared" si="11"/>
        <v>2541345.5109155257</v>
      </c>
      <c r="F29" s="75">
        <f t="shared" si="11"/>
        <v>3036772.7885196242</v>
      </c>
      <c r="G29" s="2"/>
      <c r="H29" s="2"/>
      <c r="I29" s="2"/>
      <c r="J29" s="2"/>
      <c r="K29" s="2"/>
      <c r="L29" s="2"/>
      <c r="M29" s="2"/>
      <c r="N29" s="2"/>
      <c r="O29" s="2"/>
      <c r="P29" s="2"/>
      <c r="Q29" s="2"/>
      <c r="R29" s="2"/>
      <c r="S29" s="2"/>
      <c r="T29" s="2"/>
      <c r="U29" s="2"/>
      <c r="V29" s="2"/>
      <c r="W29" s="2"/>
      <c r="X29" s="2"/>
    </row>
    <row r="30" spans="1:24" ht="18">
      <c r="A30" s="76"/>
      <c r="B30" s="59"/>
      <c r="C30" s="59"/>
      <c r="D30" s="59"/>
      <c r="E30" s="59"/>
      <c r="F30" s="59"/>
      <c r="G30" s="2"/>
      <c r="H30" s="2"/>
      <c r="I30" s="2"/>
      <c r="J30" s="2"/>
      <c r="K30" s="2"/>
      <c r="L30" s="2"/>
      <c r="M30" s="2"/>
      <c r="N30" s="2"/>
      <c r="O30" s="2"/>
      <c r="P30" s="2"/>
      <c r="Q30" s="2"/>
      <c r="R30" s="2"/>
      <c r="S30" s="2"/>
      <c r="T30" s="2"/>
      <c r="U30" s="2"/>
      <c r="V30" s="2"/>
      <c r="W30" s="2"/>
      <c r="X30" s="2"/>
    </row>
    <row r="31" spans="1:24" ht="18">
      <c r="A31" s="76"/>
      <c r="B31" s="59"/>
      <c r="C31" s="59"/>
      <c r="D31" s="59"/>
      <c r="E31" s="59"/>
      <c r="F31" s="59"/>
      <c r="G31" s="2"/>
      <c r="H31" s="2"/>
      <c r="I31" s="2"/>
      <c r="J31" s="2"/>
      <c r="K31" s="2"/>
      <c r="L31" s="2"/>
      <c r="M31" s="2"/>
      <c r="N31" s="2"/>
      <c r="O31" s="2"/>
      <c r="P31" s="2"/>
      <c r="Q31" s="2"/>
      <c r="R31" s="2"/>
      <c r="S31" s="2"/>
      <c r="T31" s="2"/>
      <c r="U31" s="2"/>
      <c r="V31" s="2"/>
      <c r="W31" s="2"/>
      <c r="X31" s="2"/>
    </row>
    <row r="32" spans="1:24" ht="18">
      <c r="A32" s="1304" t="s">
        <v>78</v>
      </c>
      <c r="B32" s="1305"/>
      <c r="C32" s="1305"/>
      <c r="D32" s="1305"/>
      <c r="E32" s="1305"/>
      <c r="F32" s="1306"/>
      <c r="G32" s="2"/>
      <c r="H32" s="2"/>
      <c r="I32" s="2"/>
      <c r="J32" s="2"/>
      <c r="K32" s="2"/>
      <c r="L32" s="2"/>
      <c r="M32" s="2"/>
      <c r="N32" s="2"/>
      <c r="O32" s="2"/>
      <c r="P32" s="2"/>
      <c r="Q32" s="2"/>
      <c r="R32" s="2"/>
      <c r="S32" s="2"/>
      <c r="T32" s="2"/>
      <c r="U32" s="2"/>
      <c r="V32" s="2"/>
      <c r="W32" s="2"/>
      <c r="X32" s="2"/>
    </row>
    <row r="33" spans="1:24" ht="18">
      <c r="A33" s="9" t="s">
        <v>17</v>
      </c>
      <c r="B33" s="10">
        <v>1</v>
      </c>
      <c r="C33" s="10">
        <v>2</v>
      </c>
      <c r="D33" s="10">
        <v>3</v>
      </c>
      <c r="E33" s="10">
        <v>4</v>
      </c>
      <c r="F33" s="10">
        <v>5</v>
      </c>
      <c r="G33" s="2"/>
      <c r="H33" s="2"/>
      <c r="I33" s="2"/>
      <c r="J33" s="2"/>
      <c r="K33" s="2"/>
      <c r="L33" s="2"/>
      <c r="M33" s="2"/>
      <c r="N33" s="2"/>
      <c r="O33" s="2"/>
      <c r="P33" s="2"/>
      <c r="Q33" s="2"/>
      <c r="R33" s="2"/>
      <c r="S33" s="2"/>
      <c r="T33" s="2"/>
      <c r="U33" s="2"/>
      <c r="V33" s="2"/>
      <c r="W33" s="2"/>
      <c r="X33" s="2"/>
    </row>
    <row r="34" spans="1:24" ht="18">
      <c r="A34" s="17" t="s">
        <v>34</v>
      </c>
      <c r="B34" s="64">
        <f>'Segmentation Tree'!L27</f>
        <v>28131584</v>
      </c>
      <c r="C34" s="64">
        <f t="shared" ref="C34:F34" si="12">(B34*1.007)-B42</f>
        <v>28282424.087999996</v>
      </c>
      <c r="D34" s="64">
        <f t="shared" si="12"/>
        <v>28415935.056615993</v>
      </c>
      <c r="E34" s="64">
        <f t="shared" si="12"/>
        <v>28501076.602012303</v>
      </c>
      <c r="F34" s="64">
        <f t="shared" si="12"/>
        <v>28528327.138226386</v>
      </c>
      <c r="G34" s="2"/>
      <c r="H34" s="2"/>
      <c r="I34" s="2"/>
      <c r="J34" s="2"/>
      <c r="K34" s="2"/>
      <c r="L34" s="2"/>
      <c r="M34" s="2"/>
      <c r="N34" s="2"/>
      <c r="O34" s="2"/>
      <c r="P34" s="2"/>
      <c r="Q34" s="2"/>
      <c r="R34" s="2"/>
      <c r="S34" s="2"/>
      <c r="T34" s="2"/>
      <c r="U34" s="2"/>
      <c r="V34" s="2"/>
      <c r="W34" s="2"/>
      <c r="X34" s="2"/>
    </row>
    <row r="35" spans="1:24" ht="36">
      <c r="A35" s="17" t="s">
        <v>79</v>
      </c>
      <c r="B35" s="26">
        <f>'Purchase Intent and Price'!M69</f>
        <v>0.24800000000000044</v>
      </c>
      <c r="C35" s="26">
        <f>'Purchase Intent and Price'!M70</f>
        <v>0.24800000000000022</v>
      </c>
      <c r="D35" s="26">
        <f>'Purchase Intent and Price'!M71</f>
        <v>0.25094337152263302</v>
      </c>
      <c r="E35" s="26">
        <f>'Purchase Intent and Price'!M72</f>
        <v>0.26852601654336894</v>
      </c>
      <c r="F35" s="26">
        <f>'Purchase Intent and Price'!M73</f>
        <v>0.27159085278867501</v>
      </c>
      <c r="G35" s="2"/>
      <c r="H35" s="2"/>
      <c r="I35" s="2"/>
      <c r="J35" s="2"/>
      <c r="K35" s="2"/>
      <c r="L35" s="2"/>
      <c r="M35" s="2"/>
      <c r="N35" s="2"/>
      <c r="O35" s="2"/>
      <c r="P35" s="2"/>
      <c r="Q35" s="2"/>
      <c r="R35" s="2"/>
      <c r="S35" s="2"/>
      <c r="T35" s="2"/>
      <c r="U35" s="2"/>
      <c r="V35" s="2"/>
      <c r="W35" s="2"/>
      <c r="X35" s="2"/>
    </row>
    <row r="36" spans="1:24" ht="18">
      <c r="A36" s="17" t="s">
        <v>46</v>
      </c>
      <c r="B36" s="29">
        <f>'IMC Schedule'!R48</f>
        <v>0.05</v>
      </c>
      <c r="C36" s="29">
        <f>'IMC Schedule'!R92</f>
        <v>6.5000000000000002E-2</v>
      </c>
      <c r="D36" s="29">
        <f>'IMC Schedule'!R137</f>
        <v>0.12199999999999997</v>
      </c>
      <c r="E36" s="29">
        <f>'IMC Schedule'!R182</f>
        <v>0.13200000000000001</v>
      </c>
      <c r="F36" s="26">
        <f>'IMC Schedule'!R227</f>
        <v>0.14300000000000002</v>
      </c>
      <c r="G36" s="2"/>
      <c r="H36" s="2"/>
      <c r="I36" s="2"/>
      <c r="J36" s="2"/>
      <c r="K36" s="2"/>
      <c r="L36" s="2"/>
      <c r="M36" s="2"/>
      <c r="N36" s="2"/>
      <c r="O36" s="2"/>
      <c r="P36" s="2"/>
      <c r="Q36" s="2"/>
      <c r="R36" s="2"/>
      <c r="S36" s="2"/>
      <c r="T36" s="2"/>
      <c r="U36" s="2"/>
      <c r="V36" s="2"/>
      <c r="W36" s="2"/>
      <c r="X36" s="2"/>
    </row>
    <row r="37" spans="1:24" ht="18">
      <c r="A37" s="17" t="s">
        <v>29</v>
      </c>
      <c r="B37" s="29">
        <f>ACV!F28</f>
        <v>0.13210060000000001</v>
      </c>
      <c r="C37" s="29">
        <f>ACV!G28</f>
        <v>0.141399996</v>
      </c>
      <c r="D37" s="29">
        <f>ACV!H28-0.0015%</f>
        <v>0.16347099816000002</v>
      </c>
      <c r="E37" s="29">
        <f>ACV!I28</f>
        <v>0.24358890140416001</v>
      </c>
      <c r="F37" s="29">
        <f>ACV!J28</f>
        <v>0.27090580355361027</v>
      </c>
      <c r="G37" s="2"/>
      <c r="H37" s="2"/>
      <c r="I37" s="2"/>
      <c r="J37" s="2"/>
      <c r="K37" s="2"/>
      <c r="L37" s="2"/>
      <c r="M37" s="2"/>
      <c r="N37" s="2"/>
      <c r="O37" s="2"/>
      <c r="P37" s="2"/>
      <c r="Q37" s="2"/>
      <c r="R37" s="2"/>
      <c r="S37" s="2"/>
      <c r="T37" s="2"/>
      <c r="U37" s="2"/>
      <c r="V37" s="2"/>
      <c r="W37" s="2"/>
      <c r="X37" s="2"/>
    </row>
    <row r="38" spans="1:24" ht="18">
      <c r="A38" s="17" t="s">
        <v>53</v>
      </c>
      <c r="B38" s="71">
        <v>1</v>
      </c>
      <c r="C38" s="71">
        <v>1</v>
      </c>
      <c r="D38" s="71">
        <v>1</v>
      </c>
      <c r="E38" s="71">
        <v>1</v>
      </c>
      <c r="F38" s="71">
        <v>1</v>
      </c>
      <c r="G38" s="2"/>
      <c r="H38" s="2"/>
      <c r="I38" s="2"/>
      <c r="J38" s="2"/>
      <c r="K38" s="2"/>
      <c r="L38" s="2"/>
      <c r="M38" s="2"/>
      <c r="N38" s="2"/>
      <c r="O38" s="2"/>
      <c r="P38" s="2"/>
      <c r="Q38" s="2"/>
      <c r="R38" s="2"/>
      <c r="S38" s="2"/>
      <c r="T38" s="2"/>
      <c r="U38" s="2"/>
      <c r="V38" s="2"/>
      <c r="W38" s="2"/>
      <c r="X38" s="2"/>
    </row>
    <row r="39" spans="1:24" ht="18">
      <c r="A39" s="17" t="s">
        <v>54</v>
      </c>
      <c r="B39" s="64">
        <f t="shared" ref="B39:F39" si="13">B34*B35*B36*B37</f>
        <v>46080.869154345055</v>
      </c>
      <c r="C39" s="64">
        <f t="shared" si="13"/>
        <v>64466.050604965727</v>
      </c>
      <c r="D39" s="64">
        <f t="shared" si="13"/>
        <v>142212.64872478103</v>
      </c>
      <c r="E39" s="64">
        <f t="shared" si="13"/>
        <v>246081.55512420635</v>
      </c>
      <c r="F39" s="64">
        <f t="shared" si="13"/>
        <v>300155.14436021773</v>
      </c>
      <c r="G39" s="2"/>
      <c r="H39" s="2"/>
      <c r="I39" s="2"/>
      <c r="J39" s="2"/>
      <c r="K39" s="2"/>
      <c r="L39" s="2"/>
      <c r="M39" s="2"/>
      <c r="N39" s="2"/>
      <c r="O39" s="2"/>
      <c r="P39" s="2"/>
      <c r="Q39" s="2"/>
      <c r="R39" s="2"/>
      <c r="S39" s="2"/>
      <c r="T39" s="2"/>
      <c r="U39" s="2"/>
      <c r="V39" s="2"/>
      <c r="W39" s="2"/>
      <c r="X39" s="2"/>
    </row>
    <row r="40" spans="1:24" ht="18">
      <c r="A40" s="17" t="s">
        <v>56</v>
      </c>
      <c r="B40" s="44">
        <v>0</v>
      </c>
      <c r="C40" s="44">
        <v>0</v>
      </c>
      <c r="D40" s="44">
        <v>0</v>
      </c>
      <c r="E40" s="44">
        <v>0</v>
      </c>
      <c r="F40" s="44">
        <v>0</v>
      </c>
      <c r="G40" s="2"/>
      <c r="H40" s="2"/>
      <c r="I40" s="2"/>
      <c r="J40" s="2"/>
      <c r="K40" s="2"/>
      <c r="L40" s="2"/>
      <c r="M40" s="2"/>
      <c r="N40" s="2"/>
      <c r="O40" s="2"/>
      <c r="P40" s="2"/>
      <c r="Q40" s="2"/>
      <c r="R40" s="2"/>
      <c r="S40" s="2"/>
      <c r="T40" s="2"/>
      <c r="U40" s="2"/>
      <c r="V40" s="2"/>
      <c r="W40" s="2"/>
      <c r="X40" s="2"/>
    </row>
    <row r="41" spans="1:24" ht="18">
      <c r="A41" s="17" t="s">
        <v>59</v>
      </c>
      <c r="B41" s="64">
        <v>0</v>
      </c>
      <c r="C41" s="64">
        <v>0</v>
      </c>
      <c r="D41" s="64">
        <f>0.2*D39*D38</f>
        <v>28442.529744956206</v>
      </c>
      <c r="E41" s="64">
        <f t="shared" ref="E41:F41" si="14">0.3*E39*E38</f>
        <v>73824.466537261906</v>
      </c>
      <c r="F41" s="64">
        <f t="shared" si="14"/>
        <v>90046.543308065317</v>
      </c>
      <c r="G41" s="2"/>
      <c r="H41" s="2"/>
      <c r="I41" s="2"/>
      <c r="J41" s="2"/>
      <c r="K41" s="2"/>
      <c r="L41" s="2"/>
      <c r="M41" s="2"/>
      <c r="N41" s="2"/>
      <c r="O41" s="2"/>
      <c r="P41" s="2"/>
      <c r="Q41" s="2"/>
      <c r="R41" s="2"/>
      <c r="S41" s="2"/>
      <c r="T41" s="2"/>
      <c r="U41" s="2"/>
      <c r="V41" s="2"/>
      <c r="W41" s="2"/>
      <c r="X41" s="2"/>
    </row>
    <row r="42" spans="1:24" ht="18">
      <c r="A42" s="9" t="s">
        <v>62</v>
      </c>
      <c r="B42" s="73">
        <f t="shared" ref="B42:F42" si="15">ROUND(B39*B38+B40-B41,0)</f>
        <v>46081</v>
      </c>
      <c r="C42" s="73">
        <f t="shared" si="15"/>
        <v>64466</v>
      </c>
      <c r="D42" s="73">
        <f t="shared" si="15"/>
        <v>113770</v>
      </c>
      <c r="E42" s="73">
        <f t="shared" si="15"/>
        <v>172257</v>
      </c>
      <c r="F42" s="73">
        <f t="shared" si="15"/>
        <v>210109</v>
      </c>
      <c r="G42" s="2"/>
      <c r="H42" s="2"/>
      <c r="I42" s="2"/>
      <c r="J42" s="2"/>
      <c r="K42" s="2"/>
      <c r="L42" s="2"/>
      <c r="M42" s="2"/>
      <c r="N42" s="2"/>
      <c r="O42" s="2"/>
      <c r="P42" s="2"/>
      <c r="Q42" s="2"/>
      <c r="R42" s="2"/>
      <c r="S42" s="2"/>
      <c r="T42" s="2"/>
      <c r="U42" s="2"/>
      <c r="V42" s="2"/>
      <c r="W42" s="2"/>
      <c r="X42" s="2"/>
    </row>
    <row r="43" spans="1:24" ht="54">
      <c r="A43" s="17" t="s">
        <v>66</v>
      </c>
      <c r="B43" s="50">
        <f t="shared" ref="B43:F43" si="16">B13</f>
        <v>63.628136435413609</v>
      </c>
      <c r="C43" s="50">
        <f t="shared" si="16"/>
        <v>62.744312241706147</v>
      </c>
      <c r="D43" s="50">
        <f t="shared" si="16"/>
        <v>61.219915669504694</v>
      </c>
      <c r="E43" s="50">
        <f t="shared" si="16"/>
        <v>58.836976151587656</v>
      </c>
      <c r="F43" s="50">
        <f t="shared" si="16"/>
        <v>58.337773288245586</v>
      </c>
      <c r="G43" s="2"/>
      <c r="H43" s="2"/>
      <c r="I43" s="2"/>
      <c r="J43" s="2"/>
      <c r="K43" s="2"/>
      <c r="L43" s="2"/>
      <c r="M43" s="2"/>
      <c r="N43" s="2"/>
      <c r="O43" s="2"/>
      <c r="P43" s="2"/>
      <c r="Q43" s="2"/>
      <c r="R43" s="2"/>
      <c r="S43" s="2"/>
      <c r="T43" s="2"/>
      <c r="U43" s="2"/>
      <c r="V43" s="2"/>
      <c r="W43" s="2"/>
      <c r="X43" s="2"/>
    </row>
    <row r="44" spans="1:24" ht="18">
      <c r="A44" s="9" t="s">
        <v>70</v>
      </c>
      <c r="B44" s="58">
        <f t="shared" ref="B44:F44" si="17">B42*B43</f>
        <v>2932048.1550802947</v>
      </c>
      <c r="C44" s="58">
        <f t="shared" si="17"/>
        <v>4044874.8329738285</v>
      </c>
      <c r="D44" s="58">
        <f t="shared" si="17"/>
        <v>6964989.8057195488</v>
      </c>
      <c r="E44" s="58">
        <f t="shared" si="17"/>
        <v>10135081.000944035</v>
      </c>
      <c r="F44" s="58">
        <f t="shared" si="17"/>
        <v>12257291.207819993</v>
      </c>
      <c r="G44" s="2"/>
      <c r="H44" s="2"/>
      <c r="I44" s="2"/>
      <c r="J44" s="2"/>
      <c r="K44" s="2"/>
      <c r="L44" s="2"/>
      <c r="M44" s="2"/>
      <c r="N44" s="2"/>
      <c r="O44" s="2"/>
      <c r="P44" s="2"/>
      <c r="Q44" s="2"/>
      <c r="R44" s="2"/>
      <c r="S44" s="2"/>
      <c r="T44" s="2"/>
      <c r="U44" s="2"/>
      <c r="V44" s="2"/>
      <c r="W44" s="2"/>
      <c r="X44" s="2"/>
    </row>
    <row r="45" spans="1:24" ht="18">
      <c r="A45" s="59"/>
      <c r="B45" s="59"/>
      <c r="C45" s="59"/>
      <c r="D45" s="59"/>
      <c r="E45" s="59"/>
      <c r="F45" s="59"/>
      <c r="G45" s="2"/>
      <c r="H45" s="2"/>
      <c r="I45" s="2"/>
      <c r="J45" s="2"/>
      <c r="K45" s="2"/>
      <c r="L45" s="2"/>
      <c r="M45" s="2"/>
      <c r="N45" s="2"/>
      <c r="O45" s="2"/>
      <c r="P45" s="2"/>
      <c r="Q45" s="2"/>
      <c r="R45" s="2"/>
      <c r="S45" s="2"/>
      <c r="T45" s="2"/>
      <c r="U45" s="2"/>
      <c r="V45" s="2"/>
      <c r="W45" s="2"/>
      <c r="X45" s="2"/>
    </row>
    <row r="46" spans="1:24" ht="18">
      <c r="A46" s="2"/>
      <c r="B46" s="2"/>
      <c r="C46" s="2"/>
      <c r="D46" s="2"/>
      <c r="E46" s="2"/>
      <c r="F46" s="2"/>
      <c r="G46" s="2"/>
      <c r="H46" s="2"/>
      <c r="I46" s="2"/>
      <c r="J46" s="2"/>
      <c r="K46" s="2"/>
      <c r="L46" s="2"/>
      <c r="M46" s="2"/>
      <c r="N46" s="2"/>
      <c r="O46" s="2"/>
      <c r="P46" s="2"/>
      <c r="Q46" s="2"/>
      <c r="R46" s="2"/>
      <c r="S46" s="2"/>
      <c r="T46" s="2"/>
      <c r="U46" s="2"/>
      <c r="V46" s="2"/>
      <c r="W46" s="2"/>
      <c r="X46" s="2"/>
    </row>
    <row r="47" spans="1:24" ht="18">
      <c r="A47" s="2"/>
      <c r="B47" s="2"/>
      <c r="C47" s="2"/>
      <c r="D47" s="2"/>
      <c r="E47" s="2"/>
      <c r="F47" s="2"/>
      <c r="G47" s="2"/>
      <c r="H47" s="2"/>
      <c r="I47" s="2"/>
      <c r="J47" s="2"/>
      <c r="K47" s="2"/>
      <c r="L47" s="2"/>
      <c r="M47" s="2"/>
      <c r="N47" s="2"/>
      <c r="O47" s="2"/>
      <c r="P47" s="2"/>
      <c r="Q47" s="2"/>
      <c r="R47" s="2"/>
      <c r="S47" s="2"/>
      <c r="T47" s="2"/>
      <c r="U47" s="2"/>
      <c r="V47" s="2"/>
      <c r="W47" s="2"/>
      <c r="X47" s="2"/>
    </row>
    <row r="48" spans="1:24" ht="18">
      <c r="A48" s="2"/>
      <c r="B48" s="2"/>
      <c r="C48" s="2"/>
      <c r="D48" s="2"/>
      <c r="E48" s="2"/>
      <c r="F48" s="2"/>
      <c r="G48" s="2"/>
      <c r="H48" s="2"/>
      <c r="I48" s="2"/>
      <c r="J48" s="2"/>
      <c r="K48" s="2"/>
      <c r="L48" s="2"/>
      <c r="M48" s="2"/>
      <c r="N48" s="2"/>
      <c r="O48" s="2"/>
      <c r="P48" s="2"/>
      <c r="Q48" s="2"/>
      <c r="R48" s="2"/>
      <c r="S48" s="2"/>
      <c r="T48" s="2"/>
      <c r="U48" s="2"/>
      <c r="V48" s="2"/>
      <c r="W48" s="2"/>
      <c r="X48" s="2"/>
    </row>
    <row r="49" spans="1:24" ht="18">
      <c r="A49" s="2"/>
      <c r="B49" s="2"/>
      <c r="C49" s="2"/>
      <c r="D49" s="2"/>
      <c r="E49" s="2"/>
      <c r="F49" s="2"/>
      <c r="G49" s="2"/>
      <c r="H49" s="2"/>
      <c r="I49" s="2"/>
      <c r="J49" s="2"/>
      <c r="K49" s="2"/>
      <c r="L49" s="2"/>
      <c r="M49" s="2"/>
      <c r="N49" s="2"/>
      <c r="O49" s="2"/>
      <c r="P49" s="2"/>
      <c r="Q49" s="2"/>
      <c r="R49" s="2"/>
      <c r="S49" s="2"/>
      <c r="T49" s="2"/>
      <c r="U49" s="2"/>
      <c r="V49" s="2"/>
      <c r="W49" s="2"/>
      <c r="X49" s="2"/>
    </row>
    <row r="50" spans="1:24" ht="18">
      <c r="A50" s="2"/>
      <c r="B50" s="2"/>
      <c r="C50" s="2"/>
      <c r="D50" s="2"/>
      <c r="E50" s="2"/>
      <c r="F50" s="2"/>
      <c r="G50" s="2"/>
      <c r="H50" s="2"/>
      <c r="I50" s="2"/>
      <c r="J50" s="2"/>
      <c r="K50" s="2"/>
      <c r="L50" s="2"/>
      <c r="M50" s="2"/>
      <c r="N50" s="2"/>
      <c r="O50" s="2"/>
      <c r="P50" s="2"/>
      <c r="Q50" s="2"/>
      <c r="R50" s="2"/>
      <c r="S50" s="2"/>
      <c r="T50" s="2"/>
      <c r="U50" s="2"/>
      <c r="V50" s="2"/>
      <c r="W50" s="2"/>
      <c r="X50" s="2"/>
    </row>
    <row r="51" spans="1:24" ht="18">
      <c r="A51" s="2"/>
      <c r="B51" s="2"/>
      <c r="C51" s="2"/>
      <c r="D51" s="2"/>
      <c r="E51" s="2"/>
      <c r="F51" s="2"/>
      <c r="G51" s="2"/>
      <c r="H51" s="2"/>
      <c r="I51" s="2"/>
      <c r="J51" s="2"/>
      <c r="K51" s="2"/>
      <c r="L51" s="2"/>
      <c r="M51" s="2"/>
      <c r="N51" s="2"/>
      <c r="O51" s="2"/>
      <c r="P51" s="2"/>
      <c r="Q51" s="2"/>
      <c r="R51" s="2"/>
      <c r="S51" s="2"/>
      <c r="T51" s="2"/>
      <c r="U51" s="2"/>
      <c r="V51" s="2"/>
      <c r="W51" s="2"/>
      <c r="X51" s="2"/>
    </row>
    <row r="52" spans="1:24" ht="18">
      <c r="A52" s="2"/>
      <c r="B52" s="2"/>
      <c r="C52" s="2"/>
      <c r="D52" s="2"/>
      <c r="E52" s="2"/>
      <c r="F52" s="2"/>
      <c r="G52" s="2"/>
      <c r="H52" s="2"/>
      <c r="I52" s="2"/>
      <c r="J52" s="2"/>
      <c r="K52" s="2"/>
      <c r="L52" s="2"/>
      <c r="M52" s="2"/>
      <c r="N52" s="2"/>
      <c r="O52" s="2"/>
      <c r="P52" s="2"/>
      <c r="Q52" s="2"/>
      <c r="R52" s="2"/>
      <c r="S52" s="2"/>
      <c r="T52" s="2"/>
      <c r="U52" s="2"/>
      <c r="V52" s="2"/>
      <c r="W52" s="2"/>
      <c r="X52" s="2"/>
    </row>
    <row r="53" spans="1:24" ht="18">
      <c r="A53" s="2"/>
      <c r="B53" s="2"/>
      <c r="C53" s="2"/>
      <c r="D53" s="2"/>
      <c r="E53" s="2"/>
      <c r="F53" s="2"/>
      <c r="G53" s="2"/>
      <c r="H53" s="2"/>
      <c r="I53" s="2"/>
      <c r="J53" s="2"/>
      <c r="K53" s="2"/>
      <c r="L53" s="2"/>
      <c r="M53" s="2"/>
      <c r="N53" s="2"/>
      <c r="O53" s="2"/>
      <c r="P53" s="2"/>
      <c r="Q53" s="2"/>
      <c r="R53" s="2"/>
      <c r="S53" s="2"/>
      <c r="T53" s="2"/>
      <c r="U53" s="2"/>
      <c r="V53" s="2"/>
      <c r="W53" s="2"/>
      <c r="X53" s="2"/>
    </row>
    <row r="54" spans="1:24" ht="18">
      <c r="A54" s="2"/>
      <c r="B54" s="2"/>
      <c r="C54" s="2"/>
      <c r="D54" s="2"/>
      <c r="E54" s="2"/>
      <c r="F54" s="2"/>
      <c r="G54" s="2"/>
      <c r="H54" s="2"/>
      <c r="I54" s="2"/>
      <c r="J54" s="2"/>
      <c r="K54" s="2"/>
      <c r="L54" s="2"/>
      <c r="M54" s="2"/>
      <c r="N54" s="2"/>
      <c r="O54" s="2"/>
      <c r="P54" s="2"/>
      <c r="Q54" s="2"/>
      <c r="R54" s="2"/>
      <c r="S54" s="2"/>
      <c r="T54" s="2"/>
      <c r="U54" s="2"/>
      <c r="V54" s="2"/>
      <c r="W54" s="2"/>
      <c r="X54" s="2"/>
    </row>
    <row r="55" spans="1:24" ht="18">
      <c r="A55" s="2"/>
      <c r="B55" s="2"/>
      <c r="C55" s="2"/>
      <c r="D55" s="2"/>
      <c r="E55" s="2"/>
      <c r="F55" s="2"/>
      <c r="G55" s="2"/>
      <c r="H55" s="2"/>
      <c r="I55" s="2"/>
      <c r="J55" s="2"/>
      <c r="K55" s="2"/>
      <c r="L55" s="2"/>
      <c r="M55" s="2"/>
      <c r="N55" s="2"/>
      <c r="O55" s="2"/>
      <c r="P55" s="2"/>
      <c r="Q55" s="2"/>
      <c r="R55" s="2"/>
      <c r="S55" s="2"/>
      <c r="T55" s="2"/>
      <c r="U55" s="2"/>
      <c r="V55" s="2"/>
      <c r="W55" s="2"/>
      <c r="X55" s="2"/>
    </row>
    <row r="56" spans="1:24" ht="18">
      <c r="A56" s="2"/>
      <c r="B56" s="2"/>
      <c r="C56" s="2"/>
      <c r="D56" s="2"/>
      <c r="E56" s="2"/>
      <c r="F56" s="2"/>
      <c r="G56" s="2"/>
      <c r="H56" s="2"/>
      <c r="I56" s="2"/>
      <c r="J56" s="2"/>
      <c r="K56" s="2"/>
      <c r="L56" s="2"/>
      <c r="M56" s="2"/>
      <c r="N56" s="2"/>
      <c r="O56" s="2"/>
      <c r="P56" s="2"/>
      <c r="Q56" s="2"/>
      <c r="R56" s="2"/>
      <c r="S56" s="2"/>
      <c r="T56" s="2"/>
      <c r="U56" s="2"/>
      <c r="V56" s="2"/>
      <c r="W56" s="2"/>
      <c r="X56" s="2"/>
    </row>
    <row r="57" spans="1:24" ht="18">
      <c r="A57" s="2"/>
      <c r="B57" s="2"/>
      <c r="C57" s="2"/>
      <c r="D57" s="2"/>
      <c r="E57" s="2"/>
      <c r="F57" s="2"/>
      <c r="G57" s="2"/>
      <c r="H57" s="2"/>
      <c r="I57" s="2"/>
      <c r="J57" s="2"/>
      <c r="K57" s="2"/>
      <c r="L57" s="2"/>
      <c r="M57" s="2"/>
      <c r="N57" s="2"/>
      <c r="O57" s="2"/>
      <c r="P57" s="2"/>
      <c r="Q57" s="2"/>
      <c r="R57" s="2"/>
      <c r="S57" s="2"/>
      <c r="T57" s="2"/>
      <c r="U57" s="2"/>
      <c r="V57" s="2"/>
      <c r="W57" s="2"/>
      <c r="X57" s="2"/>
    </row>
    <row r="58" spans="1:24" ht="18">
      <c r="A58" s="2"/>
      <c r="B58" s="2"/>
      <c r="C58" s="2"/>
      <c r="D58" s="2"/>
      <c r="E58" s="2"/>
      <c r="F58" s="2"/>
      <c r="G58" s="2"/>
      <c r="H58" s="2"/>
      <c r="I58" s="2"/>
      <c r="J58" s="2"/>
      <c r="K58" s="2"/>
      <c r="L58" s="2"/>
      <c r="M58" s="2"/>
      <c r="N58" s="2"/>
      <c r="O58" s="2"/>
      <c r="P58" s="2"/>
      <c r="Q58" s="2"/>
      <c r="R58" s="2"/>
      <c r="S58" s="2"/>
      <c r="T58" s="2"/>
      <c r="U58" s="2"/>
      <c r="V58" s="2"/>
      <c r="W58" s="2"/>
      <c r="X58" s="2"/>
    </row>
    <row r="59" spans="1:24" ht="18">
      <c r="A59" s="2"/>
      <c r="B59" s="2"/>
      <c r="C59" s="2"/>
      <c r="D59" s="2"/>
      <c r="E59" s="2"/>
      <c r="F59" s="2"/>
      <c r="G59" s="2"/>
      <c r="H59" s="2"/>
      <c r="I59" s="2"/>
      <c r="J59" s="2"/>
      <c r="K59" s="2"/>
      <c r="L59" s="2"/>
      <c r="M59" s="2"/>
      <c r="N59" s="2"/>
      <c r="O59" s="2"/>
      <c r="P59" s="2"/>
      <c r="Q59" s="2"/>
      <c r="R59" s="2"/>
      <c r="S59" s="2"/>
      <c r="T59" s="2"/>
      <c r="U59" s="2"/>
      <c r="V59" s="2"/>
      <c r="W59" s="2"/>
      <c r="X59" s="2"/>
    </row>
    <row r="60" spans="1:24" ht="18">
      <c r="A60" s="2"/>
      <c r="B60" s="2"/>
      <c r="C60" s="2"/>
      <c r="D60" s="2"/>
      <c r="E60" s="2"/>
      <c r="F60" s="2"/>
      <c r="G60" s="2"/>
      <c r="H60" s="2"/>
      <c r="I60" s="2"/>
      <c r="J60" s="2"/>
      <c r="K60" s="2"/>
      <c r="L60" s="2"/>
      <c r="M60" s="2"/>
      <c r="N60" s="2"/>
      <c r="O60" s="2"/>
      <c r="P60" s="2"/>
      <c r="Q60" s="2"/>
      <c r="R60" s="2"/>
      <c r="S60" s="2"/>
      <c r="T60" s="2"/>
      <c r="U60" s="2"/>
      <c r="V60" s="2"/>
      <c r="W60" s="2"/>
      <c r="X60" s="2"/>
    </row>
    <row r="61" spans="1:24" ht="18">
      <c r="A61" s="2"/>
      <c r="B61" s="2"/>
      <c r="C61" s="2"/>
      <c r="D61" s="2"/>
      <c r="E61" s="2"/>
      <c r="F61" s="2"/>
      <c r="G61" s="2"/>
      <c r="H61" s="2"/>
      <c r="I61" s="2"/>
      <c r="J61" s="2"/>
      <c r="K61" s="2"/>
      <c r="L61" s="2"/>
      <c r="M61" s="2"/>
      <c r="N61" s="2"/>
      <c r="O61" s="2"/>
      <c r="P61" s="2"/>
      <c r="Q61" s="2"/>
      <c r="R61" s="2"/>
      <c r="S61" s="2"/>
      <c r="T61" s="2"/>
      <c r="U61" s="2"/>
      <c r="V61" s="2"/>
      <c r="W61" s="2"/>
      <c r="X61" s="2"/>
    </row>
    <row r="62" spans="1:24" ht="18">
      <c r="A62" s="2"/>
      <c r="B62" s="2"/>
      <c r="C62" s="2"/>
      <c r="D62" s="2"/>
      <c r="E62" s="2"/>
      <c r="F62" s="2"/>
      <c r="G62" s="2"/>
      <c r="H62" s="2"/>
      <c r="I62" s="2"/>
      <c r="J62" s="2"/>
      <c r="K62" s="2"/>
      <c r="L62" s="2"/>
      <c r="M62" s="2"/>
      <c r="N62" s="2"/>
      <c r="O62" s="2"/>
      <c r="P62" s="2"/>
      <c r="Q62" s="2"/>
      <c r="R62" s="2"/>
      <c r="S62" s="2"/>
      <c r="T62" s="2"/>
      <c r="U62" s="2"/>
      <c r="V62" s="2"/>
      <c r="W62" s="2"/>
      <c r="X62" s="2"/>
    </row>
    <row r="63" spans="1:24" ht="18">
      <c r="A63" s="2"/>
      <c r="B63" s="2"/>
      <c r="C63" s="2"/>
      <c r="D63" s="2"/>
      <c r="E63" s="2"/>
      <c r="F63" s="2"/>
      <c r="G63" s="2"/>
      <c r="H63" s="2"/>
      <c r="I63" s="2"/>
      <c r="J63" s="2"/>
      <c r="K63" s="2"/>
      <c r="L63" s="2"/>
      <c r="M63" s="2"/>
      <c r="N63" s="2"/>
      <c r="O63" s="2"/>
      <c r="P63" s="2"/>
      <c r="Q63" s="2"/>
      <c r="R63" s="2"/>
      <c r="S63" s="2"/>
      <c r="T63" s="2"/>
      <c r="U63" s="2"/>
      <c r="V63" s="2"/>
      <c r="W63" s="2"/>
      <c r="X63" s="2"/>
    </row>
    <row r="64" spans="1:24" ht="18">
      <c r="A64" s="2"/>
      <c r="B64" s="2"/>
      <c r="C64" s="2"/>
      <c r="D64" s="2"/>
      <c r="E64" s="2"/>
      <c r="F64" s="2"/>
      <c r="G64" s="2"/>
      <c r="H64" s="2"/>
      <c r="I64" s="2"/>
      <c r="J64" s="2"/>
      <c r="K64" s="2"/>
      <c r="L64" s="2"/>
      <c r="M64" s="2"/>
      <c r="N64" s="2"/>
      <c r="O64" s="2"/>
      <c r="P64" s="2"/>
      <c r="Q64" s="2"/>
      <c r="R64" s="2"/>
      <c r="S64" s="2"/>
      <c r="T64" s="2"/>
      <c r="U64" s="2"/>
      <c r="V64" s="2"/>
      <c r="W64" s="2"/>
      <c r="X64" s="2"/>
    </row>
    <row r="65" spans="1:24" ht="18">
      <c r="A65" s="2"/>
      <c r="B65" s="2"/>
      <c r="C65" s="2"/>
      <c r="D65" s="2"/>
      <c r="E65" s="2"/>
      <c r="F65" s="2"/>
      <c r="G65" s="2"/>
      <c r="H65" s="2"/>
      <c r="I65" s="2"/>
      <c r="J65" s="2"/>
      <c r="K65" s="2"/>
      <c r="L65" s="2"/>
      <c r="M65" s="2"/>
      <c r="N65" s="2"/>
      <c r="O65" s="2"/>
      <c r="P65" s="2"/>
      <c r="Q65" s="2"/>
      <c r="R65" s="2"/>
      <c r="S65" s="2"/>
      <c r="T65" s="2"/>
      <c r="U65" s="2"/>
      <c r="V65" s="2"/>
      <c r="W65" s="2"/>
      <c r="X65" s="2"/>
    </row>
    <row r="66" spans="1:24" ht="18">
      <c r="A66" s="2"/>
      <c r="B66" s="2"/>
      <c r="C66" s="2"/>
      <c r="D66" s="2"/>
      <c r="E66" s="2"/>
      <c r="F66" s="2"/>
      <c r="G66" s="2"/>
      <c r="H66" s="2"/>
      <c r="I66" s="2"/>
      <c r="J66" s="2"/>
      <c r="K66" s="2"/>
      <c r="L66" s="2"/>
      <c r="M66" s="2"/>
      <c r="N66" s="2"/>
      <c r="O66" s="2"/>
      <c r="P66" s="2"/>
      <c r="Q66" s="2"/>
      <c r="R66" s="2"/>
      <c r="S66" s="2"/>
      <c r="T66" s="2"/>
      <c r="U66" s="2"/>
      <c r="V66" s="2"/>
      <c r="W66" s="2"/>
      <c r="X66" s="2"/>
    </row>
    <row r="67" spans="1:24" ht="18">
      <c r="A67" s="2"/>
      <c r="B67" s="2"/>
      <c r="C67" s="2"/>
      <c r="D67" s="2"/>
      <c r="E67" s="2"/>
      <c r="F67" s="2"/>
      <c r="G67" s="2"/>
      <c r="H67" s="2"/>
      <c r="I67" s="2"/>
      <c r="J67" s="2"/>
      <c r="K67" s="2"/>
      <c r="L67" s="2"/>
      <c r="M67" s="2"/>
      <c r="N67" s="2"/>
      <c r="O67" s="2"/>
      <c r="P67" s="2"/>
      <c r="Q67" s="2"/>
      <c r="R67" s="2"/>
      <c r="S67" s="2"/>
      <c r="T67" s="2"/>
      <c r="U67" s="2"/>
      <c r="V67" s="2"/>
      <c r="W67" s="2"/>
      <c r="X67" s="2"/>
    </row>
    <row r="68" spans="1:24" ht="18">
      <c r="A68" s="2"/>
      <c r="B68" s="2"/>
      <c r="C68" s="2"/>
      <c r="D68" s="2"/>
      <c r="E68" s="2"/>
      <c r="F68" s="2"/>
      <c r="G68" s="2"/>
      <c r="H68" s="2"/>
      <c r="I68" s="2"/>
      <c r="J68" s="2"/>
      <c r="K68" s="2"/>
      <c r="L68" s="2"/>
      <c r="M68" s="2"/>
      <c r="N68" s="2"/>
      <c r="O68" s="2"/>
      <c r="P68" s="2"/>
      <c r="Q68" s="2"/>
      <c r="R68" s="2"/>
      <c r="S68" s="2"/>
      <c r="T68" s="2"/>
      <c r="U68" s="2"/>
      <c r="V68" s="2"/>
      <c r="W68" s="2"/>
      <c r="X68" s="2"/>
    </row>
    <row r="69" spans="1:24" ht="18">
      <c r="A69" s="2"/>
      <c r="B69" s="2"/>
      <c r="C69" s="2"/>
      <c r="D69" s="2"/>
      <c r="E69" s="2"/>
      <c r="F69" s="2"/>
      <c r="G69" s="2"/>
      <c r="H69" s="2"/>
      <c r="I69" s="2"/>
      <c r="J69" s="2"/>
      <c r="K69" s="2"/>
      <c r="L69" s="2"/>
      <c r="M69" s="2"/>
      <c r="N69" s="2"/>
      <c r="O69" s="2"/>
      <c r="P69" s="2"/>
      <c r="Q69" s="2"/>
      <c r="R69" s="2"/>
      <c r="S69" s="2"/>
      <c r="T69" s="2"/>
      <c r="U69" s="2"/>
      <c r="V69" s="2"/>
      <c r="W69" s="2"/>
      <c r="X69" s="2"/>
    </row>
    <row r="70" spans="1:24" ht="18">
      <c r="A70" s="2"/>
      <c r="B70" s="2"/>
      <c r="C70" s="2"/>
      <c r="D70" s="2"/>
      <c r="E70" s="2"/>
      <c r="F70" s="2"/>
      <c r="G70" s="2"/>
      <c r="H70" s="2"/>
      <c r="I70" s="2"/>
      <c r="J70" s="2"/>
      <c r="K70" s="2"/>
      <c r="L70" s="2"/>
      <c r="M70" s="2"/>
      <c r="N70" s="2"/>
      <c r="O70" s="2"/>
      <c r="P70" s="2"/>
      <c r="Q70" s="2"/>
      <c r="R70" s="2"/>
      <c r="S70" s="2"/>
      <c r="T70" s="2"/>
      <c r="U70" s="2"/>
      <c r="V70" s="2"/>
      <c r="W70" s="2"/>
      <c r="X70" s="2"/>
    </row>
    <row r="71" spans="1:24" ht="18">
      <c r="A71" s="2"/>
      <c r="B71" s="2"/>
      <c r="C71" s="2"/>
      <c r="D71" s="2"/>
      <c r="E71" s="2"/>
      <c r="F71" s="2"/>
      <c r="G71" s="2"/>
      <c r="H71" s="2"/>
      <c r="I71" s="2"/>
      <c r="J71" s="2"/>
      <c r="K71" s="2"/>
      <c r="L71" s="2"/>
      <c r="M71" s="2"/>
      <c r="N71" s="2"/>
      <c r="O71" s="2"/>
      <c r="P71" s="2"/>
      <c r="Q71" s="2"/>
      <c r="R71" s="2"/>
      <c r="S71" s="2"/>
      <c r="T71" s="2"/>
      <c r="U71" s="2"/>
      <c r="V71" s="2"/>
      <c r="W71" s="2"/>
      <c r="X71" s="2"/>
    </row>
    <row r="72" spans="1:24" ht="18">
      <c r="A72" s="2"/>
      <c r="B72" s="2"/>
      <c r="C72" s="2"/>
      <c r="D72" s="2"/>
      <c r="E72" s="2"/>
      <c r="F72" s="2"/>
      <c r="G72" s="2"/>
      <c r="H72" s="2"/>
      <c r="I72" s="2"/>
      <c r="J72" s="2"/>
      <c r="K72" s="2"/>
      <c r="L72" s="2"/>
      <c r="M72" s="2"/>
      <c r="N72" s="2"/>
      <c r="O72" s="2"/>
      <c r="P72" s="2"/>
      <c r="Q72" s="2"/>
      <c r="R72" s="2"/>
      <c r="S72" s="2"/>
      <c r="T72" s="2"/>
      <c r="U72" s="2"/>
      <c r="V72" s="2"/>
      <c r="W72" s="2"/>
      <c r="X72" s="2"/>
    </row>
    <row r="73" spans="1:24" ht="18">
      <c r="A73" s="2"/>
      <c r="B73" s="2"/>
      <c r="C73" s="2"/>
      <c r="D73" s="2"/>
      <c r="E73" s="2"/>
      <c r="F73" s="2"/>
      <c r="G73" s="2"/>
      <c r="H73" s="2"/>
      <c r="I73" s="2"/>
      <c r="J73" s="2"/>
      <c r="K73" s="2"/>
      <c r="L73" s="2"/>
      <c r="M73" s="2"/>
      <c r="N73" s="2"/>
      <c r="O73" s="2"/>
      <c r="P73" s="2"/>
      <c r="Q73" s="2"/>
      <c r="R73" s="2"/>
      <c r="S73" s="2"/>
      <c r="T73" s="2"/>
      <c r="U73" s="2"/>
      <c r="V73" s="2"/>
      <c r="W73" s="2"/>
      <c r="X73" s="2"/>
    </row>
    <row r="74" spans="1:24" ht="18">
      <c r="A74" s="2"/>
      <c r="B74" s="2"/>
      <c r="C74" s="2"/>
      <c r="D74" s="2"/>
      <c r="E74" s="2"/>
      <c r="F74" s="2"/>
      <c r="G74" s="2"/>
      <c r="H74" s="2"/>
      <c r="I74" s="2"/>
      <c r="J74" s="2"/>
      <c r="K74" s="2"/>
      <c r="L74" s="2"/>
      <c r="M74" s="2"/>
      <c r="N74" s="2"/>
      <c r="O74" s="2"/>
      <c r="P74" s="2"/>
      <c r="Q74" s="2"/>
      <c r="R74" s="2"/>
      <c r="S74" s="2"/>
      <c r="T74" s="2"/>
      <c r="U74" s="2"/>
      <c r="V74" s="2"/>
      <c r="W74" s="2"/>
      <c r="X74" s="2"/>
    </row>
    <row r="75" spans="1:24" ht="18">
      <c r="A75" s="2"/>
      <c r="B75" s="2"/>
      <c r="C75" s="2"/>
      <c r="D75" s="2"/>
      <c r="E75" s="2"/>
      <c r="F75" s="2"/>
      <c r="G75" s="2"/>
      <c r="H75" s="2"/>
      <c r="I75" s="2"/>
      <c r="J75" s="2"/>
      <c r="K75" s="2"/>
      <c r="L75" s="2"/>
      <c r="M75" s="2"/>
      <c r="N75" s="2"/>
      <c r="O75" s="2"/>
      <c r="P75" s="2"/>
      <c r="Q75" s="2"/>
      <c r="R75" s="2"/>
      <c r="S75" s="2"/>
      <c r="T75" s="2"/>
      <c r="U75" s="2"/>
      <c r="V75" s="2"/>
      <c r="W75" s="2"/>
      <c r="X75" s="2"/>
    </row>
    <row r="76" spans="1:24" ht="18">
      <c r="A76" s="2"/>
      <c r="B76" s="2"/>
      <c r="C76" s="2"/>
      <c r="D76" s="2"/>
      <c r="E76" s="2"/>
      <c r="F76" s="2"/>
      <c r="G76" s="2"/>
      <c r="H76" s="2"/>
      <c r="I76" s="2"/>
      <c r="J76" s="2"/>
      <c r="K76" s="2"/>
      <c r="L76" s="2"/>
      <c r="M76" s="2"/>
      <c r="N76" s="2"/>
      <c r="O76" s="2"/>
      <c r="P76" s="2"/>
      <c r="Q76" s="2"/>
      <c r="R76" s="2"/>
      <c r="S76" s="2"/>
      <c r="T76" s="2"/>
      <c r="U76" s="2"/>
      <c r="V76" s="2"/>
      <c r="W76" s="2"/>
      <c r="X76" s="2"/>
    </row>
    <row r="77" spans="1:24" ht="18">
      <c r="A77" s="2"/>
      <c r="B77" s="2"/>
      <c r="C77" s="2"/>
      <c r="D77" s="2"/>
      <c r="E77" s="2"/>
      <c r="F77" s="2"/>
      <c r="G77" s="2"/>
      <c r="H77" s="2"/>
      <c r="I77" s="2"/>
      <c r="J77" s="2"/>
      <c r="K77" s="2"/>
      <c r="L77" s="2"/>
      <c r="M77" s="2"/>
      <c r="N77" s="2"/>
      <c r="O77" s="2"/>
      <c r="P77" s="2"/>
      <c r="Q77" s="2"/>
      <c r="R77" s="2"/>
      <c r="S77" s="2"/>
      <c r="T77" s="2"/>
      <c r="U77" s="2"/>
      <c r="V77" s="2"/>
      <c r="W77" s="2"/>
      <c r="X77" s="2"/>
    </row>
    <row r="78" spans="1:24" ht="18">
      <c r="A78" s="2"/>
      <c r="B78" s="2"/>
      <c r="C78" s="2"/>
      <c r="D78" s="2"/>
      <c r="E78" s="2"/>
      <c r="F78" s="2"/>
      <c r="G78" s="2"/>
      <c r="H78" s="2"/>
      <c r="I78" s="2"/>
      <c r="J78" s="2"/>
      <c r="K78" s="2"/>
      <c r="L78" s="2"/>
      <c r="M78" s="2"/>
      <c r="N78" s="2"/>
      <c r="O78" s="2"/>
      <c r="P78" s="2"/>
      <c r="Q78" s="2"/>
      <c r="R78" s="2"/>
      <c r="S78" s="2"/>
      <c r="T78" s="2"/>
      <c r="U78" s="2"/>
      <c r="V78" s="2"/>
      <c r="W78" s="2"/>
      <c r="X78" s="2"/>
    </row>
    <row r="79" spans="1:24" ht="18">
      <c r="A79" s="2"/>
      <c r="B79" s="2"/>
      <c r="C79" s="2"/>
      <c r="D79" s="2"/>
      <c r="E79" s="2"/>
      <c r="F79" s="2"/>
      <c r="G79" s="2"/>
      <c r="H79" s="2"/>
      <c r="I79" s="2"/>
      <c r="J79" s="2"/>
      <c r="K79" s="2"/>
      <c r="L79" s="2"/>
      <c r="M79" s="2"/>
      <c r="N79" s="2"/>
      <c r="O79" s="2"/>
      <c r="P79" s="2"/>
      <c r="Q79" s="2"/>
      <c r="R79" s="2"/>
      <c r="S79" s="2"/>
      <c r="T79" s="2"/>
      <c r="U79" s="2"/>
      <c r="V79" s="2"/>
      <c r="W79" s="2"/>
      <c r="X79" s="2"/>
    </row>
    <row r="80" spans="1:24" ht="18">
      <c r="A80" s="2"/>
      <c r="B80" s="2"/>
      <c r="C80" s="2"/>
      <c r="D80" s="2"/>
      <c r="E80" s="2"/>
      <c r="F80" s="2"/>
      <c r="G80" s="2"/>
      <c r="H80" s="2"/>
      <c r="I80" s="2"/>
      <c r="J80" s="2"/>
      <c r="K80" s="2"/>
      <c r="L80" s="2"/>
      <c r="M80" s="2"/>
      <c r="N80" s="2"/>
      <c r="O80" s="2"/>
      <c r="P80" s="2"/>
      <c r="Q80" s="2"/>
      <c r="R80" s="2"/>
      <c r="S80" s="2"/>
      <c r="T80" s="2"/>
      <c r="U80" s="2"/>
      <c r="V80" s="2"/>
      <c r="W80" s="2"/>
      <c r="X80" s="2"/>
    </row>
    <row r="81" spans="1:24" ht="18">
      <c r="A81" s="2"/>
      <c r="B81" s="2"/>
      <c r="C81" s="2"/>
      <c r="D81" s="2"/>
      <c r="E81" s="2"/>
      <c r="F81" s="2"/>
      <c r="G81" s="2"/>
      <c r="H81" s="2"/>
      <c r="I81" s="2"/>
      <c r="J81" s="2"/>
      <c r="K81" s="2"/>
      <c r="L81" s="2"/>
      <c r="M81" s="2"/>
      <c r="N81" s="2"/>
      <c r="O81" s="2"/>
      <c r="P81" s="2"/>
      <c r="Q81" s="2"/>
      <c r="R81" s="2"/>
      <c r="S81" s="2"/>
      <c r="T81" s="2"/>
      <c r="U81" s="2"/>
      <c r="V81" s="2"/>
      <c r="W81" s="2"/>
      <c r="X81" s="2"/>
    </row>
    <row r="82" spans="1:24" ht="18">
      <c r="A82" s="2"/>
      <c r="B82" s="2"/>
      <c r="C82" s="2"/>
      <c r="D82" s="2"/>
      <c r="E82" s="2"/>
      <c r="F82" s="2"/>
      <c r="G82" s="2"/>
      <c r="H82" s="2"/>
      <c r="I82" s="2"/>
      <c r="J82" s="2"/>
      <c r="K82" s="2"/>
      <c r="L82" s="2"/>
      <c r="M82" s="2"/>
      <c r="N82" s="2"/>
      <c r="O82" s="2"/>
      <c r="P82" s="2"/>
      <c r="Q82" s="2"/>
      <c r="R82" s="2"/>
      <c r="S82" s="2"/>
      <c r="T82" s="2"/>
      <c r="U82" s="2"/>
      <c r="V82" s="2"/>
      <c r="W82" s="2"/>
      <c r="X82" s="2"/>
    </row>
    <row r="83" spans="1:24" ht="18">
      <c r="A83" s="2"/>
      <c r="B83" s="2"/>
      <c r="C83" s="2"/>
      <c r="D83" s="2"/>
      <c r="E83" s="2"/>
      <c r="F83" s="2"/>
      <c r="G83" s="2"/>
      <c r="H83" s="2"/>
      <c r="I83" s="2"/>
      <c r="J83" s="2"/>
      <c r="K83" s="2"/>
      <c r="L83" s="2"/>
      <c r="M83" s="2"/>
      <c r="N83" s="2"/>
      <c r="O83" s="2"/>
      <c r="P83" s="2"/>
      <c r="Q83" s="2"/>
      <c r="R83" s="2"/>
      <c r="S83" s="2"/>
      <c r="T83" s="2"/>
      <c r="U83" s="2"/>
      <c r="V83" s="2"/>
      <c r="W83" s="2"/>
      <c r="X83" s="2"/>
    </row>
    <row r="84" spans="1:24" ht="18">
      <c r="A84" s="2"/>
      <c r="B84" s="2"/>
      <c r="C84" s="2"/>
      <c r="D84" s="2"/>
      <c r="E84" s="2"/>
      <c r="F84" s="2"/>
      <c r="G84" s="2"/>
      <c r="H84" s="2"/>
      <c r="I84" s="2"/>
      <c r="J84" s="2"/>
      <c r="K84" s="2"/>
      <c r="L84" s="2"/>
      <c r="M84" s="2"/>
      <c r="N84" s="2"/>
      <c r="O84" s="2"/>
      <c r="P84" s="2"/>
      <c r="Q84" s="2"/>
      <c r="R84" s="2"/>
      <c r="S84" s="2"/>
      <c r="T84" s="2"/>
      <c r="U84" s="2"/>
      <c r="V84" s="2"/>
      <c r="W84" s="2"/>
      <c r="X84" s="2"/>
    </row>
    <row r="85" spans="1:24" ht="18">
      <c r="A85" s="2"/>
      <c r="B85" s="2"/>
      <c r="C85" s="2"/>
      <c r="D85" s="2"/>
      <c r="E85" s="2"/>
      <c r="F85" s="2"/>
      <c r="G85" s="2"/>
      <c r="H85" s="2"/>
      <c r="I85" s="2"/>
      <c r="J85" s="2"/>
      <c r="K85" s="2"/>
      <c r="L85" s="2"/>
      <c r="M85" s="2"/>
      <c r="N85" s="2"/>
      <c r="O85" s="2"/>
      <c r="P85" s="2"/>
      <c r="Q85" s="2"/>
      <c r="R85" s="2"/>
      <c r="S85" s="2"/>
      <c r="T85" s="2"/>
      <c r="U85" s="2"/>
      <c r="V85" s="2"/>
      <c r="W85" s="2"/>
      <c r="X85" s="2"/>
    </row>
    <row r="86" spans="1:24" ht="18">
      <c r="A86" s="2"/>
      <c r="B86" s="2"/>
      <c r="C86" s="2"/>
      <c r="D86" s="2"/>
      <c r="E86" s="2"/>
      <c r="F86" s="2"/>
      <c r="G86" s="2"/>
      <c r="H86" s="2"/>
      <c r="I86" s="2"/>
      <c r="J86" s="2"/>
      <c r="K86" s="2"/>
      <c r="L86" s="2"/>
      <c r="M86" s="2"/>
      <c r="N86" s="2"/>
      <c r="O86" s="2"/>
      <c r="P86" s="2"/>
      <c r="Q86" s="2"/>
      <c r="R86" s="2"/>
      <c r="S86" s="2"/>
      <c r="T86" s="2"/>
      <c r="U86" s="2"/>
      <c r="V86" s="2"/>
      <c r="W86" s="2"/>
      <c r="X86" s="2"/>
    </row>
    <row r="87" spans="1:24" ht="18">
      <c r="A87" s="2"/>
      <c r="B87" s="2"/>
      <c r="C87" s="2"/>
      <c r="D87" s="2"/>
      <c r="E87" s="2"/>
      <c r="F87" s="2"/>
      <c r="G87" s="2"/>
      <c r="H87" s="2"/>
      <c r="I87" s="2"/>
      <c r="J87" s="2"/>
      <c r="K87" s="2"/>
      <c r="L87" s="2"/>
      <c r="M87" s="2"/>
      <c r="N87" s="2"/>
      <c r="O87" s="2"/>
      <c r="P87" s="2"/>
      <c r="Q87" s="2"/>
      <c r="R87" s="2"/>
      <c r="S87" s="2"/>
      <c r="T87" s="2"/>
      <c r="U87" s="2"/>
      <c r="V87" s="2"/>
      <c r="W87" s="2"/>
      <c r="X87" s="2"/>
    </row>
    <row r="88" spans="1:24" ht="18">
      <c r="A88" s="2"/>
      <c r="B88" s="2"/>
      <c r="C88" s="2"/>
      <c r="D88" s="2"/>
      <c r="E88" s="2"/>
      <c r="F88" s="2"/>
      <c r="G88" s="2"/>
      <c r="H88" s="2"/>
      <c r="I88" s="2"/>
      <c r="J88" s="2"/>
      <c r="K88" s="2"/>
      <c r="L88" s="2"/>
      <c r="M88" s="2"/>
      <c r="N88" s="2"/>
      <c r="O88" s="2"/>
      <c r="P88" s="2"/>
      <c r="Q88" s="2"/>
      <c r="R88" s="2"/>
      <c r="S88" s="2"/>
      <c r="T88" s="2"/>
      <c r="U88" s="2"/>
      <c r="V88" s="2"/>
      <c r="W88" s="2"/>
      <c r="X88" s="2"/>
    </row>
    <row r="89" spans="1:24" ht="18">
      <c r="A89" s="2"/>
      <c r="B89" s="2"/>
      <c r="C89" s="2"/>
      <c r="D89" s="2"/>
      <c r="E89" s="2"/>
      <c r="F89" s="2"/>
      <c r="G89" s="2"/>
      <c r="H89" s="2"/>
      <c r="I89" s="2"/>
      <c r="J89" s="2"/>
      <c r="K89" s="2"/>
      <c r="L89" s="2"/>
      <c r="M89" s="2"/>
      <c r="N89" s="2"/>
      <c r="O89" s="2"/>
      <c r="P89" s="2"/>
      <c r="Q89" s="2"/>
      <c r="R89" s="2"/>
      <c r="S89" s="2"/>
      <c r="T89" s="2"/>
      <c r="U89" s="2"/>
      <c r="V89" s="2"/>
      <c r="W89" s="2"/>
      <c r="X89" s="2"/>
    </row>
    <row r="90" spans="1:24" ht="18">
      <c r="A90" s="2"/>
      <c r="B90" s="2"/>
      <c r="C90" s="2"/>
      <c r="D90" s="2"/>
      <c r="E90" s="2"/>
      <c r="F90" s="2"/>
      <c r="G90" s="2"/>
      <c r="H90" s="2"/>
      <c r="I90" s="2"/>
      <c r="J90" s="2"/>
      <c r="K90" s="2"/>
      <c r="L90" s="2"/>
      <c r="M90" s="2"/>
      <c r="N90" s="2"/>
      <c r="O90" s="2"/>
      <c r="P90" s="2"/>
      <c r="Q90" s="2"/>
      <c r="R90" s="2"/>
      <c r="S90" s="2"/>
      <c r="T90" s="2"/>
      <c r="U90" s="2"/>
      <c r="V90" s="2"/>
      <c r="W90" s="2"/>
      <c r="X90" s="2"/>
    </row>
    <row r="91" spans="1:24" ht="18">
      <c r="A91" s="2"/>
      <c r="B91" s="2"/>
      <c r="C91" s="2"/>
      <c r="D91" s="2"/>
      <c r="E91" s="2"/>
      <c r="F91" s="2"/>
      <c r="G91" s="2"/>
      <c r="H91" s="2"/>
      <c r="I91" s="2"/>
      <c r="J91" s="2"/>
      <c r="K91" s="2"/>
      <c r="L91" s="2"/>
      <c r="M91" s="2"/>
      <c r="N91" s="2"/>
      <c r="O91" s="2"/>
      <c r="P91" s="2"/>
      <c r="Q91" s="2"/>
      <c r="R91" s="2"/>
      <c r="S91" s="2"/>
      <c r="T91" s="2"/>
      <c r="U91" s="2"/>
      <c r="V91" s="2"/>
      <c r="W91" s="2"/>
      <c r="X91" s="2"/>
    </row>
    <row r="92" spans="1:24" ht="18">
      <c r="A92" s="2"/>
      <c r="B92" s="2"/>
      <c r="C92" s="2"/>
      <c r="D92" s="2"/>
      <c r="E92" s="2"/>
      <c r="F92" s="2"/>
      <c r="G92" s="2"/>
      <c r="H92" s="2"/>
      <c r="I92" s="2"/>
      <c r="J92" s="2"/>
      <c r="K92" s="2"/>
      <c r="L92" s="2"/>
      <c r="M92" s="2"/>
      <c r="N92" s="2"/>
      <c r="O92" s="2"/>
      <c r="P92" s="2"/>
      <c r="Q92" s="2"/>
      <c r="R92" s="2"/>
      <c r="S92" s="2"/>
      <c r="T92" s="2"/>
      <c r="U92" s="2"/>
      <c r="V92" s="2"/>
      <c r="W92" s="2"/>
      <c r="X92" s="2"/>
    </row>
    <row r="93" spans="1:24" ht="18">
      <c r="A93" s="2"/>
      <c r="B93" s="2"/>
      <c r="C93" s="2"/>
      <c r="D93" s="2"/>
      <c r="E93" s="2"/>
      <c r="F93" s="2"/>
      <c r="G93" s="2"/>
      <c r="H93" s="2"/>
      <c r="I93" s="2"/>
      <c r="J93" s="2"/>
      <c r="K93" s="2"/>
      <c r="L93" s="2"/>
      <c r="M93" s="2"/>
      <c r="N93" s="2"/>
      <c r="O93" s="2"/>
      <c r="P93" s="2"/>
      <c r="Q93" s="2"/>
      <c r="R93" s="2"/>
      <c r="S93" s="2"/>
      <c r="T93" s="2"/>
      <c r="U93" s="2"/>
      <c r="V93" s="2"/>
      <c r="W93" s="2"/>
      <c r="X93" s="2"/>
    </row>
    <row r="94" spans="1:24" ht="18">
      <c r="A94" s="2"/>
      <c r="B94" s="2"/>
      <c r="C94" s="2"/>
      <c r="D94" s="2"/>
      <c r="E94" s="2"/>
      <c r="F94" s="2"/>
      <c r="G94" s="2"/>
      <c r="H94" s="2"/>
      <c r="I94" s="2"/>
      <c r="J94" s="2"/>
      <c r="K94" s="2"/>
      <c r="L94" s="2"/>
      <c r="M94" s="2"/>
      <c r="N94" s="2"/>
      <c r="O94" s="2"/>
      <c r="P94" s="2"/>
      <c r="Q94" s="2"/>
      <c r="R94" s="2"/>
      <c r="S94" s="2"/>
      <c r="T94" s="2"/>
      <c r="U94" s="2"/>
      <c r="V94" s="2"/>
      <c r="W94" s="2"/>
      <c r="X94" s="2"/>
    </row>
    <row r="95" spans="1:24" ht="18">
      <c r="A95" s="2"/>
      <c r="B95" s="2"/>
      <c r="C95" s="2"/>
      <c r="D95" s="2"/>
      <c r="E95" s="2"/>
      <c r="F95" s="2"/>
      <c r="G95" s="2"/>
      <c r="H95" s="2"/>
      <c r="I95" s="2"/>
      <c r="J95" s="2"/>
      <c r="K95" s="2"/>
      <c r="L95" s="2"/>
      <c r="M95" s="2"/>
      <c r="N95" s="2"/>
      <c r="O95" s="2"/>
      <c r="P95" s="2"/>
      <c r="Q95" s="2"/>
      <c r="R95" s="2"/>
      <c r="S95" s="2"/>
      <c r="T95" s="2"/>
      <c r="U95" s="2"/>
      <c r="V95" s="2"/>
      <c r="W95" s="2"/>
      <c r="X95" s="2"/>
    </row>
    <row r="96" spans="1:24" ht="18">
      <c r="A96" s="2"/>
      <c r="B96" s="2"/>
      <c r="C96" s="2"/>
      <c r="D96" s="2"/>
      <c r="E96" s="2"/>
      <c r="F96" s="2"/>
      <c r="G96" s="2"/>
      <c r="H96" s="2"/>
      <c r="I96" s="2"/>
      <c r="J96" s="2"/>
      <c r="K96" s="2"/>
      <c r="L96" s="2"/>
      <c r="M96" s="2"/>
      <c r="N96" s="2"/>
      <c r="O96" s="2"/>
      <c r="P96" s="2"/>
      <c r="Q96" s="2"/>
      <c r="R96" s="2"/>
      <c r="S96" s="2"/>
      <c r="T96" s="2"/>
      <c r="U96" s="2"/>
      <c r="V96" s="2"/>
      <c r="W96" s="2"/>
      <c r="X96" s="2"/>
    </row>
    <row r="97" spans="1:24" ht="18">
      <c r="A97" s="2"/>
      <c r="B97" s="2"/>
      <c r="C97" s="2"/>
      <c r="D97" s="2"/>
      <c r="E97" s="2"/>
      <c r="F97" s="2"/>
      <c r="G97" s="2"/>
      <c r="H97" s="2"/>
      <c r="I97" s="2"/>
      <c r="J97" s="2"/>
      <c r="K97" s="2"/>
      <c r="L97" s="2"/>
      <c r="M97" s="2"/>
      <c r="N97" s="2"/>
      <c r="O97" s="2"/>
      <c r="P97" s="2"/>
      <c r="Q97" s="2"/>
      <c r="R97" s="2"/>
      <c r="S97" s="2"/>
      <c r="T97" s="2"/>
      <c r="U97" s="2"/>
      <c r="V97" s="2"/>
      <c r="W97" s="2"/>
      <c r="X97" s="2"/>
    </row>
    <row r="98" spans="1:24" ht="18">
      <c r="A98" s="2"/>
      <c r="B98" s="2"/>
      <c r="C98" s="2"/>
      <c r="D98" s="2"/>
      <c r="E98" s="2"/>
      <c r="F98" s="2"/>
      <c r="G98" s="2"/>
      <c r="H98" s="2"/>
      <c r="I98" s="2"/>
      <c r="J98" s="2"/>
      <c r="K98" s="2"/>
      <c r="L98" s="2"/>
      <c r="M98" s="2"/>
      <c r="N98" s="2"/>
      <c r="O98" s="2"/>
      <c r="P98" s="2"/>
      <c r="Q98" s="2"/>
      <c r="R98" s="2"/>
      <c r="S98" s="2"/>
      <c r="T98" s="2"/>
      <c r="U98" s="2"/>
      <c r="V98" s="2"/>
      <c r="W98" s="2"/>
      <c r="X98" s="2"/>
    </row>
    <row r="99" spans="1:24" ht="18">
      <c r="A99" s="2"/>
      <c r="B99" s="2"/>
      <c r="C99" s="2"/>
      <c r="D99" s="2"/>
      <c r="E99" s="2"/>
      <c r="F99" s="2"/>
      <c r="G99" s="2"/>
      <c r="H99" s="2"/>
      <c r="I99" s="2"/>
      <c r="J99" s="2"/>
      <c r="K99" s="2"/>
      <c r="L99" s="2"/>
      <c r="M99" s="2"/>
      <c r="N99" s="2"/>
      <c r="O99" s="2"/>
      <c r="P99" s="2"/>
      <c r="Q99" s="2"/>
      <c r="R99" s="2"/>
      <c r="S99" s="2"/>
      <c r="T99" s="2"/>
      <c r="U99" s="2"/>
      <c r="V99" s="2"/>
      <c r="W99" s="2"/>
      <c r="X99" s="2"/>
    </row>
    <row r="100" spans="1:24" ht="18">
      <c r="A100" s="2"/>
      <c r="B100" s="2"/>
      <c r="C100" s="2"/>
      <c r="D100" s="2"/>
      <c r="E100" s="2"/>
      <c r="F100" s="2"/>
      <c r="G100" s="2"/>
      <c r="H100" s="2"/>
      <c r="I100" s="2"/>
      <c r="J100" s="2"/>
      <c r="K100" s="2"/>
      <c r="L100" s="2"/>
      <c r="M100" s="2"/>
      <c r="N100" s="2"/>
      <c r="O100" s="2"/>
      <c r="P100" s="2"/>
      <c r="Q100" s="2"/>
      <c r="R100" s="2"/>
      <c r="S100" s="2"/>
      <c r="T100" s="2"/>
      <c r="U100" s="2"/>
      <c r="V100" s="2"/>
      <c r="W100" s="2"/>
      <c r="X100" s="2"/>
    </row>
    <row r="101" spans="1:24" ht="18">
      <c r="A101" s="2"/>
      <c r="B101" s="2"/>
      <c r="C101" s="2"/>
      <c r="D101" s="2"/>
      <c r="E101" s="2"/>
      <c r="F101" s="2"/>
      <c r="G101" s="2"/>
      <c r="H101" s="2"/>
      <c r="I101" s="2"/>
      <c r="J101" s="2"/>
      <c r="K101" s="2"/>
      <c r="L101" s="2"/>
      <c r="M101" s="2"/>
      <c r="N101" s="2"/>
      <c r="O101" s="2"/>
      <c r="P101" s="2"/>
      <c r="Q101" s="2"/>
      <c r="R101" s="2"/>
      <c r="S101" s="2"/>
      <c r="T101" s="2"/>
      <c r="U101" s="2"/>
      <c r="V101" s="2"/>
      <c r="W101" s="2"/>
      <c r="X101" s="2"/>
    </row>
    <row r="102" spans="1:24" ht="18">
      <c r="A102" s="2"/>
      <c r="B102" s="2"/>
      <c r="C102" s="2"/>
      <c r="D102" s="2"/>
      <c r="E102" s="2"/>
      <c r="F102" s="2"/>
      <c r="G102" s="2"/>
      <c r="H102" s="2"/>
      <c r="I102" s="2"/>
      <c r="J102" s="2"/>
      <c r="K102" s="2"/>
      <c r="L102" s="2"/>
      <c r="M102" s="2"/>
      <c r="N102" s="2"/>
      <c r="O102" s="2"/>
      <c r="P102" s="2"/>
      <c r="Q102" s="2"/>
      <c r="R102" s="2"/>
      <c r="S102" s="2"/>
      <c r="T102" s="2"/>
      <c r="U102" s="2"/>
      <c r="V102" s="2"/>
      <c r="W102" s="2"/>
      <c r="X102" s="2"/>
    </row>
    <row r="103" spans="1:24" ht="18">
      <c r="A103" s="2"/>
      <c r="B103" s="2"/>
      <c r="C103" s="2"/>
      <c r="D103" s="2"/>
      <c r="E103" s="2"/>
      <c r="F103" s="2"/>
      <c r="G103" s="2"/>
      <c r="H103" s="2"/>
      <c r="I103" s="2"/>
      <c r="J103" s="2"/>
      <c r="K103" s="2"/>
      <c r="L103" s="2"/>
      <c r="M103" s="2"/>
      <c r="N103" s="2"/>
      <c r="O103" s="2"/>
      <c r="P103" s="2"/>
      <c r="Q103" s="2"/>
      <c r="R103" s="2"/>
      <c r="S103" s="2"/>
      <c r="T103" s="2"/>
      <c r="U103" s="2"/>
      <c r="V103" s="2"/>
      <c r="W103" s="2"/>
      <c r="X103" s="2"/>
    </row>
    <row r="104" spans="1:24" ht="18">
      <c r="A104" s="2"/>
      <c r="B104" s="2"/>
      <c r="C104" s="2"/>
      <c r="D104" s="2"/>
      <c r="E104" s="2"/>
      <c r="F104" s="2"/>
      <c r="G104" s="2"/>
      <c r="H104" s="2"/>
      <c r="I104" s="2"/>
      <c r="J104" s="2"/>
      <c r="K104" s="2"/>
      <c r="L104" s="2"/>
      <c r="M104" s="2"/>
      <c r="N104" s="2"/>
      <c r="O104" s="2"/>
      <c r="P104" s="2"/>
      <c r="Q104" s="2"/>
      <c r="R104" s="2"/>
      <c r="S104" s="2"/>
      <c r="T104" s="2"/>
      <c r="U104" s="2"/>
      <c r="V104" s="2"/>
      <c r="W104" s="2"/>
      <c r="X104" s="2"/>
    </row>
    <row r="105" spans="1:24" ht="18">
      <c r="A105" s="2"/>
      <c r="B105" s="2"/>
      <c r="C105" s="2"/>
      <c r="D105" s="2"/>
      <c r="E105" s="2"/>
      <c r="F105" s="2"/>
      <c r="G105" s="2"/>
      <c r="H105" s="2"/>
      <c r="I105" s="2"/>
      <c r="J105" s="2"/>
      <c r="K105" s="2"/>
      <c r="L105" s="2"/>
      <c r="M105" s="2"/>
      <c r="N105" s="2"/>
      <c r="O105" s="2"/>
      <c r="P105" s="2"/>
      <c r="Q105" s="2"/>
      <c r="R105" s="2"/>
      <c r="S105" s="2"/>
      <c r="T105" s="2"/>
      <c r="U105" s="2"/>
      <c r="V105" s="2"/>
      <c r="W105" s="2"/>
      <c r="X105" s="2"/>
    </row>
    <row r="106" spans="1:24" ht="18">
      <c r="A106" s="2"/>
      <c r="B106" s="2"/>
      <c r="C106" s="2"/>
      <c r="D106" s="2"/>
      <c r="E106" s="2"/>
      <c r="F106" s="2"/>
      <c r="G106" s="2"/>
      <c r="H106" s="2"/>
      <c r="I106" s="2"/>
      <c r="J106" s="2"/>
      <c r="K106" s="2"/>
      <c r="L106" s="2"/>
      <c r="M106" s="2"/>
      <c r="N106" s="2"/>
      <c r="O106" s="2"/>
      <c r="P106" s="2"/>
      <c r="Q106" s="2"/>
      <c r="R106" s="2"/>
      <c r="S106" s="2"/>
      <c r="T106" s="2"/>
      <c r="U106" s="2"/>
      <c r="V106" s="2"/>
      <c r="W106" s="2"/>
      <c r="X106" s="2"/>
    </row>
    <row r="107" spans="1:24" ht="18">
      <c r="A107" s="2"/>
      <c r="B107" s="2"/>
      <c r="C107" s="2"/>
      <c r="D107" s="2"/>
      <c r="E107" s="2"/>
      <c r="F107" s="2"/>
      <c r="G107" s="2"/>
      <c r="H107" s="2"/>
      <c r="I107" s="2"/>
      <c r="J107" s="2"/>
      <c r="K107" s="2"/>
      <c r="L107" s="2"/>
      <c r="M107" s="2"/>
      <c r="N107" s="2"/>
      <c r="O107" s="2"/>
      <c r="P107" s="2"/>
      <c r="Q107" s="2"/>
      <c r="R107" s="2"/>
      <c r="S107" s="2"/>
      <c r="T107" s="2"/>
      <c r="U107" s="2"/>
      <c r="V107" s="2"/>
      <c r="W107" s="2"/>
      <c r="X107" s="2"/>
    </row>
    <row r="108" spans="1:24" ht="18">
      <c r="A108" s="2"/>
      <c r="B108" s="2"/>
      <c r="C108" s="2"/>
      <c r="D108" s="2"/>
      <c r="E108" s="2"/>
      <c r="F108" s="2"/>
      <c r="G108" s="2"/>
      <c r="H108" s="2"/>
      <c r="I108" s="2"/>
      <c r="J108" s="2"/>
      <c r="K108" s="2"/>
      <c r="L108" s="2"/>
      <c r="M108" s="2"/>
      <c r="N108" s="2"/>
      <c r="O108" s="2"/>
      <c r="P108" s="2"/>
      <c r="Q108" s="2"/>
      <c r="R108" s="2"/>
      <c r="S108" s="2"/>
      <c r="T108" s="2"/>
      <c r="U108" s="2"/>
      <c r="V108" s="2"/>
      <c r="W108" s="2"/>
      <c r="X108" s="2"/>
    </row>
    <row r="109" spans="1:24" ht="18">
      <c r="A109" s="2"/>
      <c r="B109" s="2"/>
      <c r="C109" s="2"/>
      <c r="D109" s="2"/>
      <c r="E109" s="2"/>
      <c r="F109" s="2"/>
      <c r="G109" s="2"/>
      <c r="H109" s="2"/>
      <c r="I109" s="2"/>
      <c r="J109" s="2"/>
      <c r="K109" s="2"/>
      <c r="L109" s="2"/>
      <c r="M109" s="2"/>
      <c r="N109" s="2"/>
      <c r="O109" s="2"/>
      <c r="P109" s="2"/>
      <c r="Q109" s="2"/>
      <c r="R109" s="2"/>
      <c r="S109" s="2"/>
      <c r="T109" s="2"/>
      <c r="U109" s="2"/>
      <c r="V109" s="2"/>
      <c r="W109" s="2"/>
      <c r="X109" s="2"/>
    </row>
    <row r="110" spans="1:24" ht="18">
      <c r="A110" s="2"/>
      <c r="B110" s="2"/>
      <c r="C110" s="2"/>
      <c r="D110" s="2"/>
      <c r="E110" s="2"/>
      <c r="F110" s="2"/>
      <c r="G110" s="2"/>
      <c r="H110" s="2"/>
      <c r="I110" s="2"/>
      <c r="J110" s="2"/>
      <c r="K110" s="2"/>
      <c r="L110" s="2"/>
      <c r="M110" s="2"/>
      <c r="N110" s="2"/>
      <c r="O110" s="2"/>
      <c r="P110" s="2"/>
      <c r="Q110" s="2"/>
      <c r="R110" s="2"/>
      <c r="S110" s="2"/>
      <c r="T110" s="2"/>
      <c r="U110" s="2"/>
      <c r="V110" s="2"/>
      <c r="W110" s="2"/>
      <c r="X110" s="2"/>
    </row>
    <row r="111" spans="1:24" ht="18">
      <c r="A111" s="2"/>
      <c r="B111" s="2"/>
      <c r="C111" s="2"/>
      <c r="D111" s="2"/>
      <c r="E111" s="2"/>
      <c r="F111" s="2"/>
      <c r="G111" s="2"/>
      <c r="H111" s="2"/>
      <c r="I111" s="2"/>
      <c r="J111" s="2"/>
      <c r="K111" s="2"/>
      <c r="L111" s="2"/>
      <c r="M111" s="2"/>
      <c r="N111" s="2"/>
      <c r="O111" s="2"/>
      <c r="P111" s="2"/>
      <c r="Q111" s="2"/>
      <c r="R111" s="2"/>
      <c r="S111" s="2"/>
      <c r="T111" s="2"/>
      <c r="U111" s="2"/>
      <c r="V111" s="2"/>
      <c r="W111" s="2"/>
      <c r="X111" s="2"/>
    </row>
    <row r="112" spans="1:24" ht="18">
      <c r="A112" s="2"/>
      <c r="B112" s="2"/>
      <c r="C112" s="2"/>
      <c r="D112" s="2"/>
      <c r="E112" s="2"/>
      <c r="F112" s="2"/>
      <c r="G112" s="2"/>
      <c r="H112" s="2"/>
      <c r="I112" s="2"/>
      <c r="J112" s="2"/>
      <c r="K112" s="2"/>
      <c r="L112" s="2"/>
      <c r="M112" s="2"/>
      <c r="N112" s="2"/>
      <c r="O112" s="2"/>
      <c r="P112" s="2"/>
      <c r="Q112" s="2"/>
      <c r="R112" s="2"/>
      <c r="S112" s="2"/>
      <c r="T112" s="2"/>
      <c r="U112" s="2"/>
      <c r="V112" s="2"/>
      <c r="W112" s="2"/>
      <c r="X112" s="2"/>
    </row>
    <row r="113" spans="1:24" ht="18">
      <c r="A113" s="2"/>
      <c r="B113" s="2"/>
      <c r="C113" s="2"/>
      <c r="D113" s="2"/>
      <c r="E113" s="2"/>
      <c r="F113" s="2"/>
      <c r="G113" s="2"/>
      <c r="H113" s="2"/>
      <c r="I113" s="2"/>
      <c r="J113" s="2"/>
      <c r="K113" s="2"/>
      <c r="L113" s="2"/>
      <c r="M113" s="2"/>
      <c r="N113" s="2"/>
      <c r="O113" s="2"/>
      <c r="P113" s="2"/>
      <c r="Q113" s="2"/>
      <c r="R113" s="2"/>
      <c r="S113" s="2"/>
      <c r="T113" s="2"/>
      <c r="U113" s="2"/>
      <c r="V113" s="2"/>
      <c r="W113" s="2"/>
      <c r="X113" s="2"/>
    </row>
    <row r="114" spans="1:24" ht="18">
      <c r="A114" s="2"/>
      <c r="B114" s="2"/>
      <c r="C114" s="2"/>
      <c r="D114" s="2"/>
      <c r="E114" s="2"/>
      <c r="F114" s="2"/>
      <c r="G114" s="2"/>
      <c r="H114" s="2"/>
      <c r="I114" s="2"/>
      <c r="J114" s="2"/>
      <c r="K114" s="2"/>
      <c r="L114" s="2"/>
      <c r="M114" s="2"/>
      <c r="N114" s="2"/>
      <c r="O114" s="2"/>
      <c r="P114" s="2"/>
      <c r="Q114" s="2"/>
      <c r="R114" s="2"/>
      <c r="S114" s="2"/>
      <c r="T114" s="2"/>
      <c r="U114" s="2"/>
      <c r="V114" s="2"/>
      <c r="W114" s="2"/>
      <c r="X114" s="2"/>
    </row>
    <row r="115" spans="1:24" ht="18">
      <c r="A115" s="2"/>
      <c r="B115" s="2"/>
      <c r="C115" s="2"/>
      <c r="D115" s="2"/>
      <c r="E115" s="2"/>
      <c r="F115" s="2"/>
      <c r="G115" s="2"/>
      <c r="H115" s="2"/>
      <c r="I115" s="2"/>
      <c r="J115" s="2"/>
      <c r="K115" s="2"/>
      <c r="L115" s="2"/>
      <c r="M115" s="2"/>
      <c r="N115" s="2"/>
      <c r="O115" s="2"/>
      <c r="P115" s="2"/>
      <c r="Q115" s="2"/>
      <c r="R115" s="2"/>
      <c r="S115" s="2"/>
      <c r="T115" s="2"/>
      <c r="U115" s="2"/>
      <c r="V115" s="2"/>
      <c r="W115" s="2"/>
      <c r="X115" s="2"/>
    </row>
    <row r="116" spans="1:24" ht="18">
      <c r="A116" s="2"/>
      <c r="B116" s="2"/>
      <c r="C116" s="2"/>
      <c r="D116" s="2"/>
      <c r="E116" s="2"/>
      <c r="F116" s="2"/>
      <c r="G116" s="2"/>
      <c r="H116" s="2"/>
      <c r="I116" s="2"/>
      <c r="J116" s="2"/>
      <c r="K116" s="2"/>
      <c r="L116" s="2"/>
      <c r="M116" s="2"/>
      <c r="N116" s="2"/>
      <c r="O116" s="2"/>
      <c r="P116" s="2"/>
      <c r="Q116" s="2"/>
      <c r="R116" s="2"/>
      <c r="S116" s="2"/>
      <c r="T116" s="2"/>
      <c r="U116" s="2"/>
      <c r="V116" s="2"/>
      <c r="W116" s="2"/>
      <c r="X116" s="2"/>
    </row>
    <row r="117" spans="1:24" ht="18">
      <c r="A117" s="2"/>
      <c r="B117" s="2"/>
      <c r="C117" s="2"/>
      <c r="D117" s="2"/>
      <c r="E117" s="2"/>
      <c r="F117" s="2"/>
      <c r="G117" s="2"/>
      <c r="H117" s="2"/>
      <c r="I117" s="2"/>
      <c r="J117" s="2"/>
      <c r="K117" s="2"/>
      <c r="L117" s="2"/>
      <c r="M117" s="2"/>
      <c r="N117" s="2"/>
      <c r="O117" s="2"/>
      <c r="P117" s="2"/>
      <c r="Q117" s="2"/>
      <c r="R117" s="2"/>
      <c r="S117" s="2"/>
      <c r="T117" s="2"/>
      <c r="U117" s="2"/>
      <c r="V117" s="2"/>
      <c r="W117" s="2"/>
      <c r="X117" s="2"/>
    </row>
    <row r="118" spans="1:24" ht="18">
      <c r="A118" s="2"/>
      <c r="B118" s="2"/>
      <c r="C118" s="2"/>
      <c r="D118" s="2"/>
      <c r="E118" s="2"/>
      <c r="F118" s="2"/>
      <c r="G118" s="2"/>
      <c r="H118" s="2"/>
      <c r="I118" s="2"/>
      <c r="J118" s="2"/>
      <c r="K118" s="2"/>
      <c r="L118" s="2"/>
      <c r="M118" s="2"/>
      <c r="N118" s="2"/>
      <c r="O118" s="2"/>
      <c r="P118" s="2"/>
      <c r="Q118" s="2"/>
      <c r="R118" s="2"/>
      <c r="S118" s="2"/>
      <c r="T118" s="2"/>
      <c r="U118" s="2"/>
      <c r="V118" s="2"/>
      <c r="W118" s="2"/>
      <c r="X118" s="2"/>
    </row>
    <row r="119" spans="1:24" ht="18">
      <c r="A119" s="2"/>
      <c r="B119" s="2"/>
      <c r="C119" s="2"/>
      <c r="D119" s="2"/>
      <c r="E119" s="2"/>
      <c r="F119" s="2"/>
      <c r="G119" s="2"/>
      <c r="H119" s="2"/>
      <c r="I119" s="2"/>
      <c r="J119" s="2"/>
      <c r="K119" s="2"/>
      <c r="L119" s="2"/>
      <c r="M119" s="2"/>
      <c r="N119" s="2"/>
      <c r="O119" s="2"/>
      <c r="P119" s="2"/>
      <c r="Q119" s="2"/>
      <c r="R119" s="2"/>
      <c r="S119" s="2"/>
      <c r="T119" s="2"/>
      <c r="U119" s="2"/>
      <c r="V119" s="2"/>
      <c r="W119" s="2"/>
      <c r="X119" s="2"/>
    </row>
    <row r="120" spans="1:24" ht="18">
      <c r="A120" s="2"/>
      <c r="B120" s="2"/>
      <c r="C120" s="2"/>
      <c r="D120" s="2"/>
      <c r="E120" s="2"/>
      <c r="F120" s="2"/>
      <c r="G120" s="2"/>
      <c r="H120" s="2"/>
      <c r="I120" s="2"/>
      <c r="J120" s="2"/>
      <c r="K120" s="2"/>
      <c r="L120" s="2"/>
      <c r="M120" s="2"/>
      <c r="N120" s="2"/>
      <c r="O120" s="2"/>
      <c r="P120" s="2"/>
      <c r="Q120" s="2"/>
      <c r="R120" s="2"/>
      <c r="S120" s="2"/>
      <c r="T120" s="2"/>
      <c r="U120" s="2"/>
      <c r="V120" s="2"/>
      <c r="W120" s="2"/>
      <c r="X120" s="2"/>
    </row>
    <row r="121" spans="1:24" ht="18">
      <c r="A121" s="2"/>
      <c r="B121" s="2"/>
      <c r="C121" s="2"/>
      <c r="D121" s="2"/>
      <c r="E121" s="2"/>
      <c r="F121" s="2"/>
      <c r="G121" s="2"/>
      <c r="H121" s="2"/>
      <c r="I121" s="2"/>
      <c r="J121" s="2"/>
      <c r="K121" s="2"/>
      <c r="L121" s="2"/>
      <c r="M121" s="2"/>
      <c r="N121" s="2"/>
      <c r="O121" s="2"/>
      <c r="P121" s="2"/>
      <c r="Q121" s="2"/>
      <c r="R121" s="2"/>
      <c r="S121" s="2"/>
      <c r="T121" s="2"/>
      <c r="U121" s="2"/>
      <c r="V121" s="2"/>
      <c r="W121" s="2"/>
      <c r="X121" s="2"/>
    </row>
    <row r="122" spans="1:24" ht="18">
      <c r="A122" s="2"/>
      <c r="B122" s="2"/>
      <c r="C122" s="2"/>
      <c r="D122" s="2"/>
      <c r="E122" s="2"/>
      <c r="F122" s="2"/>
      <c r="G122" s="2"/>
      <c r="H122" s="2"/>
      <c r="I122" s="2"/>
      <c r="J122" s="2"/>
      <c r="K122" s="2"/>
      <c r="L122" s="2"/>
      <c r="M122" s="2"/>
      <c r="N122" s="2"/>
      <c r="O122" s="2"/>
      <c r="P122" s="2"/>
      <c r="Q122" s="2"/>
      <c r="R122" s="2"/>
      <c r="S122" s="2"/>
      <c r="T122" s="2"/>
      <c r="U122" s="2"/>
      <c r="V122" s="2"/>
      <c r="W122" s="2"/>
      <c r="X122" s="2"/>
    </row>
    <row r="123" spans="1:24" ht="18">
      <c r="A123" s="2"/>
      <c r="B123" s="2"/>
      <c r="C123" s="2"/>
      <c r="D123" s="2"/>
      <c r="E123" s="2"/>
      <c r="F123" s="2"/>
      <c r="G123" s="2"/>
      <c r="H123" s="2"/>
      <c r="I123" s="2"/>
      <c r="J123" s="2"/>
      <c r="K123" s="2"/>
      <c r="L123" s="2"/>
      <c r="M123" s="2"/>
      <c r="N123" s="2"/>
      <c r="O123" s="2"/>
      <c r="P123" s="2"/>
      <c r="Q123" s="2"/>
      <c r="R123" s="2"/>
      <c r="S123" s="2"/>
      <c r="T123" s="2"/>
      <c r="U123" s="2"/>
      <c r="V123" s="2"/>
      <c r="W123" s="2"/>
      <c r="X123" s="2"/>
    </row>
    <row r="124" spans="1:24" ht="18">
      <c r="A124" s="2"/>
      <c r="B124" s="2"/>
      <c r="C124" s="2"/>
      <c r="D124" s="2"/>
      <c r="E124" s="2"/>
      <c r="F124" s="2"/>
      <c r="G124" s="2"/>
      <c r="H124" s="2"/>
      <c r="I124" s="2"/>
      <c r="J124" s="2"/>
      <c r="K124" s="2"/>
      <c r="L124" s="2"/>
      <c r="M124" s="2"/>
      <c r="N124" s="2"/>
      <c r="O124" s="2"/>
      <c r="P124" s="2"/>
      <c r="Q124" s="2"/>
      <c r="R124" s="2"/>
      <c r="S124" s="2"/>
      <c r="T124" s="2"/>
      <c r="U124" s="2"/>
      <c r="V124" s="2"/>
      <c r="W124" s="2"/>
      <c r="X124" s="2"/>
    </row>
    <row r="125" spans="1:24" ht="18">
      <c r="A125" s="2"/>
      <c r="B125" s="2"/>
      <c r="C125" s="2"/>
      <c r="D125" s="2"/>
      <c r="E125" s="2"/>
      <c r="F125" s="2"/>
      <c r="G125" s="2"/>
      <c r="H125" s="2"/>
      <c r="I125" s="2"/>
      <c r="J125" s="2"/>
      <c r="K125" s="2"/>
      <c r="L125" s="2"/>
      <c r="M125" s="2"/>
      <c r="N125" s="2"/>
      <c r="O125" s="2"/>
      <c r="P125" s="2"/>
      <c r="Q125" s="2"/>
      <c r="R125" s="2"/>
      <c r="S125" s="2"/>
      <c r="T125" s="2"/>
      <c r="U125" s="2"/>
      <c r="V125" s="2"/>
      <c r="W125" s="2"/>
      <c r="X125" s="2"/>
    </row>
    <row r="126" spans="1:24" ht="18">
      <c r="A126" s="2"/>
      <c r="B126" s="2"/>
      <c r="C126" s="2"/>
      <c r="D126" s="2"/>
      <c r="E126" s="2"/>
      <c r="F126" s="2"/>
      <c r="G126" s="2"/>
      <c r="H126" s="2"/>
      <c r="I126" s="2"/>
      <c r="J126" s="2"/>
      <c r="K126" s="2"/>
      <c r="L126" s="2"/>
      <c r="M126" s="2"/>
      <c r="N126" s="2"/>
      <c r="O126" s="2"/>
      <c r="P126" s="2"/>
      <c r="Q126" s="2"/>
      <c r="R126" s="2"/>
      <c r="S126" s="2"/>
      <c r="T126" s="2"/>
      <c r="U126" s="2"/>
      <c r="V126" s="2"/>
      <c r="W126" s="2"/>
      <c r="X126" s="2"/>
    </row>
    <row r="127" spans="1:24" ht="18">
      <c r="A127" s="2"/>
      <c r="B127" s="2"/>
      <c r="C127" s="2"/>
      <c r="D127" s="2"/>
      <c r="E127" s="2"/>
      <c r="F127" s="2"/>
      <c r="G127" s="2"/>
      <c r="H127" s="2"/>
      <c r="I127" s="2"/>
      <c r="J127" s="2"/>
      <c r="K127" s="2"/>
      <c r="L127" s="2"/>
      <c r="M127" s="2"/>
      <c r="N127" s="2"/>
      <c r="O127" s="2"/>
      <c r="P127" s="2"/>
      <c r="Q127" s="2"/>
      <c r="R127" s="2"/>
      <c r="S127" s="2"/>
      <c r="T127" s="2"/>
      <c r="U127" s="2"/>
      <c r="V127" s="2"/>
      <c r="W127" s="2"/>
      <c r="X127" s="2"/>
    </row>
    <row r="128" spans="1:24" ht="18">
      <c r="A128" s="2"/>
      <c r="B128" s="2"/>
      <c r="C128" s="2"/>
      <c r="D128" s="2"/>
      <c r="E128" s="2"/>
      <c r="F128" s="2"/>
      <c r="G128" s="2"/>
      <c r="H128" s="2"/>
      <c r="I128" s="2"/>
      <c r="J128" s="2"/>
      <c r="K128" s="2"/>
      <c r="L128" s="2"/>
      <c r="M128" s="2"/>
      <c r="N128" s="2"/>
      <c r="O128" s="2"/>
      <c r="P128" s="2"/>
      <c r="Q128" s="2"/>
      <c r="R128" s="2"/>
      <c r="S128" s="2"/>
      <c r="T128" s="2"/>
      <c r="U128" s="2"/>
      <c r="V128" s="2"/>
      <c r="W128" s="2"/>
      <c r="X128" s="2"/>
    </row>
    <row r="129" spans="1:24" ht="18">
      <c r="A129" s="2"/>
      <c r="B129" s="2"/>
      <c r="C129" s="2"/>
      <c r="D129" s="2"/>
      <c r="E129" s="2"/>
      <c r="F129" s="2"/>
      <c r="G129" s="2"/>
      <c r="H129" s="2"/>
      <c r="I129" s="2"/>
      <c r="J129" s="2"/>
      <c r="K129" s="2"/>
      <c r="L129" s="2"/>
      <c r="M129" s="2"/>
      <c r="N129" s="2"/>
      <c r="O129" s="2"/>
      <c r="P129" s="2"/>
      <c r="Q129" s="2"/>
      <c r="R129" s="2"/>
      <c r="S129" s="2"/>
      <c r="T129" s="2"/>
      <c r="U129" s="2"/>
      <c r="V129" s="2"/>
      <c r="W129" s="2"/>
      <c r="X129" s="2"/>
    </row>
    <row r="130" spans="1:24" ht="18">
      <c r="A130" s="2"/>
      <c r="B130" s="2"/>
      <c r="C130" s="2"/>
      <c r="D130" s="2"/>
      <c r="E130" s="2"/>
      <c r="F130" s="2"/>
      <c r="G130" s="2"/>
      <c r="H130" s="2"/>
      <c r="I130" s="2"/>
      <c r="J130" s="2"/>
      <c r="K130" s="2"/>
      <c r="L130" s="2"/>
      <c r="M130" s="2"/>
      <c r="N130" s="2"/>
      <c r="O130" s="2"/>
      <c r="P130" s="2"/>
      <c r="Q130" s="2"/>
      <c r="R130" s="2"/>
      <c r="S130" s="2"/>
      <c r="T130" s="2"/>
      <c r="U130" s="2"/>
      <c r="V130" s="2"/>
      <c r="W130" s="2"/>
      <c r="X130" s="2"/>
    </row>
    <row r="131" spans="1:24" ht="18">
      <c r="A131" s="2"/>
      <c r="B131" s="2"/>
      <c r="C131" s="2"/>
      <c r="D131" s="2"/>
      <c r="E131" s="2"/>
      <c r="F131" s="2"/>
      <c r="G131" s="2"/>
      <c r="H131" s="2"/>
      <c r="I131" s="2"/>
      <c r="J131" s="2"/>
      <c r="K131" s="2"/>
      <c r="L131" s="2"/>
      <c r="M131" s="2"/>
      <c r="N131" s="2"/>
      <c r="O131" s="2"/>
      <c r="P131" s="2"/>
      <c r="Q131" s="2"/>
      <c r="R131" s="2"/>
      <c r="S131" s="2"/>
      <c r="T131" s="2"/>
      <c r="U131" s="2"/>
      <c r="V131" s="2"/>
      <c r="W131" s="2"/>
      <c r="X131" s="2"/>
    </row>
    <row r="132" spans="1:24" ht="18">
      <c r="A132" s="2"/>
      <c r="B132" s="2"/>
      <c r="C132" s="2"/>
      <c r="D132" s="2"/>
      <c r="E132" s="2"/>
      <c r="F132" s="2"/>
      <c r="G132" s="2"/>
      <c r="H132" s="2"/>
      <c r="I132" s="2"/>
      <c r="J132" s="2"/>
      <c r="K132" s="2"/>
      <c r="L132" s="2"/>
      <c r="M132" s="2"/>
      <c r="N132" s="2"/>
      <c r="O132" s="2"/>
      <c r="P132" s="2"/>
      <c r="Q132" s="2"/>
      <c r="R132" s="2"/>
      <c r="S132" s="2"/>
      <c r="T132" s="2"/>
      <c r="U132" s="2"/>
      <c r="V132" s="2"/>
      <c r="W132" s="2"/>
      <c r="X132" s="2"/>
    </row>
    <row r="133" spans="1:24" ht="18">
      <c r="A133" s="2"/>
      <c r="B133" s="2"/>
      <c r="C133" s="2"/>
      <c r="D133" s="2"/>
      <c r="E133" s="2"/>
      <c r="F133" s="2"/>
      <c r="G133" s="2"/>
      <c r="H133" s="2"/>
      <c r="I133" s="2"/>
      <c r="J133" s="2"/>
      <c r="K133" s="2"/>
      <c r="L133" s="2"/>
      <c r="M133" s="2"/>
      <c r="N133" s="2"/>
      <c r="O133" s="2"/>
      <c r="P133" s="2"/>
      <c r="Q133" s="2"/>
      <c r="R133" s="2"/>
      <c r="S133" s="2"/>
      <c r="T133" s="2"/>
      <c r="U133" s="2"/>
      <c r="V133" s="2"/>
      <c r="W133" s="2"/>
      <c r="X133" s="2"/>
    </row>
    <row r="134" spans="1:24" ht="18">
      <c r="A134" s="2"/>
      <c r="B134" s="2"/>
      <c r="C134" s="2"/>
      <c r="D134" s="2"/>
      <c r="E134" s="2"/>
      <c r="F134" s="2"/>
      <c r="G134" s="2"/>
      <c r="H134" s="2"/>
      <c r="I134" s="2"/>
      <c r="J134" s="2"/>
      <c r="K134" s="2"/>
      <c r="L134" s="2"/>
      <c r="M134" s="2"/>
      <c r="N134" s="2"/>
      <c r="O134" s="2"/>
      <c r="P134" s="2"/>
      <c r="Q134" s="2"/>
      <c r="R134" s="2"/>
      <c r="S134" s="2"/>
      <c r="T134" s="2"/>
      <c r="U134" s="2"/>
      <c r="V134" s="2"/>
      <c r="W134" s="2"/>
      <c r="X134" s="2"/>
    </row>
    <row r="135" spans="1:24" ht="18">
      <c r="A135" s="2"/>
      <c r="B135" s="2"/>
      <c r="C135" s="2"/>
      <c r="D135" s="2"/>
      <c r="E135" s="2"/>
      <c r="F135" s="2"/>
      <c r="G135" s="2"/>
      <c r="H135" s="2"/>
      <c r="I135" s="2"/>
      <c r="J135" s="2"/>
      <c r="K135" s="2"/>
      <c r="L135" s="2"/>
      <c r="M135" s="2"/>
      <c r="N135" s="2"/>
      <c r="O135" s="2"/>
      <c r="P135" s="2"/>
      <c r="Q135" s="2"/>
      <c r="R135" s="2"/>
      <c r="S135" s="2"/>
      <c r="T135" s="2"/>
      <c r="U135" s="2"/>
      <c r="V135" s="2"/>
      <c r="W135" s="2"/>
      <c r="X135" s="2"/>
    </row>
    <row r="136" spans="1:24" ht="18">
      <c r="A136" s="2"/>
      <c r="B136" s="2"/>
      <c r="C136" s="2"/>
      <c r="D136" s="2"/>
      <c r="E136" s="2"/>
      <c r="F136" s="2"/>
      <c r="G136" s="2"/>
      <c r="H136" s="2"/>
      <c r="I136" s="2"/>
      <c r="J136" s="2"/>
      <c r="K136" s="2"/>
      <c r="L136" s="2"/>
      <c r="M136" s="2"/>
      <c r="N136" s="2"/>
      <c r="O136" s="2"/>
      <c r="P136" s="2"/>
      <c r="Q136" s="2"/>
      <c r="R136" s="2"/>
      <c r="S136" s="2"/>
      <c r="T136" s="2"/>
      <c r="U136" s="2"/>
      <c r="V136" s="2"/>
      <c r="W136" s="2"/>
      <c r="X136" s="2"/>
    </row>
    <row r="137" spans="1:24" ht="18">
      <c r="A137" s="2"/>
      <c r="B137" s="2"/>
      <c r="C137" s="2"/>
      <c r="D137" s="2"/>
      <c r="E137" s="2"/>
      <c r="F137" s="2"/>
      <c r="G137" s="2"/>
      <c r="H137" s="2"/>
      <c r="I137" s="2"/>
      <c r="J137" s="2"/>
      <c r="K137" s="2"/>
      <c r="L137" s="2"/>
      <c r="M137" s="2"/>
      <c r="N137" s="2"/>
      <c r="O137" s="2"/>
      <c r="P137" s="2"/>
      <c r="Q137" s="2"/>
      <c r="R137" s="2"/>
      <c r="S137" s="2"/>
      <c r="T137" s="2"/>
      <c r="U137" s="2"/>
      <c r="V137" s="2"/>
      <c r="W137" s="2"/>
      <c r="X137" s="2"/>
    </row>
    <row r="138" spans="1:24" ht="18">
      <c r="A138" s="2"/>
      <c r="B138" s="2"/>
      <c r="C138" s="2"/>
      <c r="D138" s="2"/>
      <c r="E138" s="2"/>
      <c r="F138" s="2"/>
      <c r="G138" s="2"/>
      <c r="H138" s="2"/>
      <c r="I138" s="2"/>
      <c r="J138" s="2"/>
      <c r="K138" s="2"/>
      <c r="L138" s="2"/>
      <c r="M138" s="2"/>
      <c r="N138" s="2"/>
      <c r="O138" s="2"/>
      <c r="P138" s="2"/>
      <c r="Q138" s="2"/>
      <c r="R138" s="2"/>
      <c r="S138" s="2"/>
      <c r="T138" s="2"/>
      <c r="U138" s="2"/>
      <c r="V138" s="2"/>
      <c r="W138" s="2"/>
      <c r="X138" s="2"/>
    </row>
    <row r="139" spans="1:24" ht="18">
      <c r="A139" s="2"/>
      <c r="B139" s="2"/>
      <c r="C139" s="2"/>
      <c r="D139" s="2"/>
      <c r="E139" s="2"/>
      <c r="F139" s="2"/>
      <c r="G139" s="2"/>
      <c r="H139" s="2"/>
      <c r="I139" s="2"/>
      <c r="J139" s="2"/>
      <c r="K139" s="2"/>
      <c r="L139" s="2"/>
      <c r="M139" s="2"/>
      <c r="N139" s="2"/>
      <c r="O139" s="2"/>
      <c r="P139" s="2"/>
      <c r="Q139" s="2"/>
      <c r="R139" s="2"/>
      <c r="S139" s="2"/>
      <c r="T139" s="2"/>
      <c r="U139" s="2"/>
      <c r="V139" s="2"/>
      <c r="W139" s="2"/>
      <c r="X139" s="2"/>
    </row>
    <row r="140" spans="1:24" ht="18">
      <c r="A140" s="2"/>
      <c r="B140" s="2"/>
      <c r="C140" s="2"/>
      <c r="D140" s="2"/>
      <c r="E140" s="2"/>
      <c r="F140" s="2"/>
      <c r="G140" s="2"/>
      <c r="H140" s="2"/>
      <c r="I140" s="2"/>
      <c r="J140" s="2"/>
      <c r="K140" s="2"/>
      <c r="L140" s="2"/>
      <c r="M140" s="2"/>
      <c r="N140" s="2"/>
      <c r="O140" s="2"/>
      <c r="P140" s="2"/>
      <c r="Q140" s="2"/>
      <c r="R140" s="2"/>
      <c r="S140" s="2"/>
      <c r="T140" s="2"/>
      <c r="U140" s="2"/>
      <c r="V140" s="2"/>
      <c r="W140" s="2"/>
      <c r="X140" s="2"/>
    </row>
    <row r="141" spans="1:24" ht="18">
      <c r="A141" s="2"/>
      <c r="B141" s="2"/>
      <c r="C141" s="2"/>
      <c r="D141" s="2"/>
      <c r="E141" s="2"/>
      <c r="F141" s="2"/>
      <c r="G141" s="2"/>
      <c r="H141" s="2"/>
      <c r="I141" s="2"/>
      <c r="J141" s="2"/>
      <c r="K141" s="2"/>
      <c r="L141" s="2"/>
      <c r="M141" s="2"/>
      <c r="N141" s="2"/>
      <c r="O141" s="2"/>
      <c r="P141" s="2"/>
      <c r="Q141" s="2"/>
      <c r="R141" s="2"/>
      <c r="S141" s="2"/>
      <c r="T141" s="2"/>
      <c r="U141" s="2"/>
      <c r="V141" s="2"/>
      <c r="W141" s="2"/>
      <c r="X141" s="2"/>
    </row>
    <row r="142" spans="1:24" ht="18">
      <c r="A142" s="2"/>
      <c r="B142" s="2"/>
      <c r="C142" s="2"/>
      <c r="D142" s="2"/>
      <c r="E142" s="2"/>
      <c r="F142" s="2"/>
      <c r="G142" s="2"/>
      <c r="H142" s="2"/>
      <c r="I142" s="2"/>
      <c r="J142" s="2"/>
      <c r="K142" s="2"/>
      <c r="L142" s="2"/>
      <c r="M142" s="2"/>
      <c r="N142" s="2"/>
      <c r="O142" s="2"/>
      <c r="P142" s="2"/>
      <c r="Q142" s="2"/>
      <c r="R142" s="2"/>
      <c r="S142" s="2"/>
      <c r="T142" s="2"/>
      <c r="U142" s="2"/>
      <c r="V142" s="2"/>
      <c r="W142" s="2"/>
      <c r="X142" s="2"/>
    </row>
    <row r="143" spans="1:24" ht="18">
      <c r="A143" s="2"/>
      <c r="B143" s="2"/>
      <c r="C143" s="2"/>
      <c r="D143" s="2"/>
      <c r="E143" s="2"/>
      <c r="F143" s="2"/>
      <c r="G143" s="2"/>
      <c r="H143" s="2"/>
      <c r="I143" s="2"/>
      <c r="J143" s="2"/>
      <c r="K143" s="2"/>
      <c r="L143" s="2"/>
      <c r="M143" s="2"/>
      <c r="N143" s="2"/>
      <c r="O143" s="2"/>
      <c r="P143" s="2"/>
      <c r="Q143" s="2"/>
      <c r="R143" s="2"/>
      <c r="S143" s="2"/>
      <c r="T143" s="2"/>
      <c r="U143" s="2"/>
      <c r="V143" s="2"/>
      <c r="W143" s="2"/>
      <c r="X143" s="2"/>
    </row>
    <row r="144" spans="1:24" ht="18">
      <c r="A144" s="2"/>
      <c r="B144" s="2"/>
      <c r="C144" s="2"/>
      <c r="D144" s="2"/>
      <c r="E144" s="2"/>
      <c r="F144" s="2"/>
      <c r="G144" s="2"/>
      <c r="H144" s="2"/>
      <c r="I144" s="2"/>
      <c r="J144" s="2"/>
      <c r="K144" s="2"/>
      <c r="L144" s="2"/>
      <c r="M144" s="2"/>
      <c r="N144" s="2"/>
      <c r="O144" s="2"/>
      <c r="P144" s="2"/>
      <c r="Q144" s="2"/>
      <c r="R144" s="2"/>
      <c r="S144" s="2"/>
      <c r="T144" s="2"/>
      <c r="U144" s="2"/>
      <c r="V144" s="2"/>
      <c r="W144" s="2"/>
      <c r="X144" s="2"/>
    </row>
    <row r="145" spans="1:24" ht="18">
      <c r="A145" s="2"/>
      <c r="B145" s="2"/>
      <c r="C145" s="2"/>
      <c r="D145" s="2"/>
      <c r="E145" s="2"/>
      <c r="F145" s="2"/>
      <c r="G145" s="2"/>
      <c r="H145" s="2"/>
      <c r="I145" s="2"/>
      <c r="J145" s="2"/>
      <c r="K145" s="2"/>
      <c r="L145" s="2"/>
      <c r="M145" s="2"/>
      <c r="N145" s="2"/>
      <c r="O145" s="2"/>
      <c r="P145" s="2"/>
      <c r="Q145" s="2"/>
      <c r="R145" s="2"/>
      <c r="S145" s="2"/>
      <c r="T145" s="2"/>
      <c r="U145" s="2"/>
      <c r="V145" s="2"/>
      <c r="W145" s="2"/>
      <c r="X145" s="2"/>
    </row>
    <row r="146" spans="1:24" ht="18">
      <c r="A146" s="2"/>
      <c r="B146" s="2"/>
      <c r="C146" s="2"/>
      <c r="D146" s="2"/>
      <c r="E146" s="2"/>
      <c r="F146" s="2"/>
      <c r="G146" s="2"/>
      <c r="H146" s="2"/>
      <c r="I146" s="2"/>
      <c r="J146" s="2"/>
      <c r="K146" s="2"/>
      <c r="L146" s="2"/>
      <c r="M146" s="2"/>
      <c r="N146" s="2"/>
      <c r="O146" s="2"/>
      <c r="P146" s="2"/>
      <c r="Q146" s="2"/>
      <c r="R146" s="2"/>
      <c r="S146" s="2"/>
      <c r="T146" s="2"/>
      <c r="U146" s="2"/>
      <c r="V146" s="2"/>
      <c r="W146" s="2"/>
      <c r="X146" s="2"/>
    </row>
    <row r="147" spans="1:24" ht="18">
      <c r="A147" s="2"/>
      <c r="B147" s="2"/>
      <c r="C147" s="2"/>
      <c r="D147" s="2"/>
      <c r="E147" s="2"/>
      <c r="F147" s="2"/>
      <c r="G147" s="2"/>
      <c r="H147" s="2"/>
      <c r="I147" s="2"/>
      <c r="J147" s="2"/>
      <c r="K147" s="2"/>
      <c r="L147" s="2"/>
      <c r="M147" s="2"/>
      <c r="N147" s="2"/>
      <c r="O147" s="2"/>
      <c r="P147" s="2"/>
      <c r="Q147" s="2"/>
      <c r="R147" s="2"/>
      <c r="S147" s="2"/>
      <c r="T147" s="2"/>
      <c r="U147" s="2"/>
      <c r="V147" s="2"/>
      <c r="W147" s="2"/>
      <c r="X147" s="2"/>
    </row>
    <row r="148" spans="1:24" ht="18">
      <c r="A148" s="2"/>
      <c r="B148" s="2"/>
      <c r="C148" s="2"/>
      <c r="D148" s="2"/>
      <c r="E148" s="2"/>
      <c r="F148" s="2"/>
      <c r="G148" s="2"/>
      <c r="H148" s="2"/>
      <c r="I148" s="2"/>
      <c r="J148" s="2"/>
      <c r="K148" s="2"/>
      <c r="L148" s="2"/>
      <c r="M148" s="2"/>
      <c r="N148" s="2"/>
      <c r="O148" s="2"/>
      <c r="P148" s="2"/>
      <c r="Q148" s="2"/>
      <c r="R148" s="2"/>
      <c r="S148" s="2"/>
      <c r="T148" s="2"/>
      <c r="U148" s="2"/>
      <c r="V148" s="2"/>
      <c r="W148" s="2"/>
      <c r="X148" s="2"/>
    </row>
    <row r="149" spans="1:24" ht="18">
      <c r="A149" s="2"/>
      <c r="B149" s="2"/>
      <c r="C149" s="2"/>
      <c r="D149" s="2"/>
      <c r="E149" s="2"/>
      <c r="F149" s="2"/>
      <c r="G149" s="2"/>
      <c r="H149" s="2"/>
      <c r="I149" s="2"/>
      <c r="J149" s="2"/>
      <c r="K149" s="2"/>
      <c r="L149" s="2"/>
      <c r="M149" s="2"/>
      <c r="N149" s="2"/>
      <c r="O149" s="2"/>
      <c r="P149" s="2"/>
      <c r="Q149" s="2"/>
      <c r="R149" s="2"/>
      <c r="S149" s="2"/>
      <c r="T149" s="2"/>
      <c r="U149" s="2"/>
      <c r="V149" s="2"/>
      <c r="W149" s="2"/>
      <c r="X149" s="2"/>
    </row>
    <row r="150" spans="1:24" ht="18">
      <c r="A150" s="2"/>
      <c r="B150" s="2"/>
      <c r="C150" s="2"/>
      <c r="D150" s="2"/>
      <c r="E150" s="2"/>
      <c r="F150" s="2"/>
      <c r="G150" s="2"/>
      <c r="H150" s="2"/>
      <c r="I150" s="2"/>
      <c r="J150" s="2"/>
      <c r="K150" s="2"/>
      <c r="L150" s="2"/>
      <c r="M150" s="2"/>
      <c r="N150" s="2"/>
      <c r="O150" s="2"/>
      <c r="P150" s="2"/>
      <c r="Q150" s="2"/>
      <c r="R150" s="2"/>
      <c r="S150" s="2"/>
      <c r="T150" s="2"/>
      <c r="U150" s="2"/>
      <c r="V150" s="2"/>
      <c r="W150" s="2"/>
      <c r="X150" s="2"/>
    </row>
    <row r="151" spans="1:24" ht="18">
      <c r="A151" s="2"/>
      <c r="B151" s="2"/>
      <c r="C151" s="2"/>
      <c r="D151" s="2"/>
      <c r="E151" s="2"/>
      <c r="F151" s="2"/>
      <c r="G151" s="2"/>
      <c r="H151" s="2"/>
      <c r="I151" s="2"/>
      <c r="J151" s="2"/>
      <c r="K151" s="2"/>
      <c r="L151" s="2"/>
      <c r="M151" s="2"/>
      <c r="N151" s="2"/>
      <c r="O151" s="2"/>
      <c r="P151" s="2"/>
      <c r="Q151" s="2"/>
      <c r="R151" s="2"/>
      <c r="S151" s="2"/>
      <c r="T151" s="2"/>
      <c r="U151" s="2"/>
      <c r="V151" s="2"/>
      <c r="W151" s="2"/>
      <c r="X151" s="2"/>
    </row>
    <row r="152" spans="1:24" ht="18">
      <c r="A152" s="2"/>
      <c r="B152" s="2"/>
      <c r="C152" s="2"/>
      <c r="D152" s="2"/>
      <c r="E152" s="2"/>
      <c r="F152" s="2"/>
      <c r="G152" s="2"/>
      <c r="H152" s="2"/>
      <c r="I152" s="2"/>
      <c r="J152" s="2"/>
      <c r="K152" s="2"/>
      <c r="L152" s="2"/>
      <c r="M152" s="2"/>
      <c r="N152" s="2"/>
      <c r="O152" s="2"/>
      <c r="P152" s="2"/>
      <c r="Q152" s="2"/>
      <c r="R152" s="2"/>
      <c r="S152" s="2"/>
      <c r="T152" s="2"/>
      <c r="U152" s="2"/>
      <c r="V152" s="2"/>
      <c r="W152" s="2"/>
      <c r="X152" s="2"/>
    </row>
    <row r="153" spans="1:24" ht="18">
      <c r="A153" s="2"/>
      <c r="B153" s="2"/>
      <c r="C153" s="2"/>
      <c r="D153" s="2"/>
      <c r="E153" s="2"/>
      <c r="F153" s="2"/>
      <c r="G153" s="2"/>
      <c r="H153" s="2"/>
      <c r="I153" s="2"/>
      <c r="J153" s="2"/>
      <c r="K153" s="2"/>
      <c r="L153" s="2"/>
      <c r="M153" s="2"/>
      <c r="N153" s="2"/>
      <c r="O153" s="2"/>
      <c r="P153" s="2"/>
      <c r="Q153" s="2"/>
      <c r="R153" s="2"/>
      <c r="S153" s="2"/>
      <c r="T153" s="2"/>
      <c r="U153" s="2"/>
      <c r="V153" s="2"/>
      <c r="W153" s="2"/>
      <c r="X153" s="2"/>
    </row>
    <row r="154" spans="1:24" ht="18">
      <c r="A154" s="2"/>
      <c r="B154" s="2"/>
      <c r="C154" s="2"/>
      <c r="D154" s="2"/>
      <c r="E154" s="2"/>
      <c r="F154" s="2"/>
      <c r="G154" s="2"/>
      <c r="H154" s="2"/>
      <c r="I154" s="2"/>
      <c r="J154" s="2"/>
      <c r="K154" s="2"/>
      <c r="L154" s="2"/>
      <c r="M154" s="2"/>
      <c r="N154" s="2"/>
      <c r="O154" s="2"/>
      <c r="P154" s="2"/>
      <c r="Q154" s="2"/>
      <c r="R154" s="2"/>
      <c r="S154" s="2"/>
      <c r="T154" s="2"/>
      <c r="U154" s="2"/>
      <c r="V154" s="2"/>
      <c r="W154" s="2"/>
      <c r="X154" s="2"/>
    </row>
    <row r="155" spans="1:24" ht="18">
      <c r="A155" s="2"/>
      <c r="B155" s="2"/>
      <c r="C155" s="2"/>
      <c r="D155" s="2"/>
      <c r="E155" s="2"/>
      <c r="F155" s="2"/>
      <c r="G155" s="2"/>
      <c r="H155" s="2"/>
      <c r="I155" s="2"/>
      <c r="J155" s="2"/>
      <c r="K155" s="2"/>
      <c r="L155" s="2"/>
      <c r="M155" s="2"/>
      <c r="N155" s="2"/>
      <c r="O155" s="2"/>
      <c r="P155" s="2"/>
      <c r="Q155" s="2"/>
      <c r="R155" s="2"/>
      <c r="S155" s="2"/>
      <c r="T155" s="2"/>
      <c r="U155" s="2"/>
      <c r="V155" s="2"/>
      <c r="W155" s="2"/>
      <c r="X155" s="2"/>
    </row>
    <row r="156" spans="1:24" ht="18">
      <c r="A156" s="2"/>
      <c r="B156" s="2"/>
      <c r="C156" s="2"/>
      <c r="D156" s="2"/>
      <c r="E156" s="2"/>
      <c r="F156" s="2"/>
      <c r="G156" s="2"/>
      <c r="H156" s="2"/>
      <c r="I156" s="2"/>
      <c r="J156" s="2"/>
      <c r="K156" s="2"/>
      <c r="L156" s="2"/>
      <c r="M156" s="2"/>
      <c r="N156" s="2"/>
      <c r="O156" s="2"/>
      <c r="P156" s="2"/>
      <c r="Q156" s="2"/>
      <c r="R156" s="2"/>
      <c r="S156" s="2"/>
      <c r="T156" s="2"/>
      <c r="U156" s="2"/>
      <c r="V156" s="2"/>
      <c r="W156" s="2"/>
      <c r="X156" s="2"/>
    </row>
    <row r="157" spans="1:24" ht="18">
      <c r="A157" s="2"/>
      <c r="B157" s="2"/>
      <c r="C157" s="2"/>
      <c r="D157" s="2"/>
      <c r="E157" s="2"/>
      <c r="F157" s="2"/>
      <c r="G157" s="2"/>
      <c r="H157" s="2"/>
      <c r="I157" s="2"/>
      <c r="J157" s="2"/>
      <c r="K157" s="2"/>
      <c r="L157" s="2"/>
      <c r="M157" s="2"/>
      <c r="N157" s="2"/>
      <c r="O157" s="2"/>
      <c r="P157" s="2"/>
      <c r="Q157" s="2"/>
      <c r="R157" s="2"/>
      <c r="S157" s="2"/>
      <c r="T157" s="2"/>
      <c r="U157" s="2"/>
      <c r="V157" s="2"/>
      <c r="W157" s="2"/>
      <c r="X157" s="2"/>
    </row>
    <row r="158" spans="1:24" ht="18">
      <c r="A158" s="2"/>
      <c r="B158" s="2"/>
      <c r="C158" s="2"/>
      <c r="D158" s="2"/>
      <c r="E158" s="2"/>
      <c r="F158" s="2"/>
      <c r="G158" s="2"/>
      <c r="H158" s="2"/>
      <c r="I158" s="2"/>
      <c r="J158" s="2"/>
      <c r="K158" s="2"/>
      <c r="L158" s="2"/>
      <c r="M158" s="2"/>
      <c r="N158" s="2"/>
      <c r="O158" s="2"/>
      <c r="P158" s="2"/>
      <c r="Q158" s="2"/>
      <c r="R158" s="2"/>
      <c r="S158" s="2"/>
      <c r="T158" s="2"/>
      <c r="U158" s="2"/>
      <c r="V158" s="2"/>
      <c r="W158" s="2"/>
      <c r="X158" s="2"/>
    </row>
    <row r="159" spans="1:24" ht="18">
      <c r="A159" s="2"/>
      <c r="B159" s="2"/>
      <c r="C159" s="2"/>
      <c r="D159" s="2"/>
      <c r="E159" s="2"/>
      <c r="F159" s="2"/>
      <c r="G159" s="2"/>
      <c r="H159" s="2"/>
      <c r="I159" s="2"/>
      <c r="J159" s="2"/>
      <c r="K159" s="2"/>
      <c r="L159" s="2"/>
      <c r="M159" s="2"/>
      <c r="N159" s="2"/>
      <c r="O159" s="2"/>
      <c r="P159" s="2"/>
      <c r="Q159" s="2"/>
      <c r="R159" s="2"/>
      <c r="S159" s="2"/>
      <c r="T159" s="2"/>
      <c r="U159" s="2"/>
      <c r="V159" s="2"/>
      <c r="W159" s="2"/>
      <c r="X159" s="2"/>
    </row>
    <row r="160" spans="1:24" ht="18">
      <c r="A160" s="2"/>
      <c r="B160" s="2"/>
      <c r="C160" s="2"/>
      <c r="D160" s="2"/>
      <c r="E160" s="2"/>
      <c r="F160" s="2"/>
      <c r="G160" s="2"/>
      <c r="H160" s="2"/>
      <c r="I160" s="2"/>
      <c r="J160" s="2"/>
      <c r="K160" s="2"/>
      <c r="L160" s="2"/>
      <c r="M160" s="2"/>
      <c r="N160" s="2"/>
      <c r="O160" s="2"/>
      <c r="P160" s="2"/>
      <c r="Q160" s="2"/>
      <c r="R160" s="2"/>
      <c r="S160" s="2"/>
      <c r="T160" s="2"/>
      <c r="U160" s="2"/>
      <c r="V160" s="2"/>
      <c r="W160" s="2"/>
      <c r="X160" s="2"/>
    </row>
    <row r="161" spans="1:24" ht="18">
      <c r="A161" s="2"/>
      <c r="B161" s="2"/>
      <c r="C161" s="2"/>
      <c r="D161" s="2"/>
      <c r="E161" s="2"/>
      <c r="F161" s="2"/>
      <c r="G161" s="2"/>
      <c r="H161" s="2"/>
      <c r="I161" s="2"/>
      <c r="J161" s="2"/>
      <c r="K161" s="2"/>
      <c r="L161" s="2"/>
      <c r="M161" s="2"/>
      <c r="N161" s="2"/>
      <c r="O161" s="2"/>
      <c r="P161" s="2"/>
      <c r="Q161" s="2"/>
      <c r="R161" s="2"/>
      <c r="S161" s="2"/>
      <c r="T161" s="2"/>
      <c r="U161" s="2"/>
      <c r="V161" s="2"/>
      <c r="W161" s="2"/>
      <c r="X161" s="2"/>
    </row>
    <row r="162" spans="1:24" ht="18">
      <c r="A162" s="2"/>
      <c r="B162" s="2"/>
      <c r="C162" s="2"/>
      <c r="D162" s="2"/>
      <c r="E162" s="2"/>
      <c r="F162" s="2"/>
      <c r="G162" s="2"/>
      <c r="H162" s="2"/>
      <c r="I162" s="2"/>
      <c r="J162" s="2"/>
      <c r="K162" s="2"/>
      <c r="L162" s="2"/>
      <c r="M162" s="2"/>
      <c r="N162" s="2"/>
      <c r="O162" s="2"/>
      <c r="P162" s="2"/>
      <c r="Q162" s="2"/>
      <c r="R162" s="2"/>
      <c r="S162" s="2"/>
      <c r="T162" s="2"/>
      <c r="U162" s="2"/>
      <c r="V162" s="2"/>
      <c r="W162" s="2"/>
      <c r="X162" s="2"/>
    </row>
    <row r="163" spans="1:24" ht="18">
      <c r="A163" s="2"/>
      <c r="B163" s="2"/>
      <c r="C163" s="2"/>
      <c r="D163" s="2"/>
      <c r="E163" s="2"/>
      <c r="F163" s="2"/>
      <c r="G163" s="2"/>
      <c r="H163" s="2"/>
      <c r="I163" s="2"/>
      <c r="J163" s="2"/>
      <c r="K163" s="2"/>
      <c r="L163" s="2"/>
      <c r="M163" s="2"/>
      <c r="N163" s="2"/>
      <c r="O163" s="2"/>
      <c r="P163" s="2"/>
      <c r="Q163" s="2"/>
      <c r="R163" s="2"/>
      <c r="S163" s="2"/>
      <c r="T163" s="2"/>
      <c r="U163" s="2"/>
      <c r="V163" s="2"/>
      <c r="W163" s="2"/>
      <c r="X163" s="2"/>
    </row>
    <row r="164" spans="1:24" ht="18">
      <c r="A164" s="2"/>
      <c r="B164" s="2"/>
      <c r="C164" s="2"/>
      <c r="D164" s="2"/>
      <c r="E164" s="2"/>
      <c r="F164" s="2"/>
      <c r="G164" s="2"/>
      <c r="H164" s="2"/>
      <c r="I164" s="2"/>
      <c r="J164" s="2"/>
      <c r="K164" s="2"/>
      <c r="L164" s="2"/>
      <c r="M164" s="2"/>
      <c r="N164" s="2"/>
      <c r="O164" s="2"/>
      <c r="P164" s="2"/>
      <c r="Q164" s="2"/>
      <c r="R164" s="2"/>
      <c r="S164" s="2"/>
      <c r="T164" s="2"/>
      <c r="U164" s="2"/>
      <c r="V164" s="2"/>
      <c r="W164" s="2"/>
      <c r="X164" s="2"/>
    </row>
    <row r="165" spans="1:24" ht="18">
      <c r="A165" s="2"/>
      <c r="B165" s="2"/>
      <c r="C165" s="2"/>
      <c r="D165" s="2"/>
      <c r="E165" s="2"/>
      <c r="F165" s="2"/>
      <c r="G165" s="2"/>
      <c r="H165" s="2"/>
      <c r="I165" s="2"/>
      <c r="J165" s="2"/>
      <c r="K165" s="2"/>
      <c r="L165" s="2"/>
      <c r="M165" s="2"/>
      <c r="N165" s="2"/>
      <c r="O165" s="2"/>
      <c r="P165" s="2"/>
      <c r="Q165" s="2"/>
      <c r="R165" s="2"/>
      <c r="S165" s="2"/>
      <c r="T165" s="2"/>
      <c r="U165" s="2"/>
      <c r="V165" s="2"/>
      <c r="W165" s="2"/>
      <c r="X165" s="2"/>
    </row>
    <row r="166" spans="1:24" ht="18">
      <c r="A166" s="2"/>
      <c r="B166" s="2"/>
      <c r="C166" s="2"/>
      <c r="D166" s="2"/>
      <c r="E166" s="2"/>
      <c r="F166" s="2"/>
      <c r="G166" s="2"/>
      <c r="H166" s="2"/>
      <c r="I166" s="2"/>
      <c r="J166" s="2"/>
      <c r="K166" s="2"/>
      <c r="L166" s="2"/>
      <c r="M166" s="2"/>
      <c r="N166" s="2"/>
      <c r="O166" s="2"/>
      <c r="P166" s="2"/>
      <c r="Q166" s="2"/>
      <c r="R166" s="2"/>
      <c r="S166" s="2"/>
      <c r="T166" s="2"/>
      <c r="U166" s="2"/>
      <c r="V166" s="2"/>
      <c r="W166" s="2"/>
      <c r="X166" s="2"/>
    </row>
    <row r="167" spans="1:24" ht="18">
      <c r="A167" s="2"/>
      <c r="B167" s="2"/>
      <c r="C167" s="2"/>
      <c r="D167" s="2"/>
      <c r="E167" s="2"/>
      <c r="F167" s="2"/>
      <c r="G167" s="2"/>
      <c r="H167" s="2"/>
      <c r="I167" s="2"/>
      <c r="J167" s="2"/>
      <c r="K167" s="2"/>
      <c r="L167" s="2"/>
      <c r="M167" s="2"/>
      <c r="N167" s="2"/>
      <c r="O167" s="2"/>
      <c r="P167" s="2"/>
      <c r="Q167" s="2"/>
      <c r="R167" s="2"/>
      <c r="S167" s="2"/>
      <c r="T167" s="2"/>
      <c r="U167" s="2"/>
      <c r="V167" s="2"/>
      <c r="W167" s="2"/>
      <c r="X167" s="2"/>
    </row>
    <row r="168" spans="1:24" ht="18">
      <c r="A168" s="2"/>
      <c r="B168" s="2"/>
      <c r="C168" s="2"/>
      <c r="D168" s="2"/>
      <c r="E168" s="2"/>
      <c r="F168" s="2"/>
      <c r="G168" s="2"/>
      <c r="H168" s="2"/>
      <c r="I168" s="2"/>
      <c r="J168" s="2"/>
      <c r="K168" s="2"/>
      <c r="L168" s="2"/>
      <c r="M168" s="2"/>
      <c r="N168" s="2"/>
      <c r="O168" s="2"/>
      <c r="P168" s="2"/>
      <c r="Q168" s="2"/>
      <c r="R168" s="2"/>
      <c r="S168" s="2"/>
      <c r="T168" s="2"/>
      <c r="U168" s="2"/>
      <c r="V168" s="2"/>
      <c r="W168" s="2"/>
      <c r="X168" s="2"/>
    </row>
    <row r="169" spans="1:24" ht="18">
      <c r="A169" s="2"/>
      <c r="B169" s="2"/>
      <c r="C169" s="2"/>
      <c r="D169" s="2"/>
      <c r="E169" s="2"/>
      <c r="F169" s="2"/>
      <c r="G169" s="2"/>
      <c r="H169" s="2"/>
      <c r="I169" s="2"/>
      <c r="J169" s="2"/>
      <c r="K169" s="2"/>
      <c r="L169" s="2"/>
      <c r="M169" s="2"/>
      <c r="N169" s="2"/>
      <c r="O169" s="2"/>
      <c r="P169" s="2"/>
      <c r="Q169" s="2"/>
      <c r="R169" s="2"/>
      <c r="S169" s="2"/>
      <c r="T169" s="2"/>
      <c r="U169" s="2"/>
      <c r="V169" s="2"/>
      <c r="W169" s="2"/>
      <c r="X169" s="2"/>
    </row>
    <row r="170" spans="1:24" ht="18">
      <c r="A170" s="2"/>
      <c r="B170" s="2"/>
      <c r="C170" s="2"/>
      <c r="D170" s="2"/>
      <c r="E170" s="2"/>
      <c r="F170" s="2"/>
      <c r="G170" s="2"/>
      <c r="H170" s="2"/>
      <c r="I170" s="2"/>
      <c r="J170" s="2"/>
      <c r="K170" s="2"/>
      <c r="L170" s="2"/>
      <c r="M170" s="2"/>
      <c r="N170" s="2"/>
      <c r="O170" s="2"/>
      <c r="P170" s="2"/>
      <c r="Q170" s="2"/>
      <c r="R170" s="2"/>
      <c r="S170" s="2"/>
      <c r="T170" s="2"/>
      <c r="U170" s="2"/>
      <c r="V170" s="2"/>
      <c r="W170" s="2"/>
      <c r="X170" s="2"/>
    </row>
    <row r="171" spans="1:24" ht="18">
      <c r="A171" s="2"/>
      <c r="B171" s="2"/>
      <c r="C171" s="2"/>
      <c r="D171" s="2"/>
      <c r="E171" s="2"/>
      <c r="F171" s="2"/>
      <c r="G171" s="2"/>
      <c r="H171" s="2"/>
      <c r="I171" s="2"/>
      <c r="J171" s="2"/>
      <c r="K171" s="2"/>
      <c r="L171" s="2"/>
      <c r="M171" s="2"/>
      <c r="N171" s="2"/>
      <c r="O171" s="2"/>
      <c r="P171" s="2"/>
      <c r="Q171" s="2"/>
      <c r="R171" s="2"/>
      <c r="S171" s="2"/>
      <c r="T171" s="2"/>
      <c r="U171" s="2"/>
      <c r="V171" s="2"/>
      <c r="W171" s="2"/>
      <c r="X171" s="2"/>
    </row>
    <row r="172" spans="1:24" ht="18">
      <c r="A172" s="2"/>
      <c r="B172" s="2"/>
      <c r="C172" s="2"/>
      <c r="D172" s="2"/>
      <c r="E172" s="2"/>
      <c r="F172" s="2"/>
      <c r="G172" s="2"/>
      <c r="H172" s="2"/>
      <c r="I172" s="2"/>
      <c r="J172" s="2"/>
      <c r="K172" s="2"/>
      <c r="L172" s="2"/>
      <c r="M172" s="2"/>
      <c r="N172" s="2"/>
      <c r="O172" s="2"/>
      <c r="P172" s="2"/>
      <c r="Q172" s="2"/>
      <c r="R172" s="2"/>
      <c r="S172" s="2"/>
      <c r="T172" s="2"/>
      <c r="U172" s="2"/>
      <c r="V172" s="2"/>
      <c r="W172" s="2"/>
      <c r="X172" s="2"/>
    </row>
    <row r="173" spans="1:24" ht="18">
      <c r="A173" s="2"/>
      <c r="B173" s="2"/>
      <c r="C173" s="2"/>
      <c r="D173" s="2"/>
      <c r="E173" s="2"/>
      <c r="F173" s="2"/>
      <c r="G173" s="2"/>
      <c r="H173" s="2"/>
      <c r="I173" s="2"/>
      <c r="J173" s="2"/>
      <c r="K173" s="2"/>
      <c r="L173" s="2"/>
      <c r="M173" s="2"/>
      <c r="N173" s="2"/>
      <c r="O173" s="2"/>
      <c r="P173" s="2"/>
      <c r="Q173" s="2"/>
      <c r="R173" s="2"/>
      <c r="S173" s="2"/>
      <c r="T173" s="2"/>
      <c r="U173" s="2"/>
      <c r="V173" s="2"/>
      <c r="W173" s="2"/>
      <c r="X173" s="2"/>
    </row>
    <row r="174" spans="1:24" ht="18">
      <c r="A174" s="2"/>
      <c r="B174" s="2"/>
      <c r="C174" s="2"/>
      <c r="D174" s="2"/>
      <c r="E174" s="2"/>
      <c r="F174" s="2"/>
      <c r="G174" s="2"/>
      <c r="H174" s="2"/>
      <c r="I174" s="2"/>
      <c r="J174" s="2"/>
      <c r="K174" s="2"/>
      <c r="L174" s="2"/>
      <c r="M174" s="2"/>
      <c r="N174" s="2"/>
      <c r="O174" s="2"/>
      <c r="P174" s="2"/>
      <c r="Q174" s="2"/>
      <c r="R174" s="2"/>
      <c r="S174" s="2"/>
      <c r="T174" s="2"/>
      <c r="U174" s="2"/>
      <c r="V174" s="2"/>
      <c r="W174" s="2"/>
      <c r="X174" s="2"/>
    </row>
    <row r="175" spans="1:24" ht="18">
      <c r="A175" s="2"/>
      <c r="B175" s="2"/>
      <c r="C175" s="2"/>
      <c r="D175" s="2"/>
      <c r="E175" s="2"/>
      <c r="F175" s="2"/>
      <c r="G175" s="2"/>
      <c r="H175" s="2"/>
      <c r="I175" s="2"/>
      <c r="J175" s="2"/>
      <c r="K175" s="2"/>
      <c r="L175" s="2"/>
      <c r="M175" s="2"/>
      <c r="N175" s="2"/>
      <c r="O175" s="2"/>
      <c r="P175" s="2"/>
      <c r="Q175" s="2"/>
      <c r="R175" s="2"/>
      <c r="S175" s="2"/>
      <c r="T175" s="2"/>
      <c r="U175" s="2"/>
      <c r="V175" s="2"/>
      <c r="W175" s="2"/>
      <c r="X175" s="2"/>
    </row>
    <row r="176" spans="1:24" ht="18">
      <c r="A176" s="2"/>
      <c r="B176" s="2"/>
      <c r="C176" s="2"/>
      <c r="D176" s="2"/>
      <c r="E176" s="2"/>
      <c r="F176" s="2"/>
      <c r="G176" s="2"/>
      <c r="H176" s="2"/>
      <c r="I176" s="2"/>
      <c r="J176" s="2"/>
      <c r="K176" s="2"/>
      <c r="L176" s="2"/>
      <c r="M176" s="2"/>
      <c r="N176" s="2"/>
      <c r="O176" s="2"/>
      <c r="P176" s="2"/>
      <c r="Q176" s="2"/>
      <c r="R176" s="2"/>
      <c r="S176" s="2"/>
      <c r="T176" s="2"/>
      <c r="U176" s="2"/>
      <c r="V176" s="2"/>
      <c r="W176" s="2"/>
      <c r="X176" s="2"/>
    </row>
    <row r="177" spans="1:24" ht="18">
      <c r="A177" s="2"/>
      <c r="B177" s="2"/>
      <c r="C177" s="2"/>
      <c r="D177" s="2"/>
      <c r="E177" s="2"/>
      <c r="F177" s="2"/>
      <c r="G177" s="2"/>
      <c r="H177" s="2"/>
      <c r="I177" s="2"/>
      <c r="J177" s="2"/>
      <c r="K177" s="2"/>
      <c r="L177" s="2"/>
      <c r="M177" s="2"/>
      <c r="N177" s="2"/>
      <c r="O177" s="2"/>
      <c r="P177" s="2"/>
      <c r="Q177" s="2"/>
      <c r="R177" s="2"/>
      <c r="S177" s="2"/>
      <c r="T177" s="2"/>
      <c r="U177" s="2"/>
      <c r="V177" s="2"/>
      <c r="W177" s="2"/>
      <c r="X177" s="2"/>
    </row>
    <row r="178" spans="1:24" ht="18">
      <c r="A178" s="2"/>
      <c r="B178" s="2"/>
      <c r="C178" s="2"/>
      <c r="D178" s="2"/>
      <c r="E178" s="2"/>
      <c r="F178" s="2"/>
      <c r="G178" s="2"/>
      <c r="H178" s="2"/>
      <c r="I178" s="2"/>
      <c r="J178" s="2"/>
      <c r="K178" s="2"/>
      <c r="L178" s="2"/>
      <c r="M178" s="2"/>
      <c r="N178" s="2"/>
      <c r="O178" s="2"/>
      <c r="P178" s="2"/>
      <c r="Q178" s="2"/>
      <c r="R178" s="2"/>
      <c r="S178" s="2"/>
      <c r="T178" s="2"/>
      <c r="U178" s="2"/>
      <c r="V178" s="2"/>
      <c r="W178" s="2"/>
      <c r="X178" s="2"/>
    </row>
    <row r="179" spans="1:24" ht="18">
      <c r="A179" s="2"/>
      <c r="B179" s="2"/>
      <c r="C179" s="2"/>
      <c r="D179" s="2"/>
      <c r="E179" s="2"/>
      <c r="F179" s="2"/>
      <c r="G179" s="2"/>
      <c r="H179" s="2"/>
      <c r="I179" s="2"/>
      <c r="J179" s="2"/>
      <c r="K179" s="2"/>
      <c r="L179" s="2"/>
      <c r="M179" s="2"/>
      <c r="N179" s="2"/>
      <c r="O179" s="2"/>
      <c r="P179" s="2"/>
      <c r="Q179" s="2"/>
      <c r="R179" s="2"/>
      <c r="S179" s="2"/>
      <c r="T179" s="2"/>
      <c r="U179" s="2"/>
      <c r="V179" s="2"/>
      <c r="W179" s="2"/>
      <c r="X179" s="2"/>
    </row>
    <row r="180" spans="1:24" ht="18">
      <c r="A180" s="2"/>
      <c r="B180" s="2"/>
      <c r="C180" s="2"/>
      <c r="D180" s="2"/>
      <c r="E180" s="2"/>
      <c r="F180" s="2"/>
      <c r="G180" s="2"/>
      <c r="H180" s="2"/>
      <c r="I180" s="2"/>
      <c r="J180" s="2"/>
      <c r="K180" s="2"/>
      <c r="L180" s="2"/>
      <c r="M180" s="2"/>
      <c r="N180" s="2"/>
      <c r="O180" s="2"/>
      <c r="P180" s="2"/>
      <c r="Q180" s="2"/>
      <c r="R180" s="2"/>
      <c r="S180" s="2"/>
      <c r="T180" s="2"/>
      <c r="U180" s="2"/>
      <c r="V180" s="2"/>
      <c r="W180" s="2"/>
      <c r="X180" s="2"/>
    </row>
    <row r="181" spans="1:24" ht="18">
      <c r="A181" s="2"/>
      <c r="B181" s="2"/>
      <c r="C181" s="2"/>
      <c r="D181" s="2"/>
      <c r="E181" s="2"/>
      <c r="F181" s="2"/>
      <c r="G181" s="2"/>
      <c r="H181" s="2"/>
      <c r="I181" s="2"/>
      <c r="J181" s="2"/>
      <c r="K181" s="2"/>
      <c r="L181" s="2"/>
      <c r="M181" s="2"/>
      <c r="N181" s="2"/>
      <c r="O181" s="2"/>
      <c r="P181" s="2"/>
      <c r="Q181" s="2"/>
      <c r="R181" s="2"/>
      <c r="S181" s="2"/>
      <c r="T181" s="2"/>
      <c r="U181" s="2"/>
      <c r="V181" s="2"/>
      <c r="W181" s="2"/>
      <c r="X181" s="2"/>
    </row>
    <row r="182" spans="1:24" ht="18">
      <c r="A182" s="2"/>
      <c r="B182" s="2"/>
      <c r="C182" s="2"/>
      <c r="D182" s="2"/>
      <c r="E182" s="2"/>
      <c r="F182" s="2"/>
      <c r="G182" s="2"/>
      <c r="H182" s="2"/>
      <c r="I182" s="2"/>
      <c r="J182" s="2"/>
      <c r="K182" s="2"/>
      <c r="L182" s="2"/>
      <c r="M182" s="2"/>
      <c r="N182" s="2"/>
      <c r="O182" s="2"/>
      <c r="P182" s="2"/>
      <c r="Q182" s="2"/>
      <c r="R182" s="2"/>
      <c r="S182" s="2"/>
      <c r="T182" s="2"/>
      <c r="U182" s="2"/>
      <c r="V182" s="2"/>
      <c r="W182" s="2"/>
      <c r="X182" s="2"/>
    </row>
    <row r="183" spans="1:24" ht="18">
      <c r="A183" s="2"/>
      <c r="B183" s="2"/>
      <c r="C183" s="2"/>
      <c r="D183" s="2"/>
      <c r="E183" s="2"/>
      <c r="F183" s="2"/>
      <c r="G183" s="2"/>
      <c r="H183" s="2"/>
      <c r="I183" s="2"/>
      <c r="J183" s="2"/>
      <c r="K183" s="2"/>
      <c r="L183" s="2"/>
      <c r="M183" s="2"/>
      <c r="N183" s="2"/>
      <c r="O183" s="2"/>
      <c r="P183" s="2"/>
      <c r="Q183" s="2"/>
      <c r="R183" s="2"/>
      <c r="S183" s="2"/>
      <c r="T183" s="2"/>
      <c r="U183" s="2"/>
      <c r="V183" s="2"/>
      <c r="W183" s="2"/>
      <c r="X183" s="2"/>
    </row>
    <row r="184" spans="1:24" ht="18">
      <c r="A184" s="2"/>
      <c r="B184" s="2"/>
      <c r="C184" s="2"/>
      <c r="D184" s="2"/>
      <c r="E184" s="2"/>
      <c r="F184" s="2"/>
      <c r="G184" s="2"/>
      <c r="H184" s="2"/>
      <c r="I184" s="2"/>
      <c r="J184" s="2"/>
      <c r="K184" s="2"/>
      <c r="L184" s="2"/>
      <c r="M184" s="2"/>
      <c r="N184" s="2"/>
      <c r="O184" s="2"/>
      <c r="P184" s="2"/>
      <c r="Q184" s="2"/>
      <c r="R184" s="2"/>
      <c r="S184" s="2"/>
      <c r="T184" s="2"/>
      <c r="U184" s="2"/>
      <c r="V184" s="2"/>
      <c r="W184" s="2"/>
      <c r="X184" s="2"/>
    </row>
    <row r="185" spans="1:24" ht="18">
      <c r="A185" s="2"/>
      <c r="B185" s="2"/>
      <c r="C185" s="2"/>
      <c r="D185" s="2"/>
      <c r="E185" s="2"/>
      <c r="F185" s="2"/>
      <c r="G185" s="2"/>
      <c r="H185" s="2"/>
      <c r="I185" s="2"/>
      <c r="J185" s="2"/>
      <c r="K185" s="2"/>
      <c r="L185" s="2"/>
      <c r="M185" s="2"/>
      <c r="N185" s="2"/>
      <c r="O185" s="2"/>
      <c r="P185" s="2"/>
      <c r="Q185" s="2"/>
      <c r="R185" s="2"/>
      <c r="S185" s="2"/>
      <c r="T185" s="2"/>
      <c r="U185" s="2"/>
      <c r="V185" s="2"/>
      <c r="W185" s="2"/>
      <c r="X185" s="2"/>
    </row>
    <row r="186" spans="1:24" ht="18">
      <c r="A186" s="2"/>
      <c r="B186" s="2"/>
      <c r="C186" s="2"/>
      <c r="D186" s="2"/>
      <c r="E186" s="2"/>
      <c r="F186" s="2"/>
      <c r="G186" s="2"/>
      <c r="H186" s="2"/>
      <c r="I186" s="2"/>
      <c r="J186" s="2"/>
      <c r="K186" s="2"/>
      <c r="L186" s="2"/>
      <c r="M186" s="2"/>
      <c r="N186" s="2"/>
      <c r="O186" s="2"/>
      <c r="P186" s="2"/>
      <c r="Q186" s="2"/>
      <c r="R186" s="2"/>
      <c r="S186" s="2"/>
      <c r="T186" s="2"/>
      <c r="U186" s="2"/>
      <c r="V186" s="2"/>
      <c r="W186" s="2"/>
      <c r="X186" s="2"/>
    </row>
    <row r="187" spans="1:24" ht="18">
      <c r="A187" s="2"/>
      <c r="B187" s="2"/>
      <c r="C187" s="2"/>
      <c r="D187" s="2"/>
      <c r="E187" s="2"/>
      <c r="F187" s="2"/>
      <c r="G187" s="2"/>
      <c r="H187" s="2"/>
      <c r="I187" s="2"/>
      <c r="J187" s="2"/>
      <c r="K187" s="2"/>
      <c r="L187" s="2"/>
      <c r="M187" s="2"/>
      <c r="N187" s="2"/>
      <c r="O187" s="2"/>
      <c r="P187" s="2"/>
      <c r="Q187" s="2"/>
      <c r="R187" s="2"/>
      <c r="S187" s="2"/>
      <c r="T187" s="2"/>
      <c r="U187" s="2"/>
      <c r="V187" s="2"/>
      <c r="W187" s="2"/>
      <c r="X187" s="2"/>
    </row>
    <row r="188" spans="1:24" ht="18">
      <c r="A188" s="2"/>
      <c r="B188" s="2"/>
      <c r="C188" s="2"/>
      <c r="D188" s="2"/>
      <c r="E188" s="2"/>
      <c r="F188" s="2"/>
      <c r="G188" s="2"/>
      <c r="H188" s="2"/>
      <c r="I188" s="2"/>
      <c r="J188" s="2"/>
      <c r="K188" s="2"/>
      <c r="L188" s="2"/>
      <c r="M188" s="2"/>
      <c r="N188" s="2"/>
      <c r="O188" s="2"/>
      <c r="P188" s="2"/>
      <c r="Q188" s="2"/>
      <c r="R188" s="2"/>
      <c r="S188" s="2"/>
      <c r="T188" s="2"/>
      <c r="U188" s="2"/>
      <c r="V188" s="2"/>
      <c r="W188" s="2"/>
      <c r="X188" s="2"/>
    </row>
    <row r="189" spans="1:24" ht="18">
      <c r="A189" s="2"/>
      <c r="B189" s="2"/>
      <c r="C189" s="2"/>
      <c r="D189" s="2"/>
      <c r="E189" s="2"/>
      <c r="F189" s="2"/>
      <c r="G189" s="2"/>
      <c r="H189" s="2"/>
      <c r="I189" s="2"/>
      <c r="J189" s="2"/>
      <c r="K189" s="2"/>
      <c r="L189" s="2"/>
      <c r="M189" s="2"/>
      <c r="N189" s="2"/>
      <c r="O189" s="2"/>
      <c r="P189" s="2"/>
      <c r="Q189" s="2"/>
      <c r="R189" s="2"/>
      <c r="S189" s="2"/>
      <c r="T189" s="2"/>
      <c r="U189" s="2"/>
      <c r="V189" s="2"/>
      <c r="W189" s="2"/>
      <c r="X189" s="2"/>
    </row>
    <row r="190" spans="1:24" ht="18">
      <c r="A190" s="2"/>
      <c r="B190" s="2"/>
      <c r="C190" s="2"/>
      <c r="D190" s="2"/>
      <c r="E190" s="2"/>
      <c r="F190" s="2"/>
      <c r="G190" s="2"/>
      <c r="H190" s="2"/>
      <c r="I190" s="2"/>
      <c r="J190" s="2"/>
      <c r="K190" s="2"/>
      <c r="L190" s="2"/>
      <c r="M190" s="2"/>
      <c r="N190" s="2"/>
      <c r="O190" s="2"/>
      <c r="P190" s="2"/>
      <c r="Q190" s="2"/>
      <c r="R190" s="2"/>
      <c r="S190" s="2"/>
      <c r="T190" s="2"/>
      <c r="U190" s="2"/>
      <c r="V190" s="2"/>
      <c r="W190" s="2"/>
      <c r="X190" s="2"/>
    </row>
    <row r="191" spans="1:24" ht="18">
      <c r="A191" s="2"/>
      <c r="B191" s="2"/>
      <c r="C191" s="2"/>
      <c r="D191" s="2"/>
      <c r="E191" s="2"/>
      <c r="F191" s="2"/>
      <c r="G191" s="2"/>
      <c r="H191" s="2"/>
      <c r="I191" s="2"/>
      <c r="J191" s="2"/>
      <c r="K191" s="2"/>
      <c r="L191" s="2"/>
      <c r="M191" s="2"/>
      <c r="N191" s="2"/>
      <c r="O191" s="2"/>
      <c r="P191" s="2"/>
      <c r="Q191" s="2"/>
      <c r="R191" s="2"/>
      <c r="S191" s="2"/>
      <c r="T191" s="2"/>
      <c r="U191" s="2"/>
      <c r="V191" s="2"/>
      <c r="W191" s="2"/>
      <c r="X191" s="2"/>
    </row>
    <row r="192" spans="1:24" ht="18">
      <c r="A192" s="2"/>
      <c r="B192" s="2"/>
      <c r="C192" s="2"/>
      <c r="D192" s="2"/>
      <c r="E192" s="2"/>
      <c r="F192" s="2"/>
      <c r="G192" s="2"/>
      <c r="H192" s="2"/>
      <c r="I192" s="2"/>
      <c r="J192" s="2"/>
      <c r="K192" s="2"/>
      <c r="L192" s="2"/>
      <c r="M192" s="2"/>
      <c r="N192" s="2"/>
      <c r="O192" s="2"/>
      <c r="P192" s="2"/>
      <c r="Q192" s="2"/>
      <c r="R192" s="2"/>
      <c r="S192" s="2"/>
      <c r="T192" s="2"/>
      <c r="U192" s="2"/>
      <c r="V192" s="2"/>
      <c r="W192" s="2"/>
      <c r="X192" s="2"/>
    </row>
    <row r="193" spans="1:24" ht="18">
      <c r="A193" s="2"/>
      <c r="B193" s="2"/>
      <c r="C193" s="2"/>
      <c r="D193" s="2"/>
      <c r="E193" s="2"/>
      <c r="F193" s="2"/>
      <c r="G193" s="2"/>
      <c r="H193" s="2"/>
      <c r="I193" s="2"/>
      <c r="J193" s="2"/>
      <c r="K193" s="2"/>
      <c r="L193" s="2"/>
      <c r="M193" s="2"/>
      <c r="N193" s="2"/>
      <c r="O193" s="2"/>
      <c r="P193" s="2"/>
      <c r="Q193" s="2"/>
      <c r="R193" s="2"/>
      <c r="S193" s="2"/>
      <c r="T193" s="2"/>
      <c r="U193" s="2"/>
      <c r="V193" s="2"/>
      <c r="W193" s="2"/>
      <c r="X193" s="2"/>
    </row>
    <row r="194" spans="1:24" ht="18">
      <c r="A194" s="2"/>
      <c r="B194" s="2"/>
      <c r="C194" s="2"/>
      <c r="D194" s="2"/>
      <c r="E194" s="2"/>
      <c r="F194" s="2"/>
      <c r="G194" s="2"/>
      <c r="H194" s="2"/>
      <c r="I194" s="2"/>
      <c r="J194" s="2"/>
      <c r="K194" s="2"/>
      <c r="L194" s="2"/>
      <c r="M194" s="2"/>
      <c r="N194" s="2"/>
      <c r="O194" s="2"/>
      <c r="P194" s="2"/>
      <c r="Q194" s="2"/>
      <c r="R194" s="2"/>
      <c r="S194" s="2"/>
      <c r="T194" s="2"/>
      <c r="U194" s="2"/>
      <c r="V194" s="2"/>
      <c r="W194" s="2"/>
      <c r="X194" s="2"/>
    </row>
    <row r="195" spans="1:24" ht="18">
      <c r="A195" s="2"/>
      <c r="B195" s="2"/>
      <c r="C195" s="2"/>
      <c r="D195" s="2"/>
      <c r="E195" s="2"/>
      <c r="F195" s="2"/>
      <c r="G195" s="2"/>
      <c r="H195" s="2"/>
      <c r="I195" s="2"/>
      <c r="J195" s="2"/>
      <c r="K195" s="2"/>
      <c r="L195" s="2"/>
      <c r="M195" s="2"/>
      <c r="N195" s="2"/>
      <c r="O195" s="2"/>
      <c r="P195" s="2"/>
      <c r="Q195" s="2"/>
      <c r="R195" s="2"/>
      <c r="S195" s="2"/>
      <c r="T195" s="2"/>
      <c r="U195" s="2"/>
      <c r="V195" s="2"/>
      <c r="W195" s="2"/>
      <c r="X195" s="2"/>
    </row>
    <row r="196" spans="1:24" ht="18">
      <c r="A196" s="2"/>
      <c r="B196" s="2"/>
      <c r="C196" s="2"/>
      <c r="D196" s="2"/>
      <c r="E196" s="2"/>
      <c r="F196" s="2"/>
      <c r="G196" s="2"/>
      <c r="H196" s="2"/>
      <c r="I196" s="2"/>
      <c r="J196" s="2"/>
      <c r="K196" s="2"/>
      <c r="L196" s="2"/>
      <c r="M196" s="2"/>
      <c r="N196" s="2"/>
      <c r="O196" s="2"/>
      <c r="P196" s="2"/>
      <c r="Q196" s="2"/>
      <c r="R196" s="2"/>
      <c r="S196" s="2"/>
      <c r="T196" s="2"/>
      <c r="U196" s="2"/>
      <c r="V196" s="2"/>
      <c r="W196" s="2"/>
      <c r="X196" s="2"/>
    </row>
    <row r="197" spans="1:24" ht="18">
      <c r="A197" s="2"/>
      <c r="B197" s="2"/>
      <c r="C197" s="2"/>
      <c r="D197" s="2"/>
      <c r="E197" s="2"/>
      <c r="F197" s="2"/>
      <c r="G197" s="2"/>
      <c r="H197" s="2"/>
      <c r="I197" s="2"/>
      <c r="J197" s="2"/>
      <c r="K197" s="2"/>
      <c r="L197" s="2"/>
      <c r="M197" s="2"/>
      <c r="N197" s="2"/>
      <c r="O197" s="2"/>
      <c r="P197" s="2"/>
      <c r="Q197" s="2"/>
      <c r="R197" s="2"/>
      <c r="S197" s="2"/>
      <c r="T197" s="2"/>
      <c r="U197" s="2"/>
      <c r="V197" s="2"/>
      <c r="W197" s="2"/>
      <c r="X197" s="2"/>
    </row>
    <row r="198" spans="1:24" ht="18">
      <c r="A198" s="2"/>
      <c r="B198" s="2"/>
      <c r="C198" s="2"/>
      <c r="D198" s="2"/>
      <c r="E198" s="2"/>
      <c r="F198" s="2"/>
      <c r="G198" s="2"/>
      <c r="H198" s="2"/>
      <c r="I198" s="2"/>
      <c r="J198" s="2"/>
      <c r="K198" s="2"/>
      <c r="L198" s="2"/>
      <c r="M198" s="2"/>
      <c r="N198" s="2"/>
      <c r="O198" s="2"/>
      <c r="P198" s="2"/>
      <c r="Q198" s="2"/>
      <c r="R198" s="2"/>
      <c r="S198" s="2"/>
      <c r="T198" s="2"/>
      <c r="U198" s="2"/>
      <c r="V198" s="2"/>
      <c r="W198" s="2"/>
      <c r="X198" s="2"/>
    </row>
    <row r="199" spans="1:24" ht="18">
      <c r="A199" s="2"/>
      <c r="B199" s="2"/>
      <c r="C199" s="2"/>
      <c r="D199" s="2"/>
      <c r="E199" s="2"/>
      <c r="F199" s="2"/>
      <c r="G199" s="2"/>
      <c r="H199" s="2"/>
      <c r="I199" s="2"/>
      <c r="J199" s="2"/>
      <c r="K199" s="2"/>
      <c r="L199" s="2"/>
      <c r="M199" s="2"/>
      <c r="N199" s="2"/>
      <c r="O199" s="2"/>
      <c r="P199" s="2"/>
      <c r="Q199" s="2"/>
      <c r="R199" s="2"/>
      <c r="S199" s="2"/>
      <c r="T199" s="2"/>
      <c r="U199" s="2"/>
      <c r="V199" s="2"/>
      <c r="W199" s="2"/>
      <c r="X199" s="2"/>
    </row>
    <row r="200" spans="1:24" ht="18">
      <c r="A200" s="2"/>
      <c r="B200" s="2"/>
      <c r="C200" s="2"/>
      <c r="D200" s="2"/>
      <c r="E200" s="2"/>
      <c r="F200" s="2"/>
      <c r="G200" s="2"/>
      <c r="H200" s="2"/>
      <c r="I200" s="2"/>
      <c r="J200" s="2"/>
      <c r="K200" s="2"/>
      <c r="L200" s="2"/>
      <c r="M200" s="2"/>
      <c r="N200" s="2"/>
      <c r="O200" s="2"/>
      <c r="P200" s="2"/>
      <c r="Q200" s="2"/>
      <c r="R200" s="2"/>
      <c r="S200" s="2"/>
      <c r="T200" s="2"/>
      <c r="U200" s="2"/>
      <c r="V200" s="2"/>
      <c r="W200" s="2"/>
      <c r="X200" s="2"/>
    </row>
    <row r="201" spans="1:24" ht="18">
      <c r="A201" s="2"/>
      <c r="B201" s="2"/>
      <c r="C201" s="2"/>
      <c r="D201" s="2"/>
      <c r="E201" s="2"/>
      <c r="F201" s="2"/>
      <c r="G201" s="2"/>
      <c r="H201" s="2"/>
      <c r="I201" s="2"/>
      <c r="J201" s="2"/>
      <c r="K201" s="2"/>
      <c r="L201" s="2"/>
      <c r="M201" s="2"/>
      <c r="N201" s="2"/>
      <c r="O201" s="2"/>
      <c r="P201" s="2"/>
      <c r="Q201" s="2"/>
      <c r="R201" s="2"/>
      <c r="S201" s="2"/>
      <c r="T201" s="2"/>
      <c r="U201" s="2"/>
      <c r="V201" s="2"/>
      <c r="W201" s="2"/>
      <c r="X201" s="2"/>
    </row>
    <row r="202" spans="1:24" ht="18">
      <c r="A202" s="2"/>
      <c r="B202" s="2"/>
      <c r="C202" s="2"/>
      <c r="D202" s="2"/>
      <c r="E202" s="2"/>
      <c r="F202" s="2"/>
      <c r="G202" s="2"/>
      <c r="H202" s="2"/>
      <c r="I202" s="2"/>
      <c r="J202" s="2"/>
      <c r="K202" s="2"/>
      <c r="L202" s="2"/>
      <c r="M202" s="2"/>
      <c r="N202" s="2"/>
      <c r="O202" s="2"/>
      <c r="P202" s="2"/>
      <c r="Q202" s="2"/>
      <c r="R202" s="2"/>
      <c r="S202" s="2"/>
      <c r="T202" s="2"/>
      <c r="U202" s="2"/>
      <c r="V202" s="2"/>
      <c r="W202" s="2"/>
      <c r="X202" s="2"/>
    </row>
    <row r="203" spans="1:24" ht="18">
      <c r="A203" s="2"/>
      <c r="B203" s="2"/>
      <c r="C203" s="2"/>
      <c r="D203" s="2"/>
      <c r="E203" s="2"/>
      <c r="F203" s="2"/>
      <c r="G203" s="2"/>
      <c r="H203" s="2"/>
      <c r="I203" s="2"/>
      <c r="J203" s="2"/>
      <c r="K203" s="2"/>
      <c r="L203" s="2"/>
      <c r="M203" s="2"/>
      <c r="N203" s="2"/>
      <c r="O203" s="2"/>
      <c r="P203" s="2"/>
      <c r="Q203" s="2"/>
      <c r="R203" s="2"/>
      <c r="S203" s="2"/>
      <c r="T203" s="2"/>
      <c r="U203" s="2"/>
      <c r="V203" s="2"/>
      <c r="W203" s="2"/>
      <c r="X203" s="2"/>
    </row>
    <row r="204" spans="1:24" ht="18">
      <c r="A204" s="2"/>
      <c r="B204" s="2"/>
      <c r="C204" s="2"/>
      <c r="D204" s="2"/>
      <c r="E204" s="2"/>
      <c r="F204" s="2"/>
      <c r="G204" s="2"/>
      <c r="H204" s="2"/>
      <c r="I204" s="2"/>
      <c r="J204" s="2"/>
      <c r="K204" s="2"/>
      <c r="L204" s="2"/>
      <c r="M204" s="2"/>
      <c r="N204" s="2"/>
      <c r="O204" s="2"/>
      <c r="P204" s="2"/>
      <c r="Q204" s="2"/>
      <c r="R204" s="2"/>
      <c r="S204" s="2"/>
      <c r="T204" s="2"/>
      <c r="U204" s="2"/>
      <c r="V204" s="2"/>
      <c r="W204" s="2"/>
      <c r="X204" s="2"/>
    </row>
    <row r="205" spans="1:24" ht="18">
      <c r="A205" s="2"/>
      <c r="B205" s="2"/>
      <c r="C205" s="2"/>
      <c r="D205" s="2"/>
      <c r="E205" s="2"/>
      <c r="F205" s="2"/>
      <c r="G205" s="2"/>
      <c r="H205" s="2"/>
      <c r="I205" s="2"/>
      <c r="J205" s="2"/>
      <c r="K205" s="2"/>
      <c r="L205" s="2"/>
      <c r="M205" s="2"/>
      <c r="N205" s="2"/>
      <c r="O205" s="2"/>
      <c r="P205" s="2"/>
      <c r="Q205" s="2"/>
      <c r="R205" s="2"/>
      <c r="S205" s="2"/>
      <c r="T205" s="2"/>
      <c r="U205" s="2"/>
      <c r="V205" s="2"/>
      <c r="W205" s="2"/>
      <c r="X205" s="2"/>
    </row>
    <row r="206" spans="1:24" ht="18">
      <c r="A206" s="2"/>
      <c r="B206" s="2"/>
      <c r="C206" s="2"/>
      <c r="D206" s="2"/>
      <c r="E206" s="2"/>
      <c r="F206" s="2"/>
      <c r="G206" s="2"/>
      <c r="H206" s="2"/>
      <c r="I206" s="2"/>
      <c r="J206" s="2"/>
      <c r="K206" s="2"/>
      <c r="L206" s="2"/>
      <c r="M206" s="2"/>
      <c r="N206" s="2"/>
      <c r="O206" s="2"/>
      <c r="P206" s="2"/>
      <c r="Q206" s="2"/>
      <c r="R206" s="2"/>
      <c r="S206" s="2"/>
      <c r="T206" s="2"/>
      <c r="U206" s="2"/>
      <c r="V206" s="2"/>
      <c r="W206" s="2"/>
      <c r="X206" s="2"/>
    </row>
    <row r="207" spans="1:24" ht="18">
      <c r="A207" s="2"/>
      <c r="B207" s="2"/>
      <c r="C207" s="2"/>
      <c r="D207" s="2"/>
      <c r="E207" s="2"/>
      <c r="F207" s="2"/>
      <c r="G207" s="2"/>
      <c r="H207" s="2"/>
      <c r="I207" s="2"/>
      <c r="J207" s="2"/>
      <c r="K207" s="2"/>
      <c r="L207" s="2"/>
      <c r="M207" s="2"/>
      <c r="N207" s="2"/>
      <c r="O207" s="2"/>
      <c r="P207" s="2"/>
      <c r="Q207" s="2"/>
      <c r="R207" s="2"/>
      <c r="S207" s="2"/>
      <c r="T207" s="2"/>
      <c r="U207" s="2"/>
      <c r="V207" s="2"/>
      <c r="W207" s="2"/>
      <c r="X207" s="2"/>
    </row>
    <row r="208" spans="1:24" ht="18">
      <c r="A208" s="2"/>
      <c r="B208" s="2"/>
      <c r="C208" s="2"/>
      <c r="D208" s="2"/>
      <c r="E208" s="2"/>
      <c r="F208" s="2"/>
      <c r="G208" s="2"/>
      <c r="H208" s="2"/>
      <c r="I208" s="2"/>
      <c r="J208" s="2"/>
      <c r="K208" s="2"/>
      <c r="L208" s="2"/>
      <c r="M208" s="2"/>
      <c r="N208" s="2"/>
      <c r="O208" s="2"/>
      <c r="P208" s="2"/>
      <c r="Q208" s="2"/>
      <c r="R208" s="2"/>
      <c r="S208" s="2"/>
      <c r="T208" s="2"/>
      <c r="U208" s="2"/>
      <c r="V208" s="2"/>
      <c r="W208" s="2"/>
      <c r="X208" s="2"/>
    </row>
    <row r="209" spans="1:24" ht="18">
      <c r="A209" s="2"/>
      <c r="B209" s="2"/>
      <c r="C209" s="2"/>
      <c r="D209" s="2"/>
      <c r="E209" s="2"/>
      <c r="F209" s="2"/>
      <c r="G209" s="2"/>
      <c r="H209" s="2"/>
      <c r="I209" s="2"/>
      <c r="J209" s="2"/>
      <c r="K209" s="2"/>
      <c r="L209" s="2"/>
      <c r="M209" s="2"/>
      <c r="N209" s="2"/>
      <c r="O209" s="2"/>
      <c r="P209" s="2"/>
      <c r="Q209" s="2"/>
      <c r="R209" s="2"/>
      <c r="S209" s="2"/>
      <c r="T209" s="2"/>
      <c r="U209" s="2"/>
      <c r="V209" s="2"/>
      <c r="W209" s="2"/>
      <c r="X209" s="2"/>
    </row>
    <row r="210" spans="1:24" ht="18">
      <c r="A210" s="2"/>
      <c r="B210" s="2"/>
      <c r="C210" s="2"/>
      <c r="D210" s="2"/>
      <c r="E210" s="2"/>
      <c r="F210" s="2"/>
      <c r="G210" s="2"/>
      <c r="H210" s="2"/>
      <c r="I210" s="2"/>
      <c r="J210" s="2"/>
      <c r="K210" s="2"/>
      <c r="L210" s="2"/>
      <c r="M210" s="2"/>
      <c r="N210" s="2"/>
      <c r="O210" s="2"/>
      <c r="P210" s="2"/>
      <c r="Q210" s="2"/>
      <c r="R210" s="2"/>
      <c r="S210" s="2"/>
      <c r="T210" s="2"/>
      <c r="U210" s="2"/>
      <c r="V210" s="2"/>
      <c r="W210" s="2"/>
      <c r="X210" s="2"/>
    </row>
    <row r="211" spans="1:24" ht="18">
      <c r="A211" s="2"/>
      <c r="B211" s="2"/>
      <c r="C211" s="2"/>
      <c r="D211" s="2"/>
      <c r="E211" s="2"/>
      <c r="F211" s="2"/>
      <c r="G211" s="2"/>
      <c r="H211" s="2"/>
      <c r="I211" s="2"/>
      <c r="J211" s="2"/>
      <c r="K211" s="2"/>
      <c r="L211" s="2"/>
      <c r="M211" s="2"/>
      <c r="N211" s="2"/>
      <c r="O211" s="2"/>
      <c r="P211" s="2"/>
      <c r="Q211" s="2"/>
      <c r="R211" s="2"/>
      <c r="S211" s="2"/>
      <c r="T211" s="2"/>
      <c r="U211" s="2"/>
      <c r="V211" s="2"/>
      <c r="W211" s="2"/>
      <c r="X211" s="2"/>
    </row>
    <row r="212" spans="1:24" ht="18">
      <c r="A212" s="2"/>
      <c r="B212" s="2"/>
      <c r="C212" s="2"/>
      <c r="D212" s="2"/>
      <c r="E212" s="2"/>
      <c r="F212" s="2"/>
      <c r="G212" s="2"/>
      <c r="H212" s="2"/>
      <c r="I212" s="2"/>
      <c r="J212" s="2"/>
      <c r="K212" s="2"/>
      <c r="L212" s="2"/>
      <c r="M212" s="2"/>
      <c r="N212" s="2"/>
      <c r="O212" s="2"/>
      <c r="P212" s="2"/>
      <c r="Q212" s="2"/>
      <c r="R212" s="2"/>
      <c r="S212" s="2"/>
      <c r="T212" s="2"/>
      <c r="U212" s="2"/>
      <c r="V212" s="2"/>
      <c r="W212" s="2"/>
      <c r="X212" s="2"/>
    </row>
    <row r="213" spans="1:24" ht="18">
      <c r="A213" s="2"/>
      <c r="B213" s="2"/>
      <c r="C213" s="2"/>
      <c r="D213" s="2"/>
      <c r="E213" s="2"/>
      <c r="F213" s="2"/>
      <c r="G213" s="2"/>
      <c r="H213" s="2"/>
      <c r="I213" s="2"/>
      <c r="J213" s="2"/>
      <c r="K213" s="2"/>
      <c r="L213" s="2"/>
      <c r="M213" s="2"/>
      <c r="N213" s="2"/>
      <c r="O213" s="2"/>
      <c r="P213" s="2"/>
      <c r="Q213" s="2"/>
      <c r="R213" s="2"/>
      <c r="S213" s="2"/>
      <c r="T213" s="2"/>
      <c r="U213" s="2"/>
      <c r="V213" s="2"/>
      <c r="W213" s="2"/>
      <c r="X213" s="2"/>
    </row>
    <row r="214" spans="1:24" ht="18">
      <c r="A214" s="2"/>
      <c r="B214" s="2"/>
      <c r="C214" s="2"/>
      <c r="D214" s="2"/>
      <c r="E214" s="2"/>
      <c r="F214" s="2"/>
      <c r="G214" s="2"/>
      <c r="H214" s="2"/>
      <c r="I214" s="2"/>
      <c r="J214" s="2"/>
      <c r="K214" s="2"/>
      <c r="L214" s="2"/>
      <c r="M214" s="2"/>
      <c r="N214" s="2"/>
      <c r="O214" s="2"/>
      <c r="P214" s="2"/>
      <c r="Q214" s="2"/>
      <c r="R214" s="2"/>
      <c r="S214" s="2"/>
      <c r="T214" s="2"/>
      <c r="U214" s="2"/>
      <c r="V214" s="2"/>
      <c r="W214" s="2"/>
      <c r="X214" s="2"/>
    </row>
    <row r="215" spans="1:24" ht="18">
      <c r="A215" s="2"/>
      <c r="B215" s="2"/>
      <c r="C215" s="2"/>
      <c r="D215" s="2"/>
      <c r="E215" s="2"/>
      <c r="F215" s="2"/>
      <c r="G215" s="2"/>
      <c r="H215" s="2"/>
      <c r="I215" s="2"/>
      <c r="J215" s="2"/>
      <c r="K215" s="2"/>
      <c r="L215" s="2"/>
      <c r="M215" s="2"/>
      <c r="N215" s="2"/>
      <c r="O215" s="2"/>
      <c r="P215" s="2"/>
      <c r="Q215" s="2"/>
      <c r="R215" s="2"/>
      <c r="S215" s="2"/>
      <c r="T215" s="2"/>
      <c r="U215" s="2"/>
      <c r="V215" s="2"/>
      <c r="W215" s="2"/>
      <c r="X215" s="2"/>
    </row>
    <row r="216" spans="1:24" ht="18">
      <c r="A216" s="2"/>
      <c r="B216" s="2"/>
      <c r="C216" s="2"/>
      <c r="D216" s="2"/>
      <c r="E216" s="2"/>
      <c r="F216" s="2"/>
      <c r="G216" s="2"/>
      <c r="H216" s="2"/>
      <c r="I216" s="2"/>
      <c r="J216" s="2"/>
      <c r="K216" s="2"/>
      <c r="L216" s="2"/>
      <c r="M216" s="2"/>
      <c r="N216" s="2"/>
      <c r="O216" s="2"/>
      <c r="P216" s="2"/>
      <c r="Q216" s="2"/>
      <c r="R216" s="2"/>
      <c r="S216" s="2"/>
      <c r="T216" s="2"/>
      <c r="U216" s="2"/>
      <c r="V216" s="2"/>
      <c r="W216" s="2"/>
      <c r="X216" s="2"/>
    </row>
    <row r="217" spans="1:24" ht="18">
      <c r="A217" s="2"/>
      <c r="B217" s="2"/>
      <c r="C217" s="2"/>
      <c r="D217" s="2"/>
      <c r="E217" s="2"/>
      <c r="F217" s="2"/>
      <c r="G217" s="2"/>
      <c r="H217" s="2"/>
      <c r="I217" s="2"/>
      <c r="J217" s="2"/>
      <c r="K217" s="2"/>
      <c r="L217" s="2"/>
      <c r="M217" s="2"/>
      <c r="N217" s="2"/>
      <c r="O217" s="2"/>
      <c r="P217" s="2"/>
      <c r="Q217" s="2"/>
      <c r="R217" s="2"/>
      <c r="S217" s="2"/>
      <c r="T217" s="2"/>
      <c r="U217" s="2"/>
      <c r="V217" s="2"/>
      <c r="W217" s="2"/>
      <c r="X217" s="2"/>
    </row>
    <row r="218" spans="1:24" ht="18">
      <c r="A218" s="2"/>
      <c r="B218" s="2"/>
      <c r="C218" s="2"/>
      <c r="D218" s="2"/>
      <c r="E218" s="2"/>
      <c r="F218" s="2"/>
      <c r="G218" s="2"/>
      <c r="H218" s="2"/>
      <c r="I218" s="2"/>
      <c r="J218" s="2"/>
      <c r="K218" s="2"/>
      <c r="L218" s="2"/>
      <c r="M218" s="2"/>
      <c r="N218" s="2"/>
      <c r="O218" s="2"/>
      <c r="P218" s="2"/>
      <c r="Q218" s="2"/>
      <c r="R218" s="2"/>
      <c r="S218" s="2"/>
      <c r="T218" s="2"/>
      <c r="U218" s="2"/>
      <c r="V218" s="2"/>
      <c r="W218" s="2"/>
      <c r="X218" s="2"/>
    </row>
    <row r="219" spans="1:24" ht="18">
      <c r="A219" s="2"/>
      <c r="B219" s="2"/>
      <c r="C219" s="2"/>
      <c r="D219" s="2"/>
      <c r="E219" s="2"/>
      <c r="F219" s="2"/>
      <c r="G219" s="2"/>
      <c r="H219" s="2"/>
      <c r="I219" s="2"/>
      <c r="J219" s="2"/>
      <c r="K219" s="2"/>
      <c r="L219" s="2"/>
      <c r="M219" s="2"/>
      <c r="N219" s="2"/>
      <c r="O219" s="2"/>
      <c r="P219" s="2"/>
      <c r="Q219" s="2"/>
      <c r="R219" s="2"/>
      <c r="S219" s="2"/>
      <c r="T219" s="2"/>
      <c r="U219" s="2"/>
      <c r="V219" s="2"/>
      <c r="W219" s="2"/>
      <c r="X219" s="2"/>
    </row>
    <row r="220" spans="1:24" ht="18">
      <c r="A220" s="2"/>
      <c r="B220" s="2"/>
      <c r="C220" s="2"/>
      <c r="D220" s="2"/>
      <c r="E220" s="2"/>
      <c r="F220" s="2"/>
      <c r="G220" s="2"/>
      <c r="H220" s="2"/>
      <c r="I220" s="2"/>
      <c r="J220" s="2"/>
      <c r="K220" s="2"/>
      <c r="L220" s="2"/>
      <c r="M220" s="2"/>
      <c r="N220" s="2"/>
      <c r="O220" s="2"/>
      <c r="P220" s="2"/>
      <c r="Q220" s="2"/>
      <c r="R220" s="2"/>
      <c r="S220" s="2"/>
      <c r="T220" s="2"/>
      <c r="U220" s="2"/>
      <c r="V220" s="2"/>
      <c r="W220" s="2"/>
      <c r="X220" s="2"/>
    </row>
    <row r="221" spans="1:24" ht="18">
      <c r="A221" s="2"/>
      <c r="B221" s="2"/>
      <c r="C221" s="2"/>
      <c r="D221" s="2"/>
      <c r="E221" s="2"/>
      <c r="F221" s="2"/>
      <c r="G221" s="2"/>
      <c r="H221" s="2"/>
      <c r="I221" s="2"/>
      <c r="J221" s="2"/>
      <c r="K221" s="2"/>
      <c r="L221" s="2"/>
      <c r="M221" s="2"/>
      <c r="N221" s="2"/>
      <c r="O221" s="2"/>
      <c r="P221" s="2"/>
      <c r="Q221" s="2"/>
      <c r="R221" s="2"/>
      <c r="S221" s="2"/>
      <c r="T221" s="2"/>
      <c r="U221" s="2"/>
      <c r="V221" s="2"/>
      <c r="W221" s="2"/>
      <c r="X221" s="2"/>
    </row>
    <row r="222" spans="1:24" ht="18">
      <c r="A222" s="2"/>
      <c r="B222" s="2"/>
      <c r="C222" s="2"/>
      <c r="D222" s="2"/>
      <c r="E222" s="2"/>
      <c r="F222" s="2"/>
      <c r="G222" s="2"/>
      <c r="H222" s="2"/>
      <c r="I222" s="2"/>
      <c r="J222" s="2"/>
      <c r="K222" s="2"/>
      <c r="L222" s="2"/>
      <c r="M222" s="2"/>
      <c r="N222" s="2"/>
      <c r="O222" s="2"/>
      <c r="P222" s="2"/>
      <c r="Q222" s="2"/>
      <c r="R222" s="2"/>
      <c r="S222" s="2"/>
      <c r="T222" s="2"/>
      <c r="U222" s="2"/>
      <c r="V222" s="2"/>
      <c r="W222" s="2"/>
      <c r="X222" s="2"/>
    </row>
    <row r="223" spans="1:24" ht="18">
      <c r="A223" s="2"/>
      <c r="B223" s="2"/>
      <c r="C223" s="2"/>
      <c r="D223" s="2"/>
      <c r="E223" s="2"/>
      <c r="F223" s="2"/>
      <c r="G223" s="2"/>
      <c r="H223" s="2"/>
      <c r="I223" s="2"/>
      <c r="J223" s="2"/>
      <c r="K223" s="2"/>
      <c r="L223" s="2"/>
      <c r="M223" s="2"/>
      <c r="N223" s="2"/>
      <c r="O223" s="2"/>
      <c r="P223" s="2"/>
      <c r="Q223" s="2"/>
      <c r="R223" s="2"/>
      <c r="S223" s="2"/>
      <c r="T223" s="2"/>
      <c r="U223" s="2"/>
      <c r="V223" s="2"/>
      <c r="W223" s="2"/>
      <c r="X223" s="2"/>
    </row>
    <row r="224" spans="1:24" ht="18">
      <c r="A224" s="2"/>
      <c r="B224" s="2"/>
      <c r="C224" s="2"/>
      <c r="D224" s="2"/>
      <c r="E224" s="2"/>
      <c r="F224" s="2"/>
      <c r="G224" s="2"/>
      <c r="H224" s="2"/>
      <c r="I224" s="2"/>
      <c r="J224" s="2"/>
      <c r="K224" s="2"/>
      <c r="L224" s="2"/>
      <c r="M224" s="2"/>
      <c r="N224" s="2"/>
      <c r="O224" s="2"/>
      <c r="P224" s="2"/>
      <c r="Q224" s="2"/>
      <c r="R224" s="2"/>
      <c r="S224" s="2"/>
      <c r="T224" s="2"/>
      <c r="U224" s="2"/>
      <c r="V224" s="2"/>
      <c r="W224" s="2"/>
      <c r="X224" s="2"/>
    </row>
    <row r="225" spans="1:24" ht="18">
      <c r="A225" s="2"/>
      <c r="B225" s="2"/>
      <c r="C225" s="2"/>
      <c r="D225" s="2"/>
      <c r="E225" s="2"/>
      <c r="F225" s="2"/>
      <c r="G225" s="2"/>
      <c r="H225" s="2"/>
      <c r="I225" s="2"/>
      <c r="J225" s="2"/>
      <c r="K225" s="2"/>
      <c r="L225" s="2"/>
      <c r="M225" s="2"/>
      <c r="N225" s="2"/>
      <c r="O225" s="2"/>
      <c r="P225" s="2"/>
      <c r="Q225" s="2"/>
      <c r="R225" s="2"/>
      <c r="S225" s="2"/>
      <c r="T225" s="2"/>
      <c r="U225" s="2"/>
      <c r="V225" s="2"/>
      <c r="W225" s="2"/>
      <c r="X225" s="2"/>
    </row>
    <row r="226" spans="1:24" ht="18">
      <c r="A226" s="2"/>
      <c r="B226" s="2"/>
      <c r="C226" s="2"/>
      <c r="D226" s="2"/>
      <c r="E226" s="2"/>
      <c r="F226" s="2"/>
      <c r="G226" s="2"/>
      <c r="H226" s="2"/>
      <c r="I226" s="2"/>
      <c r="J226" s="2"/>
      <c r="K226" s="2"/>
      <c r="L226" s="2"/>
      <c r="M226" s="2"/>
      <c r="N226" s="2"/>
      <c r="O226" s="2"/>
      <c r="P226" s="2"/>
      <c r="Q226" s="2"/>
      <c r="R226" s="2"/>
      <c r="S226" s="2"/>
      <c r="T226" s="2"/>
      <c r="U226" s="2"/>
      <c r="V226" s="2"/>
      <c r="W226" s="2"/>
      <c r="X226" s="2"/>
    </row>
    <row r="227" spans="1:24" ht="18">
      <c r="A227" s="2"/>
      <c r="B227" s="2"/>
      <c r="C227" s="2"/>
      <c r="D227" s="2"/>
      <c r="E227" s="2"/>
      <c r="F227" s="2"/>
      <c r="G227" s="2"/>
      <c r="H227" s="2"/>
      <c r="I227" s="2"/>
      <c r="J227" s="2"/>
      <c r="K227" s="2"/>
      <c r="L227" s="2"/>
      <c r="M227" s="2"/>
      <c r="N227" s="2"/>
      <c r="O227" s="2"/>
      <c r="P227" s="2"/>
      <c r="Q227" s="2"/>
      <c r="R227" s="2"/>
      <c r="S227" s="2"/>
      <c r="T227" s="2"/>
      <c r="U227" s="2"/>
      <c r="V227" s="2"/>
      <c r="W227" s="2"/>
      <c r="X227" s="2"/>
    </row>
    <row r="228" spans="1:24" ht="18">
      <c r="A228" s="2"/>
      <c r="B228" s="2"/>
      <c r="C228" s="2"/>
      <c r="D228" s="2"/>
      <c r="E228" s="2"/>
      <c r="F228" s="2"/>
      <c r="G228" s="2"/>
      <c r="H228" s="2"/>
      <c r="I228" s="2"/>
      <c r="J228" s="2"/>
      <c r="K228" s="2"/>
      <c r="L228" s="2"/>
      <c r="M228" s="2"/>
      <c r="N228" s="2"/>
      <c r="O228" s="2"/>
      <c r="P228" s="2"/>
      <c r="Q228" s="2"/>
      <c r="R228" s="2"/>
      <c r="S228" s="2"/>
      <c r="T228" s="2"/>
      <c r="U228" s="2"/>
      <c r="V228" s="2"/>
      <c r="W228" s="2"/>
      <c r="X228" s="2"/>
    </row>
    <row r="229" spans="1:24" ht="18">
      <c r="A229" s="2"/>
      <c r="B229" s="2"/>
      <c r="C229" s="2"/>
      <c r="D229" s="2"/>
      <c r="E229" s="2"/>
      <c r="F229" s="2"/>
      <c r="G229" s="2"/>
      <c r="H229" s="2"/>
      <c r="I229" s="2"/>
      <c r="J229" s="2"/>
      <c r="K229" s="2"/>
      <c r="L229" s="2"/>
      <c r="M229" s="2"/>
      <c r="N229" s="2"/>
      <c r="O229" s="2"/>
      <c r="P229" s="2"/>
      <c r="Q229" s="2"/>
      <c r="R229" s="2"/>
      <c r="S229" s="2"/>
      <c r="T229" s="2"/>
      <c r="U229" s="2"/>
      <c r="V229" s="2"/>
      <c r="W229" s="2"/>
      <c r="X229" s="2"/>
    </row>
    <row r="230" spans="1:24" ht="18">
      <c r="A230" s="2"/>
      <c r="B230" s="2"/>
      <c r="C230" s="2"/>
      <c r="D230" s="2"/>
      <c r="E230" s="2"/>
      <c r="F230" s="2"/>
      <c r="G230" s="2"/>
      <c r="H230" s="2"/>
      <c r="I230" s="2"/>
      <c r="J230" s="2"/>
      <c r="K230" s="2"/>
      <c r="L230" s="2"/>
      <c r="M230" s="2"/>
      <c r="N230" s="2"/>
      <c r="O230" s="2"/>
      <c r="P230" s="2"/>
      <c r="Q230" s="2"/>
      <c r="R230" s="2"/>
      <c r="S230" s="2"/>
      <c r="T230" s="2"/>
      <c r="U230" s="2"/>
      <c r="V230" s="2"/>
      <c r="W230" s="2"/>
      <c r="X230" s="2"/>
    </row>
    <row r="231" spans="1:24" ht="18">
      <c r="A231" s="2"/>
      <c r="B231" s="2"/>
      <c r="C231" s="2"/>
      <c r="D231" s="2"/>
      <c r="E231" s="2"/>
      <c r="F231" s="2"/>
      <c r="G231" s="2"/>
      <c r="H231" s="2"/>
      <c r="I231" s="2"/>
      <c r="J231" s="2"/>
      <c r="K231" s="2"/>
      <c r="L231" s="2"/>
      <c r="M231" s="2"/>
      <c r="N231" s="2"/>
      <c r="O231" s="2"/>
      <c r="P231" s="2"/>
      <c r="Q231" s="2"/>
      <c r="R231" s="2"/>
      <c r="S231" s="2"/>
      <c r="T231" s="2"/>
      <c r="U231" s="2"/>
      <c r="V231" s="2"/>
      <c r="W231" s="2"/>
      <c r="X231" s="2"/>
    </row>
    <row r="232" spans="1:24" ht="18">
      <c r="A232" s="2"/>
      <c r="B232" s="2"/>
      <c r="C232" s="2"/>
      <c r="D232" s="2"/>
      <c r="E232" s="2"/>
      <c r="F232" s="2"/>
      <c r="G232" s="2"/>
      <c r="H232" s="2"/>
      <c r="I232" s="2"/>
      <c r="J232" s="2"/>
      <c r="K232" s="2"/>
      <c r="L232" s="2"/>
      <c r="M232" s="2"/>
      <c r="N232" s="2"/>
      <c r="O232" s="2"/>
      <c r="P232" s="2"/>
      <c r="Q232" s="2"/>
      <c r="R232" s="2"/>
      <c r="S232" s="2"/>
      <c r="T232" s="2"/>
      <c r="U232" s="2"/>
      <c r="V232" s="2"/>
      <c r="W232" s="2"/>
      <c r="X232" s="2"/>
    </row>
    <row r="233" spans="1:24" ht="18">
      <c r="A233" s="2"/>
      <c r="B233" s="2"/>
      <c r="C233" s="2"/>
      <c r="D233" s="2"/>
      <c r="E233" s="2"/>
      <c r="F233" s="2"/>
      <c r="G233" s="2"/>
      <c r="H233" s="2"/>
      <c r="I233" s="2"/>
      <c r="J233" s="2"/>
      <c r="K233" s="2"/>
      <c r="L233" s="2"/>
      <c r="M233" s="2"/>
      <c r="N233" s="2"/>
      <c r="O233" s="2"/>
      <c r="P233" s="2"/>
      <c r="Q233" s="2"/>
      <c r="R233" s="2"/>
      <c r="S233" s="2"/>
      <c r="T233" s="2"/>
      <c r="U233" s="2"/>
      <c r="V233" s="2"/>
      <c r="W233" s="2"/>
      <c r="X233" s="2"/>
    </row>
    <row r="234" spans="1:24" ht="18">
      <c r="A234" s="2"/>
      <c r="B234" s="2"/>
      <c r="C234" s="2"/>
      <c r="D234" s="2"/>
      <c r="E234" s="2"/>
      <c r="F234" s="2"/>
      <c r="G234" s="2"/>
      <c r="H234" s="2"/>
      <c r="I234" s="2"/>
      <c r="J234" s="2"/>
      <c r="K234" s="2"/>
      <c r="L234" s="2"/>
      <c r="M234" s="2"/>
      <c r="N234" s="2"/>
      <c r="O234" s="2"/>
      <c r="P234" s="2"/>
      <c r="Q234" s="2"/>
      <c r="R234" s="2"/>
      <c r="S234" s="2"/>
      <c r="T234" s="2"/>
      <c r="U234" s="2"/>
      <c r="V234" s="2"/>
      <c r="W234" s="2"/>
      <c r="X234" s="2"/>
    </row>
    <row r="235" spans="1:24" ht="18">
      <c r="A235" s="2"/>
      <c r="B235" s="2"/>
      <c r="C235" s="2"/>
      <c r="D235" s="2"/>
      <c r="E235" s="2"/>
      <c r="F235" s="2"/>
      <c r="G235" s="2"/>
      <c r="H235" s="2"/>
      <c r="I235" s="2"/>
      <c r="J235" s="2"/>
      <c r="K235" s="2"/>
      <c r="L235" s="2"/>
      <c r="M235" s="2"/>
      <c r="N235" s="2"/>
      <c r="O235" s="2"/>
      <c r="P235" s="2"/>
      <c r="Q235" s="2"/>
      <c r="R235" s="2"/>
      <c r="S235" s="2"/>
      <c r="T235" s="2"/>
      <c r="U235" s="2"/>
      <c r="V235" s="2"/>
      <c r="W235" s="2"/>
      <c r="X235" s="2"/>
    </row>
    <row r="236" spans="1:24" ht="18">
      <c r="A236" s="2"/>
      <c r="B236" s="2"/>
      <c r="C236" s="2"/>
      <c r="D236" s="2"/>
      <c r="E236" s="2"/>
      <c r="F236" s="2"/>
      <c r="G236" s="2"/>
      <c r="H236" s="2"/>
      <c r="I236" s="2"/>
      <c r="J236" s="2"/>
      <c r="K236" s="2"/>
      <c r="L236" s="2"/>
      <c r="M236" s="2"/>
      <c r="N236" s="2"/>
      <c r="O236" s="2"/>
      <c r="P236" s="2"/>
      <c r="Q236" s="2"/>
      <c r="R236" s="2"/>
      <c r="S236" s="2"/>
      <c r="T236" s="2"/>
      <c r="U236" s="2"/>
      <c r="V236" s="2"/>
      <c r="W236" s="2"/>
      <c r="X236" s="2"/>
    </row>
    <row r="237" spans="1:24" ht="18">
      <c r="A237" s="2"/>
      <c r="B237" s="2"/>
      <c r="C237" s="2"/>
      <c r="D237" s="2"/>
      <c r="E237" s="2"/>
      <c r="F237" s="2"/>
      <c r="G237" s="2"/>
      <c r="H237" s="2"/>
      <c r="I237" s="2"/>
      <c r="J237" s="2"/>
      <c r="K237" s="2"/>
      <c r="L237" s="2"/>
      <c r="M237" s="2"/>
      <c r="N237" s="2"/>
      <c r="O237" s="2"/>
      <c r="P237" s="2"/>
      <c r="Q237" s="2"/>
      <c r="R237" s="2"/>
      <c r="S237" s="2"/>
      <c r="T237" s="2"/>
      <c r="U237" s="2"/>
      <c r="V237" s="2"/>
      <c r="W237" s="2"/>
      <c r="X237" s="2"/>
    </row>
    <row r="238" spans="1:24" ht="18">
      <c r="A238" s="2"/>
      <c r="B238" s="2"/>
      <c r="C238" s="2"/>
      <c r="D238" s="2"/>
      <c r="E238" s="2"/>
      <c r="F238" s="2"/>
      <c r="G238" s="2"/>
      <c r="H238" s="2"/>
      <c r="I238" s="2"/>
      <c r="J238" s="2"/>
      <c r="K238" s="2"/>
      <c r="L238" s="2"/>
      <c r="M238" s="2"/>
      <c r="N238" s="2"/>
      <c r="O238" s="2"/>
      <c r="P238" s="2"/>
      <c r="Q238" s="2"/>
      <c r="R238" s="2"/>
      <c r="S238" s="2"/>
      <c r="T238" s="2"/>
      <c r="U238" s="2"/>
      <c r="V238" s="2"/>
      <c r="W238" s="2"/>
      <c r="X238" s="2"/>
    </row>
    <row r="239" spans="1:24" ht="18">
      <c r="A239" s="2"/>
      <c r="B239" s="2"/>
      <c r="C239" s="2"/>
      <c r="D239" s="2"/>
      <c r="E239" s="2"/>
      <c r="F239" s="2"/>
      <c r="G239" s="2"/>
      <c r="H239" s="2"/>
      <c r="I239" s="2"/>
      <c r="J239" s="2"/>
      <c r="K239" s="2"/>
      <c r="L239" s="2"/>
      <c r="M239" s="2"/>
      <c r="N239" s="2"/>
      <c r="O239" s="2"/>
      <c r="P239" s="2"/>
      <c r="Q239" s="2"/>
      <c r="R239" s="2"/>
      <c r="S239" s="2"/>
      <c r="T239" s="2"/>
      <c r="U239" s="2"/>
      <c r="V239" s="2"/>
      <c r="W239" s="2"/>
      <c r="X239" s="2"/>
    </row>
    <row r="240" spans="1:24" ht="18">
      <c r="A240" s="2"/>
      <c r="B240" s="2"/>
      <c r="C240" s="2"/>
      <c r="D240" s="2"/>
      <c r="E240" s="2"/>
      <c r="F240" s="2"/>
      <c r="G240" s="2"/>
      <c r="H240" s="2"/>
      <c r="I240" s="2"/>
      <c r="J240" s="2"/>
      <c r="K240" s="2"/>
      <c r="L240" s="2"/>
      <c r="M240" s="2"/>
      <c r="N240" s="2"/>
      <c r="O240" s="2"/>
      <c r="P240" s="2"/>
      <c r="Q240" s="2"/>
      <c r="R240" s="2"/>
      <c r="S240" s="2"/>
      <c r="T240" s="2"/>
      <c r="U240" s="2"/>
      <c r="V240" s="2"/>
      <c r="W240" s="2"/>
      <c r="X240" s="2"/>
    </row>
    <row r="241" spans="1:24" ht="18">
      <c r="A241" s="2"/>
      <c r="B241" s="2"/>
      <c r="C241" s="2"/>
      <c r="D241" s="2"/>
      <c r="E241" s="2"/>
      <c r="F241" s="2"/>
      <c r="G241" s="2"/>
      <c r="H241" s="2"/>
      <c r="I241" s="2"/>
      <c r="J241" s="2"/>
      <c r="K241" s="2"/>
      <c r="L241" s="2"/>
      <c r="M241" s="2"/>
      <c r="N241" s="2"/>
      <c r="O241" s="2"/>
      <c r="P241" s="2"/>
      <c r="Q241" s="2"/>
      <c r="R241" s="2"/>
      <c r="S241" s="2"/>
      <c r="T241" s="2"/>
      <c r="U241" s="2"/>
      <c r="V241" s="2"/>
      <c r="W241" s="2"/>
      <c r="X241" s="2"/>
    </row>
    <row r="242" spans="1:24" ht="18">
      <c r="A242" s="2"/>
      <c r="B242" s="2"/>
      <c r="C242" s="2"/>
      <c r="D242" s="2"/>
      <c r="E242" s="2"/>
      <c r="F242" s="2"/>
      <c r="G242" s="2"/>
      <c r="H242" s="2"/>
      <c r="I242" s="2"/>
      <c r="J242" s="2"/>
      <c r="K242" s="2"/>
      <c r="L242" s="2"/>
      <c r="M242" s="2"/>
      <c r="N242" s="2"/>
      <c r="O242" s="2"/>
      <c r="P242" s="2"/>
      <c r="Q242" s="2"/>
      <c r="R242" s="2"/>
      <c r="S242" s="2"/>
      <c r="T242" s="2"/>
      <c r="U242" s="2"/>
      <c r="V242" s="2"/>
      <c r="W242" s="2"/>
      <c r="X242" s="2"/>
    </row>
    <row r="243" spans="1:24" ht="18">
      <c r="A243" s="2"/>
      <c r="B243" s="2"/>
      <c r="C243" s="2"/>
      <c r="D243" s="2"/>
      <c r="E243" s="2"/>
      <c r="F243" s="2"/>
      <c r="G243" s="2"/>
      <c r="H243" s="2"/>
      <c r="I243" s="2"/>
      <c r="J243" s="2"/>
      <c r="K243" s="2"/>
      <c r="L243" s="2"/>
      <c r="M243" s="2"/>
      <c r="N243" s="2"/>
      <c r="O243" s="2"/>
      <c r="P243" s="2"/>
      <c r="Q243" s="2"/>
      <c r="R243" s="2"/>
      <c r="S243" s="2"/>
      <c r="T243" s="2"/>
      <c r="U243" s="2"/>
      <c r="V243" s="2"/>
      <c r="W243" s="2"/>
      <c r="X243" s="2"/>
    </row>
    <row r="244" spans="1:24" ht="18">
      <c r="A244" s="2"/>
      <c r="B244" s="2"/>
      <c r="C244" s="2"/>
      <c r="D244" s="2"/>
      <c r="E244" s="2"/>
      <c r="F244" s="2"/>
      <c r="G244" s="2"/>
      <c r="H244" s="2"/>
      <c r="I244" s="2"/>
      <c r="J244" s="2"/>
      <c r="K244" s="2"/>
      <c r="L244" s="2"/>
      <c r="M244" s="2"/>
      <c r="N244" s="2"/>
      <c r="O244" s="2"/>
      <c r="P244" s="2"/>
      <c r="Q244" s="2"/>
      <c r="R244" s="2"/>
      <c r="S244" s="2"/>
      <c r="T244" s="2"/>
      <c r="U244" s="2"/>
      <c r="V244" s="2"/>
      <c r="W244" s="2"/>
      <c r="X244" s="2"/>
    </row>
    <row r="245" spans="1:24" ht="18">
      <c r="A245" s="2"/>
      <c r="B245" s="2"/>
      <c r="C245" s="2"/>
      <c r="D245" s="2"/>
      <c r="E245" s="2"/>
      <c r="F245" s="2"/>
      <c r="G245" s="2"/>
      <c r="H245" s="2"/>
      <c r="I245" s="2"/>
      <c r="J245" s="2"/>
      <c r="K245" s="2"/>
      <c r="L245" s="2"/>
      <c r="M245" s="2"/>
      <c r="N245" s="2"/>
      <c r="O245" s="2"/>
      <c r="P245" s="2"/>
      <c r="Q245" s="2"/>
      <c r="R245" s="2"/>
      <c r="S245" s="2"/>
      <c r="T245" s="2"/>
      <c r="U245" s="2"/>
      <c r="V245" s="2"/>
      <c r="W245" s="2"/>
      <c r="X245" s="2"/>
    </row>
    <row r="246" spans="1:24" ht="18">
      <c r="A246" s="2"/>
      <c r="B246" s="2"/>
      <c r="C246" s="2"/>
      <c r="D246" s="2"/>
      <c r="E246" s="2"/>
      <c r="F246" s="2"/>
      <c r="G246" s="2"/>
      <c r="H246" s="2"/>
      <c r="I246" s="2"/>
      <c r="J246" s="2"/>
      <c r="K246" s="2"/>
      <c r="L246" s="2"/>
      <c r="M246" s="2"/>
      <c r="N246" s="2"/>
      <c r="O246" s="2"/>
      <c r="P246" s="2"/>
      <c r="Q246" s="2"/>
      <c r="R246" s="2"/>
      <c r="S246" s="2"/>
      <c r="T246" s="2"/>
      <c r="U246" s="2"/>
      <c r="V246" s="2"/>
      <c r="W246" s="2"/>
      <c r="X246" s="2"/>
    </row>
    <row r="247" spans="1:24" ht="18">
      <c r="A247" s="2"/>
      <c r="B247" s="2"/>
      <c r="C247" s="2"/>
      <c r="D247" s="2"/>
      <c r="E247" s="2"/>
      <c r="F247" s="2"/>
      <c r="G247" s="2"/>
      <c r="H247" s="2"/>
      <c r="I247" s="2"/>
      <c r="J247" s="2"/>
      <c r="K247" s="2"/>
      <c r="L247" s="2"/>
      <c r="M247" s="2"/>
      <c r="N247" s="2"/>
      <c r="O247" s="2"/>
      <c r="P247" s="2"/>
      <c r="Q247" s="2"/>
      <c r="R247" s="2"/>
      <c r="S247" s="2"/>
      <c r="T247" s="2"/>
      <c r="U247" s="2"/>
      <c r="V247" s="2"/>
      <c r="W247" s="2"/>
      <c r="X247" s="2"/>
    </row>
    <row r="248" spans="1:24" ht="18">
      <c r="A248" s="2"/>
      <c r="B248" s="2"/>
      <c r="C248" s="2"/>
      <c r="D248" s="2"/>
      <c r="E248" s="2"/>
      <c r="F248" s="2"/>
      <c r="G248" s="2"/>
      <c r="H248" s="2"/>
      <c r="I248" s="2"/>
      <c r="J248" s="2"/>
      <c r="K248" s="2"/>
      <c r="L248" s="2"/>
      <c r="M248" s="2"/>
      <c r="N248" s="2"/>
      <c r="O248" s="2"/>
      <c r="P248" s="2"/>
      <c r="Q248" s="2"/>
      <c r="R248" s="2"/>
      <c r="S248" s="2"/>
      <c r="T248" s="2"/>
      <c r="U248" s="2"/>
      <c r="V248" s="2"/>
      <c r="W248" s="2"/>
      <c r="X248" s="2"/>
    </row>
    <row r="249" spans="1:24" ht="18">
      <c r="A249" s="2"/>
      <c r="B249" s="2"/>
      <c r="C249" s="2"/>
      <c r="D249" s="2"/>
      <c r="E249" s="2"/>
      <c r="F249" s="2"/>
      <c r="G249" s="2"/>
      <c r="H249" s="2"/>
      <c r="I249" s="2"/>
      <c r="J249" s="2"/>
      <c r="K249" s="2"/>
      <c r="L249" s="2"/>
      <c r="M249" s="2"/>
      <c r="N249" s="2"/>
      <c r="O249" s="2"/>
      <c r="P249" s="2"/>
      <c r="Q249" s="2"/>
      <c r="R249" s="2"/>
      <c r="S249" s="2"/>
      <c r="T249" s="2"/>
      <c r="U249" s="2"/>
      <c r="V249" s="2"/>
      <c r="W249" s="2"/>
      <c r="X249" s="2"/>
    </row>
    <row r="250" spans="1:24" ht="18">
      <c r="A250" s="2"/>
      <c r="B250" s="2"/>
      <c r="C250" s="2"/>
      <c r="D250" s="2"/>
      <c r="E250" s="2"/>
      <c r="F250" s="2"/>
      <c r="G250" s="2"/>
      <c r="H250" s="2"/>
      <c r="I250" s="2"/>
      <c r="J250" s="2"/>
      <c r="K250" s="2"/>
      <c r="L250" s="2"/>
      <c r="M250" s="2"/>
      <c r="N250" s="2"/>
      <c r="O250" s="2"/>
      <c r="P250" s="2"/>
      <c r="Q250" s="2"/>
      <c r="R250" s="2"/>
      <c r="S250" s="2"/>
      <c r="T250" s="2"/>
      <c r="U250" s="2"/>
      <c r="V250" s="2"/>
      <c r="W250" s="2"/>
      <c r="X250" s="2"/>
    </row>
    <row r="251" spans="1:24" ht="18">
      <c r="A251" s="2"/>
      <c r="B251" s="2"/>
      <c r="C251" s="2"/>
      <c r="D251" s="2"/>
      <c r="E251" s="2"/>
      <c r="F251" s="2"/>
      <c r="G251" s="2"/>
      <c r="H251" s="2"/>
      <c r="I251" s="2"/>
      <c r="J251" s="2"/>
      <c r="K251" s="2"/>
      <c r="L251" s="2"/>
      <c r="M251" s="2"/>
      <c r="N251" s="2"/>
      <c r="O251" s="2"/>
      <c r="P251" s="2"/>
      <c r="Q251" s="2"/>
      <c r="R251" s="2"/>
      <c r="S251" s="2"/>
      <c r="T251" s="2"/>
      <c r="U251" s="2"/>
      <c r="V251" s="2"/>
      <c r="W251" s="2"/>
      <c r="X251" s="2"/>
    </row>
    <row r="252" spans="1:24" ht="18">
      <c r="A252" s="2"/>
      <c r="B252" s="2"/>
      <c r="C252" s="2"/>
      <c r="D252" s="2"/>
      <c r="E252" s="2"/>
      <c r="F252" s="2"/>
      <c r="G252" s="2"/>
      <c r="H252" s="2"/>
      <c r="I252" s="2"/>
      <c r="J252" s="2"/>
      <c r="K252" s="2"/>
      <c r="L252" s="2"/>
      <c r="M252" s="2"/>
      <c r="N252" s="2"/>
      <c r="O252" s="2"/>
      <c r="P252" s="2"/>
      <c r="Q252" s="2"/>
      <c r="R252" s="2"/>
      <c r="S252" s="2"/>
      <c r="T252" s="2"/>
      <c r="U252" s="2"/>
      <c r="V252" s="2"/>
      <c r="W252" s="2"/>
      <c r="X252" s="2"/>
    </row>
    <row r="253" spans="1:24" ht="18">
      <c r="A253" s="2"/>
      <c r="B253" s="2"/>
      <c r="C253" s="2"/>
      <c r="D253" s="2"/>
      <c r="E253" s="2"/>
      <c r="F253" s="2"/>
      <c r="G253" s="2"/>
      <c r="H253" s="2"/>
      <c r="I253" s="2"/>
      <c r="J253" s="2"/>
      <c r="K253" s="2"/>
      <c r="L253" s="2"/>
      <c r="M253" s="2"/>
      <c r="N253" s="2"/>
      <c r="O253" s="2"/>
      <c r="P253" s="2"/>
      <c r="Q253" s="2"/>
      <c r="R253" s="2"/>
      <c r="S253" s="2"/>
      <c r="T253" s="2"/>
      <c r="U253" s="2"/>
      <c r="V253" s="2"/>
      <c r="W253" s="2"/>
      <c r="X253" s="2"/>
    </row>
    <row r="254" spans="1:24" ht="18">
      <c r="A254" s="2"/>
      <c r="B254" s="2"/>
      <c r="C254" s="2"/>
      <c r="D254" s="2"/>
      <c r="E254" s="2"/>
      <c r="F254" s="2"/>
      <c r="G254" s="2"/>
      <c r="H254" s="2"/>
      <c r="I254" s="2"/>
      <c r="J254" s="2"/>
      <c r="K254" s="2"/>
      <c r="L254" s="2"/>
      <c r="M254" s="2"/>
      <c r="N254" s="2"/>
      <c r="O254" s="2"/>
      <c r="P254" s="2"/>
      <c r="Q254" s="2"/>
      <c r="R254" s="2"/>
      <c r="S254" s="2"/>
      <c r="T254" s="2"/>
      <c r="U254" s="2"/>
      <c r="V254" s="2"/>
      <c r="W254" s="2"/>
      <c r="X254" s="2"/>
    </row>
    <row r="255" spans="1:24" ht="18">
      <c r="A255" s="2"/>
      <c r="B255" s="2"/>
      <c r="C255" s="2"/>
      <c r="D255" s="2"/>
      <c r="E255" s="2"/>
      <c r="F255" s="2"/>
      <c r="G255" s="2"/>
      <c r="H255" s="2"/>
      <c r="I255" s="2"/>
      <c r="J255" s="2"/>
      <c r="K255" s="2"/>
      <c r="L255" s="2"/>
      <c r="M255" s="2"/>
      <c r="N255" s="2"/>
      <c r="O255" s="2"/>
      <c r="P255" s="2"/>
      <c r="Q255" s="2"/>
      <c r="R255" s="2"/>
      <c r="S255" s="2"/>
      <c r="T255" s="2"/>
      <c r="U255" s="2"/>
      <c r="V255" s="2"/>
      <c r="W255" s="2"/>
      <c r="X255" s="2"/>
    </row>
    <row r="256" spans="1:24" ht="18">
      <c r="A256" s="2"/>
      <c r="B256" s="2"/>
      <c r="C256" s="2"/>
      <c r="D256" s="2"/>
      <c r="E256" s="2"/>
      <c r="F256" s="2"/>
      <c r="G256" s="2"/>
      <c r="H256" s="2"/>
      <c r="I256" s="2"/>
      <c r="J256" s="2"/>
      <c r="K256" s="2"/>
      <c r="L256" s="2"/>
      <c r="M256" s="2"/>
      <c r="N256" s="2"/>
      <c r="O256" s="2"/>
      <c r="P256" s="2"/>
      <c r="Q256" s="2"/>
      <c r="R256" s="2"/>
      <c r="S256" s="2"/>
      <c r="T256" s="2"/>
      <c r="U256" s="2"/>
      <c r="V256" s="2"/>
      <c r="W256" s="2"/>
      <c r="X256" s="2"/>
    </row>
    <row r="257" spans="1:24" ht="18">
      <c r="A257" s="2"/>
      <c r="B257" s="2"/>
      <c r="C257" s="2"/>
      <c r="D257" s="2"/>
      <c r="E257" s="2"/>
      <c r="F257" s="2"/>
      <c r="G257" s="2"/>
      <c r="H257" s="2"/>
      <c r="I257" s="2"/>
      <c r="J257" s="2"/>
      <c r="K257" s="2"/>
      <c r="L257" s="2"/>
      <c r="M257" s="2"/>
      <c r="N257" s="2"/>
      <c r="O257" s="2"/>
      <c r="P257" s="2"/>
      <c r="Q257" s="2"/>
      <c r="R257" s="2"/>
      <c r="S257" s="2"/>
      <c r="T257" s="2"/>
      <c r="U257" s="2"/>
      <c r="V257" s="2"/>
      <c r="W257" s="2"/>
      <c r="X257" s="2"/>
    </row>
    <row r="258" spans="1:24" ht="18">
      <c r="A258" s="2"/>
      <c r="B258" s="2"/>
      <c r="C258" s="2"/>
      <c r="D258" s="2"/>
      <c r="E258" s="2"/>
      <c r="F258" s="2"/>
      <c r="G258" s="2"/>
      <c r="H258" s="2"/>
      <c r="I258" s="2"/>
      <c r="J258" s="2"/>
      <c r="K258" s="2"/>
      <c r="L258" s="2"/>
      <c r="M258" s="2"/>
      <c r="N258" s="2"/>
      <c r="O258" s="2"/>
      <c r="P258" s="2"/>
      <c r="Q258" s="2"/>
      <c r="R258" s="2"/>
      <c r="S258" s="2"/>
      <c r="T258" s="2"/>
      <c r="U258" s="2"/>
      <c r="V258" s="2"/>
      <c r="W258" s="2"/>
      <c r="X258" s="2"/>
    </row>
    <row r="259" spans="1:24" ht="18">
      <c r="A259" s="2"/>
      <c r="B259" s="2"/>
      <c r="C259" s="2"/>
      <c r="D259" s="2"/>
      <c r="E259" s="2"/>
      <c r="F259" s="2"/>
      <c r="G259" s="2"/>
      <c r="H259" s="2"/>
      <c r="I259" s="2"/>
      <c r="J259" s="2"/>
      <c r="K259" s="2"/>
      <c r="L259" s="2"/>
      <c r="M259" s="2"/>
      <c r="N259" s="2"/>
      <c r="O259" s="2"/>
      <c r="P259" s="2"/>
      <c r="Q259" s="2"/>
      <c r="R259" s="2"/>
      <c r="S259" s="2"/>
      <c r="T259" s="2"/>
      <c r="U259" s="2"/>
      <c r="V259" s="2"/>
      <c r="W259" s="2"/>
      <c r="X259" s="2"/>
    </row>
    <row r="260" spans="1:24" ht="18">
      <c r="A260" s="2"/>
      <c r="B260" s="2"/>
      <c r="C260" s="2"/>
      <c r="D260" s="2"/>
      <c r="E260" s="2"/>
      <c r="F260" s="2"/>
      <c r="G260" s="2"/>
      <c r="H260" s="2"/>
      <c r="I260" s="2"/>
      <c r="J260" s="2"/>
      <c r="K260" s="2"/>
      <c r="L260" s="2"/>
      <c r="M260" s="2"/>
      <c r="N260" s="2"/>
      <c r="O260" s="2"/>
      <c r="P260" s="2"/>
      <c r="Q260" s="2"/>
      <c r="R260" s="2"/>
      <c r="S260" s="2"/>
      <c r="T260" s="2"/>
      <c r="U260" s="2"/>
      <c r="V260" s="2"/>
      <c r="W260" s="2"/>
      <c r="X260" s="2"/>
    </row>
    <row r="261" spans="1:24" ht="18">
      <c r="A261" s="2"/>
      <c r="B261" s="2"/>
      <c r="C261" s="2"/>
      <c r="D261" s="2"/>
      <c r="E261" s="2"/>
      <c r="F261" s="2"/>
      <c r="G261" s="2"/>
      <c r="H261" s="2"/>
      <c r="I261" s="2"/>
      <c r="J261" s="2"/>
      <c r="K261" s="2"/>
      <c r="L261" s="2"/>
      <c r="M261" s="2"/>
      <c r="N261" s="2"/>
      <c r="O261" s="2"/>
      <c r="P261" s="2"/>
      <c r="Q261" s="2"/>
      <c r="R261" s="2"/>
      <c r="S261" s="2"/>
      <c r="T261" s="2"/>
      <c r="U261" s="2"/>
      <c r="V261" s="2"/>
      <c r="W261" s="2"/>
      <c r="X261" s="2"/>
    </row>
    <row r="262" spans="1:24" ht="18">
      <c r="A262" s="2"/>
      <c r="B262" s="2"/>
      <c r="C262" s="2"/>
      <c r="D262" s="2"/>
      <c r="E262" s="2"/>
      <c r="F262" s="2"/>
      <c r="G262" s="2"/>
      <c r="H262" s="2"/>
      <c r="I262" s="2"/>
      <c r="J262" s="2"/>
      <c r="K262" s="2"/>
      <c r="L262" s="2"/>
      <c r="M262" s="2"/>
      <c r="N262" s="2"/>
      <c r="O262" s="2"/>
      <c r="P262" s="2"/>
      <c r="Q262" s="2"/>
      <c r="R262" s="2"/>
      <c r="S262" s="2"/>
      <c r="T262" s="2"/>
      <c r="U262" s="2"/>
      <c r="V262" s="2"/>
      <c r="W262" s="2"/>
      <c r="X262" s="2"/>
    </row>
    <row r="263" spans="1:24" ht="18">
      <c r="A263" s="2"/>
      <c r="B263" s="2"/>
      <c r="C263" s="2"/>
      <c r="D263" s="2"/>
      <c r="E263" s="2"/>
      <c r="F263" s="2"/>
      <c r="G263" s="2"/>
      <c r="H263" s="2"/>
      <c r="I263" s="2"/>
      <c r="J263" s="2"/>
      <c r="K263" s="2"/>
      <c r="L263" s="2"/>
      <c r="M263" s="2"/>
      <c r="N263" s="2"/>
      <c r="O263" s="2"/>
      <c r="P263" s="2"/>
      <c r="Q263" s="2"/>
      <c r="R263" s="2"/>
      <c r="S263" s="2"/>
      <c r="T263" s="2"/>
      <c r="U263" s="2"/>
      <c r="V263" s="2"/>
      <c r="W263" s="2"/>
      <c r="X263" s="2"/>
    </row>
    <row r="264" spans="1:24" ht="18">
      <c r="A264" s="2"/>
      <c r="B264" s="2"/>
      <c r="C264" s="2"/>
      <c r="D264" s="2"/>
      <c r="E264" s="2"/>
      <c r="F264" s="2"/>
      <c r="G264" s="2"/>
      <c r="H264" s="2"/>
      <c r="I264" s="2"/>
      <c r="J264" s="2"/>
      <c r="K264" s="2"/>
      <c r="L264" s="2"/>
      <c r="M264" s="2"/>
      <c r="N264" s="2"/>
      <c r="O264" s="2"/>
      <c r="P264" s="2"/>
      <c r="Q264" s="2"/>
      <c r="R264" s="2"/>
      <c r="S264" s="2"/>
      <c r="T264" s="2"/>
      <c r="U264" s="2"/>
      <c r="V264" s="2"/>
      <c r="W264" s="2"/>
      <c r="X264" s="2"/>
    </row>
    <row r="265" spans="1:24" ht="18">
      <c r="A265" s="2"/>
      <c r="B265" s="2"/>
      <c r="C265" s="2"/>
      <c r="D265" s="2"/>
      <c r="E265" s="2"/>
      <c r="F265" s="2"/>
      <c r="G265" s="2"/>
      <c r="H265" s="2"/>
      <c r="I265" s="2"/>
      <c r="J265" s="2"/>
      <c r="K265" s="2"/>
      <c r="L265" s="2"/>
      <c r="M265" s="2"/>
      <c r="N265" s="2"/>
      <c r="O265" s="2"/>
      <c r="P265" s="2"/>
      <c r="Q265" s="2"/>
      <c r="R265" s="2"/>
      <c r="S265" s="2"/>
      <c r="T265" s="2"/>
      <c r="U265" s="2"/>
      <c r="V265" s="2"/>
      <c r="W265" s="2"/>
      <c r="X265" s="2"/>
    </row>
    <row r="266" spans="1:24" ht="18">
      <c r="A266" s="2"/>
      <c r="B266" s="2"/>
      <c r="C266" s="2"/>
      <c r="D266" s="2"/>
      <c r="E266" s="2"/>
      <c r="F266" s="2"/>
      <c r="G266" s="2"/>
      <c r="H266" s="2"/>
      <c r="I266" s="2"/>
      <c r="J266" s="2"/>
      <c r="K266" s="2"/>
      <c r="L266" s="2"/>
      <c r="M266" s="2"/>
      <c r="N266" s="2"/>
      <c r="O266" s="2"/>
      <c r="P266" s="2"/>
      <c r="Q266" s="2"/>
      <c r="R266" s="2"/>
      <c r="S266" s="2"/>
      <c r="T266" s="2"/>
      <c r="U266" s="2"/>
      <c r="V266" s="2"/>
      <c r="W266" s="2"/>
      <c r="X266" s="2"/>
    </row>
    <row r="267" spans="1:24" ht="18">
      <c r="A267" s="2"/>
      <c r="B267" s="2"/>
      <c r="C267" s="2"/>
      <c r="D267" s="2"/>
      <c r="E267" s="2"/>
      <c r="F267" s="2"/>
      <c r="G267" s="2"/>
      <c r="H267" s="2"/>
      <c r="I267" s="2"/>
      <c r="J267" s="2"/>
      <c r="K267" s="2"/>
      <c r="L267" s="2"/>
      <c r="M267" s="2"/>
      <c r="N267" s="2"/>
      <c r="O267" s="2"/>
      <c r="P267" s="2"/>
      <c r="Q267" s="2"/>
      <c r="R267" s="2"/>
      <c r="S267" s="2"/>
      <c r="T267" s="2"/>
      <c r="U267" s="2"/>
      <c r="V267" s="2"/>
      <c r="W267" s="2"/>
      <c r="X267" s="2"/>
    </row>
    <row r="268" spans="1:24" ht="18">
      <c r="A268" s="2"/>
      <c r="B268" s="2"/>
      <c r="C268" s="2"/>
      <c r="D268" s="2"/>
      <c r="E268" s="2"/>
      <c r="F268" s="2"/>
      <c r="G268" s="2"/>
      <c r="H268" s="2"/>
      <c r="I268" s="2"/>
      <c r="J268" s="2"/>
      <c r="K268" s="2"/>
      <c r="L268" s="2"/>
      <c r="M268" s="2"/>
      <c r="N268" s="2"/>
      <c r="O268" s="2"/>
      <c r="P268" s="2"/>
      <c r="Q268" s="2"/>
      <c r="R268" s="2"/>
      <c r="S268" s="2"/>
      <c r="T268" s="2"/>
      <c r="U268" s="2"/>
      <c r="V268" s="2"/>
      <c r="W268" s="2"/>
      <c r="X268" s="2"/>
    </row>
    <row r="269" spans="1:24" ht="18">
      <c r="A269" s="2"/>
      <c r="B269" s="2"/>
      <c r="C269" s="2"/>
      <c r="D269" s="2"/>
      <c r="E269" s="2"/>
      <c r="F269" s="2"/>
      <c r="G269" s="2"/>
      <c r="H269" s="2"/>
      <c r="I269" s="2"/>
      <c r="J269" s="2"/>
      <c r="K269" s="2"/>
      <c r="L269" s="2"/>
      <c r="M269" s="2"/>
      <c r="N269" s="2"/>
      <c r="O269" s="2"/>
      <c r="P269" s="2"/>
      <c r="Q269" s="2"/>
      <c r="R269" s="2"/>
      <c r="S269" s="2"/>
      <c r="T269" s="2"/>
      <c r="U269" s="2"/>
      <c r="V269" s="2"/>
      <c r="W269" s="2"/>
      <c r="X269" s="2"/>
    </row>
    <row r="270" spans="1:24" ht="18">
      <c r="A270" s="2"/>
      <c r="B270" s="2"/>
      <c r="C270" s="2"/>
      <c r="D270" s="2"/>
      <c r="E270" s="2"/>
      <c r="F270" s="2"/>
      <c r="G270" s="2"/>
      <c r="H270" s="2"/>
      <c r="I270" s="2"/>
      <c r="J270" s="2"/>
      <c r="K270" s="2"/>
      <c r="L270" s="2"/>
      <c r="M270" s="2"/>
      <c r="N270" s="2"/>
      <c r="O270" s="2"/>
      <c r="P270" s="2"/>
      <c r="Q270" s="2"/>
      <c r="R270" s="2"/>
      <c r="S270" s="2"/>
      <c r="T270" s="2"/>
      <c r="U270" s="2"/>
      <c r="V270" s="2"/>
      <c r="W270" s="2"/>
      <c r="X270" s="2"/>
    </row>
    <row r="271" spans="1:24" ht="18">
      <c r="A271" s="2"/>
      <c r="B271" s="2"/>
      <c r="C271" s="2"/>
      <c r="D271" s="2"/>
      <c r="E271" s="2"/>
      <c r="F271" s="2"/>
      <c r="G271" s="2"/>
      <c r="H271" s="2"/>
      <c r="I271" s="2"/>
      <c r="J271" s="2"/>
      <c r="K271" s="2"/>
      <c r="L271" s="2"/>
      <c r="M271" s="2"/>
      <c r="N271" s="2"/>
      <c r="O271" s="2"/>
      <c r="P271" s="2"/>
      <c r="Q271" s="2"/>
      <c r="R271" s="2"/>
      <c r="S271" s="2"/>
      <c r="T271" s="2"/>
      <c r="U271" s="2"/>
      <c r="V271" s="2"/>
      <c r="W271" s="2"/>
      <c r="X271" s="2"/>
    </row>
    <row r="272" spans="1:24" ht="18">
      <c r="A272" s="2"/>
      <c r="B272" s="2"/>
      <c r="C272" s="2"/>
      <c r="D272" s="2"/>
      <c r="E272" s="2"/>
      <c r="F272" s="2"/>
      <c r="G272" s="2"/>
      <c r="H272" s="2"/>
      <c r="I272" s="2"/>
      <c r="J272" s="2"/>
      <c r="K272" s="2"/>
      <c r="L272" s="2"/>
      <c r="M272" s="2"/>
      <c r="N272" s="2"/>
      <c r="O272" s="2"/>
      <c r="P272" s="2"/>
      <c r="Q272" s="2"/>
      <c r="R272" s="2"/>
      <c r="S272" s="2"/>
      <c r="T272" s="2"/>
      <c r="U272" s="2"/>
      <c r="V272" s="2"/>
      <c r="W272" s="2"/>
      <c r="X272" s="2"/>
    </row>
    <row r="273" spans="1:24" ht="18">
      <c r="A273" s="2"/>
      <c r="B273" s="2"/>
      <c r="C273" s="2"/>
      <c r="D273" s="2"/>
      <c r="E273" s="2"/>
      <c r="F273" s="2"/>
      <c r="G273" s="2"/>
      <c r="H273" s="2"/>
      <c r="I273" s="2"/>
      <c r="J273" s="2"/>
      <c r="K273" s="2"/>
      <c r="L273" s="2"/>
      <c r="M273" s="2"/>
      <c r="N273" s="2"/>
      <c r="O273" s="2"/>
      <c r="P273" s="2"/>
      <c r="Q273" s="2"/>
      <c r="R273" s="2"/>
      <c r="S273" s="2"/>
      <c r="T273" s="2"/>
      <c r="U273" s="2"/>
      <c r="V273" s="2"/>
      <c r="W273" s="2"/>
      <c r="X273" s="2"/>
    </row>
    <row r="274" spans="1:24" ht="18">
      <c r="A274" s="2"/>
      <c r="B274" s="2"/>
      <c r="C274" s="2"/>
      <c r="D274" s="2"/>
      <c r="E274" s="2"/>
      <c r="F274" s="2"/>
      <c r="G274" s="2"/>
      <c r="H274" s="2"/>
      <c r="I274" s="2"/>
      <c r="J274" s="2"/>
      <c r="K274" s="2"/>
      <c r="L274" s="2"/>
      <c r="M274" s="2"/>
      <c r="N274" s="2"/>
      <c r="O274" s="2"/>
      <c r="P274" s="2"/>
      <c r="Q274" s="2"/>
      <c r="R274" s="2"/>
      <c r="S274" s="2"/>
      <c r="T274" s="2"/>
      <c r="U274" s="2"/>
      <c r="V274" s="2"/>
      <c r="W274" s="2"/>
      <c r="X274" s="2"/>
    </row>
    <row r="275" spans="1:24" ht="18">
      <c r="A275" s="2"/>
      <c r="B275" s="2"/>
      <c r="C275" s="2"/>
      <c r="D275" s="2"/>
      <c r="E275" s="2"/>
      <c r="F275" s="2"/>
      <c r="G275" s="2"/>
      <c r="H275" s="2"/>
      <c r="I275" s="2"/>
      <c r="J275" s="2"/>
      <c r="K275" s="2"/>
      <c r="L275" s="2"/>
      <c r="M275" s="2"/>
      <c r="N275" s="2"/>
      <c r="O275" s="2"/>
      <c r="P275" s="2"/>
      <c r="Q275" s="2"/>
      <c r="R275" s="2"/>
      <c r="S275" s="2"/>
      <c r="T275" s="2"/>
      <c r="U275" s="2"/>
      <c r="V275" s="2"/>
      <c r="W275" s="2"/>
      <c r="X275" s="2"/>
    </row>
    <row r="276" spans="1:24" ht="18">
      <c r="A276" s="2"/>
      <c r="B276" s="2"/>
      <c r="C276" s="2"/>
      <c r="D276" s="2"/>
      <c r="E276" s="2"/>
      <c r="F276" s="2"/>
      <c r="G276" s="2"/>
      <c r="H276" s="2"/>
      <c r="I276" s="2"/>
      <c r="J276" s="2"/>
      <c r="K276" s="2"/>
      <c r="L276" s="2"/>
      <c r="M276" s="2"/>
      <c r="N276" s="2"/>
      <c r="O276" s="2"/>
      <c r="P276" s="2"/>
      <c r="Q276" s="2"/>
      <c r="R276" s="2"/>
      <c r="S276" s="2"/>
      <c r="T276" s="2"/>
      <c r="U276" s="2"/>
      <c r="V276" s="2"/>
      <c r="W276" s="2"/>
      <c r="X276" s="2"/>
    </row>
    <row r="277" spans="1:24" ht="18">
      <c r="A277" s="2"/>
      <c r="B277" s="2"/>
      <c r="C277" s="2"/>
      <c r="D277" s="2"/>
      <c r="E277" s="2"/>
      <c r="F277" s="2"/>
      <c r="G277" s="2"/>
      <c r="H277" s="2"/>
      <c r="I277" s="2"/>
      <c r="J277" s="2"/>
      <c r="K277" s="2"/>
      <c r="L277" s="2"/>
      <c r="M277" s="2"/>
      <c r="N277" s="2"/>
      <c r="O277" s="2"/>
      <c r="P277" s="2"/>
      <c r="Q277" s="2"/>
      <c r="R277" s="2"/>
      <c r="S277" s="2"/>
      <c r="T277" s="2"/>
      <c r="U277" s="2"/>
      <c r="V277" s="2"/>
      <c r="W277" s="2"/>
      <c r="X277" s="2"/>
    </row>
    <row r="278" spans="1:24" ht="18">
      <c r="A278" s="2"/>
      <c r="B278" s="2"/>
      <c r="C278" s="2"/>
      <c r="D278" s="2"/>
      <c r="E278" s="2"/>
      <c r="F278" s="2"/>
      <c r="G278" s="2"/>
      <c r="H278" s="2"/>
      <c r="I278" s="2"/>
      <c r="J278" s="2"/>
      <c r="K278" s="2"/>
      <c r="L278" s="2"/>
      <c r="M278" s="2"/>
      <c r="N278" s="2"/>
      <c r="O278" s="2"/>
      <c r="P278" s="2"/>
      <c r="Q278" s="2"/>
      <c r="R278" s="2"/>
      <c r="S278" s="2"/>
      <c r="T278" s="2"/>
      <c r="U278" s="2"/>
      <c r="V278" s="2"/>
      <c r="W278" s="2"/>
      <c r="X278" s="2"/>
    </row>
    <row r="279" spans="1:24" ht="18">
      <c r="A279" s="2"/>
      <c r="B279" s="2"/>
      <c r="C279" s="2"/>
      <c r="D279" s="2"/>
      <c r="E279" s="2"/>
      <c r="F279" s="2"/>
      <c r="G279" s="2"/>
      <c r="H279" s="2"/>
      <c r="I279" s="2"/>
      <c r="J279" s="2"/>
      <c r="K279" s="2"/>
      <c r="L279" s="2"/>
      <c r="M279" s="2"/>
      <c r="N279" s="2"/>
      <c r="O279" s="2"/>
      <c r="P279" s="2"/>
      <c r="Q279" s="2"/>
      <c r="R279" s="2"/>
      <c r="S279" s="2"/>
      <c r="T279" s="2"/>
      <c r="U279" s="2"/>
      <c r="V279" s="2"/>
      <c r="W279" s="2"/>
      <c r="X279" s="2"/>
    </row>
    <row r="280" spans="1:24" ht="18">
      <c r="A280" s="2"/>
      <c r="B280" s="2"/>
      <c r="C280" s="2"/>
      <c r="D280" s="2"/>
      <c r="E280" s="2"/>
      <c r="F280" s="2"/>
      <c r="G280" s="2"/>
      <c r="H280" s="2"/>
      <c r="I280" s="2"/>
      <c r="J280" s="2"/>
      <c r="K280" s="2"/>
      <c r="L280" s="2"/>
      <c r="M280" s="2"/>
      <c r="N280" s="2"/>
      <c r="O280" s="2"/>
      <c r="P280" s="2"/>
      <c r="Q280" s="2"/>
      <c r="R280" s="2"/>
      <c r="S280" s="2"/>
      <c r="T280" s="2"/>
      <c r="U280" s="2"/>
      <c r="V280" s="2"/>
      <c r="W280" s="2"/>
      <c r="X280" s="2"/>
    </row>
    <row r="281" spans="1:24" ht="18">
      <c r="A281" s="2"/>
      <c r="B281" s="2"/>
      <c r="C281" s="2"/>
      <c r="D281" s="2"/>
      <c r="E281" s="2"/>
      <c r="F281" s="2"/>
      <c r="G281" s="2"/>
      <c r="H281" s="2"/>
      <c r="I281" s="2"/>
      <c r="J281" s="2"/>
      <c r="K281" s="2"/>
      <c r="L281" s="2"/>
      <c r="M281" s="2"/>
      <c r="N281" s="2"/>
      <c r="O281" s="2"/>
      <c r="P281" s="2"/>
      <c r="Q281" s="2"/>
      <c r="R281" s="2"/>
      <c r="S281" s="2"/>
      <c r="T281" s="2"/>
      <c r="U281" s="2"/>
      <c r="V281" s="2"/>
      <c r="W281" s="2"/>
      <c r="X281" s="2"/>
    </row>
    <row r="282" spans="1:24" ht="18">
      <c r="A282" s="2"/>
      <c r="B282" s="2"/>
      <c r="C282" s="2"/>
      <c r="D282" s="2"/>
      <c r="E282" s="2"/>
      <c r="F282" s="2"/>
      <c r="G282" s="2"/>
      <c r="H282" s="2"/>
      <c r="I282" s="2"/>
      <c r="J282" s="2"/>
      <c r="K282" s="2"/>
      <c r="L282" s="2"/>
      <c r="M282" s="2"/>
      <c r="N282" s="2"/>
      <c r="O282" s="2"/>
      <c r="P282" s="2"/>
      <c r="Q282" s="2"/>
      <c r="R282" s="2"/>
      <c r="S282" s="2"/>
      <c r="T282" s="2"/>
      <c r="U282" s="2"/>
      <c r="V282" s="2"/>
      <c r="W282" s="2"/>
      <c r="X282" s="2"/>
    </row>
    <row r="283" spans="1:24" ht="18">
      <c r="A283" s="2"/>
      <c r="B283" s="2"/>
      <c r="C283" s="2"/>
      <c r="D283" s="2"/>
      <c r="E283" s="2"/>
      <c r="F283" s="2"/>
      <c r="G283" s="2"/>
      <c r="H283" s="2"/>
      <c r="I283" s="2"/>
      <c r="J283" s="2"/>
      <c r="K283" s="2"/>
      <c r="L283" s="2"/>
      <c r="M283" s="2"/>
      <c r="N283" s="2"/>
      <c r="O283" s="2"/>
      <c r="P283" s="2"/>
      <c r="Q283" s="2"/>
      <c r="R283" s="2"/>
      <c r="S283" s="2"/>
      <c r="T283" s="2"/>
      <c r="U283" s="2"/>
      <c r="V283" s="2"/>
      <c r="W283" s="2"/>
      <c r="X283" s="2"/>
    </row>
    <row r="284" spans="1:24" ht="18">
      <c r="A284" s="2"/>
      <c r="B284" s="2"/>
      <c r="C284" s="2"/>
      <c r="D284" s="2"/>
      <c r="E284" s="2"/>
      <c r="F284" s="2"/>
      <c r="G284" s="2"/>
      <c r="H284" s="2"/>
      <c r="I284" s="2"/>
      <c r="J284" s="2"/>
      <c r="K284" s="2"/>
      <c r="L284" s="2"/>
      <c r="M284" s="2"/>
      <c r="N284" s="2"/>
      <c r="O284" s="2"/>
      <c r="P284" s="2"/>
      <c r="Q284" s="2"/>
      <c r="R284" s="2"/>
      <c r="S284" s="2"/>
      <c r="T284" s="2"/>
      <c r="U284" s="2"/>
      <c r="V284" s="2"/>
      <c r="W284" s="2"/>
      <c r="X284" s="2"/>
    </row>
    <row r="285" spans="1:24" ht="18">
      <c r="A285" s="2"/>
      <c r="B285" s="2"/>
      <c r="C285" s="2"/>
      <c r="D285" s="2"/>
      <c r="E285" s="2"/>
      <c r="F285" s="2"/>
      <c r="G285" s="2"/>
      <c r="H285" s="2"/>
      <c r="I285" s="2"/>
      <c r="J285" s="2"/>
      <c r="K285" s="2"/>
      <c r="L285" s="2"/>
      <c r="M285" s="2"/>
      <c r="N285" s="2"/>
      <c r="O285" s="2"/>
      <c r="P285" s="2"/>
      <c r="Q285" s="2"/>
      <c r="R285" s="2"/>
      <c r="S285" s="2"/>
      <c r="T285" s="2"/>
      <c r="U285" s="2"/>
      <c r="V285" s="2"/>
      <c r="W285" s="2"/>
      <c r="X285" s="2"/>
    </row>
    <row r="286" spans="1:24" ht="18">
      <c r="A286" s="2"/>
      <c r="B286" s="2"/>
      <c r="C286" s="2"/>
      <c r="D286" s="2"/>
      <c r="E286" s="2"/>
      <c r="F286" s="2"/>
      <c r="G286" s="2"/>
      <c r="H286" s="2"/>
      <c r="I286" s="2"/>
      <c r="J286" s="2"/>
      <c r="K286" s="2"/>
      <c r="L286" s="2"/>
      <c r="M286" s="2"/>
      <c r="N286" s="2"/>
      <c r="O286" s="2"/>
      <c r="P286" s="2"/>
      <c r="Q286" s="2"/>
      <c r="R286" s="2"/>
      <c r="S286" s="2"/>
      <c r="T286" s="2"/>
      <c r="U286" s="2"/>
      <c r="V286" s="2"/>
      <c r="W286" s="2"/>
      <c r="X286" s="2"/>
    </row>
    <row r="287" spans="1:24" ht="18">
      <c r="A287" s="2"/>
      <c r="B287" s="2"/>
      <c r="C287" s="2"/>
      <c r="D287" s="2"/>
      <c r="E287" s="2"/>
      <c r="F287" s="2"/>
      <c r="G287" s="2"/>
      <c r="H287" s="2"/>
      <c r="I287" s="2"/>
      <c r="J287" s="2"/>
      <c r="K287" s="2"/>
      <c r="L287" s="2"/>
      <c r="M287" s="2"/>
      <c r="N287" s="2"/>
      <c r="O287" s="2"/>
      <c r="P287" s="2"/>
      <c r="Q287" s="2"/>
      <c r="R287" s="2"/>
      <c r="S287" s="2"/>
      <c r="T287" s="2"/>
      <c r="U287" s="2"/>
      <c r="V287" s="2"/>
      <c r="W287" s="2"/>
      <c r="X287" s="2"/>
    </row>
    <row r="288" spans="1:24" ht="18">
      <c r="A288" s="2"/>
      <c r="B288" s="2"/>
      <c r="C288" s="2"/>
      <c r="D288" s="2"/>
      <c r="E288" s="2"/>
      <c r="F288" s="2"/>
      <c r="G288" s="2"/>
      <c r="H288" s="2"/>
      <c r="I288" s="2"/>
      <c r="J288" s="2"/>
      <c r="K288" s="2"/>
      <c r="L288" s="2"/>
      <c r="M288" s="2"/>
      <c r="N288" s="2"/>
      <c r="O288" s="2"/>
      <c r="P288" s="2"/>
      <c r="Q288" s="2"/>
      <c r="R288" s="2"/>
      <c r="S288" s="2"/>
      <c r="T288" s="2"/>
      <c r="U288" s="2"/>
      <c r="V288" s="2"/>
      <c r="W288" s="2"/>
      <c r="X288" s="2"/>
    </row>
    <row r="289" spans="1:24" ht="18">
      <c r="A289" s="2"/>
      <c r="B289" s="2"/>
      <c r="C289" s="2"/>
      <c r="D289" s="2"/>
      <c r="E289" s="2"/>
      <c r="F289" s="2"/>
      <c r="G289" s="2"/>
      <c r="H289" s="2"/>
      <c r="I289" s="2"/>
      <c r="J289" s="2"/>
      <c r="K289" s="2"/>
      <c r="L289" s="2"/>
      <c r="M289" s="2"/>
      <c r="N289" s="2"/>
      <c r="O289" s="2"/>
      <c r="P289" s="2"/>
      <c r="Q289" s="2"/>
      <c r="R289" s="2"/>
      <c r="S289" s="2"/>
      <c r="T289" s="2"/>
      <c r="U289" s="2"/>
      <c r="V289" s="2"/>
      <c r="W289" s="2"/>
      <c r="X289" s="2"/>
    </row>
    <row r="290" spans="1:24" ht="18">
      <c r="A290" s="2"/>
      <c r="B290" s="2"/>
      <c r="C290" s="2"/>
      <c r="D290" s="2"/>
      <c r="E290" s="2"/>
      <c r="F290" s="2"/>
      <c r="G290" s="2"/>
      <c r="H290" s="2"/>
      <c r="I290" s="2"/>
      <c r="J290" s="2"/>
      <c r="K290" s="2"/>
      <c r="L290" s="2"/>
      <c r="M290" s="2"/>
      <c r="N290" s="2"/>
      <c r="O290" s="2"/>
      <c r="P290" s="2"/>
      <c r="Q290" s="2"/>
      <c r="R290" s="2"/>
      <c r="S290" s="2"/>
      <c r="T290" s="2"/>
      <c r="U290" s="2"/>
      <c r="V290" s="2"/>
      <c r="W290" s="2"/>
      <c r="X290" s="2"/>
    </row>
    <row r="291" spans="1:24" ht="18">
      <c r="A291" s="2"/>
      <c r="B291" s="2"/>
      <c r="C291" s="2"/>
      <c r="D291" s="2"/>
      <c r="E291" s="2"/>
      <c r="F291" s="2"/>
      <c r="G291" s="2"/>
      <c r="H291" s="2"/>
      <c r="I291" s="2"/>
      <c r="J291" s="2"/>
      <c r="K291" s="2"/>
      <c r="L291" s="2"/>
      <c r="M291" s="2"/>
      <c r="N291" s="2"/>
      <c r="O291" s="2"/>
      <c r="P291" s="2"/>
      <c r="Q291" s="2"/>
      <c r="R291" s="2"/>
      <c r="S291" s="2"/>
      <c r="T291" s="2"/>
      <c r="U291" s="2"/>
      <c r="V291" s="2"/>
      <c r="W291" s="2"/>
      <c r="X291" s="2"/>
    </row>
    <row r="292" spans="1:24" ht="18">
      <c r="A292" s="2"/>
      <c r="B292" s="2"/>
      <c r="C292" s="2"/>
      <c r="D292" s="2"/>
      <c r="E292" s="2"/>
      <c r="F292" s="2"/>
      <c r="G292" s="2"/>
      <c r="H292" s="2"/>
      <c r="I292" s="2"/>
      <c r="J292" s="2"/>
      <c r="K292" s="2"/>
      <c r="L292" s="2"/>
      <c r="M292" s="2"/>
      <c r="N292" s="2"/>
      <c r="O292" s="2"/>
      <c r="P292" s="2"/>
      <c r="Q292" s="2"/>
      <c r="R292" s="2"/>
      <c r="S292" s="2"/>
      <c r="T292" s="2"/>
      <c r="U292" s="2"/>
      <c r="V292" s="2"/>
      <c r="W292" s="2"/>
      <c r="X292" s="2"/>
    </row>
    <row r="293" spans="1:24" ht="18">
      <c r="A293" s="2"/>
      <c r="B293" s="2"/>
      <c r="C293" s="2"/>
      <c r="D293" s="2"/>
      <c r="E293" s="2"/>
      <c r="F293" s="2"/>
      <c r="G293" s="2"/>
      <c r="H293" s="2"/>
      <c r="I293" s="2"/>
      <c r="J293" s="2"/>
      <c r="K293" s="2"/>
      <c r="L293" s="2"/>
      <c r="M293" s="2"/>
      <c r="N293" s="2"/>
      <c r="O293" s="2"/>
      <c r="P293" s="2"/>
      <c r="Q293" s="2"/>
      <c r="R293" s="2"/>
      <c r="S293" s="2"/>
      <c r="T293" s="2"/>
      <c r="U293" s="2"/>
      <c r="V293" s="2"/>
      <c r="W293" s="2"/>
      <c r="X293" s="2"/>
    </row>
    <row r="294" spans="1:24" ht="18">
      <c r="A294" s="2"/>
      <c r="B294" s="2"/>
      <c r="C294" s="2"/>
      <c r="D294" s="2"/>
      <c r="E294" s="2"/>
      <c r="F294" s="2"/>
      <c r="G294" s="2"/>
      <c r="H294" s="2"/>
      <c r="I294" s="2"/>
      <c r="J294" s="2"/>
      <c r="K294" s="2"/>
      <c r="L294" s="2"/>
      <c r="M294" s="2"/>
      <c r="N294" s="2"/>
      <c r="O294" s="2"/>
      <c r="P294" s="2"/>
      <c r="Q294" s="2"/>
      <c r="R294" s="2"/>
      <c r="S294" s="2"/>
      <c r="T294" s="2"/>
      <c r="U294" s="2"/>
      <c r="V294" s="2"/>
      <c r="W294" s="2"/>
      <c r="X294" s="2"/>
    </row>
    <row r="295" spans="1:24" ht="18">
      <c r="A295" s="2"/>
      <c r="B295" s="2"/>
      <c r="C295" s="2"/>
      <c r="D295" s="2"/>
      <c r="E295" s="2"/>
      <c r="F295" s="2"/>
      <c r="G295" s="2"/>
      <c r="H295" s="2"/>
      <c r="I295" s="2"/>
      <c r="J295" s="2"/>
      <c r="K295" s="2"/>
      <c r="L295" s="2"/>
      <c r="M295" s="2"/>
      <c r="N295" s="2"/>
      <c r="O295" s="2"/>
      <c r="P295" s="2"/>
      <c r="Q295" s="2"/>
      <c r="R295" s="2"/>
      <c r="S295" s="2"/>
      <c r="T295" s="2"/>
      <c r="U295" s="2"/>
      <c r="V295" s="2"/>
      <c r="W295" s="2"/>
      <c r="X295" s="2"/>
    </row>
    <row r="296" spans="1:24" ht="18">
      <c r="A296" s="2"/>
      <c r="B296" s="2"/>
      <c r="C296" s="2"/>
      <c r="D296" s="2"/>
      <c r="E296" s="2"/>
      <c r="F296" s="2"/>
      <c r="G296" s="2"/>
      <c r="H296" s="2"/>
      <c r="I296" s="2"/>
      <c r="J296" s="2"/>
      <c r="K296" s="2"/>
      <c r="L296" s="2"/>
      <c r="M296" s="2"/>
      <c r="N296" s="2"/>
      <c r="O296" s="2"/>
      <c r="P296" s="2"/>
      <c r="Q296" s="2"/>
      <c r="R296" s="2"/>
      <c r="S296" s="2"/>
      <c r="T296" s="2"/>
      <c r="U296" s="2"/>
      <c r="V296" s="2"/>
      <c r="W296" s="2"/>
      <c r="X296" s="2"/>
    </row>
    <row r="297" spans="1:24" ht="18">
      <c r="A297" s="2"/>
      <c r="B297" s="2"/>
      <c r="C297" s="2"/>
      <c r="D297" s="2"/>
      <c r="E297" s="2"/>
      <c r="F297" s="2"/>
      <c r="G297" s="2"/>
      <c r="H297" s="2"/>
      <c r="I297" s="2"/>
      <c r="J297" s="2"/>
      <c r="K297" s="2"/>
      <c r="L297" s="2"/>
      <c r="M297" s="2"/>
      <c r="N297" s="2"/>
      <c r="O297" s="2"/>
      <c r="P297" s="2"/>
      <c r="Q297" s="2"/>
      <c r="R297" s="2"/>
      <c r="S297" s="2"/>
      <c r="T297" s="2"/>
      <c r="U297" s="2"/>
      <c r="V297" s="2"/>
      <c r="W297" s="2"/>
      <c r="X297" s="2"/>
    </row>
    <row r="298" spans="1:24" ht="18">
      <c r="A298" s="2"/>
      <c r="B298" s="2"/>
      <c r="C298" s="2"/>
      <c r="D298" s="2"/>
      <c r="E298" s="2"/>
      <c r="F298" s="2"/>
      <c r="G298" s="2"/>
      <c r="H298" s="2"/>
      <c r="I298" s="2"/>
      <c r="J298" s="2"/>
      <c r="K298" s="2"/>
      <c r="L298" s="2"/>
      <c r="M298" s="2"/>
      <c r="N298" s="2"/>
      <c r="O298" s="2"/>
      <c r="P298" s="2"/>
      <c r="Q298" s="2"/>
      <c r="R298" s="2"/>
      <c r="S298" s="2"/>
      <c r="T298" s="2"/>
      <c r="U298" s="2"/>
      <c r="V298" s="2"/>
      <c r="W298" s="2"/>
      <c r="X298" s="2"/>
    </row>
    <row r="299" spans="1:24" ht="18">
      <c r="A299" s="2"/>
      <c r="B299" s="2"/>
      <c r="C299" s="2"/>
      <c r="D299" s="2"/>
      <c r="E299" s="2"/>
      <c r="F299" s="2"/>
      <c r="G299" s="2"/>
      <c r="H299" s="2"/>
      <c r="I299" s="2"/>
      <c r="J299" s="2"/>
      <c r="K299" s="2"/>
      <c r="L299" s="2"/>
      <c r="M299" s="2"/>
      <c r="N299" s="2"/>
      <c r="O299" s="2"/>
      <c r="P299" s="2"/>
      <c r="Q299" s="2"/>
      <c r="R299" s="2"/>
      <c r="S299" s="2"/>
      <c r="T299" s="2"/>
      <c r="U299" s="2"/>
      <c r="V299" s="2"/>
      <c r="W299" s="2"/>
      <c r="X299" s="2"/>
    </row>
    <row r="300" spans="1:24" ht="18">
      <c r="A300" s="2"/>
      <c r="B300" s="2"/>
      <c r="C300" s="2"/>
      <c r="D300" s="2"/>
      <c r="E300" s="2"/>
      <c r="F300" s="2"/>
      <c r="G300" s="2"/>
      <c r="H300" s="2"/>
      <c r="I300" s="2"/>
      <c r="J300" s="2"/>
      <c r="K300" s="2"/>
      <c r="L300" s="2"/>
      <c r="M300" s="2"/>
      <c r="N300" s="2"/>
      <c r="O300" s="2"/>
      <c r="P300" s="2"/>
      <c r="Q300" s="2"/>
      <c r="R300" s="2"/>
      <c r="S300" s="2"/>
      <c r="T300" s="2"/>
      <c r="U300" s="2"/>
      <c r="V300" s="2"/>
      <c r="W300" s="2"/>
      <c r="X300" s="2"/>
    </row>
    <row r="301" spans="1:24" ht="18">
      <c r="A301" s="2"/>
      <c r="B301" s="2"/>
      <c r="C301" s="2"/>
      <c r="D301" s="2"/>
      <c r="E301" s="2"/>
      <c r="F301" s="2"/>
      <c r="G301" s="2"/>
      <c r="H301" s="2"/>
      <c r="I301" s="2"/>
      <c r="J301" s="2"/>
      <c r="K301" s="2"/>
      <c r="L301" s="2"/>
      <c r="M301" s="2"/>
      <c r="N301" s="2"/>
      <c r="O301" s="2"/>
      <c r="P301" s="2"/>
      <c r="Q301" s="2"/>
      <c r="R301" s="2"/>
      <c r="S301" s="2"/>
      <c r="T301" s="2"/>
      <c r="U301" s="2"/>
      <c r="V301" s="2"/>
      <c r="W301" s="2"/>
      <c r="X301" s="2"/>
    </row>
    <row r="302" spans="1:24" ht="18">
      <c r="A302" s="2"/>
      <c r="B302" s="2"/>
      <c r="C302" s="2"/>
      <c r="D302" s="2"/>
      <c r="E302" s="2"/>
      <c r="F302" s="2"/>
      <c r="G302" s="2"/>
      <c r="H302" s="2"/>
      <c r="I302" s="2"/>
      <c r="J302" s="2"/>
      <c r="K302" s="2"/>
      <c r="L302" s="2"/>
      <c r="M302" s="2"/>
      <c r="N302" s="2"/>
      <c r="O302" s="2"/>
      <c r="P302" s="2"/>
      <c r="Q302" s="2"/>
      <c r="R302" s="2"/>
      <c r="S302" s="2"/>
      <c r="T302" s="2"/>
      <c r="U302" s="2"/>
      <c r="V302" s="2"/>
      <c r="W302" s="2"/>
      <c r="X302" s="2"/>
    </row>
    <row r="303" spans="1:24" ht="18">
      <c r="A303" s="2"/>
      <c r="B303" s="2"/>
      <c r="C303" s="2"/>
      <c r="D303" s="2"/>
      <c r="E303" s="2"/>
      <c r="F303" s="2"/>
      <c r="G303" s="2"/>
      <c r="H303" s="2"/>
      <c r="I303" s="2"/>
      <c r="J303" s="2"/>
      <c r="K303" s="2"/>
      <c r="L303" s="2"/>
      <c r="M303" s="2"/>
      <c r="N303" s="2"/>
      <c r="O303" s="2"/>
      <c r="P303" s="2"/>
      <c r="Q303" s="2"/>
      <c r="R303" s="2"/>
      <c r="S303" s="2"/>
      <c r="T303" s="2"/>
      <c r="U303" s="2"/>
      <c r="V303" s="2"/>
      <c r="W303" s="2"/>
      <c r="X303" s="2"/>
    </row>
    <row r="304" spans="1:24" ht="18">
      <c r="A304" s="2"/>
      <c r="B304" s="2"/>
      <c r="C304" s="2"/>
      <c r="D304" s="2"/>
      <c r="E304" s="2"/>
      <c r="F304" s="2"/>
      <c r="G304" s="2"/>
      <c r="H304" s="2"/>
      <c r="I304" s="2"/>
      <c r="J304" s="2"/>
      <c r="K304" s="2"/>
      <c r="L304" s="2"/>
      <c r="M304" s="2"/>
      <c r="N304" s="2"/>
      <c r="O304" s="2"/>
      <c r="P304" s="2"/>
      <c r="Q304" s="2"/>
      <c r="R304" s="2"/>
      <c r="S304" s="2"/>
      <c r="T304" s="2"/>
      <c r="U304" s="2"/>
      <c r="V304" s="2"/>
      <c r="W304" s="2"/>
      <c r="X304" s="2"/>
    </row>
    <row r="305" spans="1:24" ht="18">
      <c r="A305" s="2"/>
      <c r="B305" s="2"/>
      <c r="C305" s="2"/>
      <c r="D305" s="2"/>
      <c r="E305" s="2"/>
      <c r="F305" s="2"/>
      <c r="G305" s="2"/>
      <c r="H305" s="2"/>
      <c r="I305" s="2"/>
      <c r="J305" s="2"/>
      <c r="K305" s="2"/>
      <c r="L305" s="2"/>
      <c r="M305" s="2"/>
      <c r="N305" s="2"/>
      <c r="O305" s="2"/>
      <c r="P305" s="2"/>
      <c r="Q305" s="2"/>
      <c r="R305" s="2"/>
      <c r="S305" s="2"/>
      <c r="T305" s="2"/>
      <c r="U305" s="2"/>
      <c r="V305" s="2"/>
      <c r="W305" s="2"/>
      <c r="X305" s="2"/>
    </row>
    <row r="306" spans="1:24" ht="18">
      <c r="A306" s="2"/>
      <c r="B306" s="2"/>
      <c r="C306" s="2"/>
      <c r="D306" s="2"/>
      <c r="E306" s="2"/>
      <c r="F306" s="2"/>
      <c r="G306" s="2"/>
      <c r="H306" s="2"/>
      <c r="I306" s="2"/>
      <c r="J306" s="2"/>
      <c r="K306" s="2"/>
      <c r="L306" s="2"/>
      <c r="M306" s="2"/>
      <c r="N306" s="2"/>
      <c r="O306" s="2"/>
      <c r="P306" s="2"/>
      <c r="Q306" s="2"/>
      <c r="R306" s="2"/>
      <c r="S306" s="2"/>
      <c r="T306" s="2"/>
      <c r="U306" s="2"/>
      <c r="V306" s="2"/>
      <c r="W306" s="2"/>
      <c r="X306" s="2"/>
    </row>
    <row r="307" spans="1:24" ht="18">
      <c r="A307" s="2"/>
      <c r="B307" s="2"/>
      <c r="C307" s="2"/>
      <c r="D307" s="2"/>
      <c r="E307" s="2"/>
      <c r="F307" s="2"/>
      <c r="G307" s="2"/>
      <c r="H307" s="2"/>
      <c r="I307" s="2"/>
      <c r="J307" s="2"/>
      <c r="K307" s="2"/>
      <c r="L307" s="2"/>
      <c r="M307" s="2"/>
      <c r="N307" s="2"/>
      <c r="O307" s="2"/>
      <c r="P307" s="2"/>
      <c r="Q307" s="2"/>
      <c r="R307" s="2"/>
      <c r="S307" s="2"/>
      <c r="T307" s="2"/>
      <c r="U307" s="2"/>
      <c r="V307" s="2"/>
      <c r="W307" s="2"/>
      <c r="X307" s="2"/>
    </row>
    <row r="308" spans="1:24" ht="18">
      <c r="A308" s="2"/>
      <c r="B308" s="2"/>
      <c r="C308" s="2"/>
      <c r="D308" s="2"/>
      <c r="E308" s="2"/>
      <c r="F308" s="2"/>
      <c r="G308" s="2"/>
      <c r="H308" s="2"/>
      <c r="I308" s="2"/>
      <c r="J308" s="2"/>
      <c r="K308" s="2"/>
      <c r="L308" s="2"/>
      <c r="M308" s="2"/>
      <c r="N308" s="2"/>
      <c r="O308" s="2"/>
      <c r="P308" s="2"/>
      <c r="Q308" s="2"/>
      <c r="R308" s="2"/>
      <c r="S308" s="2"/>
      <c r="T308" s="2"/>
      <c r="U308" s="2"/>
      <c r="V308" s="2"/>
      <c r="W308" s="2"/>
      <c r="X308" s="2"/>
    </row>
    <row r="309" spans="1:24" ht="18">
      <c r="A309" s="2"/>
      <c r="B309" s="2"/>
      <c r="C309" s="2"/>
      <c r="D309" s="2"/>
      <c r="E309" s="2"/>
      <c r="F309" s="2"/>
      <c r="G309" s="2"/>
      <c r="H309" s="2"/>
      <c r="I309" s="2"/>
      <c r="J309" s="2"/>
      <c r="K309" s="2"/>
      <c r="L309" s="2"/>
      <c r="M309" s="2"/>
      <c r="N309" s="2"/>
      <c r="O309" s="2"/>
      <c r="P309" s="2"/>
      <c r="Q309" s="2"/>
      <c r="R309" s="2"/>
      <c r="S309" s="2"/>
      <c r="T309" s="2"/>
      <c r="U309" s="2"/>
      <c r="V309" s="2"/>
      <c r="W309" s="2"/>
      <c r="X309" s="2"/>
    </row>
    <row r="310" spans="1:24" ht="18">
      <c r="A310" s="2"/>
      <c r="B310" s="2"/>
      <c r="C310" s="2"/>
      <c r="D310" s="2"/>
      <c r="E310" s="2"/>
      <c r="F310" s="2"/>
      <c r="G310" s="2"/>
      <c r="H310" s="2"/>
      <c r="I310" s="2"/>
      <c r="J310" s="2"/>
      <c r="K310" s="2"/>
      <c r="L310" s="2"/>
      <c r="M310" s="2"/>
      <c r="N310" s="2"/>
      <c r="O310" s="2"/>
      <c r="P310" s="2"/>
      <c r="Q310" s="2"/>
      <c r="R310" s="2"/>
      <c r="S310" s="2"/>
      <c r="T310" s="2"/>
      <c r="U310" s="2"/>
      <c r="V310" s="2"/>
      <c r="W310" s="2"/>
      <c r="X310" s="2"/>
    </row>
    <row r="311" spans="1:24" ht="18">
      <c r="A311" s="2"/>
      <c r="B311" s="2"/>
      <c r="C311" s="2"/>
      <c r="D311" s="2"/>
      <c r="E311" s="2"/>
      <c r="F311" s="2"/>
      <c r="G311" s="2"/>
      <c r="H311" s="2"/>
      <c r="I311" s="2"/>
      <c r="J311" s="2"/>
      <c r="K311" s="2"/>
      <c r="L311" s="2"/>
      <c r="M311" s="2"/>
      <c r="N311" s="2"/>
      <c r="O311" s="2"/>
      <c r="P311" s="2"/>
      <c r="Q311" s="2"/>
      <c r="R311" s="2"/>
      <c r="S311" s="2"/>
      <c r="T311" s="2"/>
      <c r="U311" s="2"/>
      <c r="V311" s="2"/>
      <c r="W311" s="2"/>
      <c r="X311" s="2"/>
    </row>
    <row r="312" spans="1:24" ht="18">
      <c r="A312" s="2"/>
      <c r="B312" s="2"/>
      <c r="C312" s="2"/>
      <c r="D312" s="2"/>
      <c r="E312" s="2"/>
      <c r="F312" s="2"/>
      <c r="G312" s="2"/>
      <c r="H312" s="2"/>
      <c r="I312" s="2"/>
      <c r="J312" s="2"/>
      <c r="K312" s="2"/>
      <c r="L312" s="2"/>
      <c r="M312" s="2"/>
      <c r="N312" s="2"/>
      <c r="O312" s="2"/>
      <c r="P312" s="2"/>
      <c r="Q312" s="2"/>
      <c r="R312" s="2"/>
      <c r="S312" s="2"/>
      <c r="T312" s="2"/>
      <c r="U312" s="2"/>
      <c r="V312" s="2"/>
      <c r="W312" s="2"/>
      <c r="X312" s="2"/>
    </row>
    <row r="313" spans="1:24" ht="18">
      <c r="A313" s="2"/>
      <c r="B313" s="2"/>
      <c r="C313" s="2"/>
      <c r="D313" s="2"/>
      <c r="E313" s="2"/>
      <c r="F313" s="2"/>
      <c r="G313" s="2"/>
      <c r="H313" s="2"/>
      <c r="I313" s="2"/>
      <c r="J313" s="2"/>
      <c r="K313" s="2"/>
      <c r="L313" s="2"/>
      <c r="M313" s="2"/>
      <c r="N313" s="2"/>
      <c r="O313" s="2"/>
      <c r="P313" s="2"/>
      <c r="Q313" s="2"/>
      <c r="R313" s="2"/>
      <c r="S313" s="2"/>
      <c r="T313" s="2"/>
      <c r="U313" s="2"/>
      <c r="V313" s="2"/>
      <c r="W313" s="2"/>
      <c r="X313" s="2"/>
    </row>
    <row r="314" spans="1:24" ht="18">
      <c r="A314" s="2"/>
      <c r="B314" s="2"/>
      <c r="C314" s="2"/>
      <c r="D314" s="2"/>
      <c r="E314" s="2"/>
      <c r="F314" s="2"/>
      <c r="G314" s="2"/>
      <c r="H314" s="2"/>
      <c r="I314" s="2"/>
      <c r="J314" s="2"/>
      <c r="K314" s="2"/>
      <c r="L314" s="2"/>
      <c r="M314" s="2"/>
      <c r="N314" s="2"/>
      <c r="O314" s="2"/>
      <c r="P314" s="2"/>
      <c r="Q314" s="2"/>
      <c r="R314" s="2"/>
      <c r="S314" s="2"/>
      <c r="T314" s="2"/>
      <c r="U314" s="2"/>
      <c r="V314" s="2"/>
      <c r="W314" s="2"/>
      <c r="X314" s="2"/>
    </row>
    <row r="315" spans="1:24" ht="18">
      <c r="A315" s="2"/>
      <c r="B315" s="2"/>
      <c r="C315" s="2"/>
      <c r="D315" s="2"/>
      <c r="E315" s="2"/>
      <c r="F315" s="2"/>
      <c r="G315" s="2"/>
      <c r="H315" s="2"/>
      <c r="I315" s="2"/>
      <c r="J315" s="2"/>
      <c r="K315" s="2"/>
      <c r="L315" s="2"/>
      <c r="M315" s="2"/>
      <c r="N315" s="2"/>
      <c r="O315" s="2"/>
      <c r="P315" s="2"/>
      <c r="Q315" s="2"/>
      <c r="R315" s="2"/>
      <c r="S315" s="2"/>
      <c r="T315" s="2"/>
      <c r="U315" s="2"/>
      <c r="V315" s="2"/>
      <c r="W315" s="2"/>
      <c r="X315" s="2"/>
    </row>
    <row r="316" spans="1:24" ht="18">
      <c r="A316" s="2"/>
      <c r="B316" s="2"/>
      <c r="C316" s="2"/>
      <c r="D316" s="2"/>
      <c r="E316" s="2"/>
      <c r="F316" s="2"/>
      <c r="G316" s="2"/>
      <c r="H316" s="2"/>
      <c r="I316" s="2"/>
      <c r="J316" s="2"/>
      <c r="K316" s="2"/>
      <c r="L316" s="2"/>
      <c r="M316" s="2"/>
      <c r="N316" s="2"/>
      <c r="O316" s="2"/>
      <c r="P316" s="2"/>
      <c r="Q316" s="2"/>
      <c r="R316" s="2"/>
      <c r="S316" s="2"/>
      <c r="T316" s="2"/>
      <c r="U316" s="2"/>
      <c r="V316" s="2"/>
      <c r="W316" s="2"/>
      <c r="X316" s="2"/>
    </row>
    <row r="317" spans="1:24" ht="18">
      <c r="A317" s="2"/>
      <c r="B317" s="2"/>
      <c r="C317" s="2"/>
      <c r="D317" s="2"/>
      <c r="E317" s="2"/>
      <c r="F317" s="2"/>
      <c r="G317" s="2"/>
      <c r="H317" s="2"/>
      <c r="I317" s="2"/>
      <c r="J317" s="2"/>
      <c r="K317" s="2"/>
      <c r="L317" s="2"/>
      <c r="M317" s="2"/>
      <c r="N317" s="2"/>
      <c r="O317" s="2"/>
      <c r="P317" s="2"/>
      <c r="Q317" s="2"/>
      <c r="R317" s="2"/>
      <c r="S317" s="2"/>
      <c r="T317" s="2"/>
      <c r="U317" s="2"/>
      <c r="V317" s="2"/>
      <c r="W317" s="2"/>
      <c r="X317" s="2"/>
    </row>
    <row r="318" spans="1:24" ht="18">
      <c r="A318" s="2"/>
      <c r="B318" s="2"/>
      <c r="C318" s="2"/>
      <c r="D318" s="2"/>
      <c r="E318" s="2"/>
      <c r="F318" s="2"/>
      <c r="G318" s="2"/>
      <c r="H318" s="2"/>
      <c r="I318" s="2"/>
      <c r="J318" s="2"/>
      <c r="K318" s="2"/>
      <c r="L318" s="2"/>
      <c r="M318" s="2"/>
      <c r="N318" s="2"/>
      <c r="O318" s="2"/>
      <c r="P318" s="2"/>
      <c r="Q318" s="2"/>
      <c r="R318" s="2"/>
      <c r="S318" s="2"/>
      <c r="T318" s="2"/>
      <c r="U318" s="2"/>
      <c r="V318" s="2"/>
      <c r="W318" s="2"/>
      <c r="X318" s="2"/>
    </row>
    <row r="319" spans="1:24" ht="18">
      <c r="A319" s="2"/>
      <c r="B319" s="2"/>
      <c r="C319" s="2"/>
      <c r="D319" s="2"/>
      <c r="E319" s="2"/>
      <c r="F319" s="2"/>
      <c r="G319" s="2"/>
      <c r="H319" s="2"/>
      <c r="I319" s="2"/>
      <c r="J319" s="2"/>
      <c r="K319" s="2"/>
      <c r="L319" s="2"/>
      <c r="M319" s="2"/>
      <c r="N319" s="2"/>
      <c r="O319" s="2"/>
      <c r="P319" s="2"/>
      <c r="Q319" s="2"/>
      <c r="R319" s="2"/>
      <c r="S319" s="2"/>
      <c r="T319" s="2"/>
      <c r="U319" s="2"/>
      <c r="V319" s="2"/>
      <c r="W319" s="2"/>
      <c r="X319" s="2"/>
    </row>
    <row r="320" spans="1:24" ht="18">
      <c r="A320" s="2"/>
      <c r="B320" s="2"/>
      <c r="C320" s="2"/>
      <c r="D320" s="2"/>
      <c r="E320" s="2"/>
      <c r="F320" s="2"/>
      <c r="G320" s="2"/>
      <c r="H320" s="2"/>
      <c r="I320" s="2"/>
      <c r="J320" s="2"/>
      <c r="K320" s="2"/>
      <c r="L320" s="2"/>
      <c r="M320" s="2"/>
      <c r="N320" s="2"/>
      <c r="O320" s="2"/>
      <c r="P320" s="2"/>
      <c r="Q320" s="2"/>
      <c r="R320" s="2"/>
      <c r="S320" s="2"/>
      <c r="T320" s="2"/>
      <c r="U320" s="2"/>
      <c r="V320" s="2"/>
      <c r="W320" s="2"/>
      <c r="X320" s="2"/>
    </row>
    <row r="321" spans="1:24" ht="18">
      <c r="A321" s="2"/>
      <c r="B321" s="2"/>
      <c r="C321" s="2"/>
      <c r="D321" s="2"/>
      <c r="E321" s="2"/>
      <c r="F321" s="2"/>
      <c r="G321" s="2"/>
      <c r="H321" s="2"/>
      <c r="I321" s="2"/>
      <c r="J321" s="2"/>
      <c r="K321" s="2"/>
      <c r="L321" s="2"/>
      <c r="M321" s="2"/>
      <c r="N321" s="2"/>
      <c r="O321" s="2"/>
      <c r="P321" s="2"/>
      <c r="Q321" s="2"/>
      <c r="R321" s="2"/>
      <c r="S321" s="2"/>
      <c r="T321" s="2"/>
      <c r="U321" s="2"/>
      <c r="V321" s="2"/>
      <c r="W321" s="2"/>
      <c r="X321" s="2"/>
    </row>
    <row r="322" spans="1:24" ht="18">
      <c r="A322" s="2"/>
      <c r="B322" s="2"/>
      <c r="C322" s="2"/>
      <c r="D322" s="2"/>
      <c r="E322" s="2"/>
      <c r="F322" s="2"/>
      <c r="G322" s="2"/>
      <c r="H322" s="2"/>
      <c r="I322" s="2"/>
      <c r="J322" s="2"/>
      <c r="K322" s="2"/>
      <c r="L322" s="2"/>
      <c r="M322" s="2"/>
      <c r="N322" s="2"/>
      <c r="O322" s="2"/>
      <c r="P322" s="2"/>
      <c r="Q322" s="2"/>
      <c r="R322" s="2"/>
      <c r="S322" s="2"/>
      <c r="T322" s="2"/>
      <c r="U322" s="2"/>
      <c r="V322" s="2"/>
      <c r="W322" s="2"/>
      <c r="X322" s="2"/>
    </row>
    <row r="323" spans="1:24" ht="18">
      <c r="A323" s="2"/>
      <c r="B323" s="2"/>
      <c r="C323" s="2"/>
      <c r="D323" s="2"/>
      <c r="E323" s="2"/>
      <c r="F323" s="2"/>
      <c r="G323" s="2"/>
      <c r="H323" s="2"/>
      <c r="I323" s="2"/>
      <c r="J323" s="2"/>
      <c r="K323" s="2"/>
      <c r="L323" s="2"/>
      <c r="M323" s="2"/>
      <c r="N323" s="2"/>
      <c r="O323" s="2"/>
      <c r="P323" s="2"/>
      <c r="Q323" s="2"/>
      <c r="R323" s="2"/>
      <c r="S323" s="2"/>
      <c r="T323" s="2"/>
      <c r="U323" s="2"/>
      <c r="V323" s="2"/>
      <c r="W323" s="2"/>
      <c r="X323" s="2"/>
    </row>
    <row r="324" spans="1:24" ht="18">
      <c r="A324" s="2"/>
      <c r="B324" s="2"/>
      <c r="C324" s="2"/>
      <c r="D324" s="2"/>
      <c r="E324" s="2"/>
      <c r="F324" s="2"/>
      <c r="G324" s="2"/>
      <c r="H324" s="2"/>
      <c r="I324" s="2"/>
      <c r="J324" s="2"/>
      <c r="K324" s="2"/>
      <c r="L324" s="2"/>
      <c r="M324" s="2"/>
      <c r="N324" s="2"/>
      <c r="O324" s="2"/>
      <c r="P324" s="2"/>
      <c r="Q324" s="2"/>
      <c r="R324" s="2"/>
      <c r="S324" s="2"/>
      <c r="T324" s="2"/>
      <c r="U324" s="2"/>
      <c r="V324" s="2"/>
      <c r="W324" s="2"/>
      <c r="X324" s="2"/>
    </row>
    <row r="325" spans="1:24" ht="18">
      <c r="A325" s="2"/>
      <c r="B325" s="2"/>
      <c r="C325" s="2"/>
      <c r="D325" s="2"/>
      <c r="E325" s="2"/>
      <c r="F325" s="2"/>
      <c r="G325" s="2"/>
      <c r="H325" s="2"/>
      <c r="I325" s="2"/>
      <c r="J325" s="2"/>
      <c r="K325" s="2"/>
      <c r="L325" s="2"/>
      <c r="M325" s="2"/>
      <c r="N325" s="2"/>
      <c r="O325" s="2"/>
      <c r="P325" s="2"/>
      <c r="Q325" s="2"/>
      <c r="R325" s="2"/>
      <c r="S325" s="2"/>
      <c r="T325" s="2"/>
      <c r="U325" s="2"/>
      <c r="V325" s="2"/>
      <c r="W325" s="2"/>
      <c r="X325" s="2"/>
    </row>
    <row r="326" spans="1:24" ht="18">
      <c r="A326" s="2"/>
      <c r="B326" s="2"/>
      <c r="C326" s="2"/>
      <c r="D326" s="2"/>
      <c r="E326" s="2"/>
      <c r="F326" s="2"/>
      <c r="G326" s="2"/>
      <c r="H326" s="2"/>
      <c r="I326" s="2"/>
      <c r="J326" s="2"/>
      <c r="K326" s="2"/>
      <c r="L326" s="2"/>
      <c r="M326" s="2"/>
      <c r="N326" s="2"/>
      <c r="O326" s="2"/>
      <c r="P326" s="2"/>
      <c r="Q326" s="2"/>
      <c r="R326" s="2"/>
      <c r="S326" s="2"/>
      <c r="T326" s="2"/>
      <c r="U326" s="2"/>
      <c r="V326" s="2"/>
      <c r="W326" s="2"/>
      <c r="X326" s="2"/>
    </row>
    <row r="327" spans="1:24" ht="18">
      <c r="A327" s="2"/>
      <c r="B327" s="2"/>
      <c r="C327" s="2"/>
      <c r="D327" s="2"/>
      <c r="E327" s="2"/>
      <c r="F327" s="2"/>
      <c r="G327" s="2"/>
      <c r="H327" s="2"/>
      <c r="I327" s="2"/>
      <c r="J327" s="2"/>
      <c r="K327" s="2"/>
      <c r="L327" s="2"/>
      <c r="M327" s="2"/>
      <c r="N327" s="2"/>
      <c r="O327" s="2"/>
      <c r="P327" s="2"/>
      <c r="Q327" s="2"/>
      <c r="R327" s="2"/>
      <c r="S327" s="2"/>
      <c r="T327" s="2"/>
      <c r="U327" s="2"/>
      <c r="V327" s="2"/>
      <c r="W327" s="2"/>
      <c r="X327" s="2"/>
    </row>
    <row r="328" spans="1:24" ht="18">
      <c r="A328" s="2"/>
      <c r="B328" s="2"/>
      <c r="C328" s="2"/>
      <c r="D328" s="2"/>
      <c r="E328" s="2"/>
      <c r="F328" s="2"/>
      <c r="G328" s="2"/>
      <c r="H328" s="2"/>
      <c r="I328" s="2"/>
      <c r="J328" s="2"/>
      <c r="K328" s="2"/>
      <c r="L328" s="2"/>
      <c r="M328" s="2"/>
      <c r="N328" s="2"/>
      <c r="O328" s="2"/>
      <c r="P328" s="2"/>
      <c r="Q328" s="2"/>
      <c r="R328" s="2"/>
      <c r="S328" s="2"/>
      <c r="T328" s="2"/>
      <c r="U328" s="2"/>
      <c r="V328" s="2"/>
      <c r="W328" s="2"/>
      <c r="X328" s="2"/>
    </row>
    <row r="329" spans="1:24" ht="18">
      <c r="A329" s="2"/>
      <c r="B329" s="2"/>
      <c r="C329" s="2"/>
      <c r="D329" s="2"/>
      <c r="E329" s="2"/>
      <c r="F329" s="2"/>
      <c r="G329" s="2"/>
      <c r="H329" s="2"/>
      <c r="I329" s="2"/>
      <c r="J329" s="2"/>
      <c r="K329" s="2"/>
      <c r="L329" s="2"/>
      <c r="M329" s="2"/>
      <c r="N329" s="2"/>
      <c r="O329" s="2"/>
      <c r="P329" s="2"/>
      <c r="Q329" s="2"/>
      <c r="R329" s="2"/>
      <c r="S329" s="2"/>
      <c r="T329" s="2"/>
      <c r="U329" s="2"/>
      <c r="V329" s="2"/>
      <c r="W329" s="2"/>
      <c r="X329" s="2"/>
    </row>
    <row r="330" spans="1:24" ht="18">
      <c r="A330" s="2"/>
      <c r="B330" s="2"/>
      <c r="C330" s="2"/>
      <c r="D330" s="2"/>
      <c r="E330" s="2"/>
      <c r="F330" s="2"/>
      <c r="G330" s="2"/>
      <c r="H330" s="2"/>
      <c r="I330" s="2"/>
      <c r="J330" s="2"/>
      <c r="K330" s="2"/>
      <c r="L330" s="2"/>
      <c r="M330" s="2"/>
      <c r="N330" s="2"/>
      <c r="O330" s="2"/>
      <c r="P330" s="2"/>
      <c r="Q330" s="2"/>
      <c r="R330" s="2"/>
      <c r="S330" s="2"/>
      <c r="T330" s="2"/>
      <c r="U330" s="2"/>
      <c r="V330" s="2"/>
      <c r="W330" s="2"/>
      <c r="X330" s="2"/>
    </row>
    <row r="331" spans="1:24" ht="18">
      <c r="A331" s="2"/>
      <c r="B331" s="2"/>
      <c r="C331" s="2"/>
      <c r="D331" s="2"/>
      <c r="E331" s="2"/>
      <c r="F331" s="2"/>
      <c r="G331" s="2"/>
      <c r="H331" s="2"/>
      <c r="I331" s="2"/>
      <c r="J331" s="2"/>
      <c r="K331" s="2"/>
      <c r="L331" s="2"/>
      <c r="M331" s="2"/>
      <c r="N331" s="2"/>
      <c r="O331" s="2"/>
      <c r="P331" s="2"/>
      <c r="Q331" s="2"/>
      <c r="R331" s="2"/>
      <c r="S331" s="2"/>
      <c r="T331" s="2"/>
      <c r="U331" s="2"/>
      <c r="V331" s="2"/>
      <c r="W331" s="2"/>
      <c r="X331" s="2"/>
    </row>
    <row r="332" spans="1:24" ht="18">
      <c r="A332" s="2"/>
      <c r="B332" s="2"/>
      <c r="C332" s="2"/>
      <c r="D332" s="2"/>
      <c r="E332" s="2"/>
      <c r="F332" s="2"/>
      <c r="G332" s="2"/>
      <c r="H332" s="2"/>
      <c r="I332" s="2"/>
      <c r="J332" s="2"/>
      <c r="K332" s="2"/>
      <c r="L332" s="2"/>
      <c r="M332" s="2"/>
      <c r="N332" s="2"/>
      <c r="O332" s="2"/>
      <c r="P332" s="2"/>
      <c r="Q332" s="2"/>
      <c r="R332" s="2"/>
      <c r="S332" s="2"/>
      <c r="T332" s="2"/>
      <c r="U332" s="2"/>
      <c r="V332" s="2"/>
      <c r="W332" s="2"/>
      <c r="X332" s="2"/>
    </row>
    <row r="333" spans="1:24" ht="18">
      <c r="A333" s="2"/>
      <c r="B333" s="2"/>
      <c r="C333" s="2"/>
      <c r="D333" s="2"/>
      <c r="E333" s="2"/>
      <c r="F333" s="2"/>
      <c r="G333" s="2"/>
      <c r="H333" s="2"/>
      <c r="I333" s="2"/>
      <c r="J333" s="2"/>
      <c r="K333" s="2"/>
      <c r="L333" s="2"/>
      <c r="M333" s="2"/>
      <c r="N333" s="2"/>
      <c r="O333" s="2"/>
      <c r="P333" s="2"/>
      <c r="Q333" s="2"/>
      <c r="R333" s="2"/>
      <c r="S333" s="2"/>
      <c r="T333" s="2"/>
      <c r="U333" s="2"/>
      <c r="V333" s="2"/>
      <c r="W333" s="2"/>
      <c r="X333" s="2"/>
    </row>
    <row r="334" spans="1:24" ht="18">
      <c r="A334" s="2"/>
      <c r="B334" s="2"/>
      <c r="C334" s="2"/>
      <c r="D334" s="2"/>
      <c r="E334" s="2"/>
      <c r="F334" s="2"/>
      <c r="G334" s="2"/>
      <c r="H334" s="2"/>
      <c r="I334" s="2"/>
      <c r="J334" s="2"/>
      <c r="K334" s="2"/>
      <c r="L334" s="2"/>
      <c r="M334" s="2"/>
      <c r="N334" s="2"/>
      <c r="O334" s="2"/>
      <c r="P334" s="2"/>
      <c r="Q334" s="2"/>
      <c r="R334" s="2"/>
      <c r="S334" s="2"/>
      <c r="T334" s="2"/>
      <c r="U334" s="2"/>
      <c r="V334" s="2"/>
      <c r="W334" s="2"/>
      <c r="X334" s="2"/>
    </row>
    <row r="335" spans="1:24" ht="18">
      <c r="A335" s="2"/>
      <c r="B335" s="2"/>
      <c r="C335" s="2"/>
      <c r="D335" s="2"/>
      <c r="E335" s="2"/>
      <c r="F335" s="2"/>
      <c r="G335" s="2"/>
      <c r="H335" s="2"/>
      <c r="I335" s="2"/>
      <c r="J335" s="2"/>
      <c r="K335" s="2"/>
      <c r="L335" s="2"/>
      <c r="M335" s="2"/>
      <c r="N335" s="2"/>
      <c r="O335" s="2"/>
      <c r="P335" s="2"/>
      <c r="Q335" s="2"/>
      <c r="R335" s="2"/>
      <c r="S335" s="2"/>
      <c r="T335" s="2"/>
      <c r="U335" s="2"/>
      <c r="V335" s="2"/>
      <c r="W335" s="2"/>
      <c r="X335" s="2"/>
    </row>
    <row r="336" spans="1:24" ht="18">
      <c r="A336" s="2"/>
      <c r="B336" s="2"/>
      <c r="C336" s="2"/>
      <c r="D336" s="2"/>
      <c r="E336" s="2"/>
      <c r="F336" s="2"/>
      <c r="G336" s="2"/>
      <c r="H336" s="2"/>
      <c r="I336" s="2"/>
      <c r="J336" s="2"/>
      <c r="K336" s="2"/>
      <c r="L336" s="2"/>
      <c r="M336" s="2"/>
      <c r="N336" s="2"/>
      <c r="O336" s="2"/>
      <c r="P336" s="2"/>
      <c r="Q336" s="2"/>
      <c r="R336" s="2"/>
      <c r="S336" s="2"/>
      <c r="T336" s="2"/>
      <c r="U336" s="2"/>
      <c r="V336" s="2"/>
      <c r="W336" s="2"/>
      <c r="X336" s="2"/>
    </row>
    <row r="337" spans="1:24" ht="18">
      <c r="A337" s="2"/>
      <c r="B337" s="2"/>
      <c r="C337" s="2"/>
      <c r="D337" s="2"/>
      <c r="E337" s="2"/>
      <c r="F337" s="2"/>
      <c r="G337" s="2"/>
      <c r="H337" s="2"/>
      <c r="I337" s="2"/>
      <c r="J337" s="2"/>
      <c r="K337" s="2"/>
      <c r="L337" s="2"/>
      <c r="M337" s="2"/>
      <c r="N337" s="2"/>
      <c r="O337" s="2"/>
      <c r="P337" s="2"/>
      <c r="Q337" s="2"/>
      <c r="R337" s="2"/>
      <c r="S337" s="2"/>
      <c r="T337" s="2"/>
      <c r="U337" s="2"/>
      <c r="V337" s="2"/>
      <c r="W337" s="2"/>
      <c r="X337" s="2"/>
    </row>
    <row r="338" spans="1:24" ht="18">
      <c r="A338" s="2"/>
      <c r="B338" s="2"/>
      <c r="C338" s="2"/>
      <c r="D338" s="2"/>
      <c r="E338" s="2"/>
      <c r="F338" s="2"/>
      <c r="G338" s="2"/>
      <c r="H338" s="2"/>
      <c r="I338" s="2"/>
      <c r="J338" s="2"/>
      <c r="K338" s="2"/>
      <c r="L338" s="2"/>
      <c r="M338" s="2"/>
      <c r="N338" s="2"/>
      <c r="O338" s="2"/>
      <c r="P338" s="2"/>
      <c r="Q338" s="2"/>
      <c r="R338" s="2"/>
      <c r="S338" s="2"/>
      <c r="T338" s="2"/>
      <c r="U338" s="2"/>
      <c r="V338" s="2"/>
      <c r="W338" s="2"/>
      <c r="X338" s="2"/>
    </row>
    <row r="339" spans="1:24" ht="18">
      <c r="A339" s="2"/>
      <c r="B339" s="2"/>
      <c r="C339" s="2"/>
      <c r="D339" s="2"/>
      <c r="E339" s="2"/>
      <c r="F339" s="2"/>
      <c r="G339" s="2"/>
      <c r="H339" s="2"/>
      <c r="I339" s="2"/>
      <c r="J339" s="2"/>
      <c r="K339" s="2"/>
      <c r="L339" s="2"/>
      <c r="M339" s="2"/>
      <c r="N339" s="2"/>
      <c r="O339" s="2"/>
      <c r="P339" s="2"/>
      <c r="Q339" s="2"/>
      <c r="R339" s="2"/>
      <c r="S339" s="2"/>
      <c r="T339" s="2"/>
      <c r="U339" s="2"/>
      <c r="V339" s="2"/>
      <c r="W339" s="2"/>
      <c r="X339" s="2"/>
    </row>
    <row r="340" spans="1:24" ht="18">
      <c r="A340" s="2"/>
      <c r="B340" s="2"/>
      <c r="C340" s="2"/>
      <c r="D340" s="2"/>
      <c r="E340" s="2"/>
      <c r="F340" s="2"/>
      <c r="G340" s="2"/>
      <c r="H340" s="2"/>
      <c r="I340" s="2"/>
      <c r="J340" s="2"/>
      <c r="K340" s="2"/>
      <c r="L340" s="2"/>
      <c r="M340" s="2"/>
      <c r="N340" s="2"/>
      <c r="O340" s="2"/>
      <c r="P340" s="2"/>
      <c r="Q340" s="2"/>
      <c r="R340" s="2"/>
      <c r="S340" s="2"/>
      <c r="T340" s="2"/>
      <c r="U340" s="2"/>
      <c r="V340" s="2"/>
      <c r="W340" s="2"/>
      <c r="X340" s="2"/>
    </row>
    <row r="341" spans="1:24" ht="18">
      <c r="A341" s="2"/>
      <c r="B341" s="2"/>
      <c r="C341" s="2"/>
      <c r="D341" s="2"/>
      <c r="E341" s="2"/>
      <c r="F341" s="2"/>
      <c r="G341" s="2"/>
      <c r="H341" s="2"/>
      <c r="I341" s="2"/>
      <c r="J341" s="2"/>
      <c r="K341" s="2"/>
      <c r="L341" s="2"/>
      <c r="M341" s="2"/>
      <c r="N341" s="2"/>
      <c r="O341" s="2"/>
      <c r="P341" s="2"/>
      <c r="Q341" s="2"/>
      <c r="R341" s="2"/>
      <c r="S341" s="2"/>
      <c r="T341" s="2"/>
      <c r="U341" s="2"/>
      <c r="V341" s="2"/>
      <c r="W341" s="2"/>
      <c r="X341" s="2"/>
    </row>
    <row r="342" spans="1:24" ht="18">
      <c r="A342" s="2"/>
      <c r="B342" s="2"/>
      <c r="C342" s="2"/>
      <c r="D342" s="2"/>
      <c r="E342" s="2"/>
      <c r="F342" s="2"/>
      <c r="G342" s="2"/>
      <c r="H342" s="2"/>
      <c r="I342" s="2"/>
      <c r="J342" s="2"/>
      <c r="K342" s="2"/>
      <c r="L342" s="2"/>
      <c r="M342" s="2"/>
      <c r="N342" s="2"/>
      <c r="O342" s="2"/>
      <c r="P342" s="2"/>
      <c r="Q342" s="2"/>
      <c r="R342" s="2"/>
      <c r="S342" s="2"/>
      <c r="T342" s="2"/>
      <c r="U342" s="2"/>
      <c r="V342" s="2"/>
      <c r="W342" s="2"/>
      <c r="X342" s="2"/>
    </row>
    <row r="343" spans="1:24" ht="18">
      <c r="A343" s="2"/>
      <c r="B343" s="2"/>
      <c r="C343" s="2"/>
      <c r="D343" s="2"/>
      <c r="E343" s="2"/>
      <c r="F343" s="2"/>
      <c r="G343" s="2"/>
      <c r="H343" s="2"/>
      <c r="I343" s="2"/>
      <c r="J343" s="2"/>
      <c r="K343" s="2"/>
      <c r="L343" s="2"/>
      <c r="M343" s="2"/>
      <c r="N343" s="2"/>
      <c r="O343" s="2"/>
      <c r="P343" s="2"/>
      <c r="Q343" s="2"/>
      <c r="R343" s="2"/>
      <c r="S343" s="2"/>
      <c r="T343" s="2"/>
      <c r="U343" s="2"/>
      <c r="V343" s="2"/>
      <c r="W343" s="2"/>
      <c r="X343" s="2"/>
    </row>
    <row r="344" spans="1:24" ht="18">
      <c r="A344" s="2"/>
      <c r="B344" s="2"/>
      <c r="C344" s="2"/>
      <c r="D344" s="2"/>
      <c r="E344" s="2"/>
      <c r="F344" s="2"/>
      <c r="G344" s="2"/>
      <c r="H344" s="2"/>
      <c r="I344" s="2"/>
      <c r="J344" s="2"/>
      <c r="K344" s="2"/>
      <c r="L344" s="2"/>
      <c r="M344" s="2"/>
      <c r="N344" s="2"/>
      <c r="O344" s="2"/>
      <c r="P344" s="2"/>
      <c r="Q344" s="2"/>
      <c r="R344" s="2"/>
      <c r="S344" s="2"/>
      <c r="T344" s="2"/>
      <c r="U344" s="2"/>
      <c r="V344" s="2"/>
      <c r="W344" s="2"/>
      <c r="X344" s="2"/>
    </row>
    <row r="345" spans="1:24" ht="18">
      <c r="A345" s="2"/>
      <c r="B345" s="2"/>
      <c r="C345" s="2"/>
      <c r="D345" s="2"/>
      <c r="E345" s="2"/>
      <c r="F345" s="2"/>
      <c r="G345" s="2"/>
      <c r="H345" s="2"/>
      <c r="I345" s="2"/>
      <c r="J345" s="2"/>
      <c r="K345" s="2"/>
      <c r="L345" s="2"/>
      <c r="M345" s="2"/>
      <c r="N345" s="2"/>
      <c r="O345" s="2"/>
      <c r="P345" s="2"/>
      <c r="Q345" s="2"/>
      <c r="R345" s="2"/>
      <c r="S345" s="2"/>
      <c r="T345" s="2"/>
      <c r="U345" s="2"/>
      <c r="V345" s="2"/>
      <c r="W345" s="2"/>
      <c r="X345" s="2"/>
    </row>
    <row r="346" spans="1:24" ht="18">
      <c r="A346" s="2"/>
      <c r="B346" s="2"/>
      <c r="C346" s="2"/>
      <c r="D346" s="2"/>
      <c r="E346" s="2"/>
      <c r="F346" s="2"/>
      <c r="G346" s="2"/>
      <c r="H346" s="2"/>
      <c r="I346" s="2"/>
      <c r="J346" s="2"/>
      <c r="K346" s="2"/>
      <c r="L346" s="2"/>
      <c r="M346" s="2"/>
      <c r="N346" s="2"/>
      <c r="O346" s="2"/>
      <c r="P346" s="2"/>
      <c r="Q346" s="2"/>
      <c r="R346" s="2"/>
      <c r="S346" s="2"/>
      <c r="T346" s="2"/>
      <c r="U346" s="2"/>
      <c r="V346" s="2"/>
      <c r="W346" s="2"/>
      <c r="X346" s="2"/>
    </row>
    <row r="347" spans="1:24" ht="18">
      <c r="A347" s="2"/>
      <c r="B347" s="2"/>
      <c r="C347" s="2"/>
      <c r="D347" s="2"/>
      <c r="E347" s="2"/>
      <c r="F347" s="2"/>
      <c r="G347" s="2"/>
      <c r="H347" s="2"/>
      <c r="I347" s="2"/>
      <c r="J347" s="2"/>
      <c r="K347" s="2"/>
      <c r="L347" s="2"/>
      <c r="M347" s="2"/>
      <c r="N347" s="2"/>
      <c r="O347" s="2"/>
      <c r="P347" s="2"/>
      <c r="Q347" s="2"/>
      <c r="R347" s="2"/>
      <c r="S347" s="2"/>
      <c r="T347" s="2"/>
      <c r="U347" s="2"/>
      <c r="V347" s="2"/>
      <c r="W347" s="2"/>
      <c r="X347" s="2"/>
    </row>
    <row r="348" spans="1:24" ht="18">
      <c r="A348" s="2"/>
      <c r="B348" s="2"/>
      <c r="C348" s="2"/>
      <c r="D348" s="2"/>
      <c r="E348" s="2"/>
      <c r="F348" s="2"/>
      <c r="G348" s="2"/>
      <c r="H348" s="2"/>
      <c r="I348" s="2"/>
      <c r="J348" s="2"/>
      <c r="K348" s="2"/>
      <c r="L348" s="2"/>
      <c r="M348" s="2"/>
      <c r="N348" s="2"/>
      <c r="O348" s="2"/>
      <c r="P348" s="2"/>
      <c r="Q348" s="2"/>
      <c r="R348" s="2"/>
      <c r="S348" s="2"/>
      <c r="T348" s="2"/>
      <c r="U348" s="2"/>
      <c r="V348" s="2"/>
      <c r="W348" s="2"/>
      <c r="X348" s="2"/>
    </row>
    <row r="349" spans="1:24" ht="18">
      <c r="A349" s="2"/>
      <c r="B349" s="2"/>
      <c r="C349" s="2"/>
      <c r="D349" s="2"/>
      <c r="E349" s="2"/>
      <c r="F349" s="2"/>
      <c r="G349" s="2"/>
      <c r="H349" s="2"/>
      <c r="I349" s="2"/>
      <c r="J349" s="2"/>
      <c r="K349" s="2"/>
      <c r="L349" s="2"/>
      <c r="M349" s="2"/>
      <c r="N349" s="2"/>
      <c r="O349" s="2"/>
      <c r="P349" s="2"/>
      <c r="Q349" s="2"/>
      <c r="R349" s="2"/>
      <c r="S349" s="2"/>
      <c r="T349" s="2"/>
      <c r="U349" s="2"/>
      <c r="V349" s="2"/>
      <c r="W349" s="2"/>
      <c r="X349" s="2"/>
    </row>
    <row r="350" spans="1:24" ht="18">
      <c r="A350" s="2"/>
      <c r="B350" s="2"/>
      <c r="C350" s="2"/>
      <c r="D350" s="2"/>
      <c r="E350" s="2"/>
      <c r="F350" s="2"/>
      <c r="G350" s="2"/>
      <c r="H350" s="2"/>
      <c r="I350" s="2"/>
      <c r="J350" s="2"/>
      <c r="K350" s="2"/>
      <c r="L350" s="2"/>
      <c r="M350" s="2"/>
      <c r="N350" s="2"/>
      <c r="O350" s="2"/>
      <c r="P350" s="2"/>
      <c r="Q350" s="2"/>
      <c r="R350" s="2"/>
      <c r="S350" s="2"/>
      <c r="T350" s="2"/>
      <c r="U350" s="2"/>
      <c r="V350" s="2"/>
      <c r="W350" s="2"/>
      <c r="X350" s="2"/>
    </row>
    <row r="351" spans="1:24" ht="18">
      <c r="A351" s="2"/>
      <c r="B351" s="2"/>
      <c r="C351" s="2"/>
      <c r="D351" s="2"/>
      <c r="E351" s="2"/>
      <c r="F351" s="2"/>
      <c r="G351" s="2"/>
      <c r="H351" s="2"/>
      <c r="I351" s="2"/>
      <c r="J351" s="2"/>
      <c r="K351" s="2"/>
      <c r="L351" s="2"/>
      <c r="M351" s="2"/>
      <c r="N351" s="2"/>
      <c r="O351" s="2"/>
      <c r="P351" s="2"/>
      <c r="Q351" s="2"/>
      <c r="R351" s="2"/>
      <c r="S351" s="2"/>
      <c r="T351" s="2"/>
      <c r="U351" s="2"/>
      <c r="V351" s="2"/>
      <c r="W351" s="2"/>
      <c r="X351" s="2"/>
    </row>
    <row r="352" spans="1:24" ht="18">
      <c r="A352" s="2"/>
      <c r="B352" s="2"/>
      <c r="C352" s="2"/>
      <c r="D352" s="2"/>
      <c r="E352" s="2"/>
      <c r="F352" s="2"/>
      <c r="G352" s="2"/>
      <c r="H352" s="2"/>
      <c r="I352" s="2"/>
      <c r="J352" s="2"/>
      <c r="K352" s="2"/>
      <c r="L352" s="2"/>
      <c r="M352" s="2"/>
      <c r="N352" s="2"/>
      <c r="O352" s="2"/>
      <c r="P352" s="2"/>
      <c r="Q352" s="2"/>
      <c r="R352" s="2"/>
      <c r="S352" s="2"/>
      <c r="T352" s="2"/>
      <c r="U352" s="2"/>
      <c r="V352" s="2"/>
      <c r="W352" s="2"/>
      <c r="X352" s="2"/>
    </row>
    <row r="353" spans="1:24" ht="18">
      <c r="A353" s="2"/>
      <c r="B353" s="2"/>
      <c r="C353" s="2"/>
      <c r="D353" s="2"/>
      <c r="E353" s="2"/>
      <c r="F353" s="2"/>
      <c r="G353" s="2"/>
      <c r="H353" s="2"/>
      <c r="I353" s="2"/>
      <c r="J353" s="2"/>
      <c r="K353" s="2"/>
      <c r="L353" s="2"/>
      <c r="M353" s="2"/>
      <c r="N353" s="2"/>
      <c r="O353" s="2"/>
      <c r="P353" s="2"/>
      <c r="Q353" s="2"/>
      <c r="R353" s="2"/>
      <c r="S353" s="2"/>
      <c r="T353" s="2"/>
      <c r="U353" s="2"/>
      <c r="V353" s="2"/>
      <c r="W353" s="2"/>
      <c r="X353" s="2"/>
    </row>
    <row r="354" spans="1:24" ht="18">
      <c r="A354" s="2"/>
      <c r="B354" s="2"/>
      <c r="C354" s="2"/>
      <c r="D354" s="2"/>
      <c r="E354" s="2"/>
      <c r="F354" s="2"/>
      <c r="G354" s="2"/>
      <c r="H354" s="2"/>
      <c r="I354" s="2"/>
      <c r="J354" s="2"/>
      <c r="K354" s="2"/>
      <c r="L354" s="2"/>
      <c r="M354" s="2"/>
      <c r="N354" s="2"/>
      <c r="O354" s="2"/>
      <c r="P354" s="2"/>
      <c r="Q354" s="2"/>
      <c r="R354" s="2"/>
      <c r="S354" s="2"/>
      <c r="T354" s="2"/>
      <c r="U354" s="2"/>
      <c r="V354" s="2"/>
      <c r="W354" s="2"/>
      <c r="X354" s="2"/>
    </row>
    <row r="355" spans="1:24" ht="18">
      <c r="A355" s="2"/>
      <c r="B355" s="2"/>
      <c r="C355" s="2"/>
      <c r="D355" s="2"/>
      <c r="E355" s="2"/>
      <c r="F355" s="2"/>
      <c r="G355" s="2"/>
      <c r="H355" s="2"/>
      <c r="I355" s="2"/>
      <c r="J355" s="2"/>
      <c r="K355" s="2"/>
      <c r="L355" s="2"/>
      <c r="M355" s="2"/>
      <c r="N355" s="2"/>
      <c r="O355" s="2"/>
      <c r="P355" s="2"/>
      <c r="Q355" s="2"/>
      <c r="R355" s="2"/>
      <c r="S355" s="2"/>
      <c r="T355" s="2"/>
      <c r="U355" s="2"/>
      <c r="V355" s="2"/>
      <c r="W355" s="2"/>
      <c r="X355" s="2"/>
    </row>
    <row r="356" spans="1:24" ht="18">
      <c r="A356" s="2"/>
      <c r="B356" s="2"/>
      <c r="C356" s="2"/>
      <c r="D356" s="2"/>
      <c r="E356" s="2"/>
      <c r="F356" s="2"/>
      <c r="G356" s="2"/>
      <c r="H356" s="2"/>
      <c r="I356" s="2"/>
      <c r="J356" s="2"/>
      <c r="K356" s="2"/>
      <c r="L356" s="2"/>
      <c r="M356" s="2"/>
      <c r="N356" s="2"/>
      <c r="O356" s="2"/>
      <c r="P356" s="2"/>
      <c r="Q356" s="2"/>
      <c r="R356" s="2"/>
      <c r="S356" s="2"/>
      <c r="T356" s="2"/>
      <c r="U356" s="2"/>
      <c r="V356" s="2"/>
      <c r="W356" s="2"/>
      <c r="X356" s="2"/>
    </row>
    <row r="357" spans="1:24" ht="18">
      <c r="A357" s="2"/>
      <c r="B357" s="2"/>
      <c r="C357" s="2"/>
      <c r="D357" s="2"/>
      <c r="E357" s="2"/>
      <c r="F357" s="2"/>
      <c r="G357" s="2"/>
      <c r="H357" s="2"/>
      <c r="I357" s="2"/>
      <c r="J357" s="2"/>
      <c r="K357" s="2"/>
      <c r="L357" s="2"/>
      <c r="M357" s="2"/>
      <c r="N357" s="2"/>
      <c r="O357" s="2"/>
      <c r="P357" s="2"/>
      <c r="Q357" s="2"/>
      <c r="R357" s="2"/>
      <c r="S357" s="2"/>
      <c r="T357" s="2"/>
      <c r="U357" s="2"/>
      <c r="V357" s="2"/>
      <c r="W357" s="2"/>
      <c r="X357" s="2"/>
    </row>
    <row r="358" spans="1:24" ht="18">
      <c r="A358" s="2"/>
      <c r="B358" s="2"/>
      <c r="C358" s="2"/>
      <c r="D358" s="2"/>
      <c r="E358" s="2"/>
      <c r="F358" s="2"/>
      <c r="G358" s="2"/>
      <c r="H358" s="2"/>
      <c r="I358" s="2"/>
      <c r="J358" s="2"/>
      <c r="K358" s="2"/>
      <c r="L358" s="2"/>
      <c r="M358" s="2"/>
      <c r="N358" s="2"/>
      <c r="O358" s="2"/>
      <c r="P358" s="2"/>
      <c r="Q358" s="2"/>
      <c r="R358" s="2"/>
      <c r="S358" s="2"/>
      <c r="T358" s="2"/>
      <c r="U358" s="2"/>
      <c r="V358" s="2"/>
      <c r="W358" s="2"/>
      <c r="X358" s="2"/>
    </row>
    <row r="359" spans="1:24" ht="18">
      <c r="A359" s="2"/>
      <c r="B359" s="2"/>
      <c r="C359" s="2"/>
      <c r="D359" s="2"/>
      <c r="E359" s="2"/>
      <c r="F359" s="2"/>
      <c r="G359" s="2"/>
      <c r="H359" s="2"/>
      <c r="I359" s="2"/>
      <c r="J359" s="2"/>
      <c r="K359" s="2"/>
      <c r="L359" s="2"/>
      <c r="M359" s="2"/>
      <c r="N359" s="2"/>
      <c r="O359" s="2"/>
      <c r="P359" s="2"/>
      <c r="Q359" s="2"/>
      <c r="R359" s="2"/>
      <c r="S359" s="2"/>
      <c r="T359" s="2"/>
      <c r="U359" s="2"/>
      <c r="V359" s="2"/>
      <c r="W359" s="2"/>
      <c r="X359" s="2"/>
    </row>
    <row r="360" spans="1:24" ht="18">
      <c r="A360" s="2"/>
      <c r="B360" s="2"/>
      <c r="C360" s="2"/>
      <c r="D360" s="2"/>
      <c r="E360" s="2"/>
      <c r="F360" s="2"/>
      <c r="G360" s="2"/>
      <c r="H360" s="2"/>
      <c r="I360" s="2"/>
      <c r="J360" s="2"/>
      <c r="K360" s="2"/>
      <c r="L360" s="2"/>
      <c r="M360" s="2"/>
      <c r="N360" s="2"/>
      <c r="O360" s="2"/>
      <c r="P360" s="2"/>
      <c r="Q360" s="2"/>
      <c r="R360" s="2"/>
      <c r="S360" s="2"/>
      <c r="T360" s="2"/>
      <c r="U360" s="2"/>
      <c r="V360" s="2"/>
      <c r="W360" s="2"/>
      <c r="X360" s="2"/>
    </row>
    <row r="361" spans="1:24" ht="18">
      <c r="A361" s="2"/>
      <c r="B361" s="2"/>
      <c r="C361" s="2"/>
      <c r="D361" s="2"/>
      <c r="E361" s="2"/>
      <c r="F361" s="2"/>
      <c r="G361" s="2"/>
      <c r="H361" s="2"/>
      <c r="I361" s="2"/>
      <c r="J361" s="2"/>
      <c r="K361" s="2"/>
      <c r="L361" s="2"/>
      <c r="M361" s="2"/>
      <c r="N361" s="2"/>
      <c r="O361" s="2"/>
      <c r="P361" s="2"/>
      <c r="Q361" s="2"/>
      <c r="R361" s="2"/>
      <c r="S361" s="2"/>
      <c r="T361" s="2"/>
      <c r="U361" s="2"/>
      <c r="V361" s="2"/>
      <c r="W361" s="2"/>
      <c r="X361" s="2"/>
    </row>
    <row r="362" spans="1:24" ht="18">
      <c r="A362" s="2"/>
      <c r="B362" s="2"/>
      <c r="C362" s="2"/>
      <c r="D362" s="2"/>
      <c r="E362" s="2"/>
      <c r="F362" s="2"/>
      <c r="G362" s="2"/>
      <c r="H362" s="2"/>
      <c r="I362" s="2"/>
      <c r="J362" s="2"/>
      <c r="K362" s="2"/>
      <c r="L362" s="2"/>
      <c r="M362" s="2"/>
      <c r="N362" s="2"/>
      <c r="O362" s="2"/>
      <c r="P362" s="2"/>
      <c r="Q362" s="2"/>
      <c r="R362" s="2"/>
      <c r="S362" s="2"/>
      <c r="T362" s="2"/>
      <c r="U362" s="2"/>
      <c r="V362" s="2"/>
      <c r="W362" s="2"/>
      <c r="X362" s="2"/>
    </row>
    <row r="363" spans="1:24" ht="18">
      <c r="A363" s="2"/>
      <c r="B363" s="2"/>
      <c r="C363" s="2"/>
      <c r="D363" s="2"/>
      <c r="E363" s="2"/>
      <c r="F363" s="2"/>
      <c r="G363" s="2"/>
      <c r="H363" s="2"/>
      <c r="I363" s="2"/>
      <c r="J363" s="2"/>
      <c r="K363" s="2"/>
      <c r="L363" s="2"/>
      <c r="M363" s="2"/>
      <c r="N363" s="2"/>
      <c r="O363" s="2"/>
      <c r="P363" s="2"/>
      <c r="Q363" s="2"/>
      <c r="R363" s="2"/>
      <c r="S363" s="2"/>
      <c r="T363" s="2"/>
      <c r="U363" s="2"/>
      <c r="V363" s="2"/>
      <c r="W363" s="2"/>
      <c r="X363" s="2"/>
    </row>
    <row r="364" spans="1:24" ht="18">
      <c r="A364" s="2"/>
      <c r="B364" s="2"/>
      <c r="C364" s="2"/>
      <c r="D364" s="2"/>
      <c r="E364" s="2"/>
      <c r="F364" s="2"/>
      <c r="G364" s="2"/>
      <c r="H364" s="2"/>
      <c r="I364" s="2"/>
      <c r="J364" s="2"/>
      <c r="K364" s="2"/>
      <c r="L364" s="2"/>
      <c r="M364" s="2"/>
      <c r="N364" s="2"/>
      <c r="O364" s="2"/>
      <c r="P364" s="2"/>
      <c r="Q364" s="2"/>
      <c r="R364" s="2"/>
      <c r="S364" s="2"/>
      <c r="T364" s="2"/>
      <c r="U364" s="2"/>
      <c r="V364" s="2"/>
      <c r="W364" s="2"/>
      <c r="X364" s="2"/>
    </row>
    <row r="365" spans="1:24" ht="18">
      <c r="A365" s="2"/>
      <c r="B365" s="2"/>
      <c r="C365" s="2"/>
      <c r="D365" s="2"/>
      <c r="E365" s="2"/>
      <c r="F365" s="2"/>
      <c r="G365" s="2"/>
      <c r="H365" s="2"/>
      <c r="I365" s="2"/>
      <c r="J365" s="2"/>
      <c r="K365" s="2"/>
      <c r="L365" s="2"/>
      <c r="M365" s="2"/>
      <c r="N365" s="2"/>
      <c r="O365" s="2"/>
      <c r="P365" s="2"/>
      <c r="Q365" s="2"/>
      <c r="R365" s="2"/>
      <c r="S365" s="2"/>
      <c r="T365" s="2"/>
      <c r="U365" s="2"/>
      <c r="V365" s="2"/>
      <c r="W365" s="2"/>
      <c r="X365" s="2"/>
    </row>
    <row r="366" spans="1:24" ht="18">
      <c r="A366" s="2"/>
      <c r="B366" s="2"/>
      <c r="C366" s="2"/>
      <c r="D366" s="2"/>
      <c r="E366" s="2"/>
      <c r="F366" s="2"/>
      <c r="G366" s="2"/>
      <c r="H366" s="2"/>
      <c r="I366" s="2"/>
      <c r="J366" s="2"/>
      <c r="K366" s="2"/>
      <c r="L366" s="2"/>
      <c r="M366" s="2"/>
      <c r="N366" s="2"/>
      <c r="O366" s="2"/>
      <c r="P366" s="2"/>
      <c r="Q366" s="2"/>
      <c r="R366" s="2"/>
      <c r="S366" s="2"/>
      <c r="T366" s="2"/>
      <c r="U366" s="2"/>
      <c r="V366" s="2"/>
      <c r="W366" s="2"/>
      <c r="X366" s="2"/>
    </row>
    <row r="367" spans="1:24" ht="18">
      <c r="A367" s="2"/>
      <c r="B367" s="2"/>
      <c r="C367" s="2"/>
      <c r="D367" s="2"/>
      <c r="E367" s="2"/>
      <c r="F367" s="2"/>
      <c r="G367" s="2"/>
      <c r="H367" s="2"/>
      <c r="I367" s="2"/>
      <c r="J367" s="2"/>
      <c r="K367" s="2"/>
      <c r="L367" s="2"/>
      <c r="M367" s="2"/>
      <c r="N367" s="2"/>
      <c r="O367" s="2"/>
      <c r="P367" s="2"/>
      <c r="Q367" s="2"/>
      <c r="R367" s="2"/>
      <c r="S367" s="2"/>
      <c r="T367" s="2"/>
      <c r="U367" s="2"/>
      <c r="V367" s="2"/>
      <c r="W367" s="2"/>
      <c r="X367" s="2"/>
    </row>
    <row r="368" spans="1:24" ht="18">
      <c r="A368" s="2"/>
      <c r="B368" s="2"/>
      <c r="C368" s="2"/>
      <c r="D368" s="2"/>
      <c r="E368" s="2"/>
      <c r="F368" s="2"/>
      <c r="G368" s="2"/>
      <c r="H368" s="2"/>
      <c r="I368" s="2"/>
      <c r="J368" s="2"/>
      <c r="K368" s="2"/>
      <c r="L368" s="2"/>
      <c r="M368" s="2"/>
      <c r="N368" s="2"/>
      <c r="O368" s="2"/>
      <c r="P368" s="2"/>
      <c r="Q368" s="2"/>
      <c r="R368" s="2"/>
      <c r="S368" s="2"/>
      <c r="T368" s="2"/>
      <c r="U368" s="2"/>
      <c r="V368" s="2"/>
      <c r="W368" s="2"/>
      <c r="X368" s="2"/>
    </row>
    <row r="369" spans="1:24" ht="18">
      <c r="A369" s="2"/>
      <c r="B369" s="2"/>
      <c r="C369" s="2"/>
      <c r="D369" s="2"/>
      <c r="E369" s="2"/>
      <c r="F369" s="2"/>
      <c r="G369" s="2"/>
      <c r="H369" s="2"/>
      <c r="I369" s="2"/>
      <c r="J369" s="2"/>
      <c r="K369" s="2"/>
      <c r="L369" s="2"/>
      <c r="M369" s="2"/>
      <c r="N369" s="2"/>
      <c r="O369" s="2"/>
      <c r="P369" s="2"/>
      <c r="Q369" s="2"/>
      <c r="R369" s="2"/>
      <c r="S369" s="2"/>
      <c r="T369" s="2"/>
      <c r="U369" s="2"/>
      <c r="V369" s="2"/>
      <c r="W369" s="2"/>
      <c r="X369" s="2"/>
    </row>
    <row r="370" spans="1:24" ht="18">
      <c r="A370" s="2"/>
      <c r="B370" s="2"/>
      <c r="C370" s="2"/>
      <c r="D370" s="2"/>
      <c r="E370" s="2"/>
      <c r="F370" s="2"/>
      <c r="G370" s="2"/>
      <c r="H370" s="2"/>
      <c r="I370" s="2"/>
      <c r="J370" s="2"/>
      <c r="K370" s="2"/>
      <c r="L370" s="2"/>
      <c r="M370" s="2"/>
      <c r="N370" s="2"/>
      <c r="O370" s="2"/>
      <c r="P370" s="2"/>
      <c r="Q370" s="2"/>
      <c r="R370" s="2"/>
      <c r="S370" s="2"/>
      <c r="T370" s="2"/>
      <c r="U370" s="2"/>
      <c r="V370" s="2"/>
      <c r="W370" s="2"/>
      <c r="X370" s="2"/>
    </row>
    <row r="371" spans="1:24" ht="18">
      <c r="A371" s="2"/>
      <c r="B371" s="2"/>
      <c r="C371" s="2"/>
      <c r="D371" s="2"/>
      <c r="E371" s="2"/>
      <c r="F371" s="2"/>
      <c r="G371" s="2"/>
      <c r="H371" s="2"/>
      <c r="I371" s="2"/>
      <c r="J371" s="2"/>
      <c r="K371" s="2"/>
      <c r="L371" s="2"/>
      <c r="M371" s="2"/>
      <c r="N371" s="2"/>
      <c r="O371" s="2"/>
      <c r="P371" s="2"/>
      <c r="Q371" s="2"/>
      <c r="R371" s="2"/>
      <c r="S371" s="2"/>
      <c r="T371" s="2"/>
      <c r="U371" s="2"/>
      <c r="V371" s="2"/>
      <c r="W371" s="2"/>
      <c r="X371" s="2"/>
    </row>
    <row r="372" spans="1:24" ht="18">
      <c r="A372" s="2"/>
      <c r="B372" s="2"/>
      <c r="C372" s="2"/>
      <c r="D372" s="2"/>
      <c r="E372" s="2"/>
      <c r="F372" s="2"/>
      <c r="G372" s="2"/>
      <c r="H372" s="2"/>
      <c r="I372" s="2"/>
      <c r="J372" s="2"/>
      <c r="K372" s="2"/>
      <c r="L372" s="2"/>
      <c r="M372" s="2"/>
      <c r="N372" s="2"/>
      <c r="O372" s="2"/>
      <c r="P372" s="2"/>
      <c r="Q372" s="2"/>
      <c r="R372" s="2"/>
      <c r="S372" s="2"/>
      <c r="T372" s="2"/>
      <c r="U372" s="2"/>
      <c r="V372" s="2"/>
      <c r="W372" s="2"/>
      <c r="X372" s="2"/>
    </row>
    <row r="373" spans="1:24" ht="18">
      <c r="A373" s="2"/>
      <c r="B373" s="2"/>
      <c r="C373" s="2"/>
      <c r="D373" s="2"/>
      <c r="E373" s="2"/>
      <c r="F373" s="2"/>
      <c r="G373" s="2"/>
      <c r="H373" s="2"/>
      <c r="I373" s="2"/>
      <c r="J373" s="2"/>
      <c r="K373" s="2"/>
      <c r="L373" s="2"/>
      <c r="M373" s="2"/>
      <c r="N373" s="2"/>
      <c r="O373" s="2"/>
      <c r="P373" s="2"/>
      <c r="Q373" s="2"/>
      <c r="R373" s="2"/>
      <c r="S373" s="2"/>
      <c r="T373" s="2"/>
      <c r="U373" s="2"/>
      <c r="V373" s="2"/>
      <c r="W373" s="2"/>
      <c r="X373" s="2"/>
    </row>
    <row r="374" spans="1:24" ht="18">
      <c r="A374" s="2"/>
      <c r="B374" s="2"/>
      <c r="C374" s="2"/>
      <c r="D374" s="2"/>
      <c r="E374" s="2"/>
      <c r="F374" s="2"/>
      <c r="G374" s="2"/>
      <c r="H374" s="2"/>
      <c r="I374" s="2"/>
      <c r="J374" s="2"/>
      <c r="K374" s="2"/>
      <c r="L374" s="2"/>
      <c r="M374" s="2"/>
      <c r="N374" s="2"/>
      <c r="O374" s="2"/>
      <c r="P374" s="2"/>
      <c r="Q374" s="2"/>
      <c r="R374" s="2"/>
      <c r="S374" s="2"/>
      <c r="T374" s="2"/>
      <c r="U374" s="2"/>
      <c r="V374" s="2"/>
      <c r="W374" s="2"/>
      <c r="X374" s="2"/>
    </row>
    <row r="375" spans="1:24" ht="18">
      <c r="A375" s="2"/>
      <c r="B375" s="2"/>
      <c r="C375" s="2"/>
      <c r="D375" s="2"/>
      <c r="E375" s="2"/>
      <c r="F375" s="2"/>
      <c r="G375" s="2"/>
      <c r="H375" s="2"/>
      <c r="I375" s="2"/>
      <c r="J375" s="2"/>
      <c r="K375" s="2"/>
      <c r="L375" s="2"/>
      <c r="M375" s="2"/>
      <c r="N375" s="2"/>
      <c r="O375" s="2"/>
      <c r="P375" s="2"/>
      <c r="Q375" s="2"/>
      <c r="R375" s="2"/>
      <c r="S375" s="2"/>
      <c r="T375" s="2"/>
      <c r="U375" s="2"/>
      <c r="V375" s="2"/>
      <c r="W375" s="2"/>
      <c r="X375" s="2"/>
    </row>
    <row r="376" spans="1:24" ht="18">
      <c r="A376" s="2"/>
      <c r="B376" s="2"/>
      <c r="C376" s="2"/>
      <c r="D376" s="2"/>
      <c r="E376" s="2"/>
      <c r="F376" s="2"/>
      <c r="G376" s="2"/>
      <c r="H376" s="2"/>
      <c r="I376" s="2"/>
      <c r="J376" s="2"/>
      <c r="K376" s="2"/>
      <c r="L376" s="2"/>
      <c r="M376" s="2"/>
      <c r="N376" s="2"/>
      <c r="O376" s="2"/>
      <c r="P376" s="2"/>
      <c r="Q376" s="2"/>
      <c r="R376" s="2"/>
      <c r="S376" s="2"/>
      <c r="T376" s="2"/>
      <c r="U376" s="2"/>
      <c r="V376" s="2"/>
      <c r="W376" s="2"/>
      <c r="X376" s="2"/>
    </row>
    <row r="377" spans="1:24" ht="18">
      <c r="A377" s="2"/>
      <c r="B377" s="2"/>
      <c r="C377" s="2"/>
      <c r="D377" s="2"/>
      <c r="E377" s="2"/>
      <c r="F377" s="2"/>
      <c r="G377" s="2"/>
      <c r="H377" s="2"/>
      <c r="I377" s="2"/>
      <c r="J377" s="2"/>
      <c r="K377" s="2"/>
      <c r="L377" s="2"/>
      <c r="M377" s="2"/>
      <c r="N377" s="2"/>
      <c r="O377" s="2"/>
      <c r="P377" s="2"/>
      <c r="Q377" s="2"/>
      <c r="R377" s="2"/>
      <c r="S377" s="2"/>
      <c r="T377" s="2"/>
      <c r="U377" s="2"/>
      <c r="V377" s="2"/>
      <c r="W377" s="2"/>
      <c r="X377" s="2"/>
    </row>
    <row r="378" spans="1:24" ht="18">
      <c r="A378" s="2"/>
      <c r="B378" s="2"/>
      <c r="C378" s="2"/>
      <c r="D378" s="2"/>
      <c r="E378" s="2"/>
      <c r="F378" s="2"/>
      <c r="G378" s="2"/>
      <c r="H378" s="2"/>
      <c r="I378" s="2"/>
      <c r="J378" s="2"/>
      <c r="K378" s="2"/>
      <c r="L378" s="2"/>
      <c r="M378" s="2"/>
      <c r="N378" s="2"/>
      <c r="O378" s="2"/>
      <c r="P378" s="2"/>
      <c r="Q378" s="2"/>
      <c r="R378" s="2"/>
      <c r="S378" s="2"/>
      <c r="T378" s="2"/>
      <c r="U378" s="2"/>
      <c r="V378" s="2"/>
      <c r="W378" s="2"/>
      <c r="X378" s="2"/>
    </row>
    <row r="379" spans="1:24" ht="18">
      <c r="A379" s="2"/>
      <c r="B379" s="2"/>
      <c r="C379" s="2"/>
      <c r="D379" s="2"/>
      <c r="E379" s="2"/>
      <c r="F379" s="2"/>
      <c r="G379" s="2"/>
      <c r="H379" s="2"/>
      <c r="I379" s="2"/>
      <c r="J379" s="2"/>
      <c r="K379" s="2"/>
      <c r="L379" s="2"/>
      <c r="M379" s="2"/>
      <c r="N379" s="2"/>
      <c r="O379" s="2"/>
      <c r="P379" s="2"/>
      <c r="Q379" s="2"/>
      <c r="R379" s="2"/>
      <c r="S379" s="2"/>
      <c r="T379" s="2"/>
      <c r="U379" s="2"/>
      <c r="V379" s="2"/>
      <c r="W379" s="2"/>
      <c r="X379" s="2"/>
    </row>
    <row r="380" spans="1:24" ht="18">
      <c r="A380" s="2"/>
      <c r="B380" s="2"/>
      <c r="C380" s="2"/>
      <c r="D380" s="2"/>
      <c r="E380" s="2"/>
      <c r="F380" s="2"/>
      <c r="G380" s="2"/>
      <c r="H380" s="2"/>
      <c r="I380" s="2"/>
      <c r="J380" s="2"/>
      <c r="K380" s="2"/>
      <c r="L380" s="2"/>
      <c r="M380" s="2"/>
      <c r="N380" s="2"/>
      <c r="O380" s="2"/>
      <c r="P380" s="2"/>
      <c r="Q380" s="2"/>
      <c r="R380" s="2"/>
      <c r="S380" s="2"/>
      <c r="T380" s="2"/>
      <c r="U380" s="2"/>
      <c r="V380" s="2"/>
      <c r="W380" s="2"/>
      <c r="X380" s="2"/>
    </row>
    <row r="381" spans="1:24" ht="18">
      <c r="A381" s="2"/>
      <c r="B381" s="2"/>
      <c r="C381" s="2"/>
      <c r="D381" s="2"/>
      <c r="E381" s="2"/>
      <c r="F381" s="2"/>
      <c r="G381" s="2"/>
      <c r="H381" s="2"/>
      <c r="I381" s="2"/>
      <c r="J381" s="2"/>
      <c r="K381" s="2"/>
      <c r="L381" s="2"/>
      <c r="M381" s="2"/>
      <c r="N381" s="2"/>
      <c r="O381" s="2"/>
      <c r="P381" s="2"/>
      <c r="Q381" s="2"/>
      <c r="R381" s="2"/>
      <c r="S381" s="2"/>
      <c r="T381" s="2"/>
      <c r="U381" s="2"/>
      <c r="V381" s="2"/>
      <c r="W381" s="2"/>
      <c r="X381" s="2"/>
    </row>
    <row r="382" spans="1:24" ht="18">
      <c r="A382" s="2"/>
      <c r="B382" s="2"/>
      <c r="C382" s="2"/>
      <c r="D382" s="2"/>
      <c r="E382" s="2"/>
      <c r="F382" s="2"/>
      <c r="G382" s="2"/>
      <c r="H382" s="2"/>
      <c r="I382" s="2"/>
      <c r="J382" s="2"/>
      <c r="K382" s="2"/>
      <c r="L382" s="2"/>
      <c r="M382" s="2"/>
      <c r="N382" s="2"/>
      <c r="O382" s="2"/>
      <c r="P382" s="2"/>
      <c r="Q382" s="2"/>
      <c r="R382" s="2"/>
      <c r="S382" s="2"/>
      <c r="T382" s="2"/>
      <c r="U382" s="2"/>
      <c r="V382" s="2"/>
      <c r="W382" s="2"/>
      <c r="X382" s="2"/>
    </row>
    <row r="383" spans="1:24" ht="18">
      <c r="A383" s="2"/>
      <c r="B383" s="2"/>
      <c r="C383" s="2"/>
      <c r="D383" s="2"/>
      <c r="E383" s="2"/>
      <c r="F383" s="2"/>
      <c r="G383" s="2"/>
      <c r="H383" s="2"/>
      <c r="I383" s="2"/>
      <c r="J383" s="2"/>
      <c r="K383" s="2"/>
      <c r="L383" s="2"/>
      <c r="M383" s="2"/>
      <c r="N383" s="2"/>
      <c r="O383" s="2"/>
      <c r="P383" s="2"/>
      <c r="Q383" s="2"/>
      <c r="R383" s="2"/>
      <c r="S383" s="2"/>
      <c r="T383" s="2"/>
      <c r="U383" s="2"/>
      <c r="V383" s="2"/>
      <c r="W383" s="2"/>
      <c r="X383" s="2"/>
    </row>
    <row r="384" spans="1:24" ht="18">
      <c r="A384" s="2"/>
      <c r="B384" s="2"/>
      <c r="C384" s="2"/>
      <c r="D384" s="2"/>
      <c r="E384" s="2"/>
      <c r="F384" s="2"/>
      <c r="G384" s="2"/>
      <c r="H384" s="2"/>
      <c r="I384" s="2"/>
      <c r="J384" s="2"/>
      <c r="K384" s="2"/>
      <c r="L384" s="2"/>
      <c r="M384" s="2"/>
      <c r="N384" s="2"/>
      <c r="O384" s="2"/>
      <c r="P384" s="2"/>
      <c r="Q384" s="2"/>
      <c r="R384" s="2"/>
      <c r="S384" s="2"/>
      <c r="T384" s="2"/>
      <c r="U384" s="2"/>
      <c r="V384" s="2"/>
      <c r="W384" s="2"/>
      <c r="X384" s="2"/>
    </row>
    <row r="385" spans="1:24" ht="18">
      <c r="A385" s="2"/>
      <c r="B385" s="2"/>
      <c r="C385" s="2"/>
      <c r="D385" s="2"/>
      <c r="E385" s="2"/>
      <c r="F385" s="2"/>
      <c r="G385" s="2"/>
      <c r="H385" s="2"/>
      <c r="I385" s="2"/>
      <c r="J385" s="2"/>
      <c r="K385" s="2"/>
      <c r="L385" s="2"/>
      <c r="M385" s="2"/>
      <c r="N385" s="2"/>
      <c r="O385" s="2"/>
      <c r="P385" s="2"/>
      <c r="Q385" s="2"/>
      <c r="R385" s="2"/>
      <c r="S385" s="2"/>
      <c r="T385" s="2"/>
      <c r="U385" s="2"/>
      <c r="V385" s="2"/>
      <c r="W385" s="2"/>
      <c r="X385" s="2"/>
    </row>
    <row r="386" spans="1:24" ht="18">
      <c r="A386" s="2"/>
      <c r="B386" s="2"/>
      <c r="C386" s="2"/>
      <c r="D386" s="2"/>
      <c r="E386" s="2"/>
      <c r="F386" s="2"/>
      <c r="G386" s="2"/>
      <c r="H386" s="2"/>
      <c r="I386" s="2"/>
      <c r="J386" s="2"/>
      <c r="K386" s="2"/>
      <c r="L386" s="2"/>
      <c r="M386" s="2"/>
      <c r="N386" s="2"/>
      <c r="O386" s="2"/>
      <c r="P386" s="2"/>
      <c r="Q386" s="2"/>
      <c r="R386" s="2"/>
      <c r="S386" s="2"/>
      <c r="T386" s="2"/>
      <c r="U386" s="2"/>
      <c r="V386" s="2"/>
      <c r="W386" s="2"/>
      <c r="X386" s="2"/>
    </row>
    <row r="387" spans="1:24" ht="18">
      <c r="A387" s="2"/>
      <c r="B387" s="2"/>
      <c r="C387" s="2"/>
      <c r="D387" s="2"/>
      <c r="E387" s="2"/>
      <c r="F387" s="2"/>
      <c r="G387" s="2"/>
      <c r="H387" s="2"/>
      <c r="I387" s="2"/>
      <c r="J387" s="2"/>
      <c r="K387" s="2"/>
      <c r="L387" s="2"/>
      <c r="M387" s="2"/>
      <c r="N387" s="2"/>
      <c r="O387" s="2"/>
      <c r="P387" s="2"/>
      <c r="Q387" s="2"/>
      <c r="R387" s="2"/>
      <c r="S387" s="2"/>
      <c r="T387" s="2"/>
      <c r="U387" s="2"/>
      <c r="V387" s="2"/>
      <c r="W387" s="2"/>
      <c r="X387" s="2"/>
    </row>
    <row r="388" spans="1:24" ht="18">
      <c r="A388" s="2"/>
      <c r="B388" s="2"/>
      <c r="C388" s="2"/>
      <c r="D388" s="2"/>
      <c r="E388" s="2"/>
      <c r="F388" s="2"/>
      <c r="G388" s="2"/>
      <c r="H388" s="2"/>
      <c r="I388" s="2"/>
      <c r="J388" s="2"/>
      <c r="K388" s="2"/>
      <c r="L388" s="2"/>
      <c r="M388" s="2"/>
      <c r="N388" s="2"/>
      <c r="O388" s="2"/>
      <c r="P388" s="2"/>
      <c r="Q388" s="2"/>
      <c r="R388" s="2"/>
      <c r="S388" s="2"/>
      <c r="T388" s="2"/>
      <c r="U388" s="2"/>
      <c r="V388" s="2"/>
      <c r="W388" s="2"/>
      <c r="X388" s="2"/>
    </row>
    <row r="389" spans="1:24" ht="18">
      <c r="A389" s="2"/>
      <c r="B389" s="2"/>
      <c r="C389" s="2"/>
      <c r="D389" s="2"/>
      <c r="E389" s="2"/>
      <c r="F389" s="2"/>
      <c r="G389" s="2"/>
      <c r="H389" s="2"/>
      <c r="I389" s="2"/>
      <c r="J389" s="2"/>
      <c r="K389" s="2"/>
      <c r="L389" s="2"/>
      <c r="M389" s="2"/>
      <c r="N389" s="2"/>
      <c r="O389" s="2"/>
      <c r="P389" s="2"/>
      <c r="Q389" s="2"/>
      <c r="R389" s="2"/>
      <c r="S389" s="2"/>
      <c r="T389" s="2"/>
      <c r="U389" s="2"/>
      <c r="V389" s="2"/>
      <c r="W389" s="2"/>
      <c r="X389" s="2"/>
    </row>
    <row r="390" spans="1:24" ht="18">
      <c r="A390" s="2"/>
      <c r="B390" s="2"/>
      <c r="C390" s="2"/>
      <c r="D390" s="2"/>
      <c r="E390" s="2"/>
      <c r="F390" s="2"/>
      <c r="G390" s="2"/>
      <c r="H390" s="2"/>
      <c r="I390" s="2"/>
      <c r="J390" s="2"/>
      <c r="K390" s="2"/>
      <c r="L390" s="2"/>
      <c r="M390" s="2"/>
      <c r="N390" s="2"/>
      <c r="O390" s="2"/>
      <c r="P390" s="2"/>
      <c r="Q390" s="2"/>
      <c r="R390" s="2"/>
      <c r="S390" s="2"/>
      <c r="T390" s="2"/>
      <c r="U390" s="2"/>
      <c r="V390" s="2"/>
      <c r="W390" s="2"/>
      <c r="X390" s="2"/>
    </row>
    <row r="391" spans="1:24" ht="18">
      <c r="A391" s="2"/>
      <c r="B391" s="2"/>
      <c r="C391" s="2"/>
      <c r="D391" s="2"/>
      <c r="E391" s="2"/>
      <c r="F391" s="2"/>
      <c r="G391" s="2"/>
      <c r="H391" s="2"/>
      <c r="I391" s="2"/>
      <c r="J391" s="2"/>
      <c r="K391" s="2"/>
      <c r="L391" s="2"/>
      <c r="M391" s="2"/>
      <c r="N391" s="2"/>
      <c r="O391" s="2"/>
      <c r="P391" s="2"/>
      <c r="Q391" s="2"/>
      <c r="R391" s="2"/>
      <c r="S391" s="2"/>
      <c r="T391" s="2"/>
      <c r="U391" s="2"/>
      <c r="V391" s="2"/>
      <c r="W391" s="2"/>
      <c r="X391" s="2"/>
    </row>
    <row r="392" spans="1:24" ht="18">
      <c r="A392" s="2"/>
      <c r="B392" s="2"/>
      <c r="C392" s="2"/>
      <c r="D392" s="2"/>
      <c r="E392" s="2"/>
      <c r="F392" s="2"/>
      <c r="G392" s="2"/>
      <c r="H392" s="2"/>
      <c r="I392" s="2"/>
      <c r="J392" s="2"/>
      <c r="K392" s="2"/>
      <c r="L392" s="2"/>
      <c r="M392" s="2"/>
      <c r="N392" s="2"/>
      <c r="O392" s="2"/>
      <c r="P392" s="2"/>
      <c r="Q392" s="2"/>
      <c r="R392" s="2"/>
      <c r="S392" s="2"/>
      <c r="T392" s="2"/>
      <c r="U392" s="2"/>
      <c r="V392" s="2"/>
      <c r="W392" s="2"/>
      <c r="X392" s="2"/>
    </row>
    <row r="393" spans="1:24" ht="18">
      <c r="A393" s="2"/>
      <c r="B393" s="2"/>
      <c r="C393" s="2"/>
      <c r="D393" s="2"/>
      <c r="E393" s="2"/>
      <c r="F393" s="2"/>
      <c r="G393" s="2"/>
      <c r="H393" s="2"/>
      <c r="I393" s="2"/>
      <c r="J393" s="2"/>
      <c r="K393" s="2"/>
      <c r="L393" s="2"/>
      <c r="M393" s="2"/>
      <c r="N393" s="2"/>
      <c r="O393" s="2"/>
      <c r="P393" s="2"/>
      <c r="Q393" s="2"/>
      <c r="R393" s="2"/>
      <c r="S393" s="2"/>
      <c r="T393" s="2"/>
      <c r="U393" s="2"/>
      <c r="V393" s="2"/>
      <c r="W393" s="2"/>
      <c r="X393" s="2"/>
    </row>
    <row r="394" spans="1:24" ht="18">
      <c r="A394" s="2"/>
      <c r="B394" s="2"/>
      <c r="C394" s="2"/>
      <c r="D394" s="2"/>
      <c r="E394" s="2"/>
      <c r="F394" s="2"/>
      <c r="G394" s="2"/>
      <c r="H394" s="2"/>
      <c r="I394" s="2"/>
      <c r="J394" s="2"/>
      <c r="K394" s="2"/>
      <c r="L394" s="2"/>
      <c r="M394" s="2"/>
      <c r="N394" s="2"/>
      <c r="O394" s="2"/>
      <c r="P394" s="2"/>
      <c r="Q394" s="2"/>
      <c r="R394" s="2"/>
      <c r="S394" s="2"/>
      <c r="T394" s="2"/>
      <c r="U394" s="2"/>
      <c r="V394" s="2"/>
      <c r="W394" s="2"/>
      <c r="X394" s="2"/>
    </row>
    <row r="395" spans="1:24" ht="18">
      <c r="A395" s="2"/>
      <c r="B395" s="2"/>
      <c r="C395" s="2"/>
      <c r="D395" s="2"/>
      <c r="E395" s="2"/>
      <c r="F395" s="2"/>
      <c r="G395" s="2"/>
      <c r="H395" s="2"/>
      <c r="I395" s="2"/>
      <c r="J395" s="2"/>
      <c r="K395" s="2"/>
      <c r="L395" s="2"/>
      <c r="M395" s="2"/>
      <c r="N395" s="2"/>
      <c r="O395" s="2"/>
      <c r="P395" s="2"/>
      <c r="Q395" s="2"/>
      <c r="R395" s="2"/>
      <c r="S395" s="2"/>
      <c r="T395" s="2"/>
      <c r="U395" s="2"/>
      <c r="V395" s="2"/>
      <c r="W395" s="2"/>
      <c r="X395" s="2"/>
    </row>
    <row r="396" spans="1:24" ht="18">
      <c r="A396" s="2"/>
      <c r="B396" s="2"/>
      <c r="C396" s="2"/>
      <c r="D396" s="2"/>
      <c r="E396" s="2"/>
      <c r="F396" s="2"/>
      <c r="G396" s="2"/>
      <c r="H396" s="2"/>
      <c r="I396" s="2"/>
      <c r="J396" s="2"/>
      <c r="K396" s="2"/>
      <c r="L396" s="2"/>
      <c r="M396" s="2"/>
      <c r="N396" s="2"/>
      <c r="O396" s="2"/>
      <c r="P396" s="2"/>
      <c r="Q396" s="2"/>
      <c r="R396" s="2"/>
      <c r="S396" s="2"/>
      <c r="T396" s="2"/>
      <c r="U396" s="2"/>
      <c r="V396" s="2"/>
      <c r="W396" s="2"/>
      <c r="X396" s="2"/>
    </row>
    <row r="397" spans="1:24" ht="18">
      <c r="A397" s="2"/>
      <c r="B397" s="2"/>
      <c r="C397" s="2"/>
      <c r="D397" s="2"/>
      <c r="E397" s="2"/>
      <c r="F397" s="2"/>
      <c r="G397" s="2"/>
      <c r="H397" s="2"/>
      <c r="I397" s="2"/>
      <c r="J397" s="2"/>
      <c r="K397" s="2"/>
      <c r="L397" s="2"/>
      <c r="M397" s="2"/>
      <c r="N397" s="2"/>
      <c r="O397" s="2"/>
      <c r="P397" s="2"/>
      <c r="Q397" s="2"/>
      <c r="R397" s="2"/>
      <c r="S397" s="2"/>
      <c r="T397" s="2"/>
      <c r="U397" s="2"/>
      <c r="V397" s="2"/>
      <c r="W397" s="2"/>
      <c r="X397" s="2"/>
    </row>
    <row r="398" spans="1:24" ht="18">
      <c r="A398" s="2"/>
      <c r="B398" s="2"/>
      <c r="C398" s="2"/>
      <c r="D398" s="2"/>
      <c r="E398" s="2"/>
      <c r="F398" s="2"/>
      <c r="G398" s="2"/>
      <c r="H398" s="2"/>
      <c r="I398" s="2"/>
      <c r="J398" s="2"/>
      <c r="K398" s="2"/>
      <c r="L398" s="2"/>
      <c r="M398" s="2"/>
      <c r="N398" s="2"/>
      <c r="O398" s="2"/>
      <c r="P398" s="2"/>
      <c r="Q398" s="2"/>
      <c r="R398" s="2"/>
      <c r="S398" s="2"/>
      <c r="T398" s="2"/>
      <c r="U398" s="2"/>
      <c r="V398" s="2"/>
      <c r="W398" s="2"/>
      <c r="X398" s="2"/>
    </row>
    <row r="399" spans="1:24" ht="18">
      <c r="A399" s="2"/>
      <c r="B399" s="2"/>
      <c r="C399" s="2"/>
      <c r="D399" s="2"/>
      <c r="E399" s="2"/>
      <c r="F399" s="2"/>
      <c r="G399" s="2"/>
      <c r="H399" s="2"/>
      <c r="I399" s="2"/>
      <c r="J399" s="2"/>
      <c r="K399" s="2"/>
      <c r="L399" s="2"/>
      <c r="M399" s="2"/>
      <c r="N399" s="2"/>
      <c r="O399" s="2"/>
      <c r="P399" s="2"/>
      <c r="Q399" s="2"/>
      <c r="R399" s="2"/>
      <c r="S399" s="2"/>
      <c r="T399" s="2"/>
      <c r="U399" s="2"/>
      <c r="V399" s="2"/>
      <c r="W399" s="2"/>
      <c r="X399" s="2"/>
    </row>
    <row r="400" spans="1:24" ht="18">
      <c r="A400" s="2"/>
      <c r="B400" s="2"/>
      <c r="C400" s="2"/>
      <c r="D400" s="2"/>
      <c r="E400" s="2"/>
      <c r="F400" s="2"/>
      <c r="G400" s="2"/>
      <c r="H400" s="2"/>
      <c r="I400" s="2"/>
      <c r="J400" s="2"/>
      <c r="K400" s="2"/>
      <c r="L400" s="2"/>
      <c r="M400" s="2"/>
      <c r="N400" s="2"/>
      <c r="O400" s="2"/>
      <c r="P400" s="2"/>
      <c r="Q400" s="2"/>
      <c r="R400" s="2"/>
      <c r="S400" s="2"/>
      <c r="T400" s="2"/>
      <c r="U400" s="2"/>
      <c r="V400" s="2"/>
      <c r="W400" s="2"/>
      <c r="X400" s="2"/>
    </row>
    <row r="401" spans="1:24" ht="18">
      <c r="A401" s="2"/>
      <c r="B401" s="2"/>
      <c r="C401" s="2"/>
      <c r="D401" s="2"/>
      <c r="E401" s="2"/>
      <c r="F401" s="2"/>
      <c r="G401" s="2"/>
      <c r="H401" s="2"/>
      <c r="I401" s="2"/>
      <c r="J401" s="2"/>
      <c r="K401" s="2"/>
      <c r="L401" s="2"/>
      <c r="M401" s="2"/>
      <c r="N401" s="2"/>
      <c r="O401" s="2"/>
      <c r="P401" s="2"/>
      <c r="Q401" s="2"/>
      <c r="R401" s="2"/>
      <c r="S401" s="2"/>
      <c r="T401" s="2"/>
      <c r="U401" s="2"/>
      <c r="V401" s="2"/>
      <c r="W401" s="2"/>
      <c r="X401" s="2"/>
    </row>
    <row r="402" spans="1:24" ht="18">
      <c r="A402" s="2"/>
      <c r="B402" s="2"/>
      <c r="C402" s="2"/>
      <c r="D402" s="2"/>
      <c r="E402" s="2"/>
      <c r="F402" s="2"/>
      <c r="G402" s="2"/>
      <c r="H402" s="2"/>
      <c r="I402" s="2"/>
      <c r="J402" s="2"/>
      <c r="K402" s="2"/>
      <c r="L402" s="2"/>
      <c r="M402" s="2"/>
      <c r="N402" s="2"/>
      <c r="O402" s="2"/>
      <c r="P402" s="2"/>
      <c r="Q402" s="2"/>
      <c r="R402" s="2"/>
      <c r="S402" s="2"/>
      <c r="T402" s="2"/>
      <c r="U402" s="2"/>
      <c r="V402" s="2"/>
      <c r="W402" s="2"/>
      <c r="X402" s="2"/>
    </row>
    <row r="403" spans="1:24" ht="18">
      <c r="A403" s="2"/>
      <c r="B403" s="2"/>
      <c r="C403" s="2"/>
      <c r="D403" s="2"/>
      <c r="E403" s="2"/>
      <c r="F403" s="2"/>
      <c r="G403" s="2"/>
      <c r="H403" s="2"/>
      <c r="I403" s="2"/>
      <c r="J403" s="2"/>
      <c r="K403" s="2"/>
      <c r="L403" s="2"/>
      <c r="M403" s="2"/>
      <c r="N403" s="2"/>
      <c r="O403" s="2"/>
      <c r="P403" s="2"/>
      <c r="Q403" s="2"/>
      <c r="R403" s="2"/>
      <c r="S403" s="2"/>
      <c r="T403" s="2"/>
      <c r="U403" s="2"/>
      <c r="V403" s="2"/>
      <c r="W403" s="2"/>
      <c r="X403" s="2"/>
    </row>
    <row r="404" spans="1:24" ht="18">
      <c r="A404" s="2"/>
      <c r="B404" s="2"/>
      <c r="C404" s="2"/>
      <c r="D404" s="2"/>
      <c r="E404" s="2"/>
      <c r="F404" s="2"/>
      <c r="G404" s="2"/>
      <c r="H404" s="2"/>
      <c r="I404" s="2"/>
      <c r="J404" s="2"/>
      <c r="K404" s="2"/>
      <c r="L404" s="2"/>
      <c r="M404" s="2"/>
      <c r="N404" s="2"/>
      <c r="O404" s="2"/>
      <c r="P404" s="2"/>
      <c r="Q404" s="2"/>
      <c r="R404" s="2"/>
      <c r="S404" s="2"/>
      <c r="T404" s="2"/>
      <c r="U404" s="2"/>
      <c r="V404" s="2"/>
      <c r="W404" s="2"/>
      <c r="X404" s="2"/>
    </row>
    <row r="405" spans="1:24" ht="18">
      <c r="A405" s="2"/>
      <c r="B405" s="2"/>
      <c r="C405" s="2"/>
      <c r="D405" s="2"/>
      <c r="E405" s="2"/>
      <c r="F405" s="2"/>
      <c r="G405" s="2"/>
      <c r="H405" s="2"/>
      <c r="I405" s="2"/>
      <c r="J405" s="2"/>
      <c r="K405" s="2"/>
      <c r="L405" s="2"/>
      <c r="M405" s="2"/>
      <c r="N405" s="2"/>
      <c r="O405" s="2"/>
      <c r="P405" s="2"/>
      <c r="Q405" s="2"/>
      <c r="R405" s="2"/>
      <c r="S405" s="2"/>
      <c r="T405" s="2"/>
      <c r="U405" s="2"/>
      <c r="V405" s="2"/>
      <c r="W405" s="2"/>
      <c r="X405" s="2"/>
    </row>
    <row r="406" spans="1:24" ht="18">
      <c r="A406" s="2"/>
      <c r="B406" s="2"/>
      <c r="C406" s="2"/>
      <c r="D406" s="2"/>
      <c r="E406" s="2"/>
      <c r="F406" s="2"/>
      <c r="G406" s="2"/>
      <c r="H406" s="2"/>
      <c r="I406" s="2"/>
      <c r="J406" s="2"/>
      <c r="K406" s="2"/>
      <c r="L406" s="2"/>
      <c r="M406" s="2"/>
      <c r="N406" s="2"/>
      <c r="O406" s="2"/>
      <c r="P406" s="2"/>
      <c r="Q406" s="2"/>
      <c r="R406" s="2"/>
      <c r="S406" s="2"/>
      <c r="T406" s="2"/>
      <c r="U406" s="2"/>
      <c r="V406" s="2"/>
      <c r="W406" s="2"/>
      <c r="X406" s="2"/>
    </row>
    <row r="407" spans="1:24" ht="18">
      <c r="A407" s="2"/>
      <c r="B407" s="2"/>
      <c r="C407" s="2"/>
      <c r="D407" s="2"/>
      <c r="E407" s="2"/>
      <c r="F407" s="2"/>
      <c r="G407" s="2"/>
      <c r="H407" s="2"/>
      <c r="I407" s="2"/>
      <c r="J407" s="2"/>
      <c r="K407" s="2"/>
      <c r="L407" s="2"/>
      <c r="M407" s="2"/>
      <c r="N407" s="2"/>
      <c r="O407" s="2"/>
      <c r="P407" s="2"/>
      <c r="Q407" s="2"/>
      <c r="R407" s="2"/>
      <c r="S407" s="2"/>
      <c r="T407" s="2"/>
      <c r="U407" s="2"/>
      <c r="V407" s="2"/>
      <c r="W407" s="2"/>
      <c r="X407" s="2"/>
    </row>
    <row r="408" spans="1:24" ht="18">
      <c r="A408" s="2"/>
      <c r="B408" s="2"/>
      <c r="C408" s="2"/>
      <c r="D408" s="2"/>
      <c r="E408" s="2"/>
      <c r="F408" s="2"/>
      <c r="G408" s="2"/>
      <c r="H408" s="2"/>
      <c r="I408" s="2"/>
      <c r="J408" s="2"/>
      <c r="K408" s="2"/>
      <c r="L408" s="2"/>
      <c r="M408" s="2"/>
      <c r="N408" s="2"/>
      <c r="O408" s="2"/>
      <c r="P408" s="2"/>
      <c r="Q408" s="2"/>
      <c r="R408" s="2"/>
      <c r="S408" s="2"/>
      <c r="T408" s="2"/>
      <c r="U408" s="2"/>
      <c r="V408" s="2"/>
      <c r="W408" s="2"/>
      <c r="X408" s="2"/>
    </row>
    <row r="409" spans="1:24" ht="18">
      <c r="A409" s="2"/>
      <c r="B409" s="2"/>
      <c r="C409" s="2"/>
      <c r="D409" s="2"/>
      <c r="E409" s="2"/>
      <c r="F409" s="2"/>
      <c r="G409" s="2"/>
      <c r="H409" s="2"/>
      <c r="I409" s="2"/>
      <c r="J409" s="2"/>
      <c r="K409" s="2"/>
      <c r="L409" s="2"/>
      <c r="M409" s="2"/>
      <c r="N409" s="2"/>
      <c r="O409" s="2"/>
      <c r="P409" s="2"/>
      <c r="Q409" s="2"/>
      <c r="R409" s="2"/>
      <c r="S409" s="2"/>
      <c r="T409" s="2"/>
      <c r="U409" s="2"/>
      <c r="V409" s="2"/>
      <c r="W409" s="2"/>
      <c r="X409" s="2"/>
    </row>
    <row r="410" spans="1:24" ht="18">
      <c r="A410" s="2"/>
      <c r="B410" s="2"/>
      <c r="C410" s="2"/>
      <c r="D410" s="2"/>
      <c r="E410" s="2"/>
      <c r="F410" s="2"/>
      <c r="G410" s="2"/>
      <c r="H410" s="2"/>
      <c r="I410" s="2"/>
      <c r="J410" s="2"/>
      <c r="K410" s="2"/>
      <c r="L410" s="2"/>
      <c r="M410" s="2"/>
      <c r="N410" s="2"/>
      <c r="O410" s="2"/>
      <c r="P410" s="2"/>
      <c r="Q410" s="2"/>
      <c r="R410" s="2"/>
      <c r="S410" s="2"/>
      <c r="T410" s="2"/>
      <c r="U410" s="2"/>
      <c r="V410" s="2"/>
      <c r="W410" s="2"/>
      <c r="X410" s="2"/>
    </row>
    <row r="411" spans="1:24" ht="18">
      <c r="A411" s="2"/>
      <c r="B411" s="2"/>
      <c r="C411" s="2"/>
      <c r="D411" s="2"/>
      <c r="E411" s="2"/>
      <c r="F411" s="2"/>
      <c r="G411" s="2"/>
      <c r="H411" s="2"/>
      <c r="I411" s="2"/>
      <c r="J411" s="2"/>
      <c r="K411" s="2"/>
      <c r="L411" s="2"/>
      <c r="M411" s="2"/>
      <c r="N411" s="2"/>
      <c r="O411" s="2"/>
      <c r="P411" s="2"/>
      <c r="Q411" s="2"/>
      <c r="R411" s="2"/>
      <c r="S411" s="2"/>
      <c r="T411" s="2"/>
      <c r="U411" s="2"/>
      <c r="V411" s="2"/>
      <c r="W411" s="2"/>
      <c r="X411" s="2"/>
    </row>
    <row r="412" spans="1:24" ht="18">
      <c r="A412" s="2"/>
      <c r="B412" s="2"/>
      <c r="C412" s="2"/>
      <c r="D412" s="2"/>
      <c r="E412" s="2"/>
      <c r="F412" s="2"/>
      <c r="G412" s="2"/>
      <c r="H412" s="2"/>
      <c r="I412" s="2"/>
      <c r="J412" s="2"/>
      <c r="K412" s="2"/>
      <c r="L412" s="2"/>
      <c r="M412" s="2"/>
      <c r="N412" s="2"/>
      <c r="O412" s="2"/>
      <c r="P412" s="2"/>
      <c r="Q412" s="2"/>
      <c r="R412" s="2"/>
      <c r="S412" s="2"/>
      <c r="T412" s="2"/>
      <c r="U412" s="2"/>
      <c r="V412" s="2"/>
      <c r="W412" s="2"/>
      <c r="X412" s="2"/>
    </row>
    <row r="413" spans="1:24" ht="18">
      <c r="A413" s="2"/>
      <c r="B413" s="2"/>
      <c r="C413" s="2"/>
      <c r="D413" s="2"/>
      <c r="E413" s="2"/>
      <c r="F413" s="2"/>
      <c r="G413" s="2"/>
      <c r="H413" s="2"/>
      <c r="I413" s="2"/>
      <c r="J413" s="2"/>
      <c r="K413" s="2"/>
      <c r="L413" s="2"/>
      <c r="M413" s="2"/>
      <c r="N413" s="2"/>
      <c r="O413" s="2"/>
      <c r="P413" s="2"/>
      <c r="Q413" s="2"/>
      <c r="R413" s="2"/>
      <c r="S413" s="2"/>
      <c r="T413" s="2"/>
      <c r="U413" s="2"/>
      <c r="V413" s="2"/>
      <c r="W413" s="2"/>
      <c r="X413" s="2"/>
    </row>
    <row r="414" spans="1:24" ht="18">
      <c r="A414" s="2"/>
      <c r="B414" s="2"/>
      <c r="C414" s="2"/>
      <c r="D414" s="2"/>
      <c r="E414" s="2"/>
      <c r="F414" s="2"/>
      <c r="G414" s="2"/>
      <c r="H414" s="2"/>
      <c r="I414" s="2"/>
      <c r="J414" s="2"/>
      <c r="K414" s="2"/>
      <c r="L414" s="2"/>
      <c r="M414" s="2"/>
      <c r="N414" s="2"/>
      <c r="O414" s="2"/>
      <c r="P414" s="2"/>
      <c r="Q414" s="2"/>
      <c r="R414" s="2"/>
      <c r="S414" s="2"/>
      <c r="T414" s="2"/>
      <c r="U414" s="2"/>
      <c r="V414" s="2"/>
      <c r="W414" s="2"/>
      <c r="X414" s="2"/>
    </row>
    <row r="415" spans="1:24" ht="18">
      <c r="A415" s="2"/>
      <c r="B415" s="2"/>
      <c r="C415" s="2"/>
      <c r="D415" s="2"/>
      <c r="E415" s="2"/>
      <c r="F415" s="2"/>
      <c r="G415" s="2"/>
      <c r="H415" s="2"/>
      <c r="I415" s="2"/>
      <c r="J415" s="2"/>
      <c r="K415" s="2"/>
      <c r="L415" s="2"/>
      <c r="M415" s="2"/>
      <c r="N415" s="2"/>
      <c r="O415" s="2"/>
      <c r="P415" s="2"/>
      <c r="Q415" s="2"/>
      <c r="R415" s="2"/>
      <c r="S415" s="2"/>
      <c r="T415" s="2"/>
      <c r="U415" s="2"/>
      <c r="V415" s="2"/>
      <c r="W415" s="2"/>
      <c r="X415" s="2"/>
    </row>
    <row r="416" spans="1:24" ht="18">
      <c r="A416" s="2"/>
      <c r="B416" s="2"/>
      <c r="C416" s="2"/>
      <c r="D416" s="2"/>
      <c r="E416" s="2"/>
      <c r="F416" s="2"/>
      <c r="G416" s="2"/>
      <c r="H416" s="2"/>
      <c r="I416" s="2"/>
      <c r="J416" s="2"/>
      <c r="K416" s="2"/>
      <c r="L416" s="2"/>
      <c r="M416" s="2"/>
      <c r="N416" s="2"/>
      <c r="O416" s="2"/>
      <c r="P416" s="2"/>
      <c r="Q416" s="2"/>
      <c r="R416" s="2"/>
      <c r="S416" s="2"/>
      <c r="T416" s="2"/>
      <c r="U416" s="2"/>
      <c r="V416" s="2"/>
      <c r="W416" s="2"/>
      <c r="X416" s="2"/>
    </row>
    <row r="417" spans="1:24" ht="18">
      <c r="A417" s="2"/>
      <c r="B417" s="2"/>
      <c r="C417" s="2"/>
      <c r="D417" s="2"/>
      <c r="E417" s="2"/>
      <c r="F417" s="2"/>
      <c r="G417" s="2"/>
      <c r="H417" s="2"/>
      <c r="I417" s="2"/>
      <c r="J417" s="2"/>
      <c r="K417" s="2"/>
      <c r="L417" s="2"/>
      <c r="M417" s="2"/>
      <c r="N417" s="2"/>
      <c r="O417" s="2"/>
      <c r="P417" s="2"/>
      <c r="Q417" s="2"/>
      <c r="R417" s="2"/>
      <c r="S417" s="2"/>
      <c r="T417" s="2"/>
      <c r="U417" s="2"/>
      <c r="V417" s="2"/>
      <c r="W417" s="2"/>
      <c r="X417" s="2"/>
    </row>
    <row r="418" spans="1:24" ht="18">
      <c r="A418" s="2"/>
      <c r="B418" s="2"/>
      <c r="C418" s="2"/>
      <c r="D418" s="2"/>
      <c r="E418" s="2"/>
      <c r="F418" s="2"/>
      <c r="G418" s="2"/>
      <c r="H418" s="2"/>
      <c r="I418" s="2"/>
      <c r="J418" s="2"/>
      <c r="K418" s="2"/>
      <c r="L418" s="2"/>
      <c r="M418" s="2"/>
      <c r="N418" s="2"/>
      <c r="O418" s="2"/>
      <c r="P418" s="2"/>
      <c r="Q418" s="2"/>
      <c r="R418" s="2"/>
      <c r="S418" s="2"/>
      <c r="T418" s="2"/>
      <c r="U418" s="2"/>
      <c r="V418" s="2"/>
      <c r="W418" s="2"/>
      <c r="X418" s="2"/>
    </row>
    <row r="419" spans="1:24" ht="18">
      <c r="A419" s="2"/>
      <c r="B419" s="2"/>
      <c r="C419" s="2"/>
      <c r="D419" s="2"/>
      <c r="E419" s="2"/>
      <c r="F419" s="2"/>
      <c r="G419" s="2"/>
      <c r="H419" s="2"/>
      <c r="I419" s="2"/>
      <c r="J419" s="2"/>
      <c r="K419" s="2"/>
      <c r="L419" s="2"/>
      <c r="M419" s="2"/>
      <c r="N419" s="2"/>
      <c r="O419" s="2"/>
      <c r="P419" s="2"/>
      <c r="Q419" s="2"/>
      <c r="R419" s="2"/>
      <c r="S419" s="2"/>
      <c r="T419" s="2"/>
      <c r="U419" s="2"/>
      <c r="V419" s="2"/>
      <c r="W419" s="2"/>
      <c r="X419" s="2"/>
    </row>
    <row r="420" spans="1:24" ht="18">
      <c r="A420" s="2"/>
      <c r="B420" s="2"/>
      <c r="C420" s="2"/>
      <c r="D420" s="2"/>
      <c r="E420" s="2"/>
      <c r="F420" s="2"/>
      <c r="G420" s="2"/>
      <c r="H420" s="2"/>
      <c r="I420" s="2"/>
      <c r="J420" s="2"/>
      <c r="K420" s="2"/>
      <c r="L420" s="2"/>
      <c r="M420" s="2"/>
      <c r="N420" s="2"/>
      <c r="O420" s="2"/>
      <c r="P420" s="2"/>
      <c r="Q420" s="2"/>
      <c r="R420" s="2"/>
      <c r="S420" s="2"/>
      <c r="T420" s="2"/>
      <c r="U420" s="2"/>
      <c r="V420" s="2"/>
      <c r="W420" s="2"/>
      <c r="X420" s="2"/>
    </row>
    <row r="421" spans="1:24" ht="18">
      <c r="A421" s="2"/>
      <c r="B421" s="2"/>
      <c r="C421" s="2"/>
      <c r="D421" s="2"/>
      <c r="E421" s="2"/>
      <c r="F421" s="2"/>
      <c r="G421" s="2"/>
      <c r="H421" s="2"/>
      <c r="I421" s="2"/>
      <c r="J421" s="2"/>
      <c r="K421" s="2"/>
      <c r="L421" s="2"/>
      <c r="M421" s="2"/>
      <c r="N421" s="2"/>
      <c r="O421" s="2"/>
      <c r="P421" s="2"/>
      <c r="Q421" s="2"/>
      <c r="R421" s="2"/>
      <c r="S421" s="2"/>
      <c r="T421" s="2"/>
      <c r="U421" s="2"/>
      <c r="V421" s="2"/>
      <c r="W421" s="2"/>
      <c r="X421" s="2"/>
    </row>
    <row r="422" spans="1:24" ht="18">
      <c r="A422" s="2"/>
      <c r="B422" s="2"/>
      <c r="C422" s="2"/>
      <c r="D422" s="2"/>
      <c r="E422" s="2"/>
      <c r="F422" s="2"/>
      <c r="G422" s="2"/>
      <c r="H422" s="2"/>
      <c r="I422" s="2"/>
      <c r="J422" s="2"/>
      <c r="K422" s="2"/>
      <c r="L422" s="2"/>
      <c r="M422" s="2"/>
      <c r="N422" s="2"/>
      <c r="O422" s="2"/>
      <c r="P422" s="2"/>
      <c r="Q422" s="2"/>
      <c r="R422" s="2"/>
      <c r="S422" s="2"/>
      <c r="T422" s="2"/>
      <c r="U422" s="2"/>
      <c r="V422" s="2"/>
      <c r="W422" s="2"/>
      <c r="X422" s="2"/>
    </row>
    <row r="423" spans="1:24" ht="18">
      <c r="A423" s="2"/>
      <c r="B423" s="2"/>
      <c r="C423" s="2"/>
      <c r="D423" s="2"/>
      <c r="E423" s="2"/>
      <c r="F423" s="2"/>
      <c r="G423" s="2"/>
      <c r="H423" s="2"/>
      <c r="I423" s="2"/>
      <c r="J423" s="2"/>
      <c r="K423" s="2"/>
      <c r="L423" s="2"/>
      <c r="M423" s="2"/>
      <c r="N423" s="2"/>
      <c r="O423" s="2"/>
      <c r="P423" s="2"/>
      <c r="Q423" s="2"/>
      <c r="R423" s="2"/>
      <c r="S423" s="2"/>
      <c r="T423" s="2"/>
      <c r="U423" s="2"/>
      <c r="V423" s="2"/>
      <c r="W423" s="2"/>
      <c r="X423" s="2"/>
    </row>
    <row r="424" spans="1:24" ht="18">
      <c r="A424" s="2"/>
      <c r="B424" s="2"/>
      <c r="C424" s="2"/>
      <c r="D424" s="2"/>
      <c r="E424" s="2"/>
      <c r="F424" s="2"/>
      <c r="G424" s="2"/>
      <c r="H424" s="2"/>
      <c r="I424" s="2"/>
      <c r="J424" s="2"/>
      <c r="K424" s="2"/>
      <c r="L424" s="2"/>
      <c r="M424" s="2"/>
      <c r="N424" s="2"/>
      <c r="O424" s="2"/>
      <c r="P424" s="2"/>
      <c r="Q424" s="2"/>
      <c r="R424" s="2"/>
      <c r="S424" s="2"/>
      <c r="T424" s="2"/>
      <c r="U424" s="2"/>
      <c r="V424" s="2"/>
      <c r="W424" s="2"/>
      <c r="X424" s="2"/>
    </row>
    <row r="425" spans="1:24" ht="18">
      <c r="A425" s="2"/>
      <c r="B425" s="2"/>
      <c r="C425" s="2"/>
      <c r="D425" s="2"/>
      <c r="E425" s="2"/>
      <c r="F425" s="2"/>
      <c r="G425" s="2"/>
      <c r="H425" s="2"/>
      <c r="I425" s="2"/>
      <c r="J425" s="2"/>
      <c r="K425" s="2"/>
      <c r="L425" s="2"/>
      <c r="M425" s="2"/>
      <c r="N425" s="2"/>
      <c r="O425" s="2"/>
      <c r="P425" s="2"/>
      <c r="Q425" s="2"/>
      <c r="R425" s="2"/>
      <c r="S425" s="2"/>
      <c r="T425" s="2"/>
      <c r="U425" s="2"/>
      <c r="V425" s="2"/>
      <c r="W425" s="2"/>
      <c r="X425" s="2"/>
    </row>
    <row r="426" spans="1:24" ht="18">
      <c r="A426" s="2"/>
      <c r="B426" s="2"/>
      <c r="C426" s="2"/>
      <c r="D426" s="2"/>
      <c r="E426" s="2"/>
      <c r="F426" s="2"/>
      <c r="G426" s="2"/>
      <c r="H426" s="2"/>
      <c r="I426" s="2"/>
      <c r="J426" s="2"/>
      <c r="K426" s="2"/>
      <c r="L426" s="2"/>
      <c r="M426" s="2"/>
      <c r="N426" s="2"/>
      <c r="O426" s="2"/>
      <c r="P426" s="2"/>
      <c r="Q426" s="2"/>
      <c r="R426" s="2"/>
      <c r="S426" s="2"/>
      <c r="T426" s="2"/>
      <c r="U426" s="2"/>
      <c r="V426" s="2"/>
      <c r="W426" s="2"/>
      <c r="X426" s="2"/>
    </row>
    <row r="427" spans="1:24" ht="18">
      <c r="A427" s="2"/>
      <c r="B427" s="2"/>
      <c r="C427" s="2"/>
      <c r="D427" s="2"/>
      <c r="E427" s="2"/>
      <c r="F427" s="2"/>
      <c r="G427" s="2"/>
      <c r="H427" s="2"/>
      <c r="I427" s="2"/>
      <c r="J427" s="2"/>
      <c r="K427" s="2"/>
      <c r="L427" s="2"/>
      <c r="M427" s="2"/>
      <c r="N427" s="2"/>
      <c r="O427" s="2"/>
      <c r="P427" s="2"/>
      <c r="Q427" s="2"/>
      <c r="R427" s="2"/>
      <c r="S427" s="2"/>
      <c r="T427" s="2"/>
      <c r="U427" s="2"/>
      <c r="V427" s="2"/>
      <c r="W427" s="2"/>
      <c r="X427" s="2"/>
    </row>
    <row r="428" spans="1:24" ht="18">
      <c r="A428" s="2"/>
      <c r="B428" s="2"/>
      <c r="C428" s="2"/>
      <c r="D428" s="2"/>
      <c r="E428" s="2"/>
      <c r="F428" s="2"/>
      <c r="G428" s="2"/>
      <c r="H428" s="2"/>
      <c r="I428" s="2"/>
      <c r="J428" s="2"/>
      <c r="K428" s="2"/>
      <c r="L428" s="2"/>
      <c r="M428" s="2"/>
      <c r="N428" s="2"/>
      <c r="O428" s="2"/>
      <c r="P428" s="2"/>
      <c r="Q428" s="2"/>
      <c r="R428" s="2"/>
      <c r="S428" s="2"/>
      <c r="T428" s="2"/>
      <c r="U428" s="2"/>
      <c r="V428" s="2"/>
      <c r="W428" s="2"/>
      <c r="X428" s="2"/>
    </row>
    <row r="429" spans="1:24" ht="18">
      <c r="A429" s="2"/>
      <c r="B429" s="2"/>
      <c r="C429" s="2"/>
      <c r="D429" s="2"/>
      <c r="E429" s="2"/>
      <c r="F429" s="2"/>
      <c r="G429" s="2"/>
      <c r="H429" s="2"/>
      <c r="I429" s="2"/>
      <c r="J429" s="2"/>
      <c r="K429" s="2"/>
      <c r="L429" s="2"/>
      <c r="M429" s="2"/>
      <c r="N429" s="2"/>
      <c r="O429" s="2"/>
      <c r="P429" s="2"/>
      <c r="Q429" s="2"/>
      <c r="R429" s="2"/>
      <c r="S429" s="2"/>
      <c r="T429" s="2"/>
      <c r="U429" s="2"/>
      <c r="V429" s="2"/>
      <c r="W429" s="2"/>
      <c r="X429" s="2"/>
    </row>
    <row r="430" spans="1:24" ht="18">
      <c r="A430" s="2"/>
      <c r="B430" s="2"/>
      <c r="C430" s="2"/>
      <c r="D430" s="2"/>
      <c r="E430" s="2"/>
      <c r="F430" s="2"/>
      <c r="G430" s="2"/>
      <c r="H430" s="2"/>
      <c r="I430" s="2"/>
      <c r="J430" s="2"/>
      <c r="K430" s="2"/>
      <c r="L430" s="2"/>
      <c r="M430" s="2"/>
      <c r="N430" s="2"/>
      <c r="O430" s="2"/>
      <c r="P430" s="2"/>
      <c r="Q430" s="2"/>
      <c r="R430" s="2"/>
      <c r="S430" s="2"/>
      <c r="T430" s="2"/>
      <c r="U430" s="2"/>
      <c r="V430" s="2"/>
      <c r="W430" s="2"/>
      <c r="X430" s="2"/>
    </row>
    <row r="431" spans="1:24" ht="18">
      <c r="A431" s="2"/>
      <c r="B431" s="2"/>
      <c r="C431" s="2"/>
      <c r="D431" s="2"/>
      <c r="E431" s="2"/>
      <c r="F431" s="2"/>
      <c r="G431" s="2"/>
      <c r="H431" s="2"/>
      <c r="I431" s="2"/>
      <c r="J431" s="2"/>
      <c r="K431" s="2"/>
      <c r="L431" s="2"/>
      <c r="M431" s="2"/>
      <c r="N431" s="2"/>
      <c r="O431" s="2"/>
      <c r="P431" s="2"/>
      <c r="Q431" s="2"/>
      <c r="R431" s="2"/>
      <c r="S431" s="2"/>
      <c r="T431" s="2"/>
      <c r="U431" s="2"/>
      <c r="V431" s="2"/>
      <c r="W431" s="2"/>
      <c r="X431" s="2"/>
    </row>
    <row r="432" spans="1:24" ht="18">
      <c r="A432" s="2"/>
      <c r="B432" s="2"/>
      <c r="C432" s="2"/>
      <c r="D432" s="2"/>
      <c r="E432" s="2"/>
      <c r="F432" s="2"/>
      <c r="G432" s="2"/>
      <c r="H432" s="2"/>
      <c r="I432" s="2"/>
      <c r="J432" s="2"/>
      <c r="K432" s="2"/>
      <c r="L432" s="2"/>
      <c r="M432" s="2"/>
      <c r="N432" s="2"/>
      <c r="O432" s="2"/>
      <c r="P432" s="2"/>
      <c r="Q432" s="2"/>
      <c r="R432" s="2"/>
      <c r="S432" s="2"/>
      <c r="T432" s="2"/>
      <c r="U432" s="2"/>
      <c r="V432" s="2"/>
      <c r="W432" s="2"/>
      <c r="X432" s="2"/>
    </row>
    <row r="433" spans="1:24" ht="18">
      <c r="A433" s="2"/>
      <c r="B433" s="2"/>
      <c r="C433" s="2"/>
      <c r="D433" s="2"/>
      <c r="E433" s="2"/>
      <c r="F433" s="2"/>
      <c r="G433" s="2"/>
      <c r="H433" s="2"/>
      <c r="I433" s="2"/>
      <c r="J433" s="2"/>
      <c r="K433" s="2"/>
      <c r="L433" s="2"/>
      <c r="M433" s="2"/>
      <c r="N433" s="2"/>
      <c r="O433" s="2"/>
      <c r="P433" s="2"/>
      <c r="Q433" s="2"/>
      <c r="R433" s="2"/>
      <c r="S433" s="2"/>
      <c r="T433" s="2"/>
      <c r="U433" s="2"/>
      <c r="V433" s="2"/>
      <c r="W433" s="2"/>
      <c r="X433" s="2"/>
    </row>
    <row r="434" spans="1:24" ht="18">
      <c r="A434" s="2"/>
      <c r="B434" s="2"/>
      <c r="C434" s="2"/>
      <c r="D434" s="2"/>
      <c r="E434" s="2"/>
      <c r="F434" s="2"/>
      <c r="G434" s="2"/>
      <c r="H434" s="2"/>
      <c r="I434" s="2"/>
      <c r="J434" s="2"/>
      <c r="K434" s="2"/>
      <c r="L434" s="2"/>
      <c r="M434" s="2"/>
      <c r="N434" s="2"/>
      <c r="O434" s="2"/>
      <c r="P434" s="2"/>
      <c r="Q434" s="2"/>
      <c r="R434" s="2"/>
      <c r="S434" s="2"/>
      <c r="T434" s="2"/>
      <c r="U434" s="2"/>
      <c r="V434" s="2"/>
      <c r="W434" s="2"/>
      <c r="X434" s="2"/>
    </row>
    <row r="435" spans="1:24" ht="18">
      <c r="A435" s="2"/>
      <c r="B435" s="2"/>
      <c r="C435" s="2"/>
      <c r="D435" s="2"/>
      <c r="E435" s="2"/>
      <c r="F435" s="2"/>
      <c r="G435" s="2"/>
      <c r="H435" s="2"/>
      <c r="I435" s="2"/>
      <c r="J435" s="2"/>
      <c r="K435" s="2"/>
      <c r="L435" s="2"/>
      <c r="M435" s="2"/>
      <c r="N435" s="2"/>
      <c r="O435" s="2"/>
      <c r="P435" s="2"/>
      <c r="Q435" s="2"/>
      <c r="R435" s="2"/>
      <c r="S435" s="2"/>
      <c r="T435" s="2"/>
      <c r="U435" s="2"/>
      <c r="V435" s="2"/>
      <c r="W435" s="2"/>
      <c r="X435" s="2"/>
    </row>
    <row r="436" spans="1:24" ht="18">
      <c r="A436" s="2"/>
      <c r="B436" s="2"/>
      <c r="C436" s="2"/>
      <c r="D436" s="2"/>
      <c r="E436" s="2"/>
      <c r="F436" s="2"/>
      <c r="G436" s="2"/>
      <c r="H436" s="2"/>
      <c r="I436" s="2"/>
      <c r="J436" s="2"/>
      <c r="K436" s="2"/>
      <c r="L436" s="2"/>
      <c r="M436" s="2"/>
      <c r="N436" s="2"/>
      <c r="O436" s="2"/>
      <c r="P436" s="2"/>
      <c r="Q436" s="2"/>
      <c r="R436" s="2"/>
      <c r="S436" s="2"/>
      <c r="T436" s="2"/>
      <c r="U436" s="2"/>
      <c r="V436" s="2"/>
      <c r="W436" s="2"/>
      <c r="X436" s="2"/>
    </row>
    <row r="437" spans="1:24" ht="18">
      <c r="A437" s="2"/>
      <c r="B437" s="2"/>
      <c r="C437" s="2"/>
      <c r="D437" s="2"/>
      <c r="E437" s="2"/>
      <c r="F437" s="2"/>
      <c r="G437" s="2"/>
      <c r="H437" s="2"/>
      <c r="I437" s="2"/>
      <c r="J437" s="2"/>
      <c r="K437" s="2"/>
      <c r="L437" s="2"/>
      <c r="M437" s="2"/>
      <c r="N437" s="2"/>
      <c r="O437" s="2"/>
      <c r="P437" s="2"/>
      <c r="Q437" s="2"/>
      <c r="R437" s="2"/>
      <c r="S437" s="2"/>
      <c r="T437" s="2"/>
      <c r="U437" s="2"/>
      <c r="V437" s="2"/>
      <c r="W437" s="2"/>
      <c r="X437" s="2"/>
    </row>
    <row r="438" spans="1:24" ht="18">
      <c r="A438" s="2"/>
      <c r="B438" s="2"/>
      <c r="C438" s="2"/>
      <c r="D438" s="2"/>
      <c r="E438" s="2"/>
      <c r="F438" s="2"/>
      <c r="G438" s="2"/>
      <c r="H438" s="2"/>
      <c r="I438" s="2"/>
      <c r="J438" s="2"/>
      <c r="K438" s="2"/>
      <c r="L438" s="2"/>
      <c r="M438" s="2"/>
      <c r="N438" s="2"/>
      <c r="O438" s="2"/>
      <c r="P438" s="2"/>
      <c r="Q438" s="2"/>
      <c r="R438" s="2"/>
      <c r="S438" s="2"/>
      <c r="T438" s="2"/>
      <c r="U438" s="2"/>
      <c r="V438" s="2"/>
      <c r="W438" s="2"/>
      <c r="X438" s="2"/>
    </row>
    <row r="439" spans="1:24" ht="18">
      <c r="A439" s="2"/>
      <c r="B439" s="2"/>
      <c r="C439" s="2"/>
      <c r="D439" s="2"/>
      <c r="E439" s="2"/>
      <c r="F439" s="2"/>
      <c r="G439" s="2"/>
      <c r="H439" s="2"/>
      <c r="I439" s="2"/>
      <c r="J439" s="2"/>
      <c r="K439" s="2"/>
      <c r="L439" s="2"/>
      <c r="M439" s="2"/>
      <c r="N439" s="2"/>
      <c r="O439" s="2"/>
      <c r="P439" s="2"/>
      <c r="Q439" s="2"/>
      <c r="R439" s="2"/>
      <c r="S439" s="2"/>
      <c r="T439" s="2"/>
      <c r="U439" s="2"/>
      <c r="V439" s="2"/>
      <c r="W439" s="2"/>
      <c r="X439" s="2"/>
    </row>
    <row r="440" spans="1:24" ht="18">
      <c r="A440" s="2"/>
      <c r="B440" s="2"/>
      <c r="C440" s="2"/>
      <c r="D440" s="2"/>
      <c r="E440" s="2"/>
      <c r="F440" s="2"/>
      <c r="G440" s="2"/>
      <c r="H440" s="2"/>
      <c r="I440" s="2"/>
      <c r="J440" s="2"/>
      <c r="K440" s="2"/>
      <c r="L440" s="2"/>
      <c r="M440" s="2"/>
      <c r="N440" s="2"/>
      <c r="O440" s="2"/>
      <c r="P440" s="2"/>
      <c r="Q440" s="2"/>
      <c r="R440" s="2"/>
      <c r="S440" s="2"/>
      <c r="T440" s="2"/>
      <c r="U440" s="2"/>
      <c r="V440" s="2"/>
      <c r="W440" s="2"/>
      <c r="X440" s="2"/>
    </row>
    <row r="441" spans="1:24" ht="18">
      <c r="A441" s="2"/>
      <c r="B441" s="2"/>
      <c r="C441" s="2"/>
      <c r="D441" s="2"/>
      <c r="E441" s="2"/>
      <c r="F441" s="2"/>
      <c r="G441" s="2"/>
      <c r="H441" s="2"/>
      <c r="I441" s="2"/>
      <c r="J441" s="2"/>
      <c r="K441" s="2"/>
      <c r="L441" s="2"/>
      <c r="M441" s="2"/>
      <c r="N441" s="2"/>
      <c r="O441" s="2"/>
      <c r="P441" s="2"/>
      <c r="Q441" s="2"/>
      <c r="R441" s="2"/>
      <c r="S441" s="2"/>
      <c r="T441" s="2"/>
      <c r="U441" s="2"/>
      <c r="V441" s="2"/>
      <c r="W441" s="2"/>
      <c r="X441" s="2"/>
    </row>
    <row r="442" spans="1:24" ht="18">
      <c r="A442" s="2"/>
      <c r="B442" s="2"/>
      <c r="C442" s="2"/>
      <c r="D442" s="2"/>
      <c r="E442" s="2"/>
      <c r="F442" s="2"/>
      <c r="G442" s="2"/>
      <c r="H442" s="2"/>
      <c r="I442" s="2"/>
      <c r="J442" s="2"/>
      <c r="K442" s="2"/>
      <c r="L442" s="2"/>
      <c r="M442" s="2"/>
      <c r="N442" s="2"/>
      <c r="O442" s="2"/>
      <c r="P442" s="2"/>
      <c r="Q442" s="2"/>
      <c r="R442" s="2"/>
      <c r="S442" s="2"/>
      <c r="T442" s="2"/>
      <c r="U442" s="2"/>
      <c r="V442" s="2"/>
      <c r="W442" s="2"/>
      <c r="X442" s="2"/>
    </row>
    <row r="443" spans="1:24" ht="18">
      <c r="A443" s="2"/>
      <c r="B443" s="2"/>
      <c r="C443" s="2"/>
      <c r="D443" s="2"/>
      <c r="E443" s="2"/>
      <c r="F443" s="2"/>
      <c r="G443" s="2"/>
      <c r="H443" s="2"/>
      <c r="I443" s="2"/>
      <c r="J443" s="2"/>
      <c r="K443" s="2"/>
      <c r="L443" s="2"/>
      <c r="M443" s="2"/>
      <c r="N443" s="2"/>
      <c r="O443" s="2"/>
      <c r="P443" s="2"/>
      <c r="Q443" s="2"/>
      <c r="R443" s="2"/>
      <c r="S443" s="2"/>
      <c r="T443" s="2"/>
      <c r="U443" s="2"/>
      <c r="V443" s="2"/>
      <c r="W443" s="2"/>
      <c r="X443" s="2"/>
    </row>
    <row r="444" spans="1:24" ht="18">
      <c r="A444" s="2"/>
      <c r="B444" s="2"/>
      <c r="C444" s="2"/>
      <c r="D444" s="2"/>
      <c r="E444" s="2"/>
      <c r="F444" s="2"/>
      <c r="G444" s="2"/>
      <c r="H444" s="2"/>
      <c r="I444" s="2"/>
      <c r="J444" s="2"/>
      <c r="K444" s="2"/>
      <c r="L444" s="2"/>
      <c r="M444" s="2"/>
      <c r="N444" s="2"/>
      <c r="O444" s="2"/>
      <c r="P444" s="2"/>
      <c r="Q444" s="2"/>
      <c r="R444" s="2"/>
      <c r="S444" s="2"/>
      <c r="T444" s="2"/>
      <c r="U444" s="2"/>
      <c r="V444" s="2"/>
      <c r="W444" s="2"/>
      <c r="X444" s="2"/>
    </row>
    <row r="445" spans="1:24" ht="18">
      <c r="A445" s="2"/>
      <c r="B445" s="2"/>
      <c r="C445" s="2"/>
      <c r="D445" s="2"/>
      <c r="E445" s="2"/>
      <c r="F445" s="2"/>
      <c r="G445" s="2"/>
      <c r="H445" s="2"/>
      <c r="I445" s="2"/>
      <c r="J445" s="2"/>
      <c r="K445" s="2"/>
      <c r="L445" s="2"/>
      <c r="M445" s="2"/>
      <c r="N445" s="2"/>
      <c r="O445" s="2"/>
      <c r="P445" s="2"/>
      <c r="Q445" s="2"/>
      <c r="R445" s="2"/>
      <c r="S445" s="2"/>
      <c r="T445" s="2"/>
      <c r="U445" s="2"/>
      <c r="V445" s="2"/>
      <c r="W445" s="2"/>
      <c r="X445" s="2"/>
    </row>
    <row r="446" spans="1:24" ht="18">
      <c r="A446" s="2"/>
      <c r="B446" s="2"/>
      <c r="C446" s="2"/>
      <c r="D446" s="2"/>
      <c r="E446" s="2"/>
      <c r="F446" s="2"/>
      <c r="G446" s="2"/>
      <c r="H446" s="2"/>
      <c r="I446" s="2"/>
      <c r="J446" s="2"/>
      <c r="K446" s="2"/>
      <c r="L446" s="2"/>
      <c r="M446" s="2"/>
      <c r="N446" s="2"/>
      <c r="O446" s="2"/>
      <c r="P446" s="2"/>
      <c r="Q446" s="2"/>
      <c r="R446" s="2"/>
      <c r="S446" s="2"/>
      <c r="T446" s="2"/>
      <c r="U446" s="2"/>
      <c r="V446" s="2"/>
      <c r="W446" s="2"/>
      <c r="X446" s="2"/>
    </row>
    <row r="447" spans="1:24" ht="18">
      <c r="A447" s="2"/>
      <c r="B447" s="2"/>
      <c r="C447" s="2"/>
      <c r="D447" s="2"/>
      <c r="E447" s="2"/>
      <c r="F447" s="2"/>
      <c r="G447" s="2"/>
      <c r="H447" s="2"/>
      <c r="I447" s="2"/>
      <c r="J447" s="2"/>
      <c r="K447" s="2"/>
      <c r="L447" s="2"/>
      <c r="M447" s="2"/>
      <c r="N447" s="2"/>
      <c r="O447" s="2"/>
      <c r="P447" s="2"/>
      <c r="Q447" s="2"/>
      <c r="R447" s="2"/>
      <c r="S447" s="2"/>
      <c r="T447" s="2"/>
      <c r="U447" s="2"/>
      <c r="V447" s="2"/>
      <c r="W447" s="2"/>
      <c r="X447" s="2"/>
    </row>
    <row r="448" spans="1:24" ht="18">
      <c r="A448" s="2"/>
      <c r="B448" s="2"/>
      <c r="C448" s="2"/>
      <c r="D448" s="2"/>
      <c r="E448" s="2"/>
      <c r="F448" s="2"/>
      <c r="G448" s="2"/>
      <c r="H448" s="2"/>
      <c r="I448" s="2"/>
      <c r="J448" s="2"/>
      <c r="K448" s="2"/>
      <c r="L448" s="2"/>
      <c r="M448" s="2"/>
      <c r="N448" s="2"/>
      <c r="O448" s="2"/>
      <c r="P448" s="2"/>
      <c r="Q448" s="2"/>
      <c r="R448" s="2"/>
      <c r="S448" s="2"/>
      <c r="T448" s="2"/>
      <c r="U448" s="2"/>
      <c r="V448" s="2"/>
      <c r="W448" s="2"/>
      <c r="X448" s="2"/>
    </row>
    <row r="449" spans="1:24" ht="18">
      <c r="A449" s="2"/>
      <c r="B449" s="2"/>
      <c r="C449" s="2"/>
      <c r="D449" s="2"/>
      <c r="E449" s="2"/>
      <c r="F449" s="2"/>
      <c r="G449" s="2"/>
      <c r="H449" s="2"/>
      <c r="I449" s="2"/>
      <c r="J449" s="2"/>
      <c r="K449" s="2"/>
      <c r="L449" s="2"/>
      <c r="M449" s="2"/>
      <c r="N449" s="2"/>
      <c r="O449" s="2"/>
      <c r="P449" s="2"/>
      <c r="Q449" s="2"/>
      <c r="R449" s="2"/>
      <c r="S449" s="2"/>
      <c r="T449" s="2"/>
      <c r="U449" s="2"/>
      <c r="V449" s="2"/>
      <c r="W449" s="2"/>
      <c r="X449" s="2"/>
    </row>
    <row r="450" spans="1:24" ht="18">
      <c r="A450" s="2"/>
      <c r="B450" s="2"/>
      <c r="C450" s="2"/>
      <c r="D450" s="2"/>
      <c r="E450" s="2"/>
      <c r="F450" s="2"/>
      <c r="G450" s="2"/>
      <c r="H450" s="2"/>
      <c r="I450" s="2"/>
      <c r="J450" s="2"/>
      <c r="K450" s="2"/>
      <c r="L450" s="2"/>
      <c r="M450" s="2"/>
      <c r="N450" s="2"/>
      <c r="O450" s="2"/>
      <c r="P450" s="2"/>
      <c r="Q450" s="2"/>
      <c r="R450" s="2"/>
      <c r="S450" s="2"/>
      <c r="T450" s="2"/>
      <c r="U450" s="2"/>
      <c r="V450" s="2"/>
      <c r="W450" s="2"/>
      <c r="X450" s="2"/>
    </row>
    <row r="451" spans="1:24" ht="18">
      <c r="A451" s="2"/>
      <c r="B451" s="2"/>
      <c r="C451" s="2"/>
      <c r="D451" s="2"/>
      <c r="E451" s="2"/>
      <c r="F451" s="2"/>
      <c r="G451" s="2"/>
      <c r="H451" s="2"/>
      <c r="I451" s="2"/>
      <c r="J451" s="2"/>
      <c r="K451" s="2"/>
      <c r="L451" s="2"/>
      <c r="M451" s="2"/>
      <c r="N451" s="2"/>
      <c r="O451" s="2"/>
      <c r="P451" s="2"/>
      <c r="Q451" s="2"/>
      <c r="R451" s="2"/>
      <c r="S451" s="2"/>
      <c r="T451" s="2"/>
      <c r="U451" s="2"/>
      <c r="V451" s="2"/>
      <c r="W451" s="2"/>
      <c r="X451" s="2"/>
    </row>
    <row r="452" spans="1:24" ht="18">
      <c r="A452" s="2"/>
      <c r="B452" s="2"/>
      <c r="C452" s="2"/>
      <c r="D452" s="2"/>
      <c r="E452" s="2"/>
      <c r="F452" s="2"/>
      <c r="G452" s="2"/>
      <c r="H452" s="2"/>
      <c r="I452" s="2"/>
      <c r="J452" s="2"/>
      <c r="K452" s="2"/>
      <c r="L452" s="2"/>
      <c r="M452" s="2"/>
      <c r="N452" s="2"/>
      <c r="O452" s="2"/>
      <c r="P452" s="2"/>
      <c r="Q452" s="2"/>
      <c r="R452" s="2"/>
      <c r="S452" s="2"/>
      <c r="T452" s="2"/>
      <c r="U452" s="2"/>
      <c r="V452" s="2"/>
      <c r="W452" s="2"/>
      <c r="X452" s="2"/>
    </row>
    <row r="453" spans="1:24" ht="18">
      <c r="A453" s="2"/>
      <c r="B453" s="2"/>
      <c r="C453" s="2"/>
      <c r="D453" s="2"/>
      <c r="E453" s="2"/>
      <c r="F453" s="2"/>
      <c r="G453" s="2"/>
      <c r="H453" s="2"/>
      <c r="I453" s="2"/>
      <c r="J453" s="2"/>
      <c r="K453" s="2"/>
      <c r="L453" s="2"/>
      <c r="M453" s="2"/>
      <c r="N453" s="2"/>
      <c r="O453" s="2"/>
      <c r="P453" s="2"/>
      <c r="Q453" s="2"/>
      <c r="R453" s="2"/>
      <c r="S453" s="2"/>
      <c r="T453" s="2"/>
      <c r="U453" s="2"/>
      <c r="V453" s="2"/>
      <c r="W453" s="2"/>
      <c r="X453" s="2"/>
    </row>
    <row r="454" spans="1:24" ht="18">
      <c r="A454" s="2"/>
      <c r="B454" s="2"/>
      <c r="C454" s="2"/>
      <c r="D454" s="2"/>
      <c r="E454" s="2"/>
      <c r="F454" s="2"/>
      <c r="G454" s="2"/>
      <c r="H454" s="2"/>
      <c r="I454" s="2"/>
      <c r="J454" s="2"/>
      <c r="K454" s="2"/>
      <c r="L454" s="2"/>
      <c r="M454" s="2"/>
      <c r="N454" s="2"/>
      <c r="O454" s="2"/>
      <c r="P454" s="2"/>
      <c r="Q454" s="2"/>
      <c r="R454" s="2"/>
      <c r="S454" s="2"/>
      <c r="T454" s="2"/>
      <c r="U454" s="2"/>
      <c r="V454" s="2"/>
      <c r="W454" s="2"/>
      <c r="X454" s="2"/>
    </row>
    <row r="455" spans="1:24" ht="18">
      <c r="A455" s="2"/>
      <c r="B455" s="2"/>
      <c r="C455" s="2"/>
      <c r="D455" s="2"/>
      <c r="E455" s="2"/>
      <c r="F455" s="2"/>
      <c r="G455" s="2"/>
      <c r="H455" s="2"/>
      <c r="I455" s="2"/>
      <c r="J455" s="2"/>
      <c r="K455" s="2"/>
      <c r="L455" s="2"/>
      <c r="M455" s="2"/>
      <c r="N455" s="2"/>
      <c r="O455" s="2"/>
      <c r="P455" s="2"/>
      <c r="Q455" s="2"/>
      <c r="R455" s="2"/>
      <c r="S455" s="2"/>
      <c r="T455" s="2"/>
      <c r="U455" s="2"/>
      <c r="V455" s="2"/>
      <c r="W455" s="2"/>
      <c r="X455" s="2"/>
    </row>
    <row r="456" spans="1:24" ht="18">
      <c r="A456" s="2"/>
      <c r="B456" s="2"/>
      <c r="C456" s="2"/>
      <c r="D456" s="2"/>
      <c r="E456" s="2"/>
      <c r="F456" s="2"/>
      <c r="G456" s="2"/>
      <c r="H456" s="2"/>
      <c r="I456" s="2"/>
      <c r="J456" s="2"/>
      <c r="K456" s="2"/>
      <c r="L456" s="2"/>
      <c r="M456" s="2"/>
      <c r="N456" s="2"/>
      <c r="O456" s="2"/>
      <c r="P456" s="2"/>
      <c r="Q456" s="2"/>
      <c r="R456" s="2"/>
      <c r="S456" s="2"/>
      <c r="T456" s="2"/>
      <c r="U456" s="2"/>
      <c r="V456" s="2"/>
      <c r="W456" s="2"/>
      <c r="X456" s="2"/>
    </row>
    <row r="457" spans="1:24" ht="18">
      <c r="A457" s="2"/>
      <c r="B457" s="2"/>
      <c r="C457" s="2"/>
      <c r="D457" s="2"/>
      <c r="E457" s="2"/>
      <c r="F457" s="2"/>
      <c r="G457" s="2"/>
      <c r="H457" s="2"/>
      <c r="I457" s="2"/>
      <c r="J457" s="2"/>
      <c r="K457" s="2"/>
      <c r="L457" s="2"/>
      <c r="M457" s="2"/>
      <c r="N457" s="2"/>
      <c r="O457" s="2"/>
      <c r="P457" s="2"/>
      <c r="Q457" s="2"/>
      <c r="R457" s="2"/>
      <c r="S457" s="2"/>
      <c r="T457" s="2"/>
      <c r="U457" s="2"/>
      <c r="V457" s="2"/>
      <c r="W457" s="2"/>
      <c r="X457" s="2"/>
    </row>
    <row r="458" spans="1:24" ht="18">
      <c r="A458" s="2"/>
      <c r="B458" s="2"/>
      <c r="C458" s="2"/>
      <c r="D458" s="2"/>
      <c r="E458" s="2"/>
      <c r="F458" s="2"/>
      <c r="G458" s="2"/>
      <c r="H458" s="2"/>
      <c r="I458" s="2"/>
      <c r="J458" s="2"/>
      <c r="K458" s="2"/>
      <c r="L458" s="2"/>
      <c r="M458" s="2"/>
      <c r="N458" s="2"/>
      <c r="O458" s="2"/>
      <c r="P458" s="2"/>
      <c r="Q458" s="2"/>
      <c r="R458" s="2"/>
      <c r="S458" s="2"/>
      <c r="T458" s="2"/>
      <c r="U458" s="2"/>
      <c r="V458" s="2"/>
      <c r="W458" s="2"/>
      <c r="X458" s="2"/>
    </row>
    <row r="459" spans="1:24" ht="18">
      <c r="A459" s="2"/>
      <c r="B459" s="2"/>
      <c r="C459" s="2"/>
      <c r="D459" s="2"/>
      <c r="E459" s="2"/>
      <c r="F459" s="2"/>
      <c r="G459" s="2"/>
      <c r="H459" s="2"/>
      <c r="I459" s="2"/>
      <c r="J459" s="2"/>
      <c r="K459" s="2"/>
      <c r="L459" s="2"/>
      <c r="M459" s="2"/>
      <c r="N459" s="2"/>
      <c r="O459" s="2"/>
      <c r="P459" s="2"/>
      <c r="Q459" s="2"/>
      <c r="R459" s="2"/>
      <c r="S459" s="2"/>
      <c r="T459" s="2"/>
      <c r="U459" s="2"/>
      <c r="V459" s="2"/>
      <c r="W459" s="2"/>
      <c r="X459" s="2"/>
    </row>
    <row r="460" spans="1:24" ht="18">
      <c r="A460" s="2"/>
      <c r="B460" s="2"/>
      <c r="C460" s="2"/>
      <c r="D460" s="2"/>
      <c r="E460" s="2"/>
      <c r="F460" s="2"/>
      <c r="G460" s="2"/>
      <c r="H460" s="2"/>
      <c r="I460" s="2"/>
      <c r="J460" s="2"/>
      <c r="K460" s="2"/>
      <c r="L460" s="2"/>
      <c r="M460" s="2"/>
      <c r="N460" s="2"/>
      <c r="O460" s="2"/>
      <c r="P460" s="2"/>
      <c r="Q460" s="2"/>
      <c r="R460" s="2"/>
      <c r="S460" s="2"/>
      <c r="T460" s="2"/>
      <c r="U460" s="2"/>
      <c r="V460" s="2"/>
      <c r="W460" s="2"/>
      <c r="X460" s="2"/>
    </row>
    <row r="461" spans="1:24" ht="18">
      <c r="A461" s="2"/>
      <c r="B461" s="2"/>
      <c r="C461" s="2"/>
      <c r="D461" s="2"/>
      <c r="E461" s="2"/>
      <c r="F461" s="2"/>
      <c r="G461" s="2"/>
      <c r="H461" s="2"/>
      <c r="I461" s="2"/>
      <c r="J461" s="2"/>
      <c r="K461" s="2"/>
      <c r="L461" s="2"/>
      <c r="M461" s="2"/>
      <c r="N461" s="2"/>
      <c r="O461" s="2"/>
      <c r="P461" s="2"/>
      <c r="Q461" s="2"/>
      <c r="R461" s="2"/>
      <c r="S461" s="2"/>
      <c r="T461" s="2"/>
      <c r="U461" s="2"/>
      <c r="V461" s="2"/>
      <c r="W461" s="2"/>
      <c r="X461" s="2"/>
    </row>
    <row r="462" spans="1:24" ht="18">
      <c r="A462" s="2"/>
      <c r="B462" s="2"/>
      <c r="C462" s="2"/>
      <c r="D462" s="2"/>
      <c r="E462" s="2"/>
      <c r="F462" s="2"/>
      <c r="G462" s="2"/>
      <c r="H462" s="2"/>
      <c r="I462" s="2"/>
      <c r="J462" s="2"/>
      <c r="K462" s="2"/>
      <c r="L462" s="2"/>
      <c r="M462" s="2"/>
      <c r="N462" s="2"/>
      <c r="O462" s="2"/>
      <c r="P462" s="2"/>
      <c r="Q462" s="2"/>
      <c r="R462" s="2"/>
      <c r="S462" s="2"/>
      <c r="T462" s="2"/>
      <c r="U462" s="2"/>
      <c r="V462" s="2"/>
      <c r="W462" s="2"/>
      <c r="X462" s="2"/>
    </row>
    <row r="463" spans="1:24" ht="18">
      <c r="A463" s="2"/>
      <c r="B463" s="2"/>
      <c r="C463" s="2"/>
      <c r="D463" s="2"/>
      <c r="E463" s="2"/>
      <c r="F463" s="2"/>
      <c r="G463" s="2"/>
      <c r="H463" s="2"/>
      <c r="I463" s="2"/>
      <c r="J463" s="2"/>
      <c r="K463" s="2"/>
      <c r="L463" s="2"/>
      <c r="M463" s="2"/>
      <c r="N463" s="2"/>
      <c r="O463" s="2"/>
      <c r="P463" s="2"/>
      <c r="Q463" s="2"/>
      <c r="R463" s="2"/>
      <c r="S463" s="2"/>
      <c r="T463" s="2"/>
      <c r="U463" s="2"/>
      <c r="V463" s="2"/>
      <c r="W463" s="2"/>
      <c r="X463" s="2"/>
    </row>
    <row r="464" spans="1:24" ht="18">
      <c r="A464" s="2"/>
      <c r="B464" s="2"/>
      <c r="C464" s="2"/>
      <c r="D464" s="2"/>
      <c r="E464" s="2"/>
      <c r="F464" s="2"/>
      <c r="G464" s="2"/>
      <c r="H464" s="2"/>
      <c r="I464" s="2"/>
      <c r="J464" s="2"/>
      <c r="K464" s="2"/>
      <c r="L464" s="2"/>
      <c r="M464" s="2"/>
      <c r="N464" s="2"/>
      <c r="O464" s="2"/>
      <c r="P464" s="2"/>
      <c r="Q464" s="2"/>
      <c r="R464" s="2"/>
      <c r="S464" s="2"/>
      <c r="T464" s="2"/>
      <c r="U464" s="2"/>
      <c r="V464" s="2"/>
      <c r="W464" s="2"/>
      <c r="X464" s="2"/>
    </row>
    <row r="465" spans="1:24" ht="18">
      <c r="A465" s="2"/>
      <c r="B465" s="2"/>
      <c r="C465" s="2"/>
      <c r="D465" s="2"/>
      <c r="E465" s="2"/>
      <c r="F465" s="2"/>
      <c r="G465" s="2"/>
      <c r="H465" s="2"/>
      <c r="I465" s="2"/>
      <c r="J465" s="2"/>
      <c r="K465" s="2"/>
      <c r="L465" s="2"/>
      <c r="M465" s="2"/>
      <c r="N465" s="2"/>
      <c r="O465" s="2"/>
      <c r="P465" s="2"/>
      <c r="Q465" s="2"/>
      <c r="R465" s="2"/>
      <c r="S465" s="2"/>
      <c r="T465" s="2"/>
      <c r="U465" s="2"/>
      <c r="V465" s="2"/>
      <c r="W465" s="2"/>
      <c r="X465" s="2"/>
    </row>
    <row r="466" spans="1:24" ht="18">
      <c r="A466" s="2"/>
      <c r="B466" s="2"/>
      <c r="C466" s="2"/>
      <c r="D466" s="2"/>
      <c r="E466" s="2"/>
      <c r="F466" s="2"/>
      <c r="G466" s="2"/>
      <c r="H466" s="2"/>
      <c r="I466" s="2"/>
      <c r="J466" s="2"/>
      <c r="K466" s="2"/>
      <c r="L466" s="2"/>
      <c r="M466" s="2"/>
      <c r="N466" s="2"/>
      <c r="O466" s="2"/>
      <c r="P466" s="2"/>
      <c r="Q466" s="2"/>
      <c r="R466" s="2"/>
      <c r="S466" s="2"/>
      <c r="T466" s="2"/>
      <c r="U466" s="2"/>
      <c r="V466" s="2"/>
      <c r="W466" s="2"/>
      <c r="X466" s="2"/>
    </row>
    <row r="467" spans="1:24" ht="18">
      <c r="A467" s="2"/>
      <c r="B467" s="2"/>
      <c r="C467" s="2"/>
      <c r="D467" s="2"/>
      <c r="E467" s="2"/>
      <c r="F467" s="2"/>
      <c r="G467" s="2"/>
      <c r="H467" s="2"/>
      <c r="I467" s="2"/>
      <c r="J467" s="2"/>
      <c r="K467" s="2"/>
      <c r="L467" s="2"/>
      <c r="M467" s="2"/>
      <c r="N467" s="2"/>
      <c r="O467" s="2"/>
      <c r="P467" s="2"/>
      <c r="Q467" s="2"/>
      <c r="R467" s="2"/>
      <c r="S467" s="2"/>
      <c r="T467" s="2"/>
      <c r="U467" s="2"/>
      <c r="V467" s="2"/>
      <c r="W467" s="2"/>
      <c r="X467" s="2"/>
    </row>
    <row r="468" spans="1:24" ht="18">
      <c r="A468" s="2"/>
      <c r="B468" s="2"/>
      <c r="C468" s="2"/>
      <c r="D468" s="2"/>
      <c r="E468" s="2"/>
      <c r="F468" s="2"/>
      <c r="G468" s="2"/>
      <c r="H468" s="2"/>
      <c r="I468" s="2"/>
      <c r="J468" s="2"/>
      <c r="K468" s="2"/>
      <c r="L468" s="2"/>
      <c r="M468" s="2"/>
      <c r="N468" s="2"/>
      <c r="O468" s="2"/>
      <c r="P468" s="2"/>
      <c r="Q468" s="2"/>
      <c r="R468" s="2"/>
      <c r="S468" s="2"/>
      <c r="T468" s="2"/>
      <c r="U468" s="2"/>
      <c r="V468" s="2"/>
      <c r="W468" s="2"/>
      <c r="X468" s="2"/>
    </row>
    <row r="469" spans="1:24" ht="18">
      <c r="A469" s="2"/>
      <c r="B469" s="2"/>
      <c r="C469" s="2"/>
      <c r="D469" s="2"/>
      <c r="E469" s="2"/>
      <c r="F469" s="2"/>
      <c r="G469" s="2"/>
      <c r="H469" s="2"/>
      <c r="I469" s="2"/>
      <c r="J469" s="2"/>
      <c r="K469" s="2"/>
      <c r="L469" s="2"/>
      <c r="M469" s="2"/>
      <c r="N469" s="2"/>
      <c r="O469" s="2"/>
      <c r="P469" s="2"/>
      <c r="Q469" s="2"/>
      <c r="R469" s="2"/>
      <c r="S469" s="2"/>
      <c r="T469" s="2"/>
      <c r="U469" s="2"/>
      <c r="V469" s="2"/>
      <c r="W469" s="2"/>
      <c r="X469" s="2"/>
    </row>
    <row r="470" spans="1:24" ht="18">
      <c r="A470" s="2"/>
      <c r="B470" s="2"/>
      <c r="C470" s="2"/>
      <c r="D470" s="2"/>
      <c r="E470" s="2"/>
      <c r="F470" s="2"/>
      <c r="G470" s="2"/>
      <c r="H470" s="2"/>
      <c r="I470" s="2"/>
      <c r="J470" s="2"/>
      <c r="K470" s="2"/>
      <c r="L470" s="2"/>
      <c r="M470" s="2"/>
      <c r="N470" s="2"/>
      <c r="O470" s="2"/>
      <c r="P470" s="2"/>
      <c r="Q470" s="2"/>
      <c r="R470" s="2"/>
      <c r="S470" s="2"/>
      <c r="T470" s="2"/>
      <c r="U470" s="2"/>
      <c r="V470" s="2"/>
      <c r="W470" s="2"/>
      <c r="X470" s="2"/>
    </row>
    <row r="471" spans="1:24" ht="18">
      <c r="A471" s="2"/>
      <c r="B471" s="2"/>
      <c r="C471" s="2"/>
      <c r="D471" s="2"/>
      <c r="E471" s="2"/>
      <c r="F471" s="2"/>
      <c r="G471" s="2"/>
      <c r="H471" s="2"/>
      <c r="I471" s="2"/>
      <c r="J471" s="2"/>
      <c r="K471" s="2"/>
      <c r="L471" s="2"/>
      <c r="M471" s="2"/>
      <c r="N471" s="2"/>
      <c r="O471" s="2"/>
      <c r="P471" s="2"/>
      <c r="Q471" s="2"/>
      <c r="R471" s="2"/>
      <c r="S471" s="2"/>
      <c r="T471" s="2"/>
      <c r="U471" s="2"/>
      <c r="V471" s="2"/>
      <c r="W471" s="2"/>
      <c r="X471" s="2"/>
    </row>
    <row r="472" spans="1:24" ht="18">
      <c r="A472" s="2"/>
      <c r="B472" s="2"/>
      <c r="C472" s="2"/>
      <c r="D472" s="2"/>
      <c r="E472" s="2"/>
      <c r="F472" s="2"/>
      <c r="G472" s="2"/>
      <c r="H472" s="2"/>
      <c r="I472" s="2"/>
      <c r="J472" s="2"/>
      <c r="K472" s="2"/>
      <c r="L472" s="2"/>
      <c r="M472" s="2"/>
      <c r="N472" s="2"/>
      <c r="O472" s="2"/>
      <c r="P472" s="2"/>
      <c r="Q472" s="2"/>
      <c r="R472" s="2"/>
      <c r="S472" s="2"/>
      <c r="T472" s="2"/>
      <c r="U472" s="2"/>
      <c r="V472" s="2"/>
      <c r="W472" s="2"/>
      <c r="X472" s="2"/>
    </row>
    <row r="473" spans="1:24" ht="18">
      <c r="A473" s="2"/>
      <c r="B473" s="2"/>
      <c r="C473" s="2"/>
      <c r="D473" s="2"/>
      <c r="E473" s="2"/>
      <c r="F473" s="2"/>
      <c r="G473" s="2"/>
      <c r="H473" s="2"/>
      <c r="I473" s="2"/>
      <c r="J473" s="2"/>
      <c r="K473" s="2"/>
      <c r="L473" s="2"/>
      <c r="M473" s="2"/>
      <c r="N473" s="2"/>
      <c r="O473" s="2"/>
      <c r="P473" s="2"/>
      <c r="Q473" s="2"/>
      <c r="R473" s="2"/>
      <c r="S473" s="2"/>
      <c r="T473" s="2"/>
      <c r="U473" s="2"/>
      <c r="V473" s="2"/>
      <c r="W473" s="2"/>
      <c r="X473" s="2"/>
    </row>
    <row r="474" spans="1:24" ht="18">
      <c r="A474" s="2"/>
      <c r="B474" s="2"/>
      <c r="C474" s="2"/>
      <c r="D474" s="2"/>
      <c r="E474" s="2"/>
      <c r="F474" s="2"/>
      <c r="G474" s="2"/>
      <c r="H474" s="2"/>
      <c r="I474" s="2"/>
      <c r="J474" s="2"/>
      <c r="K474" s="2"/>
      <c r="L474" s="2"/>
      <c r="M474" s="2"/>
      <c r="N474" s="2"/>
      <c r="O474" s="2"/>
      <c r="P474" s="2"/>
      <c r="Q474" s="2"/>
      <c r="R474" s="2"/>
      <c r="S474" s="2"/>
      <c r="T474" s="2"/>
      <c r="U474" s="2"/>
      <c r="V474" s="2"/>
      <c r="W474" s="2"/>
      <c r="X474" s="2"/>
    </row>
    <row r="475" spans="1:24" ht="18">
      <c r="A475" s="2"/>
      <c r="B475" s="2"/>
      <c r="C475" s="2"/>
      <c r="D475" s="2"/>
      <c r="E475" s="2"/>
      <c r="F475" s="2"/>
      <c r="G475" s="2"/>
      <c r="H475" s="2"/>
      <c r="I475" s="2"/>
      <c r="J475" s="2"/>
      <c r="K475" s="2"/>
      <c r="L475" s="2"/>
      <c r="M475" s="2"/>
      <c r="N475" s="2"/>
      <c r="O475" s="2"/>
      <c r="P475" s="2"/>
      <c r="Q475" s="2"/>
      <c r="R475" s="2"/>
      <c r="S475" s="2"/>
      <c r="T475" s="2"/>
      <c r="U475" s="2"/>
      <c r="V475" s="2"/>
      <c r="W475" s="2"/>
      <c r="X475" s="2"/>
    </row>
    <row r="476" spans="1:24" ht="18">
      <c r="A476" s="2"/>
      <c r="B476" s="2"/>
      <c r="C476" s="2"/>
      <c r="D476" s="2"/>
      <c r="E476" s="2"/>
      <c r="F476" s="2"/>
      <c r="G476" s="2"/>
      <c r="H476" s="2"/>
      <c r="I476" s="2"/>
      <c r="J476" s="2"/>
      <c r="K476" s="2"/>
      <c r="L476" s="2"/>
      <c r="M476" s="2"/>
      <c r="N476" s="2"/>
      <c r="O476" s="2"/>
      <c r="P476" s="2"/>
      <c r="Q476" s="2"/>
      <c r="R476" s="2"/>
      <c r="S476" s="2"/>
      <c r="T476" s="2"/>
      <c r="U476" s="2"/>
      <c r="V476" s="2"/>
      <c r="W476" s="2"/>
      <c r="X476" s="2"/>
    </row>
    <row r="477" spans="1:24" ht="18">
      <c r="A477" s="2"/>
      <c r="B477" s="2"/>
      <c r="C477" s="2"/>
      <c r="D477" s="2"/>
      <c r="E477" s="2"/>
      <c r="F477" s="2"/>
      <c r="G477" s="2"/>
      <c r="H477" s="2"/>
      <c r="I477" s="2"/>
      <c r="J477" s="2"/>
      <c r="K477" s="2"/>
      <c r="L477" s="2"/>
      <c r="M477" s="2"/>
      <c r="N477" s="2"/>
      <c r="O477" s="2"/>
      <c r="P477" s="2"/>
      <c r="Q477" s="2"/>
      <c r="R477" s="2"/>
      <c r="S477" s="2"/>
      <c r="T477" s="2"/>
      <c r="U477" s="2"/>
      <c r="V477" s="2"/>
      <c r="W477" s="2"/>
      <c r="X477" s="2"/>
    </row>
    <row r="478" spans="1:24" ht="18">
      <c r="A478" s="2"/>
      <c r="B478" s="2"/>
      <c r="C478" s="2"/>
      <c r="D478" s="2"/>
      <c r="E478" s="2"/>
      <c r="F478" s="2"/>
      <c r="G478" s="2"/>
      <c r="H478" s="2"/>
      <c r="I478" s="2"/>
      <c r="J478" s="2"/>
      <c r="K478" s="2"/>
      <c r="L478" s="2"/>
      <c r="M478" s="2"/>
      <c r="N478" s="2"/>
      <c r="O478" s="2"/>
      <c r="P478" s="2"/>
      <c r="Q478" s="2"/>
      <c r="R478" s="2"/>
      <c r="S478" s="2"/>
      <c r="T478" s="2"/>
      <c r="U478" s="2"/>
      <c r="V478" s="2"/>
      <c r="W478" s="2"/>
      <c r="X478" s="2"/>
    </row>
    <row r="479" spans="1:24" ht="18">
      <c r="A479" s="2"/>
      <c r="B479" s="2"/>
      <c r="C479" s="2"/>
      <c r="D479" s="2"/>
      <c r="E479" s="2"/>
      <c r="F479" s="2"/>
      <c r="G479" s="2"/>
      <c r="H479" s="2"/>
      <c r="I479" s="2"/>
      <c r="J479" s="2"/>
      <c r="K479" s="2"/>
      <c r="L479" s="2"/>
      <c r="M479" s="2"/>
      <c r="N479" s="2"/>
      <c r="O479" s="2"/>
      <c r="P479" s="2"/>
      <c r="Q479" s="2"/>
      <c r="R479" s="2"/>
      <c r="S479" s="2"/>
      <c r="T479" s="2"/>
      <c r="U479" s="2"/>
      <c r="V479" s="2"/>
      <c r="W479" s="2"/>
      <c r="X479" s="2"/>
    </row>
    <row r="480" spans="1:24" ht="18">
      <c r="A480" s="2"/>
      <c r="B480" s="2"/>
      <c r="C480" s="2"/>
      <c r="D480" s="2"/>
      <c r="E480" s="2"/>
      <c r="F480" s="2"/>
      <c r="G480" s="2"/>
      <c r="H480" s="2"/>
      <c r="I480" s="2"/>
      <c r="J480" s="2"/>
      <c r="K480" s="2"/>
      <c r="L480" s="2"/>
      <c r="M480" s="2"/>
      <c r="N480" s="2"/>
      <c r="O480" s="2"/>
      <c r="P480" s="2"/>
      <c r="Q480" s="2"/>
      <c r="R480" s="2"/>
      <c r="S480" s="2"/>
      <c r="T480" s="2"/>
      <c r="U480" s="2"/>
      <c r="V480" s="2"/>
      <c r="W480" s="2"/>
      <c r="X480" s="2"/>
    </row>
    <row r="481" spans="1:24" ht="18">
      <c r="A481" s="2"/>
      <c r="B481" s="2"/>
      <c r="C481" s="2"/>
      <c r="D481" s="2"/>
      <c r="E481" s="2"/>
      <c r="F481" s="2"/>
      <c r="G481" s="2"/>
      <c r="H481" s="2"/>
      <c r="I481" s="2"/>
      <c r="J481" s="2"/>
      <c r="K481" s="2"/>
      <c r="L481" s="2"/>
      <c r="M481" s="2"/>
      <c r="N481" s="2"/>
      <c r="O481" s="2"/>
      <c r="P481" s="2"/>
      <c r="Q481" s="2"/>
      <c r="R481" s="2"/>
      <c r="S481" s="2"/>
      <c r="T481" s="2"/>
      <c r="U481" s="2"/>
      <c r="V481" s="2"/>
      <c r="W481" s="2"/>
      <c r="X481" s="2"/>
    </row>
    <row r="482" spans="1:24" ht="18">
      <c r="A482" s="2"/>
      <c r="B482" s="2"/>
      <c r="C482" s="2"/>
      <c r="D482" s="2"/>
      <c r="E482" s="2"/>
      <c r="F482" s="2"/>
      <c r="G482" s="2"/>
      <c r="H482" s="2"/>
      <c r="I482" s="2"/>
      <c r="J482" s="2"/>
      <c r="K482" s="2"/>
      <c r="L482" s="2"/>
      <c r="M482" s="2"/>
      <c r="N482" s="2"/>
      <c r="O482" s="2"/>
      <c r="P482" s="2"/>
      <c r="Q482" s="2"/>
      <c r="R482" s="2"/>
      <c r="S482" s="2"/>
      <c r="T482" s="2"/>
      <c r="U482" s="2"/>
      <c r="V482" s="2"/>
      <c r="W482" s="2"/>
      <c r="X482" s="2"/>
    </row>
    <row r="483" spans="1:24" ht="18">
      <c r="A483" s="2"/>
      <c r="B483" s="2"/>
      <c r="C483" s="2"/>
      <c r="D483" s="2"/>
      <c r="E483" s="2"/>
      <c r="F483" s="2"/>
      <c r="G483" s="2"/>
      <c r="H483" s="2"/>
      <c r="I483" s="2"/>
      <c r="J483" s="2"/>
      <c r="K483" s="2"/>
      <c r="L483" s="2"/>
      <c r="M483" s="2"/>
      <c r="N483" s="2"/>
      <c r="O483" s="2"/>
      <c r="P483" s="2"/>
      <c r="Q483" s="2"/>
      <c r="R483" s="2"/>
      <c r="S483" s="2"/>
      <c r="T483" s="2"/>
      <c r="U483" s="2"/>
      <c r="V483" s="2"/>
      <c r="W483" s="2"/>
      <c r="X483" s="2"/>
    </row>
    <row r="484" spans="1:24" ht="18">
      <c r="A484" s="2"/>
      <c r="B484" s="2"/>
      <c r="C484" s="2"/>
      <c r="D484" s="2"/>
      <c r="E484" s="2"/>
      <c r="F484" s="2"/>
      <c r="G484" s="2"/>
      <c r="H484" s="2"/>
      <c r="I484" s="2"/>
      <c r="J484" s="2"/>
      <c r="K484" s="2"/>
      <c r="L484" s="2"/>
      <c r="M484" s="2"/>
      <c r="N484" s="2"/>
      <c r="O484" s="2"/>
      <c r="P484" s="2"/>
      <c r="Q484" s="2"/>
      <c r="R484" s="2"/>
      <c r="S484" s="2"/>
      <c r="T484" s="2"/>
      <c r="U484" s="2"/>
      <c r="V484" s="2"/>
      <c r="W484" s="2"/>
      <c r="X484" s="2"/>
    </row>
    <row r="485" spans="1:24" ht="18">
      <c r="A485" s="2"/>
      <c r="B485" s="2"/>
      <c r="C485" s="2"/>
      <c r="D485" s="2"/>
      <c r="E485" s="2"/>
      <c r="F485" s="2"/>
      <c r="G485" s="2"/>
      <c r="H485" s="2"/>
      <c r="I485" s="2"/>
      <c r="J485" s="2"/>
      <c r="K485" s="2"/>
      <c r="L485" s="2"/>
      <c r="M485" s="2"/>
      <c r="N485" s="2"/>
      <c r="O485" s="2"/>
      <c r="P485" s="2"/>
      <c r="Q485" s="2"/>
      <c r="R485" s="2"/>
      <c r="S485" s="2"/>
      <c r="T485" s="2"/>
      <c r="U485" s="2"/>
      <c r="V485" s="2"/>
      <c r="W485" s="2"/>
      <c r="X485" s="2"/>
    </row>
    <row r="486" spans="1:24" ht="18">
      <c r="A486" s="2"/>
      <c r="B486" s="2"/>
      <c r="C486" s="2"/>
      <c r="D486" s="2"/>
      <c r="E486" s="2"/>
      <c r="F486" s="2"/>
      <c r="G486" s="2"/>
      <c r="H486" s="2"/>
      <c r="I486" s="2"/>
      <c r="J486" s="2"/>
      <c r="K486" s="2"/>
      <c r="L486" s="2"/>
      <c r="M486" s="2"/>
      <c r="N486" s="2"/>
      <c r="O486" s="2"/>
      <c r="P486" s="2"/>
      <c r="Q486" s="2"/>
      <c r="R486" s="2"/>
      <c r="S486" s="2"/>
      <c r="T486" s="2"/>
      <c r="U486" s="2"/>
      <c r="V486" s="2"/>
      <c r="W486" s="2"/>
      <c r="X486" s="2"/>
    </row>
    <row r="487" spans="1:24" ht="18">
      <c r="A487" s="2"/>
      <c r="B487" s="2"/>
      <c r="C487" s="2"/>
      <c r="D487" s="2"/>
      <c r="E487" s="2"/>
      <c r="F487" s="2"/>
      <c r="G487" s="2"/>
      <c r="H487" s="2"/>
      <c r="I487" s="2"/>
      <c r="J487" s="2"/>
      <c r="K487" s="2"/>
      <c r="L487" s="2"/>
      <c r="M487" s="2"/>
      <c r="N487" s="2"/>
      <c r="O487" s="2"/>
      <c r="P487" s="2"/>
      <c r="Q487" s="2"/>
      <c r="R487" s="2"/>
      <c r="S487" s="2"/>
      <c r="T487" s="2"/>
      <c r="U487" s="2"/>
      <c r="V487" s="2"/>
      <c r="W487" s="2"/>
      <c r="X487" s="2"/>
    </row>
    <row r="488" spans="1:24" ht="18">
      <c r="A488" s="2"/>
      <c r="B488" s="2"/>
      <c r="C488" s="2"/>
      <c r="D488" s="2"/>
      <c r="E488" s="2"/>
      <c r="F488" s="2"/>
      <c r="G488" s="2"/>
      <c r="H488" s="2"/>
      <c r="I488" s="2"/>
      <c r="J488" s="2"/>
      <c r="K488" s="2"/>
      <c r="L488" s="2"/>
      <c r="M488" s="2"/>
      <c r="N488" s="2"/>
      <c r="O488" s="2"/>
      <c r="P488" s="2"/>
      <c r="Q488" s="2"/>
      <c r="R488" s="2"/>
      <c r="S488" s="2"/>
      <c r="T488" s="2"/>
      <c r="U488" s="2"/>
      <c r="V488" s="2"/>
      <c r="W488" s="2"/>
      <c r="X488" s="2"/>
    </row>
    <row r="489" spans="1:24" ht="18">
      <c r="A489" s="2"/>
      <c r="B489" s="2"/>
      <c r="C489" s="2"/>
      <c r="D489" s="2"/>
      <c r="E489" s="2"/>
      <c r="F489" s="2"/>
      <c r="G489" s="2"/>
      <c r="H489" s="2"/>
      <c r="I489" s="2"/>
      <c r="J489" s="2"/>
      <c r="K489" s="2"/>
      <c r="L489" s="2"/>
      <c r="M489" s="2"/>
      <c r="N489" s="2"/>
      <c r="O489" s="2"/>
      <c r="P489" s="2"/>
      <c r="Q489" s="2"/>
      <c r="R489" s="2"/>
      <c r="S489" s="2"/>
      <c r="T489" s="2"/>
      <c r="U489" s="2"/>
      <c r="V489" s="2"/>
      <c r="W489" s="2"/>
      <c r="X489" s="2"/>
    </row>
    <row r="490" spans="1:24" ht="18">
      <c r="A490" s="2"/>
      <c r="B490" s="2"/>
      <c r="C490" s="2"/>
      <c r="D490" s="2"/>
      <c r="E490" s="2"/>
      <c r="F490" s="2"/>
      <c r="G490" s="2"/>
      <c r="H490" s="2"/>
      <c r="I490" s="2"/>
      <c r="J490" s="2"/>
      <c r="K490" s="2"/>
      <c r="L490" s="2"/>
      <c r="M490" s="2"/>
      <c r="N490" s="2"/>
      <c r="O490" s="2"/>
      <c r="P490" s="2"/>
      <c r="Q490" s="2"/>
      <c r="R490" s="2"/>
      <c r="S490" s="2"/>
      <c r="T490" s="2"/>
      <c r="U490" s="2"/>
      <c r="V490" s="2"/>
      <c r="W490" s="2"/>
      <c r="X490" s="2"/>
    </row>
    <row r="491" spans="1:24" ht="18">
      <c r="A491" s="2"/>
      <c r="B491" s="2"/>
      <c r="C491" s="2"/>
      <c r="D491" s="2"/>
      <c r="E491" s="2"/>
      <c r="F491" s="2"/>
      <c r="G491" s="2"/>
      <c r="H491" s="2"/>
      <c r="I491" s="2"/>
      <c r="J491" s="2"/>
      <c r="K491" s="2"/>
      <c r="L491" s="2"/>
      <c r="M491" s="2"/>
      <c r="N491" s="2"/>
      <c r="O491" s="2"/>
      <c r="P491" s="2"/>
      <c r="Q491" s="2"/>
      <c r="R491" s="2"/>
      <c r="S491" s="2"/>
      <c r="T491" s="2"/>
      <c r="U491" s="2"/>
      <c r="V491" s="2"/>
      <c r="W491" s="2"/>
      <c r="X491" s="2"/>
    </row>
    <row r="492" spans="1:24" ht="18">
      <c r="A492" s="2"/>
      <c r="B492" s="2"/>
      <c r="C492" s="2"/>
      <c r="D492" s="2"/>
      <c r="E492" s="2"/>
      <c r="F492" s="2"/>
      <c r="G492" s="2"/>
      <c r="H492" s="2"/>
      <c r="I492" s="2"/>
      <c r="J492" s="2"/>
      <c r="K492" s="2"/>
      <c r="L492" s="2"/>
      <c r="M492" s="2"/>
      <c r="N492" s="2"/>
      <c r="O492" s="2"/>
      <c r="P492" s="2"/>
      <c r="Q492" s="2"/>
      <c r="R492" s="2"/>
      <c r="S492" s="2"/>
      <c r="T492" s="2"/>
      <c r="U492" s="2"/>
      <c r="V492" s="2"/>
      <c r="W492" s="2"/>
      <c r="X492" s="2"/>
    </row>
    <row r="493" spans="1:24" ht="18">
      <c r="A493" s="2"/>
      <c r="B493" s="2"/>
      <c r="C493" s="2"/>
      <c r="D493" s="2"/>
      <c r="E493" s="2"/>
      <c r="F493" s="2"/>
      <c r="G493" s="2"/>
      <c r="H493" s="2"/>
      <c r="I493" s="2"/>
      <c r="J493" s="2"/>
      <c r="K493" s="2"/>
      <c r="L493" s="2"/>
      <c r="M493" s="2"/>
      <c r="N493" s="2"/>
      <c r="O493" s="2"/>
      <c r="P493" s="2"/>
      <c r="Q493" s="2"/>
      <c r="R493" s="2"/>
      <c r="S493" s="2"/>
      <c r="T493" s="2"/>
      <c r="U493" s="2"/>
      <c r="V493" s="2"/>
      <c r="W493" s="2"/>
      <c r="X493" s="2"/>
    </row>
    <row r="494" spans="1:24" ht="18">
      <c r="A494" s="2"/>
      <c r="B494" s="2"/>
      <c r="C494" s="2"/>
      <c r="D494" s="2"/>
      <c r="E494" s="2"/>
      <c r="F494" s="2"/>
      <c r="G494" s="2"/>
      <c r="H494" s="2"/>
      <c r="I494" s="2"/>
      <c r="J494" s="2"/>
      <c r="K494" s="2"/>
      <c r="L494" s="2"/>
      <c r="M494" s="2"/>
      <c r="N494" s="2"/>
      <c r="O494" s="2"/>
      <c r="P494" s="2"/>
      <c r="Q494" s="2"/>
      <c r="R494" s="2"/>
      <c r="S494" s="2"/>
      <c r="T494" s="2"/>
      <c r="U494" s="2"/>
      <c r="V494" s="2"/>
      <c r="W494" s="2"/>
      <c r="X494" s="2"/>
    </row>
    <row r="495" spans="1:24" ht="18">
      <c r="A495" s="2"/>
      <c r="B495" s="2"/>
      <c r="C495" s="2"/>
      <c r="D495" s="2"/>
      <c r="E495" s="2"/>
      <c r="F495" s="2"/>
      <c r="G495" s="2"/>
      <c r="H495" s="2"/>
      <c r="I495" s="2"/>
      <c r="J495" s="2"/>
      <c r="K495" s="2"/>
      <c r="L495" s="2"/>
      <c r="M495" s="2"/>
      <c r="N495" s="2"/>
      <c r="O495" s="2"/>
      <c r="P495" s="2"/>
      <c r="Q495" s="2"/>
      <c r="R495" s="2"/>
      <c r="S495" s="2"/>
      <c r="T495" s="2"/>
      <c r="U495" s="2"/>
      <c r="V495" s="2"/>
      <c r="W495" s="2"/>
      <c r="X495" s="2"/>
    </row>
    <row r="496" spans="1:24" ht="18">
      <c r="A496" s="2"/>
      <c r="B496" s="2"/>
      <c r="C496" s="2"/>
      <c r="D496" s="2"/>
      <c r="E496" s="2"/>
      <c r="F496" s="2"/>
      <c r="G496" s="2"/>
      <c r="H496" s="2"/>
      <c r="I496" s="2"/>
      <c r="J496" s="2"/>
      <c r="K496" s="2"/>
      <c r="L496" s="2"/>
      <c r="M496" s="2"/>
      <c r="N496" s="2"/>
      <c r="O496" s="2"/>
      <c r="P496" s="2"/>
      <c r="Q496" s="2"/>
      <c r="R496" s="2"/>
      <c r="S496" s="2"/>
      <c r="T496" s="2"/>
      <c r="U496" s="2"/>
      <c r="V496" s="2"/>
      <c r="W496" s="2"/>
      <c r="X496" s="2"/>
    </row>
    <row r="497" spans="1:24" ht="18">
      <c r="A497" s="2"/>
      <c r="B497" s="2"/>
      <c r="C497" s="2"/>
      <c r="D497" s="2"/>
      <c r="E497" s="2"/>
      <c r="F497" s="2"/>
      <c r="G497" s="2"/>
      <c r="H497" s="2"/>
      <c r="I497" s="2"/>
      <c r="J497" s="2"/>
      <c r="K497" s="2"/>
      <c r="L497" s="2"/>
      <c r="M497" s="2"/>
      <c r="N497" s="2"/>
      <c r="O497" s="2"/>
      <c r="P497" s="2"/>
      <c r="Q497" s="2"/>
      <c r="R497" s="2"/>
      <c r="S497" s="2"/>
      <c r="T497" s="2"/>
      <c r="U497" s="2"/>
      <c r="V497" s="2"/>
      <c r="W497" s="2"/>
      <c r="X497" s="2"/>
    </row>
    <row r="498" spans="1:24" ht="18">
      <c r="A498" s="2"/>
      <c r="B498" s="2"/>
      <c r="C498" s="2"/>
      <c r="D498" s="2"/>
      <c r="E498" s="2"/>
      <c r="F498" s="2"/>
      <c r="G498" s="2"/>
      <c r="H498" s="2"/>
      <c r="I498" s="2"/>
      <c r="J498" s="2"/>
      <c r="K498" s="2"/>
      <c r="L498" s="2"/>
      <c r="M498" s="2"/>
      <c r="N498" s="2"/>
      <c r="O498" s="2"/>
      <c r="P498" s="2"/>
      <c r="Q498" s="2"/>
      <c r="R498" s="2"/>
      <c r="S498" s="2"/>
      <c r="T498" s="2"/>
      <c r="U498" s="2"/>
      <c r="V498" s="2"/>
      <c r="W498" s="2"/>
      <c r="X498" s="2"/>
    </row>
    <row r="499" spans="1:24" ht="18">
      <c r="A499" s="2"/>
      <c r="B499" s="2"/>
      <c r="C499" s="2"/>
      <c r="D499" s="2"/>
      <c r="E499" s="2"/>
      <c r="F499" s="2"/>
      <c r="G499" s="2"/>
      <c r="H499" s="2"/>
      <c r="I499" s="2"/>
      <c r="J499" s="2"/>
      <c r="K499" s="2"/>
      <c r="L499" s="2"/>
      <c r="M499" s="2"/>
      <c r="N499" s="2"/>
      <c r="O499" s="2"/>
      <c r="P499" s="2"/>
      <c r="Q499" s="2"/>
      <c r="R499" s="2"/>
      <c r="S499" s="2"/>
      <c r="T499" s="2"/>
      <c r="U499" s="2"/>
      <c r="V499" s="2"/>
      <c r="W499" s="2"/>
      <c r="X499" s="2"/>
    </row>
    <row r="500" spans="1:24" ht="18">
      <c r="A500" s="2"/>
      <c r="B500" s="2"/>
      <c r="C500" s="2"/>
      <c r="D500" s="2"/>
      <c r="E500" s="2"/>
      <c r="F500" s="2"/>
      <c r="G500" s="2"/>
      <c r="H500" s="2"/>
      <c r="I500" s="2"/>
      <c r="J500" s="2"/>
      <c r="K500" s="2"/>
      <c r="L500" s="2"/>
      <c r="M500" s="2"/>
      <c r="N500" s="2"/>
      <c r="O500" s="2"/>
      <c r="P500" s="2"/>
      <c r="Q500" s="2"/>
      <c r="R500" s="2"/>
      <c r="S500" s="2"/>
      <c r="T500" s="2"/>
      <c r="U500" s="2"/>
      <c r="V500" s="2"/>
      <c r="W500" s="2"/>
      <c r="X500" s="2"/>
    </row>
    <row r="501" spans="1:24" ht="18">
      <c r="A501" s="2"/>
      <c r="B501" s="2"/>
      <c r="C501" s="2"/>
      <c r="D501" s="2"/>
      <c r="E501" s="2"/>
      <c r="F501" s="2"/>
      <c r="G501" s="2"/>
      <c r="H501" s="2"/>
      <c r="I501" s="2"/>
      <c r="J501" s="2"/>
      <c r="K501" s="2"/>
      <c r="L501" s="2"/>
      <c r="M501" s="2"/>
      <c r="N501" s="2"/>
      <c r="O501" s="2"/>
      <c r="P501" s="2"/>
      <c r="Q501" s="2"/>
      <c r="R501" s="2"/>
      <c r="S501" s="2"/>
      <c r="T501" s="2"/>
      <c r="U501" s="2"/>
      <c r="V501" s="2"/>
      <c r="W501" s="2"/>
      <c r="X501" s="2"/>
    </row>
    <row r="502" spans="1:24" ht="18">
      <c r="A502" s="2"/>
      <c r="B502" s="2"/>
      <c r="C502" s="2"/>
      <c r="D502" s="2"/>
      <c r="E502" s="2"/>
      <c r="F502" s="2"/>
      <c r="G502" s="2"/>
      <c r="H502" s="2"/>
      <c r="I502" s="2"/>
      <c r="J502" s="2"/>
      <c r="K502" s="2"/>
      <c r="L502" s="2"/>
      <c r="M502" s="2"/>
      <c r="N502" s="2"/>
      <c r="O502" s="2"/>
      <c r="P502" s="2"/>
      <c r="Q502" s="2"/>
      <c r="R502" s="2"/>
      <c r="S502" s="2"/>
      <c r="T502" s="2"/>
      <c r="U502" s="2"/>
      <c r="V502" s="2"/>
      <c r="W502" s="2"/>
      <c r="X502" s="2"/>
    </row>
    <row r="503" spans="1:24" ht="18">
      <c r="A503" s="2"/>
      <c r="B503" s="2"/>
      <c r="C503" s="2"/>
      <c r="D503" s="2"/>
      <c r="E503" s="2"/>
      <c r="F503" s="2"/>
      <c r="G503" s="2"/>
      <c r="H503" s="2"/>
      <c r="I503" s="2"/>
      <c r="J503" s="2"/>
      <c r="K503" s="2"/>
      <c r="L503" s="2"/>
      <c r="M503" s="2"/>
      <c r="N503" s="2"/>
      <c r="O503" s="2"/>
      <c r="P503" s="2"/>
      <c r="Q503" s="2"/>
      <c r="R503" s="2"/>
      <c r="S503" s="2"/>
      <c r="T503" s="2"/>
      <c r="U503" s="2"/>
      <c r="V503" s="2"/>
      <c r="W503" s="2"/>
      <c r="X503" s="2"/>
    </row>
    <row r="504" spans="1:24" ht="18">
      <c r="A504" s="2"/>
      <c r="B504" s="2"/>
      <c r="C504" s="2"/>
      <c r="D504" s="2"/>
      <c r="E504" s="2"/>
      <c r="F504" s="2"/>
      <c r="G504" s="2"/>
      <c r="H504" s="2"/>
      <c r="I504" s="2"/>
      <c r="J504" s="2"/>
      <c r="K504" s="2"/>
      <c r="L504" s="2"/>
      <c r="M504" s="2"/>
      <c r="N504" s="2"/>
      <c r="O504" s="2"/>
      <c r="P504" s="2"/>
      <c r="Q504" s="2"/>
      <c r="R504" s="2"/>
      <c r="S504" s="2"/>
      <c r="T504" s="2"/>
      <c r="U504" s="2"/>
      <c r="V504" s="2"/>
      <c r="W504" s="2"/>
      <c r="X504" s="2"/>
    </row>
    <row r="505" spans="1:24" ht="18">
      <c r="A505" s="2"/>
      <c r="B505" s="2"/>
      <c r="C505" s="2"/>
      <c r="D505" s="2"/>
      <c r="E505" s="2"/>
      <c r="F505" s="2"/>
      <c r="G505" s="2"/>
      <c r="H505" s="2"/>
      <c r="I505" s="2"/>
      <c r="J505" s="2"/>
      <c r="K505" s="2"/>
      <c r="L505" s="2"/>
      <c r="M505" s="2"/>
      <c r="N505" s="2"/>
      <c r="O505" s="2"/>
      <c r="P505" s="2"/>
      <c r="Q505" s="2"/>
      <c r="R505" s="2"/>
      <c r="S505" s="2"/>
      <c r="T505" s="2"/>
      <c r="U505" s="2"/>
      <c r="V505" s="2"/>
      <c r="W505" s="2"/>
      <c r="X505" s="2"/>
    </row>
    <row r="506" spans="1:24" ht="18">
      <c r="A506" s="2"/>
      <c r="B506" s="2"/>
      <c r="C506" s="2"/>
      <c r="D506" s="2"/>
      <c r="E506" s="2"/>
      <c r="F506" s="2"/>
      <c r="G506" s="2"/>
      <c r="H506" s="2"/>
      <c r="I506" s="2"/>
      <c r="J506" s="2"/>
      <c r="K506" s="2"/>
      <c r="L506" s="2"/>
      <c r="M506" s="2"/>
      <c r="N506" s="2"/>
      <c r="O506" s="2"/>
      <c r="P506" s="2"/>
      <c r="Q506" s="2"/>
      <c r="R506" s="2"/>
      <c r="S506" s="2"/>
      <c r="T506" s="2"/>
      <c r="U506" s="2"/>
      <c r="V506" s="2"/>
      <c r="W506" s="2"/>
      <c r="X506" s="2"/>
    </row>
    <row r="507" spans="1:24" ht="18">
      <c r="A507" s="2"/>
      <c r="B507" s="2"/>
      <c r="C507" s="2"/>
      <c r="D507" s="2"/>
      <c r="E507" s="2"/>
      <c r="F507" s="2"/>
      <c r="G507" s="2"/>
      <c r="H507" s="2"/>
      <c r="I507" s="2"/>
      <c r="J507" s="2"/>
      <c r="K507" s="2"/>
      <c r="L507" s="2"/>
      <c r="M507" s="2"/>
      <c r="N507" s="2"/>
      <c r="O507" s="2"/>
      <c r="P507" s="2"/>
      <c r="Q507" s="2"/>
      <c r="R507" s="2"/>
      <c r="S507" s="2"/>
      <c r="T507" s="2"/>
      <c r="U507" s="2"/>
      <c r="V507" s="2"/>
      <c r="W507" s="2"/>
      <c r="X507" s="2"/>
    </row>
    <row r="508" spans="1:24" ht="18">
      <c r="A508" s="2"/>
      <c r="B508" s="2"/>
      <c r="C508" s="2"/>
      <c r="D508" s="2"/>
      <c r="E508" s="2"/>
      <c r="F508" s="2"/>
      <c r="G508" s="2"/>
      <c r="H508" s="2"/>
      <c r="I508" s="2"/>
      <c r="J508" s="2"/>
      <c r="K508" s="2"/>
      <c r="L508" s="2"/>
      <c r="M508" s="2"/>
      <c r="N508" s="2"/>
      <c r="O508" s="2"/>
      <c r="P508" s="2"/>
      <c r="Q508" s="2"/>
      <c r="R508" s="2"/>
      <c r="S508" s="2"/>
      <c r="T508" s="2"/>
      <c r="U508" s="2"/>
      <c r="V508" s="2"/>
      <c r="W508" s="2"/>
      <c r="X508" s="2"/>
    </row>
    <row r="509" spans="1:24" ht="18">
      <c r="A509" s="2"/>
      <c r="B509" s="2"/>
      <c r="C509" s="2"/>
      <c r="D509" s="2"/>
      <c r="E509" s="2"/>
      <c r="F509" s="2"/>
      <c r="G509" s="2"/>
      <c r="H509" s="2"/>
      <c r="I509" s="2"/>
      <c r="J509" s="2"/>
      <c r="K509" s="2"/>
      <c r="L509" s="2"/>
      <c r="M509" s="2"/>
      <c r="N509" s="2"/>
      <c r="O509" s="2"/>
      <c r="P509" s="2"/>
      <c r="Q509" s="2"/>
      <c r="R509" s="2"/>
      <c r="S509" s="2"/>
      <c r="T509" s="2"/>
      <c r="U509" s="2"/>
      <c r="V509" s="2"/>
      <c r="W509" s="2"/>
      <c r="X509" s="2"/>
    </row>
    <row r="510" spans="1:24" ht="18">
      <c r="A510" s="2"/>
      <c r="B510" s="2"/>
      <c r="C510" s="2"/>
      <c r="D510" s="2"/>
      <c r="E510" s="2"/>
      <c r="F510" s="2"/>
      <c r="G510" s="2"/>
      <c r="H510" s="2"/>
      <c r="I510" s="2"/>
      <c r="J510" s="2"/>
      <c r="K510" s="2"/>
      <c r="L510" s="2"/>
      <c r="M510" s="2"/>
      <c r="N510" s="2"/>
      <c r="O510" s="2"/>
      <c r="P510" s="2"/>
      <c r="Q510" s="2"/>
      <c r="R510" s="2"/>
      <c r="S510" s="2"/>
      <c r="T510" s="2"/>
      <c r="U510" s="2"/>
      <c r="V510" s="2"/>
      <c r="W510" s="2"/>
      <c r="X510" s="2"/>
    </row>
    <row r="511" spans="1:24" ht="18">
      <c r="A511" s="2"/>
      <c r="B511" s="2"/>
      <c r="C511" s="2"/>
      <c r="D511" s="2"/>
      <c r="E511" s="2"/>
      <c r="F511" s="2"/>
      <c r="G511" s="2"/>
      <c r="H511" s="2"/>
      <c r="I511" s="2"/>
      <c r="J511" s="2"/>
      <c r="K511" s="2"/>
      <c r="L511" s="2"/>
      <c r="M511" s="2"/>
      <c r="N511" s="2"/>
      <c r="O511" s="2"/>
      <c r="P511" s="2"/>
      <c r="Q511" s="2"/>
      <c r="R511" s="2"/>
      <c r="S511" s="2"/>
      <c r="T511" s="2"/>
      <c r="U511" s="2"/>
      <c r="V511" s="2"/>
      <c r="W511" s="2"/>
      <c r="X511" s="2"/>
    </row>
    <row r="512" spans="1:24" ht="18">
      <c r="A512" s="2"/>
      <c r="B512" s="2"/>
      <c r="C512" s="2"/>
      <c r="D512" s="2"/>
      <c r="E512" s="2"/>
      <c r="F512" s="2"/>
      <c r="G512" s="2"/>
      <c r="H512" s="2"/>
      <c r="I512" s="2"/>
      <c r="J512" s="2"/>
      <c r="K512" s="2"/>
      <c r="L512" s="2"/>
      <c r="M512" s="2"/>
      <c r="N512" s="2"/>
      <c r="O512" s="2"/>
      <c r="P512" s="2"/>
      <c r="Q512" s="2"/>
      <c r="R512" s="2"/>
      <c r="S512" s="2"/>
      <c r="T512" s="2"/>
      <c r="U512" s="2"/>
      <c r="V512" s="2"/>
      <c r="W512" s="2"/>
      <c r="X512" s="2"/>
    </row>
    <row r="513" spans="1:24" ht="18">
      <c r="A513" s="2"/>
      <c r="B513" s="2"/>
      <c r="C513" s="2"/>
      <c r="D513" s="2"/>
      <c r="E513" s="2"/>
      <c r="F513" s="2"/>
      <c r="G513" s="2"/>
      <c r="H513" s="2"/>
      <c r="I513" s="2"/>
      <c r="J513" s="2"/>
      <c r="K513" s="2"/>
      <c r="L513" s="2"/>
      <c r="M513" s="2"/>
      <c r="N513" s="2"/>
      <c r="O513" s="2"/>
      <c r="P513" s="2"/>
      <c r="Q513" s="2"/>
      <c r="R513" s="2"/>
      <c r="S513" s="2"/>
      <c r="T513" s="2"/>
      <c r="U513" s="2"/>
      <c r="V513" s="2"/>
      <c r="W513" s="2"/>
      <c r="X513" s="2"/>
    </row>
    <row r="514" spans="1:24" ht="18">
      <c r="A514" s="2"/>
      <c r="B514" s="2"/>
      <c r="C514" s="2"/>
      <c r="D514" s="2"/>
      <c r="E514" s="2"/>
      <c r="F514" s="2"/>
      <c r="G514" s="2"/>
      <c r="H514" s="2"/>
      <c r="I514" s="2"/>
      <c r="J514" s="2"/>
      <c r="K514" s="2"/>
      <c r="L514" s="2"/>
      <c r="M514" s="2"/>
      <c r="N514" s="2"/>
      <c r="O514" s="2"/>
      <c r="P514" s="2"/>
      <c r="Q514" s="2"/>
      <c r="R514" s="2"/>
      <c r="S514" s="2"/>
      <c r="T514" s="2"/>
      <c r="U514" s="2"/>
      <c r="V514" s="2"/>
      <c r="W514" s="2"/>
      <c r="X514" s="2"/>
    </row>
    <row r="515" spans="1:24" ht="18">
      <c r="A515" s="2"/>
      <c r="B515" s="2"/>
      <c r="C515" s="2"/>
      <c r="D515" s="2"/>
      <c r="E515" s="2"/>
      <c r="F515" s="2"/>
      <c r="G515" s="2"/>
      <c r="H515" s="2"/>
      <c r="I515" s="2"/>
      <c r="J515" s="2"/>
      <c r="K515" s="2"/>
      <c r="L515" s="2"/>
      <c r="M515" s="2"/>
      <c r="N515" s="2"/>
      <c r="O515" s="2"/>
      <c r="P515" s="2"/>
      <c r="Q515" s="2"/>
      <c r="R515" s="2"/>
      <c r="S515" s="2"/>
      <c r="T515" s="2"/>
      <c r="U515" s="2"/>
      <c r="V515" s="2"/>
      <c r="W515" s="2"/>
      <c r="X515" s="2"/>
    </row>
    <row r="516" spans="1:24" ht="18">
      <c r="A516" s="2"/>
      <c r="B516" s="2"/>
      <c r="C516" s="2"/>
      <c r="D516" s="2"/>
      <c r="E516" s="2"/>
      <c r="F516" s="2"/>
      <c r="G516" s="2"/>
      <c r="H516" s="2"/>
      <c r="I516" s="2"/>
      <c r="J516" s="2"/>
      <c r="K516" s="2"/>
      <c r="L516" s="2"/>
      <c r="M516" s="2"/>
      <c r="N516" s="2"/>
      <c r="O516" s="2"/>
      <c r="P516" s="2"/>
      <c r="Q516" s="2"/>
      <c r="R516" s="2"/>
      <c r="S516" s="2"/>
      <c r="T516" s="2"/>
      <c r="U516" s="2"/>
      <c r="V516" s="2"/>
      <c r="W516" s="2"/>
      <c r="X516" s="2"/>
    </row>
    <row r="517" spans="1:24" ht="18">
      <c r="A517" s="2"/>
      <c r="B517" s="2"/>
      <c r="C517" s="2"/>
      <c r="D517" s="2"/>
      <c r="E517" s="2"/>
      <c r="F517" s="2"/>
      <c r="G517" s="2"/>
      <c r="H517" s="2"/>
      <c r="I517" s="2"/>
      <c r="J517" s="2"/>
      <c r="K517" s="2"/>
      <c r="L517" s="2"/>
      <c r="M517" s="2"/>
      <c r="N517" s="2"/>
      <c r="O517" s="2"/>
      <c r="P517" s="2"/>
      <c r="Q517" s="2"/>
      <c r="R517" s="2"/>
      <c r="S517" s="2"/>
      <c r="T517" s="2"/>
      <c r="U517" s="2"/>
      <c r="V517" s="2"/>
      <c r="W517" s="2"/>
      <c r="X517" s="2"/>
    </row>
    <row r="518" spans="1:24" ht="18">
      <c r="A518" s="2"/>
      <c r="B518" s="2"/>
      <c r="C518" s="2"/>
      <c r="D518" s="2"/>
      <c r="E518" s="2"/>
      <c r="F518" s="2"/>
      <c r="G518" s="2"/>
      <c r="H518" s="2"/>
      <c r="I518" s="2"/>
      <c r="J518" s="2"/>
      <c r="K518" s="2"/>
      <c r="L518" s="2"/>
      <c r="M518" s="2"/>
      <c r="N518" s="2"/>
      <c r="O518" s="2"/>
      <c r="P518" s="2"/>
      <c r="Q518" s="2"/>
      <c r="R518" s="2"/>
      <c r="S518" s="2"/>
      <c r="T518" s="2"/>
      <c r="U518" s="2"/>
      <c r="V518" s="2"/>
      <c r="W518" s="2"/>
      <c r="X518" s="2"/>
    </row>
    <row r="519" spans="1:24" ht="18">
      <c r="A519" s="2"/>
      <c r="B519" s="2"/>
      <c r="C519" s="2"/>
      <c r="D519" s="2"/>
      <c r="E519" s="2"/>
      <c r="F519" s="2"/>
      <c r="G519" s="2"/>
      <c r="H519" s="2"/>
      <c r="I519" s="2"/>
      <c r="J519" s="2"/>
      <c r="K519" s="2"/>
      <c r="L519" s="2"/>
      <c r="M519" s="2"/>
      <c r="N519" s="2"/>
      <c r="O519" s="2"/>
      <c r="P519" s="2"/>
      <c r="Q519" s="2"/>
      <c r="R519" s="2"/>
      <c r="S519" s="2"/>
      <c r="T519" s="2"/>
      <c r="U519" s="2"/>
      <c r="V519" s="2"/>
      <c r="W519" s="2"/>
      <c r="X519" s="2"/>
    </row>
    <row r="520" spans="1:24" ht="18">
      <c r="A520" s="2"/>
      <c r="B520" s="2"/>
      <c r="C520" s="2"/>
      <c r="D520" s="2"/>
      <c r="E520" s="2"/>
      <c r="F520" s="2"/>
      <c r="G520" s="2"/>
      <c r="H520" s="2"/>
      <c r="I520" s="2"/>
      <c r="J520" s="2"/>
      <c r="K520" s="2"/>
      <c r="L520" s="2"/>
      <c r="M520" s="2"/>
      <c r="N520" s="2"/>
      <c r="O520" s="2"/>
      <c r="P520" s="2"/>
      <c r="Q520" s="2"/>
      <c r="R520" s="2"/>
      <c r="S520" s="2"/>
      <c r="T520" s="2"/>
      <c r="U520" s="2"/>
      <c r="V520" s="2"/>
      <c r="W520" s="2"/>
      <c r="X520" s="2"/>
    </row>
    <row r="521" spans="1:24" ht="18">
      <c r="A521" s="2"/>
      <c r="B521" s="2"/>
      <c r="C521" s="2"/>
      <c r="D521" s="2"/>
      <c r="E521" s="2"/>
      <c r="F521" s="2"/>
      <c r="G521" s="2"/>
      <c r="H521" s="2"/>
      <c r="I521" s="2"/>
      <c r="J521" s="2"/>
      <c r="K521" s="2"/>
      <c r="L521" s="2"/>
      <c r="M521" s="2"/>
      <c r="N521" s="2"/>
      <c r="O521" s="2"/>
      <c r="P521" s="2"/>
      <c r="Q521" s="2"/>
      <c r="R521" s="2"/>
      <c r="S521" s="2"/>
      <c r="T521" s="2"/>
      <c r="U521" s="2"/>
      <c r="V521" s="2"/>
      <c r="W521" s="2"/>
      <c r="X521" s="2"/>
    </row>
    <row r="522" spans="1:24" ht="18">
      <c r="A522" s="2"/>
      <c r="B522" s="2"/>
      <c r="C522" s="2"/>
      <c r="D522" s="2"/>
      <c r="E522" s="2"/>
      <c r="F522" s="2"/>
      <c r="G522" s="2"/>
      <c r="H522" s="2"/>
      <c r="I522" s="2"/>
      <c r="J522" s="2"/>
      <c r="K522" s="2"/>
      <c r="L522" s="2"/>
      <c r="M522" s="2"/>
      <c r="N522" s="2"/>
      <c r="O522" s="2"/>
      <c r="P522" s="2"/>
      <c r="Q522" s="2"/>
      <c r="R522" s="2"/>
      <c r="S522" s="2"/>
      <c r="T522" s="2"/>
      <c r="U522" s="2"/>
      <c r="V522" s="2"/>
      <c r="W522" s="2"/>
      <c r="X522" s="2"/>
    </row>
    <row r="523" spans="1:24" ht="18">
      <c r="A523" s="2"/>
      <c r="B523" s="2"/>
      <c r="C523" s="2"/>
      <c r="D523" s="2"/>
      <c r="E523" s="2"/>
      <c r="F523" s="2"/>
      <c r="G523" s="2"/>
      <c r="H523" s="2"/>
      <c r="I523" s="2"/>
      <c r="J523" s="2"/>
      <c r="K523" s="2"/>
      <c r="L523" s="2"/>
      <c r="M523" s="2"/>
      <c r="N523" s="2"/>
      <c r="O523" s="2"/>
      <c r="P523" s="2"/>
      <c r="Q523" s="2"/>
      <c r="R523" s="2"/>
      <c r="S523" s="2"/>
      <c r="T523" s="2"/>
      <c r="U523" s="2"/>
      <c r="V523" s="2"/>
      <c r="W523" s="2"/>
      <c r="X523" s="2"/>
    </row>
    <row r="524" spans="1:24" ht="18">
      <c r="A524" s="2"/>
      <c r="B524" s="2"/>
      <c r="C524" s="2"/>
      <c r="D524" s="2"/>
      <c r="E524" s="2"/>
      <c r="F524" s="2"/>
      <c r="G524" s="2"/>
      <c r="H524" s="2"/>
      <c r="I524" s="2"/>
      <c r="J524" s="2"/>
      <c r="K524" s="2"/>
      <c r="L524" s="2"/>
      <c r="M524" s="2"/>
      <c r="N524" s="2"/>
      <c r="O524" s="2"/>
      <c r="P524" s="2"/>
      <c r="Q524" s="2"/>
      <c r="R524" s="2"/>
      <c r="S524" s="2"/>
      <c r="T524" s="2"/>
      <c r="U524" s="2"/>
      <c r="V524" s="2"/>
      <c r="W524" s="2"/>
      <c r="X524" s="2"/>
    </row>
    <row r="525" spans="1:24" ht="18">
      <c r="A525" s="2"/>
      <c r="B525" s="2"/>
      <c r="C525" s="2"/>
      <c r="D525" s="2"/>
      <c r="E525" s="2"/>
      <c r="F525" s="2"/>
      <c r="G525" s="2"/>
      <c r="H525" s="2"/>
      <c r="I525" s="2"/>
      <c r="J525" s="2"/>
      <c r="K525" s="2"/>
      <c r="L525" s="2"/>
      <c r="M525" s="2"/>
      <c r="N525" s="2"/>
      <c r="O525" s="2"/>
      <c r="P525" s="2"/>
      <c r="Q525" s="2"/>
      <c r="R525" s="2"/>
      <c r="S525" s="2"/>
      <c r="T525" s="2"/>
      <c r="U525" s="2"/>
      <c r="V525" s="2"/>
      <c r="W525" s="2"/>
      <c r="X525" s="2"/>
    </row>
    <row r="526" spans="1:24" ht="18">
      <c r="A526" s="2"/>
      <c r="B526" s="2"/>
      <c r="C526" s="2"/>
      <c r="D526" s="2"/>
      <c r="E526" s="2"/>
      <c r="F526" s="2"/>
      <c r="G526" s="2"/>
      <c r="H526" s="2"/>
      <c r="I526" s="2"/>
      <c r="J526" s="2"/>
      <c r="K526" s="2"/>
      <c r="L526" s="2"/>
      <c r="M526" s="2"/>
      <c r="N526" s="2"/>
      <c r="O526" s="2"/>
      <c r="P526" s="2"/>
      <c r="Q526" s="2"/>
      <c r="R526" s="2"/>
      <c r="S526" s="2"/>
      <c r="T526" s="2"/>
      <c r="U526" s="2"/>
      <c r="V526" s="2"/>
      <c r="W526" s="2"/>
      <c r="X526" s="2"/>
    </row>
    <row r="527" spans="1:24" ht="18">
      <c r="A527" s="2"/>
      <c r="B527" s="2"/>
      <c r="C527" s="2"/>
      <c r="D527" s="2"/>
      <c r="E527" s="2"/>
      <c r="F527" s="2"/>
      <c r="G527" s="2"/>
      <c r="H527" s="2"/>
      <c r="I527" s="2"/>
      <c r="J527" s="2"/>
      <c r="K527" s="2"/>
      <c r="L527" s="2"/>
      <c r="M527" s="2"/>
      <c r="N527" s="2"/>
      <c r="O527" s="2"/>
      <c r="P527" s="2"/>
      <c r="Q527" s="2"/>
      <c r="R527" s="2"/>
      <c r="S527" s="2"/>
      <c r="T527" s="2"/>
      <c r="U527" s="2"/>
      <c r="V527" s="2"/>
      <c r="W527" s="2"/>
      <c r="X527" s="2"/>
    </row>
    <row r="528" spans="1:24" ht="18">
      <c r="A528" s="2"/>
      <c r="B528" s="2"/>
      <c r="C528" s="2"/>
      <c r="D528" s="2"/>
      <c r="E528" s="2"/>
      <c r="F528" s="2"/>
      <c r="G528" s="2"/>
      <c r="H528" s="2"/>
      <c r="I528" s="2"/>
      <c r="J528" s="2"/>
      <c r="K528" s="2"/>
      <c r="L528" s="2"/>
      <c r="M528" s="2"/>
      <c r="N528" s="2"/>
      <c r="O528" s="2"/>
      <c r="P528" s="2"/>
      <c r="Q528" s="2"/>
      <c r="R528" s="2"/>
      <c r="S528" s="2"/>
      <c r="T528" s="2"/>
      <c r="U528" s="2"/>
      <c r="V528" s="2"/>
      <c r="W528" s="2"/>
      <c r="X528" s="2"/>
    </row>
    <row r="529" spans="1:24" ht="18">
      <c r="A529" s="2"/>
      <c r="B529" s="2"/>
      <c r="C529" s="2"/>
      <c r="D529" s="2"/>
      <c r="E529" s="2"/>
      <c r="F529" s="2"/>
      <c r="G529" s="2"/>
      <c r="H529" s="2"/>
      <c r="I529" s="2"/>
      <c r="J529" s="2"/>
      <c r="K529" s="2"/>
      <c r="L529" s="2"/>
      <c r="M529" s="2"/>
      <c r="N529" s="2"/>
      <c r="O529" s="2"/>
      <c r="P529" s="2"/>
      <c r="Q529" s="2"/>
      <c r="R529" s="2"/>
      <c r="S529" s="2"/>
      <c r="T529" s="2"/>
      <c r="U529" s="2"/>
      <c r="V529" s="2"/>
      <c r="W529" s="2"/>
      <c r="X529" s="2"/>
    </row>
    <row r="530" spans="1:24" ht="18">
      <c r="A530" s="2"/>
      <c r="B530" s="2"/>
      <c r="C530" s="2"/>
      <c r="D530" s="2"/>
      <c r="E530" s="2"/>
      <c r="F530" s="2"/>
      <c r="G530" s="2"/>
      <c r="H530" s="2"/>
      <c r="I530" s="2"/>
      <c r="J530" s="2"/>
      <c r="K530" s="2"/>
      <c r="L530" s="2"/>
      <c r="M530" s="2"/>
      <c r="N530" s="2"/>
      <c r="O530" s="2"/>
      <c r="P530" s="2"/>
      <c r="Q530" s="2"/>
      <c r="R530" s="2"/>
      <c r="S530" s="2"/>
      <c r="T530" s="2"/>
      <c r="U530" s="2"/>
      <c r="V530" s="2"/>
      <c r="W530" s="2"/>
      <c r="X530" s="2"/>
    </row>
    <row r="531" spans="1:24" ht="18">
      <c r="A531" s="2"/>
      <c r="B531" s="2"/>
      <c r="C531" s="2"/>
      <c r="D531" s="2"/>
      <c r="E531" s="2"/>
      <c r="F531" s="2"/>
      <c r="G531" s="2"/>
      <c r="H531" s="2"/>
      <c r="I531" s="2"/>
      <c r="J531" s="2"/>
      <c r="K531" s="2"/>
      <c r="L531" s="2"/>
      <c r="M531" s="2"/>
      <c r="N531" s="2"/>
      <c r="O531" s="2"/>
      <c r="P531" s="2"/>
      <c r="Q531" s="2"/>
      <c r="R531" s="2"/>
      <c r="S531" s="2"/>
      <c r="T531" s="2"/>
      <c r="U531" s="2"/>
      <c r="V531" s="2"/>
      <c r="W531" s="2"/>
      <c r="X531" s="2"/>
    </row>
    <row r="532" spans="1:24" ht="18">
      <c r="A532" s="2"/>
      <c r="B532" s="2"/>
      <c r="C532" s="2"/>
      <c r="D532" s="2"/>
      <c r="E532" s="2"/>
      <c r="F532" s="2"/>
      <c r="G532" s="2"/>
      <c r="H532" s="2"/>
      <c r="I532" s="2"/>
      <c r="J532" s="2"/>
      <c r="K532" s="2"/>
      <c r="L532" s="2"/>
      <c r="M532" s="2"/>
      <c r="N532" s="2"/>
      <c r="O532" s="2"/>
      <c r="P532" s="2"/>
      <c r="Q532" s="2"/>
      <c r="R532" s="2"/>
      <c r="S532" s="2"/>
      <c r="T532" s="2"/>
      <c r="U532" s="2"/>
      <c r="V532" s="2"/>
      <c r="W532" s="2"/>
      <c r="X532" s="2"/>
    </row>
    <row r="533" spans="1:24" ht="18">
      <c r="A533" s="2"/>
      <c r="B533" s="2"/>
      <c r="C533" s="2"/>
      <c r="D533" s="2"/>
      <c r="E533" s="2"/>
      <c r="F533" s="2"/>
      <c r="G533" s="2"/>
      <c r="H533" s="2"/>
      <c r="I533" s="2"/>
      <c r="J533" s="2"/>
      <c r="K533" s="2"/>
      <c r="L533" s="2"/>
      <c r="M533" s="2"/>
      <c r="N533" s="2"/>
      <c r="O533" s="2"/>
      <c r="P533" s="2"/>
      <c r="Q533" s="2"/>
      <c r="R533" s="2"/>
      <c r="S533" s="2"/>
      <c r="T533" s="2"/>
      <c r="U533" s="2"/>
      <c r="V533" s="2"/>
      <c r="W533" s="2"/>
      <c r="X533" s="2"/>
    </row>
    <row r="534" spans="1:24" ht="18">
      <c r="A534" s="2"/>
      <c r="B534" s="2"/>
      <c r="C534" s="2"/>
      <c r="D534" s="2"/>
      <c r="E534" s="2"/>
      <c r="F534" s="2"/>
      <c r="G534" s="2"/>
      <c r="H534" s="2"/>
      <c r="I534" s="2"/>
      <c r="J534" s="2"/>
      <c r="K534" s="2"/>
      <c r="L534" s="2"/>
      <c r="M534" s="2"/>
      <c r="N534" s="2"/>
      <c r="O534" s="2"/>
      <c r="P534" s="2"/>
      <c r="Q534" s="2"/>
      <c r="R534" s="2"/>
      <c r="S534" s="2"/>
      <c r="T534" s="2"/>
      <c r="U534" s="2"/>
      <c r="V534" s="2"/>
      <c r="W534" s="2"/>
      <c r="X534" s="2"/>
    </row>
    <row r="535" spans="1:24" ht="18">
      <c r="A535" s="2"/>
      <c r="B535" s="2"/>
      <c r="C535" s="2"/>
      <c r="D535" s="2"/>
      <c r="E535" s="2"/>
      <c r="F535" s="2"/>
      <c r="G535" s="2"/>
      <c r="H535" s="2"/>
      <c r="I535" s="2"/>
      <c r="J535" s="2"/>
      <c r="K535" s="2"/>
      <c r="L535" s="2"/>
      <c r="M535" s="2"/>
      <c r="N535" s="2"/>
      <c r="O535" s="2"/>
      <c r="P535" s="2"/>
      <c r="Q535" s="2"/>
      <c r="R535" s="2"/>
      <c r="S535" s="2"/>
      <c r="T535" s="2"/>
      <c r="U535" s="2"/>
      <c r="V535" s="2"/>
      <c r="W535" s="2"/>
      <c r="X535" s="2"/>
    </row>
    <row r="536" spans="1:24" ht="18">
      <c r="A536" s="2"/>
      <c r="B536" s="2"/>
      <c r="C536" s="2"/>
      <c r="D536" s="2"/>
      <c r="E536" s="2"/>
      <c r="F536" s="2"/>
      <c r="G536" s="2"/>
      <c r="H536" s="2"/>
      <c r="I536" s="2"/>
      <c r="J536" s="2"/>
      <c r="K536" s="2"/>
      <c r="L536" s="2"/>
      <c r="M536" s="2"/>
      <c r="N536" s="2"/>
      <c r="O536" s="2"/>
      <c r="P536" s="2"/>
      <c r="Q536" s="2"/>
      <c r="R536" s="2"/>
      <c r="S536" s="2"/>
      <c r="T536" s="2"/>
      <c r="U536" s="2"/>
      <c r="V536" s="2"/>
      <c r="W536" s="2"/>
      <c r="X536" s="2"/>
    </row>
    <row r="537" spans="1:24" ht="18">
      <c r="A537" s="2"/>
      <c r="B537" s="2"/>
      <c r="C537" s="2"/>
      <c r="D537" s="2"/>
      <c r="E537" s="2"/>
      <c r="F537" s="2"/>
      <c r="G537" s="2"/>
      <c r="H537" s="2"/>
      <c r="I537" s="2"/>
      <c r="J537" s="2"/>
      <c r="K537" s="2"/>
      <c r="L537" s="2"/>
      <c r="M537" s="2"/>
      <c r="N537" s="2"/>
      <c r="O537" s="2"/>
      <c r="P537" s="2"/>
      <c r="Q537" s="2"/>
      <c r="R537" s="2"/>
      <c r="S537" s="2"/>
      <c r="T537" s="2"/>
      <c r="U537" s="2"/>
      <c r="V537" s="2"/>
      <c r="W537" s="2"/>
      <c r="X537" s="2"/>
    </row>
    <row r="538" spans="1:24" ht="18">
      <c r="A538" s="2"/>
      <c r="B538" s="2"/>
      <c r="C538" s="2"/>
      <c r="D538" s="2"/>
      <c r="E538" s="2"/>
      <c r="F538" s="2"/>
      <c r="G538" s="2"/>
      <c r="H538" s="2"/>
      <c r="I538" s="2"/>
      <c r="J538" s="2"/>
      <c r="K538" s="2"/>
      <c r="L538" s="2"/>
      <c r="M538" s="2"/>
      <c r="N538" s="2"/>
      <c r="O538" s="2"/>
      <c r="P538" s="2"/>
      <c r="Q538" s="2"/>
      <c r="R538" s="2"/>
      <c r="S538" s="2"/>
      <c r="T538" s="2"/>
      <c r="U538" s="2"/>
      <c r="V538" s="2"/>
      <c r="W538" s="2"/>
      <c r="X538" s="2"/>
    </row>
    <row r="539" spans="1:24" ht="18">
      <c r="A539" s="2"/>
      <c r="B539" s="2"/>
      <c r="C539" s="2"/>
      <c r="D539" s="2"/>
      <c r="E539" s="2"/>
      <c r="F539" s="2"/>
      <c r="G539" s="2"/>
      <c r="H539" s="2"/>
      <c r="I539" s="2"/>
      <c r="J539" s="2"/>
      <c r="K539" s="2"/>
      <c r="L539" s="2"/>
      <c r="M539" s="2"/>
      <c r="N539" s="2"/>
      <c r="O539" s="2"/>
      <c r="P539" s="2"/>
      <c r="Q539" s="2"/>
      <c r="R539" s="2"/>
      <c r="S539" s="2"/>
      <c r="T539" s="2"/>
      <c r="U539" s="2"/>
      <c r="V539" s="2"/>
      <c r="W539" s="2"/>
      <c r="X539" s="2"/>
    </row>
    <row r="540" spans="1:24" ht="18">
      <c r="A540" s="2"/>
      <c r="B540" s="2"/>
      <c r="C540" s="2"/>
      <c r="D540" s="2"/>
      <c r="E540" s="2"/>
      <c r="F540" s="2"/>
      <c r="G540" s="2"/>
      <c r="H540" s="2"/>
      <c r="I540" s="2"/>
      <c r="J540" s="2"/>
      <c r="K540" s="2"/>
      <c r="L540" s="2"/>
      <c r="M540" s="2"/>
      <c r="N540" s="2"/>
      <c r="O540" s="2"/>
      <c r="P540" s="2"/>
      <c r="Q540" s="2"/>
      <c r="R540" s="2"/>
      <c r="S540" s="2"/>
      <c r="T540" s="2"/>
      <c r="U540" s="2"/>
      <c r="V540" s="2"/>
      <c r="W540" s="2"/>
      <c r="X540" s="2"/>
    </row>
    <row r="541" spans="1:24" ht="18">
      <c r="A541" s="2"/>
      <c r="B541" s="2"/>
      <c r="C541" s="2"/>
      <c r="D541" s="2"/>
      <c r="E541" s="2"/>
      <c r="F541" s="2"/>
      <c r="G541" s="2"/>
      <c r="H541" s="2"/>
      <c r="I541" s="2"/>
      <c r="J541" s="2"/>
      <c r="K541" s="2"/>
      <c r="L541" s="2"/>
      <c r="M541" s="2"/>
      <c r="N541" s="2"/>
      <c r="O541" s="2"/>
      <c r="P541" s="2"/>
      <c r="Q541" s="2"/>
      <c r="R541" s="2"/>
      <c r="S541" s="2"/>
      <c r="T541" s="2"/>
      <c r="U541" s="2"/>
      <c r="V541" s="2"/>
      <c r="W541" s="2"/>
      <c r="X541" s="2"/>
    </row>
    <row r="542" spans="1:24" ht="18">
      <c r="A542" s="2"/>
      <c r="B542" s="2"/>
      <c r="C542" s="2"/>
      <c r="D542" s="2"/>
      <c r="E542" s="2"/>
      <c r="F542" s="2"/>
      <c r="G542" s="2"/>
      <c r="H542" s="2"/>
      <c r="I542" s="2"/>
      <c r="J542" s="2"/>
      <c r="K542" s="2"/>
      <c r="L542" s="2"/>
      <c r="M542" s="2"/>
      <c r="N542" s="2"/>
      <c r="O542" s="2"/>
      <c r="P542" s="2"/>
      <c r="Q542" s="2"/>
      <c r="R542" s="2"/>
      <c r="S542" s="2"/>
      <c r="T542" s="2"/>
      <c r="U542" s="2"/>
      <c r="V542" s="2"/>
      <c r="W542" s="2"/>
      <c r="X542" s="2"/>
    </row>
    <row r="543" spans="1:24" ht="18">
      <c r="A543" s="2"/>
      <c r="B543" s="2"/>
      <c r="C543" s="2"/>
      <c r="D543" s="2"/>
      <c r="E543" s="2"/>
      <c r="F543" s="2"/>
      <c r="G543" s="2"/>
      <c r="H543" s="2"/>
      <c r="I543" s="2"/>
      <c r="J543" s="2"/>
      <c r="K543" s="2"/>
      <c r="L543" s="2"/>
      <c r="M543" s="2"/>
      <c r="N543" s="2"/>
      <c r="O543" s="2"/>
      <c r="P543" s="2"/>
      <c r="Q543" s="2"/>
      <c r="R543" s="2"/>
      <c r="S543" s="2"/>
      <c r="T543" s="2"/>
      <c r="U543" s="2"/>
      <c r="V543" s="2"/>
      <c r="W543" s="2"/>
      <c r="X543" s="2"/>
    </row>
    <row r="544" spans="1:24" ht="18">
      <c r="A544" s="2"/>
      <c r="B544" s="2"/>
      <c r="C544" s="2"/>
      <c r="D544" s="2"/>
      <c r="E544" s="2"/>
      <c r="F544" s="2"/>
      <c r="G544" s="2"/>
      <c r="H544" s="2"/>
      <c r="I544" s="2"/>
      <c r="J544" s="2"/>
      <c r="K544" s="2"/>
      <c r="L544" s="2"/>
      <c r="M544" s="2"/>
      <c r="N544" s="2"/>
      <c r="O544" s="2"/>
      <c r="P544" s="2"/>
      <c r="Q544" s="2"/>
      <c r="R544" s="2"/>
      <c r="S544" s="2"/>
      <c r="T544" s="2"/>
      <c r="U544" s="2"/>
      <c r="V544" s="2"/>
      <c r="W544" s="2"/>
      <c r="X544" s="2"/>
    </row>
    <row r="545" spans="1:24" ht="18">
      <c r="A545" s="2"/>
      <c r="B545" s="2"/>
      <c r="C545" s="2"/>
      <c r="D545" s="2"/>
      <c r="E545" s="2"/>
      <c r="F545" s="2"/>
      <c r="G545" s="2"/>
      <c r="H545" s="2"/>
      <c r="I545" s="2"/>
      <c r="J545" s="2"/>
      <c r="K545" s="2"/>
      <c r="L545" s="2"/>
      <c r="M545" s="2"/>
      <c r="N545" s="2"/>
      <c r="O545" s="2"/>
      <c r="P545" s="2"/>
      <c r="Q545" s="2"/>
      <c r="R545" s="2"/>
      <c r="S545" s="2"/>
      <c r="T545" s="2"/>
      <c r="U545" s="2"/>
      <c r="V545" s="2"/>
      <c r="W545" s="2"/>
      <c r="X545" s="2"/>
    </row>
    <row r="546" spans="1:24" ht="18">
      <c r="A546" s="2"/>
      <c r="B546" s="2"/>
      <c r="C546" s="2"/>
      <c r="D546" s="2"/>
      <c r="E546" s="2"/>
      <c r="F546" s="2"/>
      <c r="G546" s="2"/>
      <c r="H546" s="2"/>
      <c r="I546" s="2"/>
      <c r="J546" s="2"/>
      <c r="K546" s="2"/>
      <c r="L546" s="2"/>
      <c r="M546" s="2"/>
      <c r="N546" s="2"/>
      <c r="O546" s="2"/>
      <c r="P546" s="2"/>
      <c r="Q546" s="2"/>
      <c r="R546" s="2"/>
      <c r="S546" s="2"/>
      <c r="T546" s="2"/>
      <c r="U546" s="2"/>
      <c r="V546" s="2"/>
      <c r="W546" s="2"/>
      <c r="X546" s="2"/>
    </row>
    <row r="547" spans="1:24" ht="18">
      <c r="A547" s="2"/>
      <c r="B547" s="2"/>
      <c r="C547" s="2"/>
      <c r="D547" s="2"/>
      <c r="E547" s="2"/>
      <c r="F547" s="2"/>
      <c r="G547" s="2"/>
      <c r="H547" s="2"/>
      <c r="I547" s="2"/>
      <c r="J547" s="2"/>
      <c r="K547" s="2"/>
      <c r="L547" s="2"/>
      <c r="M547" s="2"/>
      <c r="N547" s="2"/>
      <c r="O547" s="2"/>
      <c r="P547" s="2"/>
      <c r="Q547" s="2"/>
      <c r="R547" s="2"/>
      <c r="S547" s="2"/>
      <c r="T547" s="2"/>
      <c r="U547" s="2"/>
      <c r="V547" s="2"/>
      <c r="W547" s="2"/>
      <c r="X547" s="2"/>
    </row>
    <row r="548" spans="1:24" ht="18">
      <c r="A548" s="2"/>
      <c r="B548" s="2"/>
      <c r="C548" s="2"/>
      <c r="D548" s="2"/>
      <c r="E548" s="2"/>
      <c r="F548" s="2"/>
      <c r="G548" s="2"/>
      <c r="H548" s="2"/>
      <c r="I548" s="2"/>
      <c r="J548" s="2"/>
      <c r="K548" s="2"/>
      <c r="L548" s="2"/>
      <c r="M548" s="2"/>
      <c r="N548" s="2"/>
      <c r="O548" s="2"/>
      <c r="P548" s="2"/>
      <c r="Q548" s="2"/>
      <c r="R548" s="2"/>
      <c r="S548" s="2"/>
      <c r="T548" s="2"/>
      <c r="U548" s="2"/>
      <c r="V548" s="2"/>
      <c r="W548" s="2"/>
      <c r="X548" s="2"/>
    </row>
    <row r="549" spans="1:24" ht="18">
      <c r="A549" s="2"/>
      <c r="B549" s="2"/>
      <c r="C549" s="2"/>
      <c r="D549" s="2"/>
      <c r="E549" s="2"/>
      <c r="F549" s="2"/>
      <c r="G549" s="2"/>
      <c r="H549" s="2"/>
      <c r="I549" s="2"/>
      <c r="J549" s="2"/>
      <c r="K549" s="2"/>
      <c r="L549" s="2"/>
      <c r="M549" s="2"/>
      <c r="N549" s="2"/>
      <c r="O549" s="2"/>
      <c r="P549" s="2"/>
      <c r="Q549" s="2"/>
      <c r="R549" s="2"/>
      <c r="S549" s="2"/>
      <c r="T549" s="2"/>
      <c r="U549" s="2"/>
      <c r="V549" s="2"/>
      <c r="W549" s="2"/>
      <c r="X549" s="2"/>
    </row>
    <row r="550" spans="1:24" ht="18">
      <c r="A550" s="2"/>
      <c r="B550" s="2"/>
      <c r="C550" s="2"/>
      <c r="D550" s="2"/>
      <c r="E550" s="2"/>
      <c r="F550" s="2"/>
      <c r="G550" s="2"/>
      <c r="H550" s="2"/>
      <c r="I550" s="2"/>
      <c r="J550" s="2"/>
      <c r="K550" s="2"/>
      <c r="L550" s="2"/>
      <c r="M550" s="2"/>
      <c r="N550" s="2"/>
      <c r="O550" s="2"/>
      <c r="P550" s="2"/>
      <c r="Q550" s="2"/>
      <c r="R550" s="2"/>
      <c r="S550" s="2"/>
      <c r="T550" s="2"/>
      <c r="U550" s="2"/>
      <c r="V550" s="2"/>
      <c r="W550" s="2"/>
      <c r="X550" s="2"/>
    </row>
    <row r="551" spans="1:24" ht="18">
      <c r="A551" s="2"/>
      <c r="B551" s="2"/>
      <c r="C551" s="2"/>
      <c r="D551" s="2"/>
      <c r="E551" s="2"/>
      <c r="F551" s="2"/>
      <c r="G551" s="2"/>
      <c r="H551" s="2"/>
      <c r="I551" s="2"/>
      <c r="J551" s="2"/>
      <c r="K551" s="2"/>
      <c r="L551" s="2"/>
      <c r="M551" s="2"/>
      <c r="N551" s="2"/>
      <c r="O551" s="2"/>
      <c r="P551" s="2"/>
      <c r="Q551" s="2"/>
      <c r="R551" s="2"/>
      <c r="S551" s="2"/>
      <c r="T551" s="2"/>
      <c r="U551" s="2"/>
      <c r="V551" s="2"/>
      <c r="W551" s="2"/>
      <c r="X551" s="2"/>
    </row>
    <row r="552" spans="1:24" ht="18">
      <c r="A552" s="2"/>
      <c r="B552" s="2"/>
      <c r="C552" s="2"/>
      <c r="D552" s="2"/>
      <c r="E552" s="2"/>
      <c r="F552" s="2"/>
      <c r="G552" s="2"/>
      <c r="H552" s="2"/>
      <c r="I552" s="2"/>
      <c r="J552" s="2"/>
      <c r="K552" s="2"/>
      <c r="L552" s="2"/>
      <c r="M552" s="2"/>
      <c r="N552" s="2"/>
      <c r="O552" s="2"/>
      <c r="P552" s="2"/>
      <c r="Q552" s="2"/>
      <c r="R552" s="2"/>
      <c r="S552" s="2"/>
      <c r="T552" s="2"/>
      <c r="U552" s="2"/>
      <c r="V552" s="2"/>
      <c r="W552" s="2"/>
      <c r="X552" s="2"/>
    </row>
    <row r="553" spans="1:24" ht="18">
      <c r="A553" s="2"/>
      <c r="B553" s="2"/>
      <c r="C553" s="2"/>
      <c r="D553" s="2"/>
      <c r="E553" s="2"/>
      <c r="F553" s="2"/>
      <c r="G553" s="2"/>
      <c r="H553" s="2"/>
      <c r="I553" s="2"/>
      <c r="J553" s="2"/>
      <c r="K553" s="2"/>
      <c r="L553" s="2"/>
      <c r="M553" s="2"/>
      <c r="N553" s="2"/>
      <c r="O553" s="2"/>
      <c r="P553" s="2"/>
      <c r="Q553" s="2"/>
      <c r="R553" s="2"/>
      <c r="S553" s="2"/>
      <c r="T553" s="2"/>
      <c r="U553" s="2"/>
      <c r="V553" s="2"/>
      <c r="W553" s="2"/>
      <c r="X553" s="2"/>
    </row>
    <row r="554" spans="1:24" ht="18">
      <c r="A554" s="2"/>
      <c r="B554" s="2"/>
      <c r="C554" s="2"/>
      <c r="D554" s="2"/>
      <c r="E554" s="2"/>
      <c r="F554" s="2"/>
      <c r="G554" s="2"/>
      <c r="H554" s="2"/>
      <c r="I554" s="2"/>
      <c r="J554" s="2"/>
      <c r="K554" s="2"/>
      <c r="L554" s="2"/>
      <c r="M554" s="2"/>
      <c r="N554" s="2"/>
      <c r="O554" s="2"/>
      <c r="P554" s="2"/>
      <c r="Q554" s="2"/>
      <c r="R554" s="2"/>
      <c r="S554" s="2"/>
      <c r="T554" s="2"/>
      <c r="U554" s="2"/>
      <c r="V554" s="2"/>
      <c r="W554" s="2"/>
      <c r="X554" s="2"/>
    </row>
    <row r="555" spans="1:24" ht="18">
      <c r="A555" s="2"/>
      <c r="B555" s="2"/>
      <c r="C555" s="2"/>
      <c r="D555" s="2"/>
      <c r="E555" s="2"/>
      <c r="F555" s="2"/>
      <c r="G555" s="2"/>
      <c r="H555" s="2"/>
      <c r="I555" s="2"/>
      <c r="J555" s="2"/>
      <c r="K555" s="2"/>
      <c r="L555" s="2"/>
      <c r="M555" s="2"/>
      <c r="N555" s="2"/>
      <c r="O555" s="2"/>
      <c r="P555" s="2"/>
      <c r="Q555" s="2"/>
      <c r="R555" s="2"/>
      <c r="S555" s="2"/>
      <c r="T555" s="2"/>
      <c r="U555" s="2"/>
      <c r="V555" s="2"/>
      <c r="W555" s="2"/>
      <c r="X555" s="2"/>
    </row>
    <row r="556" spans="1:24" ht="18">
      <c r="A556" s="2"/>
      <c r="B556" s="2"/>
      <c r="C556" s="2"/>
      <c r="D556" s="2"/>
      <c r="E556" s="2"/>
      <c r="F556" s="2"/>
      <c r="G556" s="2"/>
      <c r="H556" s="2"/>
      <c r="I556" s="2"/>
      <c r="J556" s="2"/>
      <c r="K556" s="2"/>
      <c r="L556" s="2"/>
      <c r="M556" s="2"/>
      <c r="N556" s="2"/>
      <c r="O556" s="2"/>
      <c r="P556" s="2"/>
      <c r="Q556" s="2"/>
      <c r="R556" s="2"/>
      <c r="S556" s="2"/>
      <c r="T556" s="2"/>
      <c r="U556" s="2"/>
      <c r="V556" s="2"/>
      <c r="W556" s="2"/>
      <c r="X556" s="2"/>
    </row>
    <row r="557" spans="1:24" ht="18">
      <c r="A557" s="2"/>
      <c r="B557" s="2"/>
      <c r="C557" s="2"/>
      <c r="D557" s="2"/>
      <c r="E557" s="2"/>
      <c r="F557" s="2"/>
      <c r="G557" s="2"/>
      <c r="H557" s="2"/>
      <c r="I557" s="2"/>
      <c r="J557" s="2"/>
      <c r="K557" s="2"/>
      <c r="L557" s="2"/>
      <c r="M557" s="2"/>
      <c r="N557" s="2"/>
      <c r="O557" s="2"/>
      <c r="P557" s="2"/>
      <c r="Q557" s="2"/>
      <c r="R557" s="2"/>
      <c r="S557" s="2"/>
      <c r="T557" s="2"/>
      <c r="U557" s="2"/>
      <c r="V557" s="2"/>
      <c r="W557" s="2"/>
      <c r="X557" s="2"/>
    </row>
    <row r="558" spans="1:24" ht="18">
      <c r="A558" s="2"/>
      <c r="B558" s="2"/>
      <c r="C558" s="2"/>
      <c r="D558" s="2"/>
      <c r="E558" s="2"/>
      <c r="F558" s="2"/>
      <c r="G558" s="2"/>
      <c r="H558" s="2"/>
      <c r="I558" s="2"/>
      <c r="J558" s="2"/>
      <c r="K558" s="2"/>
      <c r="L558" s="2"/>
      <c r="M558" s="2"/>
      <c r="N558" s="2"/>
      <c r="O558" s="2"/>
      <c r="P558" s="2"/>
      <c r="Q558" s="2"/>
      <c r="R558" s="2"/>
      <c r="S558" s="2"/>
      <c r="T558" s="2"/>
      <c r="U558" s="2"/>
      <c r="V558" s="2"/>
      <c r="W558" s="2"/>
      <c r="X558" s="2"/>
    </row>
    <row r="559" spans="1:24" ht="18">
      <c r="A559" s="2"/>
      <c r="B559" s="2"/>
      <c r="C559" s="2"/>
      <c r="D559" s="2"/>
      <c r="E559" s="2"/>
      <c r="F559" s="2"/>
      <c r="G559" s="2"/>
      <c r="H559" s="2"/>
      <c r="I559" s="2"/>
      <c r="J559" s="2"/>
      <c r="K559" s="2"/>
      <c r="L559" s="2"/>
      <c r="M559" s="2"/>
      <c r="N559" s="2"/>
      <c r="O559" s="2"/>
      <c r="P559" s="2"/>
      <c r="Q559" s="2"/>
      <c r="R559" s="2"/>
      <c r="S559" s="2"/>
      <c r="T559" s="2"/>
      <c r="U559" s="2"/>
      <c r="V559" s="2"/>
      <c r="W559" s="2"/>
      <c r="X559" s="2"/>
    </row>
    <row r="560" spans="1:24" ht="18">
      <c r="A560" s="2"/>
      <c r="B560" s="2"/>
      <c r="C560" s="2"/>
      <c r="D560" s="2"/>
      <c r="E560" s="2"/>
      <c r="F560" s="2"/>
      <c r="G560" s="2"/>
      <c r="H560" s="2"/>
      <c r="I560" s="2"/>
      <c r="J560" s="2"/>
      <c r="K560" s="2"/>
      <c r="L560" s="2"/>
      <c r="M560" s="2"/>
      <c r="N560" s="2"/>
      <c r="O560" s="2"/>
      <c r="P560" s="2"/>
      <c r="Q560" s="2"/>
      <c r="R560" s="2"/>
      <c r="S560" s="2"/>
      <c r="T560" s="2"/>
      <c r="U560" s="2"/>
      <c r="V560" s="2"/>
      <c r="W560" s="2"/>
      <c r="X560" s="2"/>
    </row>
    <row r="561" spans="1:24" ht="18">
      <c r="A561" s="2"/>
      <c r="B561" s="2"/>
      <c r="C561" s="2"/>
      <c r="D561" s="2"/>
      <c r="E561" s="2"/>
      <c r="F561" s="2"/>
      <c r="G561" s="2"/>
      <c r="H561" s="2"/>
      <c r="I561" s="2"/>
      <c r="J561" s="2"/>
      <c r="K561" s="2"/>
      <c r="L561" s="2"/>
      <c r="M561" s="2"/>
      <c r="N561" s="2"/>
      <c r="O561" s="2"/>
      <c r="P561" s="2"/>
      <c r="Q561" s="2"/>
      <c r="R561" s="2"/>
      <c r="S561" s="2"/>
      <c r="T561" s="2"/>
      <c r="U561" s="2"/>
      <c r="V561" s="2"/>
      <c r="W561" s="2"/>
      <c r="X561" s="2"/>
    </row>
    <row r="562" spans="1:24" ht="18">
      <c r="A562" s="2"/>
      <c r="B562" s="2"/>
      <c r="C562" s="2"/>
      <c r="D562" s="2"/>
      <c r="E562" s="2"/>
      <c r="F562" s="2"/>
      <c r="G562" s="2"/>
      <c r="H562" s="2"/>
      <c r="I562" s="2"/>
      <c r="J562" s="2"/>
      <c r="K562" s="2"/>
      <c r="L562" s="2"/>
      <c r="M562" s="2"/>
      <c r="N562" s="2"/>
      <c r="O562" s="2"/>
      <c r="P562" s="2"/>
      <c r="Q562" s="2"/>
      <c r="R562" s="2"/>
      <c r="S562" s="2"/>
      <c r="T562" s="2"/>
      <c r="U562" s="2"/>
      <c r="V562" s="2"/>
      <c r="W562" s="2"/>
      <c r="X562" s="2"/>
    </row>
    <row r="563" spans="1:24" ht="18">
      <c r="A563" s="2"/>
      <c r="B563" s="2"/>
      <c r="C563" s="2"/>
      <c r="D563" s="2"/>
      <c r="E563" s="2"/>
      <c r="F563" s="2"/>
      <c r="G563" s="2"/>
      <c r="H563" s="2"/>
      <c r="I563" s="2"/>
      <c r="J563" s="2"/>
      <c r="K563" s="2"/>
      <c r="L563" s="2"/>
      <c r="M563" s="2"/>
      <c r="N563" s="2"/>
      <c r="O563" s="2"/>
      <c r="P563" s="2"/>
      <c r="Q563" s="2"/>
      <c r="R563" s="2"/>
      <c r="S563" s="2"/>
      <c r="T563" s="2"/>
      <c r="U563" s="2"/>
      <c r="V563" s="2"/>
      <c r="W563" s="2"/>
      <c r="X563" s="2"/>
    </row>
    <row r="564" spans="1:24" ht="18">
      <c r="A564" s="2"/>
      <c r="B564" s="2"/>
      <c r="C564" s="2"/>
      <c r="D564" s="2"/>
      <c r="E564" s="2"/>
      <c r="F564" s="2"/>
      <c r="G564" s="2"/>
      <c r="H564" s="2"/>
      <c r="I564" s="2"/>
      <c r="J564" s="2"/>
      <c r="K564" s="2"/>
      <c r="L564" s="2"/>
      <c r="M564" s="2"/>
      <c r="N564" s="2"/>
      <c r="O564" s="2"/>
      <c r="P564" s="2"/>
      <c r="Q564" s="2"/>
      <c r="R564" s="2"/>
      <c r="S564" s="2"/>
      <c r="T564" s="2"/>
      <c r="U564" s="2"/>
      <c r="V564" s="2"/>
      <c r="W564" s="2"/>
      <c r="X564" s="2"/>
    </row>
    <row r="565" spans="1:24" ht="18">
      <c r="A565" s="2"/>
      <c r="B565" s="2"/>
      <c r="C565" s="2"/>
      <c r="D565" s="2"/>
      <c r="E565" s="2"/>
      <c r="F565" s="2"/>
      <c r="G565" s="2"/>
      <c r="H565" s="2"/>
      <c r="I565" s="2"/>
      <c r="J565" s="2"/>
      <c r="K565" s="2"/>
      <c r="L565" s="2"/>
      <c r="M565" s="2"/>
      <c r="N565" s="2"/>
      <c r="O565" s="2"/>
      <c r="P565" s="2"/>
      <c r="Q565" s="2"/>
      <c r="R565" s="2"/>
      <c r="S565" s="2"/>
      <c r="T565" s="2"/>
      <c r="U565" s="2"/>
      <c r="V565" s="2"/>
      <c r="W565" s="2"/>
      <c r="X565" s="2"/>
    </row>
    <row r="566" spans="1:24" ht="18">
      <c r="A566" s="2"/>
      <c r="B566" s="2"/>
      <c r="C566" s="2"/>
      <c r="D566" s="2"/>
      <c r="E566" s="2"/>
      <c r="F566" s="2"/>
      <c r="G566" s="2"/>
      <c r="H566" s="2"/>
      <c r="I566" s="2"/>
      <c r="J566" s="2"/>
      <c r="K566" s="2"/>
      <c r="L566" s="2"/>
      <c r="M566" s="2"/>
      <c r="N566" s="2"/>
      <c r="O566" s="2"/>
      <c r="P566" s="2"/>
      <c r="Q566" s="2"/>
      <c r="R566" s="2"/>
      <c r="S566" s="2"/>
      <c r="T566" s="2"/>
      <c r="U566" s="2"/>
      <c r="V566" s="2"/>
      <c r="W566" s="2"/>
      <c r="X566" s="2"/>
    </row>
    <row r="567" spans="1:24" ht="18">
      <c r="A567" s="2"/>
      <c r="B567" s="2"/>
      <c r="C567" s="2"/>
      <c r="D567" s="2"/>
      <c r="E567" s="2"/>
      <c r="F567" s="2"/>
      <c r="G567" s="2"/>
      <c r="H567" s="2"/>
      <c r="I567" s="2"/>
      <c r="J567" s="2"/>
      <c r="K567" s="2"/>
      <c r="L567" s="2"/>
      <c r="M567" s="2"/>
      <c r="N567" s="2"/>
      <c r="O567" s="2"/>
      <c r="P567" s="2"/>
      <c r="Q567" s="2"/>
      <c r="R567" s="2"/>
      <c r="S567" s="2"/>
      <c r="T567" s="2"/>
      <c r="U567" s="2"/>
      <c r="V567" s="2"/>
      <c r="W567" s="2"/>
      <c r="X567" s="2"/>
    </row>
    <row r="568" spans="1:24" ht="18">
      <c r="A568" s="2"/>
      <c r="B568" s="2"/>
      <c r="C568" s="2"/>
      <c r="D568" s="2"/>
      <c r="E568" s="2"/>
      <c r="F568" s="2"/>
      <c r="G568" s="2"/>
      <c r="H568" s="2"/>
      <c r="I568" s="2"/>
      <c r="J568" s="2"/>
      <c r="K568" s="2"/>
      <c r="L568" s="2"/>
      <c r="M568" s="2"/>
      <c r="N568" s="2"/>
      <c r="O568" s="2"/>
      <c r="P568" s="2"/>
      <c r="Q568" s="2"/>
      <c r="R568" s="2"/>
      <c r="S568" s="2"/>
      <c r="T568" s="2"/>
      <c r="U568" s="2"/>
      <c r="V568" s="2"/>
      <c r="W568" s="2"/>
      <c r="X568" s="2"/>
    </row>
    <row r="569" spans="1:24" ht="18">
      <c r="A569" s="2"/>
      <c r="B569" s="2"/>
      <c r="C569" s="2"/>
      <c r="D569" s="2"/>
      <c r="E569" s="2"/>
      <c r="F569" s="2"/>
      <c r="G569" s="2"/>
      <c r="H569" s="2"/>
      <c r="I569" s="2"/>
      <c r="J569" s="2"/>
      <c r="K569" s="2"/>
      <c r="L569" s="2"/>
      <c r="M569" s="2"/>
      <c r="N569" s="2"/>
      <c r="O569" s="2"/>
      <c r="P569" s="2"/>
      <c r="Q569" s="2"/>
      <c r="R569" s="2"/>
      <c r="S569" s="2"/>
      <c r="T569" s="2"/>
      <c r="U569" s="2"/>
      <c r="V569" s="2"/>
      <c r="W569" s="2"/>
      <c r="X569" s="2"/>
    </row>
    <row r="570" spans="1:24" ht="18">
      <c r="A570" s="2"/>
      <c r="B570" s="2"/>
      <c r="C570" s="2"/>
      <c r="D570" s="2"/>
      <c r="E570" s="2"/>
      <c r="F570" s="2"/>
      <c r="G570" s="2"/>
      <c r="H570" s="2"/>
      <c r="I570" s="2"/>
      <c r="J570" s="2"/>
      <c r="K570" s="2"/>
      <c r="L570" s="2"/>
      <c r="M570" s="2"/>
      <c r="N570" s="2"/>
      <c r="O570" s="2"/>
      <c r="P570" s="2"/>
      <c r="Q570" s="2"/>
      <c r="R570" s="2"/>
      <c r="S570" s="2"/>
      <c r="T570" s="2"/>
      <c r="U570" s="2"/>
      <c r="V570" s="2"/>
      <c r="W570" s="2"/>
      <c r="X570" s="2"/>
    </row>
    <row r="571" spans="1:24" ht="18">
      <c r="A571" s="2"/>
      <c r="B571" s="2"/>
      <c r="C571" s="2"/>
      <c r="D571" s="2"/>
      <c r="E571" s="2"/>
      <c r="F571" s="2"/>
      <c r="G571" s="2"/>
      <c r="H571" s="2"/>
      <c r="I571" s="2"/>
      <c r="J571" s="2"/>
      <c r="K571" s="2"/>
      <c r="L571" s="2"/>
      <c r="M571" s="2"/>
      <c r="N571" s="2"/>
      <c r="O571" s="2"/>
      <c r="P571" s="2"/>
      <c r="Q571" s="2"/>
      <c r="R571" s="2"/>
      <c r="S571" s="2"/>
      <c r="T571" s="2"/>
      <c r="U571" s="2"/>
      <c r="V571" s="2"/>
      <c r="W571" s="2"/>
      <c r="X571" s="2"/>
    </row>
    <row r="572" spans="1:24" ht="18">
      <c r="A572" s="2"/>
      <c r="B572" s="2"/>
      <c r="C572" s="2"/>
      <c r="D572" s="2"/>
      <c r="E572" s="2"/>
      <c r="F572" s="2"/>
      <c r="G572" s="2"/>
      <c r="H572" s="2"/>
      <c r="I572" s="2"/>
      <c r="J572" s="2"/>
      <c r="K572" s="2"/>
      <c r="L572" s="2"/>
      <c r="M572" s="2"/>
      <c r="N572" s="2"/>
      <c r="O572" s="2"/>
      <c r="P572" s="2"/>
      <c r="Q572" s="2"/>
      <c r="R572" s="2"/>
      <c r="S572" s="2"/>
      <c r="T572" s="2"/>
      <c r="U572" s="2"/>
      <c r="V572" s="2"/>
      <c r="W572" s="2"/>
      <c r="X572" s="2"/>
    </row>
    <row r="573" spans="1:24" ht="18">
      <c r="A573" s="2"/>
      <c r="B573" s="2"/>
      <c r="C573" s="2"/>
      <c r="D573" s="2"/>
      <c r="E573" s="2"/>
      <c r="F573" s="2"/>
      <c r="G573" s="2"/>
      <c r="H573" s="2"/>
      <c r="I573" s="2"/>
      <c r="J573" s="2"/>
      <c r="K573" s="2"/>
      <c r="L573" s="2"/>
      <c r="M573" s="2"/>
      <c r="N573" s="2"/>
      <c r="O573" s="2"/>
      <c r="P573" s="2"/>
      <c r="Q573" s="2"/>
      <c r="R573" s="2"/>
      <c r="S573" s="2"/>
      <c r="T573" s="2"/>
      <c r="U573" s="2"/>
      <c r="V573" s="2"/>
      <c r="W573" s="2"/>
      <c r="X573" s="2"/>
    </row>
    <row r="574" spans="1:24" ht="18">
      <c r="A574" s="2"/>
      <c r="B574" s="2"/>
      <c r="C574" s="2"/>
      <c r="D574" s="2"/>
      <c r="E574" s="2"/>
      <c r="F574" s="2"/>
      <c r="G574" s="2"/>
      <c r="H574" s="2"/>
      <c r="I574" s="2"/>
      <c r="J574" s="2"/>
      <c r="K574" s="2"/>
      <c r="L574" s="2"/>
      <c r="M574" s="2"/>
      <c r="N574" s="2"/>
      <c r="O574" s="2"/>
      <c r="P574" s="2"/>
      <c r="Q574" s="2"/>
      <c r="R574" s="2"/>
      <c r="S574" s="2"/>
      <c r="T574" s="2"/>
      <c r="U574" s="2"/>
      <c r="V574" s="2"/>
      <c r="W574" s="2"/>
      <c r="X574" s="2"/>
    </row>
    <row r="575" spans="1:24" ht="18">
      <c r="A575" s="2"/>
      <c r="B575" s="2"/>
      <c r="C575" s="2"/>
      <c r="D575" s="2"/>
      <c r="E575" s="2"/>
      <c r="F575" s="2"/>
      <c r="G575" s="2"/>
      <c r="H575" s="2"/>
      <c r="I575" s="2"/>
      <c r="J575" s="2"/>
      <c r="K575" s="2"/>
      <c r="L575" s="2"/>
      <c r="M575" s="2"/>
      <c r="N575" s="2"/>
      <c r="O575" s="2"/>
      <c r="P575" s="2"/>
      <c r="Q575" s="2"/>
      <c r="R575" s="2"/>
      <c r="S575" s="2"/>
      <c r="T575" s="2"/>
      <c r="U575" s="2"/>
      <c r="V575" s="2"/>
      <c r="W575" s="2"/>
      <c r="X575" s="2"/>
    </row>
    <row r="576" spans="1:24" ht="18">
      <c r="A576" s="2"/>
      <c r="B576" s="2"/>
      <c r="C576" s="2"/>
      <c r="D576" s="2"/>
      <c r="E576" s="2"/>
      <c r="F576" s="2"/>
      <c r="G576" s="2"/>
      <c r="H576" s="2"/>
      <c r="I576" s="2"/>
      <c r="J576" s="2"/>
      <c r="K576" s="2"/>
      <c r="L576" s="2"/>
      <c r="M576" s="2"/>
      <c r="N576" s="2"/>
      <c r="O576" s="2"/>
      <c r="P576" s="2"/>
      <c r="Q576" s="2"/>
      <c r="R576" s="2"/>
      <c r="S576" s="2"/>
      <c r="T576" s="2"/>
      <c r="U576" s="2"/>
      <c r="V576" s="2"/>
      <c r="W576" s="2"/>
      <c r="X576" s="2"/>
    </row>
    <row r="577" spans="1:24" ht="18">
      <c r="A577" s="2"/>
      <c r="B577" s="2"/>
      <c r="C577" s="2"/>
      <c r="D577" s="2"/>
      <c r="E577" s="2"/>
      <c r="F577" s="2"/>
      <c r="G577" s="2"/>
      <c r="H577" s="2"/>
      <c r="I577" s="2"/>
      <c r="J577" s="2"/>
      <c r="K577" s="2"/>
      <c r="L577" s="2"/>
      <c r="M577" s="2"/>
      <c r="N577" s="2"/>
      <c r="O577" s="2"/>
      <c r="P577" s="2"/>
      <c r="Q577" s="2"/>
      <c r="R577" s="2"/>
      <c r="S577" s="2"/>
      <c r="T577" s="2"/>
      <c r="U577" s="2"/>
      <c r="V577" s="2"/>
      <c r="W577" s="2"/>
      <c r="X577" s="2"/>
    </row>
    <row r="578" spans="1:24" ht="18">
      <c r="A578" s="2"/>
      <c r="B578" s="2"/>
      <c r="C578" s="2"/>
      <c r="D578" s="2"/>
      <c r="E578" s="2"/>
      <c r="F578" s="2"/>
      <c r="G578" s="2"/>
      <c r="H578" s="2"/>
      <c r="I578" s="2"/>
      <c r="J578" s="2"/>
      <c r="K578" s="2"/>
      <c r="L578" s="2"/>
      <c r="M578" s="2"/>
      <c r="N578" s="2"/>
      <c r="O578" s="2"/>
      <c r="P578" s="2"/>
      <c r="Q578" s="2"/>
      <c r="R578" s="2"/>
      <c r="S578" s="2"/>
      <c r="T578" s="2"/>
      <c r="U578" s="2"/>
      <c r="V578" s="2"/>
      <c r="W578" s="2"/>
      <c r="X578" s="2"/>
    </row>
    <row r="579" spans="1:24" ht="18">
      <c r="A579" s="2"/>
      <c r="B579" s="2"/>
      <c r="C579" s="2"/>
      <c r="D579" s="2"/>
      <c r="E579" s="2"/>
      <c r="F579" s="2"/>
      <c r="G579" s="2"/>
      <c r="H579" s="2"/>
      <c r="I579" s="2"/>
      <c r="J579" s="2"/>
      <c r="K579" s="2"/>
      <c r="L579" s="2"/>
      <c r="M579" s="2"/>
      <c r="N579" s="2"/>
      <c r="O579" s="2"/>
      <c r="P579" s="2"/>
      <c r="Q579" s="2"/>
      <c r="R579" s="2"/>
      <c r="S579" s="2"/>
      <c r="T579" s="2"/>
      <c r="U579" s="2"/>
      <c r="V579" s="2"/>
      <c r="W579" s="2"/>
      <c r="X579" s="2"/>
    </row>
    <row r="580" spans="1:24" ht="18">
      <c r="A580" s="2"/>
      <c r="B580" s="2"/>
      <c r="C580" s="2"/>
      <c r="D580" s="2"/>
      <c r="E580" s="2"/>
      <c r="F580" s="2"/>
      <c r="G580" s="2"/>
      <c r="H580" s="2"/>
      <c r="I580" s="2"/>
      <c r="J580" s="2"/>
      <c r="K580" s="2"/>
      <c r="L580" s="2"/>
      <c r="M580" s="2"/>
      <c r="N580" s="2"/>
      <c r="O580" s="2"/>
      <c r="P580" s="2"/>
      <c r="Q580" s="2"/>
      <c r="R580" s="2"/>
      <c r="S580" s="2"/>
      <c r="T580" s="2"/>
      <c r="U580" s="2"/>
      <c r="V580" s="2"/>
      <c r="W580" s="2"/>
      <c r="X580" s="2"/>
    </row>
    <row r="581" spans="1:24" ht="18">
      <c r="A581" s="2"/>
      <c r="B581" s="2"/>
      <c r="C581" s="2"/>
      <c r="D581" s="2"/>
      <c r="E581" s="2"/>
      <c r="F581" s="2"/>
      <c r="G581" s="2"/>
      <c r="H581" s="2"/>
      <c r="I581" s="2"/>
      <c r="J581" s="2"/>
      <c r="K581" s="2"/>
      <c r="L581" s="2"/>
      <c r="M581" s="2"/>
      <c r="N581" s="2"/>
      <c r="O581" s="2"/>
      <c r="P581" s="2"/>
      <c r="Q581" s="2"/>
      <c r="R581" s="2"/>
      <c r="S581" s="2"/>
      <c r="T581" s="2"/>
      <c r="U581" s="2"/>
      <c r="V581" s="2"/>
      <c r="W581" s="2"/>
      <c r="X581" s="2"/>
    </row>
    <row r="582" spans="1:24" ht="18">
      <c r="A582" s="2"/>
      <c r="B582" s="2"/>
      <c r="C582" s="2"/>
      <c r="D582" s="2"/>
      <c r="E582" s="2"/>
      <c r="F582" s="2"/>
      <c r="G582" s="2"/>
      <c r="H582" s="2"/>
      <c r="I582" s="2"/>
      <c r="J582" s="2"/>
      <c r="K582" s="2"/>
      <c r="L582" s="2"/>
      <c r="M582" s="2"/>
      <c r="N582" s="2"/>
      <c r="O582" s="2"/>
      <c r="P582" s="2"/>
      <c r="Q582" s="2"/>
      <c r="R582" s="2"/>
      <c r="S582" s="2"/>
      <c r="T582" s="2"/>
      <c r="U582" s="2"/>
      <c r="V582" s="2"/>
      <c r="W582" s="2"/>
      <c r="X582" s="2"/>
    </row>
    <row r="583" spans="1:24" ht="18">
      <c r="A583" s="2"/>
      <c r="B583" s="2"/>
      <c r="C583" s="2"/>
      <c r="D583" s="2"/>
      <c r="E583" s="2"/>
      <c r="F583" s="2"/>
      <c r="G583" s="2"/>
      <c r="H583" s="2"/>
      <c r="I583" s="2"/>
      <c r="J583" s="2"/>
      <c r="K583" s="2"/>
      <c r="L583" s="2"/>
      <c r="M583" s="2"/>
      <c r="N583" s="2"/>
      <c r="O583" s="2"/>
      <c r="P583" s="2"/>
      <c r="Q583" s="2"/>
      <c r="R583" s="2"/>
      <c r="S583" s="2"/>
      <c r="T583" s="2"/>
      <c r="U583" s="2"/>
      <c r="V583" s="2"/>
      <c r="W583" s="2"/>
      <c r="X583" s="2"/>
    </row>
    <row r="584" spans="1:24" ht="18">
      <c r="A584" s="2"/>
      <c r="B584" s="2"/>
      <c r="C584" s="2"/>
      <c r="D584" s="2"/>
      <c r="E584" s="2"/>
      <c r="F584" s="2"/>
      <c r="G584" s="2"/>
      <c r="H584" s="2"/>
      <c r="I584" s="2"/>
      <c r="J584" s="2"/>
      <c r="K584" s="2"/>
      <c r="L584" s="2"/>
      <c r="M584" s="2"/>
      <c r="N584" s="2"/>
      <c r="O584" s="2"/>
      <c r="P584" s="2"/>
      <c r="Q584" s="2"/>
      <c r="R584" s="2"/>
      <c r="S584" s="2"/>
      <c r="T584" s="2"/>
      <c r="U584" s="2"/>
      <c r="V584" s="2"/>
      <c r="W584" s="2"/>
      <c r="X584" s="2"/>
    </row>
    <row r="585" spans="1:24" ht="18">
      <c r="A585" s="2"/>
      <c r="B585" s="2"/>
      <c r="C585" s="2"/>
      <c r="D585" s="2"/>
      <c r="E585" s="2"/>
      <c r="F585" s="2"/>
      <c r="G585" s="2"/>
      <c r="H585" s="2"/>
      <c r="I585" s="2"/>
      <c r="J585" s="2"/>
      <c r="K585" s="2"/>
      <c r="L585" s="2"/>
      <c r="M585" s="2"/>
      <c r="N585" s="2"/>
      <c r="O585" s="2"/>
      <c r="P585" s="2"/>
      <c r="Q585" s="2"/>
      <c r="R585" s="2"/>
      <c r="S585" s="2"/>
      <c r="T585" s="2"/>
      <c r="U585" s="2"/>
      <c r="V585" s="2"/>
      <c r="W585" s="2"/>
      <c r="X585" s="2"/>
    </row>
    <row r="586" spans="1:24" ht="18">
      <c r="A586" s="2"/>
      <c r="B586" s="2"/>
      <c r="C586" s="2"/>
      <c r="D586" s="2"/>
      <c r="E586" s="2"/>
      <c r="F586" s="2"/>
      <c r="G586" s="2"/>
      <c r="H586" s="2"/>
      <c r="I586" s="2"/>
      <c r="J586" s="2"/>
      <c r="K586" s="2"/>
      <c r="L586" s="2"/>
      <c r="M586" s="2"/>
      <c r="N586" s="2"/>
      <c r="O586" s="2"/>
      <c r="P586" s="2"/>
      <c r="Q586" s="2"/>
      <c r="R586" s="2"/>
      <c r="S586" s="2"/>
      <c r="T586" s="2"/>
      <c r="U586" s="2"/>
      <c r="V586" s="2"/>
      <c r="W586" s="2"/>
      <c r="X586" s="2"/>
    </row>
    <row r="587" spans="1:24" ht="18">
      <c r="A587" s="2"/>
      <c r="B587" s="2"/>
      <c r="C587" s="2"/>
      <c r="D587" s="2"/>
      <c r="E587" s="2"/>
      <c r="F587" s="2"/>
      <c r="G587" s="2"/>
      <c r="H587" s="2"/>
      <c r="I587" s="2"/>
      <c r="J587" s="2"/>
      <c r="K587" s="2"/>
      <c r="L587" s="2"/>
      <c r="M587" s="2"/>
      <c r="N587" s="2"/>
      <c r="O587" s="2"/>
      <c r="P587" s="2"/>
      <c r="Q587" s="2"/>
      <c r="R587" s="2"/>
      <c r="S587" s="2"/>
      <c r="T587" s="2"/>
      <c r="U587" s="2"/>
      <c r="V587" s="2"/>
      <c r="W587" s="2"/>
      <c r="X587" s="2"/>
    </row>
    <row r="588" spans="1:24" ht="18">
      <c r="A588" s="2"/>
      <c r="B588" s="2"/>
      <c r="C588" s="2"/>
      <c r="D588" s="2"/>
      <c r="E588" s="2"/>
      <c r="F588" s="2"/>
      <c r="G588" s="2"/>
      <c r="H588" s="2"/>
      <c r="I588" s="2"/>
      <c r="J588" s="2"/>
      <c r="K588" s="2"/>
      <c r="L588" s="2"/>
      <c r="M588" s="2"/>
      <c r="N588" s="2"/>
      <c r="O588" s="2"/>
      <c r="P588" s="2"/>
      <c r="Q588" s="2"/>
      <c r="R588" s="2"/>
      <c r="S588" s="2"/>
      <c r="T588" s="2"/>
      <c r="U588" s="2"/>
      <c r="V588" s="2"/>
      <c r="W588" s="2"/>
      <c r="X588" s="2"/>
    </row>
    <row r="589" spans="1:24" ht="18">
      <c r="A589" s="2"/>
      <c r="B589" s="2"/>
      <c r="C589" s="2"/>
      <c r="D589" s="2"/>
      <c r="E589" s="2"/>
      <c r="F589" s="2"/>
      <c r="G589" s="2"/>
      <c r="H589" s="2"/>
      <c r="I589" s="2"/>
      <c r="J589" s="2"/>
      <c r="K589" s="2"/>
      <c r="L589" s="2"/>
      <c r="M589" s="2"/>
      <c r="N589" s="2"/>
      <c r="O589" s="2"/>
      <c r="P589" s="2"/>
      <c r="Q589" s="2"/>
      <c r="R589" s="2"/>
      <c r="S589" s="2"/>
      <c r="T589" s="2"/>
      <c r="U589" s="2"/>
      <c r="V589" s="2"/>
      <c r="W589" s="2"/>
      <c r="X589" s="2"/>
    </row>
    <row r="590" spans="1:24" ht="18">
      <c r="A590" s="2"/>
      <c r="B590" s="2"/>
      <c r="C590" s="2"/>
      <c r="D590" s="2"/>
      <c r="E590" s="2"/>
      <c r="F590" s="2"/>
      <c r="G590" s="2"/>
      <c r="H590" s="2"/>
      <c r="I590" s="2"/>
      <c r="J590" s="2"/>
      <c r="K590" s="2"/>
      <c r="L590" s="2"/>
      <c r="M590" s="2"/>
      <c r="N590" s="2"/>
      <c r="O590" s="2"/>
      <c r="P590" s="2"/>
      <c r="Q590" s="2"/>
      <c r="R590" s="2"/>
      <c r="S590" s="2"/>
      <c r="T590" s="2"/>
      <c r="U590" s="2"/>
      <c r="V590" s="2"/>
      <c r="W590" s="2"/>
      <c r="X590" s="2"/>
    </row>
    <row r="591" spans="1:24" ht="18">
      <c r="A591" s="2"/>
      <c r="B591" s="2"/>
      <c r="C591" s="2"/>
      <c r="D591" s="2"/>
      <c r="E591" s="2"/>
      <c r="F591" s="2"/>
      <c r="G591" s="2"/>
      <c r="H591" s="2"/>
      <c r="I591" s="2"/>
      <c r="J591" s="2"/>
      <c r="K591" s="2"/>
      <c r="L591" s="2"/>
      <c r="M591" s="2"/>
      <c r="N591" s="2"/>
      <c r="O591" s="2"/>
      <c r="P591" s="2"/>
      <c r="Q591" s="2"/>
      <c r="R591" s="2"/>
      <c r="S591" s="2"/>
      <c r="T591" s="2"/>
      <c r="U591" s="2"/>
      <c r="V591" s="2"/>
      <c r="W591" s="2"/>
      <c r="X591" s="2"/>
    </row>
    <row r="592" spans="1:24" ht="18">
      <c r="A592" s="2"/>
      <c r="B592" s="2"/>
      <c r="C592" s="2"/>
      <c r="D592" s="2"/>
      <c r="E592" s="2"/>
      <c r="F592" s="2"/>
      <c r="G592" s="2"/>
      <c r="H592" s="2"/>
      <c r="I592" s="2"/>
      <c r="J592" s="2"/>
      <c r="K592" s="2"/>
      <c r="L592" s="2"/>
      <c r="M592" s="2"/>
      <c r="N592" s="2"/>
      <c r="O592" s="2"/>
      <c r="P592" s="2"/>
      <c r="Q592" s="2"/>
      <c r="R592" s="2"/>
      <c r="S592" s="2"/>
      <c r="T592" s="2"/>
      <c r="U592" s="2"/>
      <c r="V592" s="2"/>
      <c r="W592" s="2"/>
      <c r="X592" s="2"/>
    </row>
    <row r="593" spans="1:24" ht="18">
      <c r="A593" s="2"/>
      <c r="B593" s="2"/>
      <c r="C593" s="2"/>
      <c r="D593" s="2"/>
      <c r="E593" s="2"/>
      <c r="F593" s="2"/>
      <c r="G593" s="2"/>
      <c r="H593" s="2"/>
      <c r="I593" s="2"/>
      <c r="J593" s="2"/>
      <c r="K593" s="2"/>
      <c r="L593" s="2"/>
      <c r="M593" s="2"/>
      <c r="N593" s="2"/>
      <c r="O593" s="2"/>
      <c r="P593" s="2"/>
      <c r="Q593" s="2"/>
      <c r="R593" s="2"/>
      <c r="S593" s="2"/>
      <c r="T593" s="2"/>
      <c r="U593" s="2"/>
      <c r="V593" s="2"/>
      <c r="W593" s="2"/>
      <c r="X593" s="2"/>
    </row>
    <row r="594" spans="1:24" ht="18">
      <c r="A594" s="2"/>
      <c r="B594" s="2"/>
      <c r="C594" s="2"/>
      <c r="D594" s="2"/>
      <c r="E594" s="2"/>
      <c r="F594" s="2"/>
      <c r="G594" s="2"/>
      <c r="H594" s="2"/>
      <c r="I594" s="2"/>
      <c r="J594" s="2"/>
      <c r="K594" s="2"/>
      <c r="L594" s="2"/>
      <c r="M594" s="2"/>
      <c r="N594" s="2"/>
      <c r="O594" s="2"/>
      <c r="P594" s="2"/>
      <c r="Q594" s="2"/>
      <c r="R594" s="2"/>
      <c r="S594" s="2"/>
      <c r="T594" s="2"/>
      <c r="U594" s="2"/>
      <c r="V594" s="2"/>
      <c r="W594" s="2"/>
      <c r="X594" s="2"/>
    </row>
    <row r="595" spans="1:24" ht="18">
      <c r="A595" s="2"/>
      <c r="B595" s="2"/>
      <c r="C595" s="2"/>
      <c r="D595" s="2"/>
      <c r="E595" s="2"/>
      <c r="F595" s="2"/>
      <c r="G595" s="2"/>
      <c r="H595" s="2"/>
      <c r="I595" s="2"/>
      <c r="J595" s="2"/>
      <c r="K595" s="2"/>
      <c r="L595" s="2"/>
      <c r="M595" s="2"/>
      <c r="N595" s="2"/>
      <c r="O595" s="2"/>
      <c r="P595" s="2"/>
      <c r="Q595" s="2"/>
      <c r="R595" s="2"/>
      <c r="S595" s="2"/>
      <c r="T595" s="2"/>
      <c r="U595" s="2"/>
      <c r="V595" s="2"/>
      <c r="W595" s="2"/>
      <c r="X595" s="2"/>
    </row>
    <row r="596" spans="1:24" ht="18">
      <c r="A596" s="2"/>
      <c r="B596" s="2"/>
      <c r="C596" s="2"/>
      <c r="D596" s="2"/>
      <c r="E596" s="2"/>
      <c r="F596" s="2"/>
      <c r="G596" s="2"/>
      <c r="H596" s="2"/>
      <c r="I596" s="2"/>
      <c r="J596" s="2"/>
      <c r="K596" s="2"/>
      <c r="L596" s="2"/>
      <c r="M596" s="2"/>
      <c r="N596" s="2"/>
      <c r="O596" s="2"/>
      <c r="P596" s="2"/>
      <c r="Q596" s="2"/>
      <c r="R596" s="2"/>
      <c r="S596" s="2"/>
      <c r="T596" s="2"/>
      <c r="U596" s="2"/>
      <c r="V596" s="2"/>
      <c r="W596" s="2"/>
      <c r="X596" s="2"/>
    </row>
    <row r="597" spans="1:24" ht="18">
      <c r="A597" s="2"/>
      <c r="B597" s="2"/>
      <c r="C597" s="2"/>
      <c r="D597" s="2"/>
      <c r="E597" s="2"/>
      <c r="F597" s="2"/>
      <c r="G597" s="2"/>
      <c r="H597" s="2"/>
      <c r="I597" s="2"/>
      <c r="J597" s="2"/>
      <c r="K597" s="2"/>
      <c r="L597" s="2"/>
      <c r="M597" s="2"/>
      <c r="N597" s="2"/>
      <c r="O597" s="2"/>
      <c r="P597" s="2"/>
      <c r="Q597" s="2"/>
      <c r="R597" s="2"/>
      <c r="S597" s="2"/>
      <c r="T597" s="2"/>
      <c r="U597" s="2"/>
      <c r="V597" s="2"/>
      <c r="W597" s="2"/>
      <c r="X597" s="2"/>
    </row>
    <row r="598" spans="1:24" ht="18">
      <c r="A598" s="2"/>
      <c r="B598" s="2"/>
      <c r="C598" s="2"/>
      <c r="D598" s="2"/>
      <c r="E598" s="2"/>
      <c r="F598" s="2"/>
      <c r="G598" s="2"/>
      <c r="H598" s="2"/>
      <c r="I598" s="2"/>
      <c r="J598" s="2"/>
      <c r="K598" s="2"/>
      <c r="L598" s="2"/>
      <c r="M598" s="2"/>
      <c r="N598" s="2"/>
      <c r="O598" s="2"/>
      <c r="P598" s="2"/>
      <c r="Q598" s="2"/>
      <c r="R598" s="2"/>
      <c r="S598" s="2"/>
      <c r="T598" s="2"/>
      <c r="U598" s="2"/>
      <c r="V598" s="2"/>
      <c r="W598" s="2"/>
      <c r="X598" s="2"/>
    </row>
    <row r="599" spans="1:24" ht="18">
      <c r="A599" s="2"/>
      <c r="B599" s="2"/>
      <c r="C599" s="2"/>
      <c r="D599" s="2"/>
      <c r="E599" s="2"/>
      <c r="F599" s="2"/>
      <c r="G599" s="2"/>
      <c r="H599" s="2"/>
      <c r="I599" s="2"/>
      <c r="J599" s="2"/>
      <c r="K599" s="2"/>
      <c r="L599" s="2"/>
      <c r="M599" s="2"/>
      <c r="N599" s="2"/>
      <c r="O599" s="2"/>
      <c r="P599" s="2"/>
      <c r="Q599" s="2"/>
      <c r="R599" s="2"/>
      <c r="S599" s="2"/>
      <c r="T599" s="2"/>
      <c r="U599" s="2"/>
      <c r="V599" s="2"/>
      <c r="W599" s="2"/>
      <c r="X599" s="2"/>
    </row>
    <row r="600" spans="1:24" ht="18">
      <c r="A600" s="2"/>
      <c r="B600" s="2"/>
      <c r="C600" s="2"/>
      <c r="D600" s="2"/>
      <c r="E600" s="2"/>
      <c r="F600" s="2"/>
      <c r="G600" s="2"/>
      <c r="H600" s="2"/>
      <c r="I600" s="2"/>
      <c r="J600" s="2"/>
      <c r="K600" s="2"/>
      <c r="L600" s="2"/>
      <c r="M600" s="2"/>
      <c r="N600" s="2"/>
      <c r="O600" s="2"/>
      <c r="P600" s="2"/>
      <c r="Q600" s="2"/>
      <c r="R600" s="2"/>
      <c r="S600" s="2"/>
      <c r="T600" s="2"/>
      <c r="U600" s="2"/>
      <c r="V600" s="2"/>
      <c r="W600" s="2"/>
      <c r="X600" s="2"/>
    </row>
    <row r="601" spans="1:24" ht="18">
      <c r="A601" s="2"/>
      <c r="B601" s="2"/>
      <c r="C601" s="2"/>
      <c r="D601" s="2"/>
      <c r="E601" s="2"/>
      <c r="F601" s="2"/>
      <c r="G601" s="2"/>
      <c r="H601" s="2"/>
      <c r="I601" s="2"/>
      <c r="J601" s="2"/>
      <c r="K601" s="2"/>
      <c r="L601" s="2"/>
      <c r="M601" s="2"/>
      <c r="N601" s="2"/>
      <c r="O601" s="2"/>
      <c r="P601" s="2"/>
      <c r="Q601" s="2"/>
      <c r="R601" s="2"/>
      <c r="S601" s="2"/>
      <c r="T601" s="2"/>
      <c r="U601" s="2"/>
      <c r="V601" s="2"/>
      <c r="W601" s="2"/>
      <c r="X601" s="2"/>
    </row>
    <row r="602" spans="1:24" ht="18">
      <c r="A602" s="2"/>
      <c r="B602" s="2"/>
      <c r="C602" s="2"/>
      <c r="D602" s="2"/>
      <c r="E602" s="2"/>
      <c r="F602" s="2"/>
      <c r="G602" s="2"/>
      <c r="H602" s="2"/>
      <c r="I602" s="2"/>
      <c r="J602" s="2"/>
      <c r="K602" s="2"/>
      <c r="L602" s="2"/>
      <c r="M602" s="2"/>
      <c r="N602" s="2"/>
      <c r="O602" s="2"/>
      <c r="P602" s="2"/>
      <c r="Q602" s="2"/>
      <c r="R602" s="2"/>
      <c r="S602" s="2"/>
      <c r="T602" s="2"/>
      <c r="U602" s="2"/>
      <c r="V602" s="2"/>
      <c r="W602" s="2"/>
      <c r="X602" s="2"/>
    </row>
    <row r="603" spans="1:24" ht="18">
      <c r="A603" s="2"/>
      <c r="B603" s="2"/>
      <c r="C603" s="2"/>
      <c r="D603" s="2"/>
      <c r="E603" s="2"/>
      <c r="F603" s="2"/>
      <c r="G603" s="2"/>
      <c r="H603" s="2"/>
      <c r="I603" s="2"/>
      <c r="J603" s="2"/>
      <c r="K603" s="2"/>
      <c r="L603" s="2"/>
      <c r="M603" s="2"/>
      <c r="N603" s="2"/>
      <c r="O603" s="2"/>
      <c r="P603" s="2"/>
      <c r="Q603" s="2"/>
      <c r="R603" s="2"/>
      <c r="S603" s="2"/>
      <c r="T603" s="2"/>
      <c r="U603" s="2"/>
      <c r="V603" s="2"/>
      <c r="W603" s="2"/>
      <c r="X603" s="2"/>
    </row>
    <row r="604" spans="1:24" ht="18">
      <c r="A604" s="2"/>
      <c r="B604" s="2"/>
      <c r="C604" s="2"/>
      <c r="D604" s="2"/>
      <c r="E604" s="2"/>
      <c r="F604" s="2"/>
      <c r="G604" s="2"/>
      <c r="H604" s="2"/>
      <c r="I604" s="2"/>
      <c r="J604" s="2"/>
      <c r="K604" s="2"/>
      <c r="L604" s="2"/>
      <c r="M604" s="2"/>
      <c r="N604" s="2"/>
      <c r="O604" s="2"/>
      <c r="P604" s="2"/>
      <c r="Q604" s="2"/>
      <c r="R604" s="2"/>
      <c r="S604" s="2"/>
      <c r="T604" s="2"/>
      <c r="U604" s="2"/>
      <c r="V604" s="2"/>
      <c r="W604" s="2"/>
      <c r="X604" s="2"/>
    </row>
    <row r="605" spans="1:24" ht="18">
      <c r="A605" s="2"/>
      <c r="B605" s="2"/>
      <c r="C605" s="2"/>
      <c r="D605" s="2"/>
      <c r="E605" s="2"/>
      <c r="F605" s="2"/>
      <c r="G605" s="2"/>
      <c r="H605" s="2"/>
      <c r="I605" s="2"/>
      <c r="J605" s="2"/>
      <c r="K605" s="2"/>
      <c r="L605" s="2"/>
      <c r="M605" s="2"/>
      <c r="N605" s="2"/>
      <c r="O605" s="2"/>
      <c r="P605" s="2"/>
      <c r="Q605" s="2"/>
      <c r="R605" s="2"/>
      <c r="S605" s="2"/>
      <c r="T605" s="2"/>
      <c r="U605" s="2"/>
      <c r="V605" s="2"/>
      <c r="W605" s="2"/>
      <c r="X605" s="2"/>
    </row>
    <row r="606" spans="1:24" ht="18">
      <c r="A606" s="2"/>
      <c r="B606" s="2"/>
      <c r="C606" s="2"/>
      <c r="D606" s="2"/>
      <c r="E606" s="2"/>
      <c r="F606" s="2"/>
      <c r="G606" s="2"/>
      <c r="H606" s="2"/>
      <c r="I606" s="2"/>
      <c r="J606" s="2"/>
      <c r="K606" s="2"/>
      <c r="L606" s="2"/>
      <c r="M606" s="2"/>
      <c r="N606" s="2"/>
      <c r="O606" s="2"/>
      <c r="P606" s="2"/>
      <c r="Q606" s="2"/>
      <c r="R606" s="2"/>
      <c r="S606" s="2"/>
      <c r="T606" s="2"/>
      <c r="U606" s="2"/>
      <c r="V606" s="2"/>
      <c r="W606" s="2"/>
      <c r="X606" s="2"/>
    </row>
    <row r="607" spans="1:24" ht="18">
      <c r="A607" s="2"/>
      <c r="B607" s="2"/>
      <c r="C607" s="2"/>
      <c r="D607" s="2"/>
      <c r="E607" s="2"/>
      <c r="F607" s="2"/>
      <c r="G607" s="2"/>
      <c r="H607" s="2"/>
      <c r="I607" s="2"/>
      <c r="J607" s="2"/>
      <c r="K607" s="2"/>
      <c r="L607" s="2"/>
      <c r="M607" s="2"/>
      <c r="N607" s="2"/>
      <c r="O607" s="2"/>
      <c r="P607" s="2"/>
      <c r="Q607" s="2"/>
      <c r="R607" s="2"/>
      <c r="S607" s="2"/>
      <c r="T607" s="2"/>
      <c r="U607" s="2"/>
      <c r="V607" s="2"/>
      <c r="W607" s="2"/>
      <c r="X607" s="2"/>
    </row>
    <row r="608" spans="1:24" ht="18">
      <c r="A608" s="2"/>
      <c r="B608" s="2"/>
      <c r="C608" s="2"/>
      <c r="D608" s="2"/>
      <c r="E608" s="2"/>
      <c r="F608" s="2"/>
      <c r="G608" s="2"/>
      <c r="H608" s="2"/>
      <c r="I608" s="2"/>
      <c r="J608" s="2"/>
      <c r="K608" s="2"/>
      <c r="L608" s="2"/>
      <c r="M608" s="2"/>
      <c r="N608" s="2"/>
      <c r="O608" s="2"/>
      <c r="P608" s="2"/>
      <c r="Q608" s="2"/>
      <c r="R608" s="2"/>
      <c r="S608" s="2"/>
      <c r="T608" s="2"/>
      <c r="U608" s="2"/>
      <c r="V608" s="2"/>
      <c r="W608" s="2"/>
      <c r="X608" s="2"/>
    </row>
    <row r="609" spans="1:24" ht="18">
      <c r="A609" s="2"/>
      <c r="B609" s="2"/>
      <c r="C609" s="2"/>
      <c r="D609" s="2"/>
      <c r="E609" s="2"/>
      <c r="F609" s="2"/>
      <c r="G609" s="2"/>
      <c r="H609" s="2"/>
      <c r="I609" s="2"/>
      <c r="J609" s="2"/>
      <c r="K609" s="2"/>
      <c r="L609" s="2"/>
      <c r="M609" s="2"/>
      <c r="N609" s="2"/>
      <c r="O609" s="2"/>
      <c r="P609" s="2"/>
      <c r="Q609" s="2"/>
      <c r="R609" s="2"/>
      <c r="S609" s="2"/>
      <c r="T609" s="2"/>
      <c r="U609" s="2"/>
      <c r="V609" s="2"/>
      <c r="W609" s="2"/>
      <c r="X609" s="2"/>
    </row>
    <row r="610" spans="1:24" ht="18">
      <c r="A610" s="2"/>
      <c r="B610" s="2"/>
      <c r="C610" s="2"/>
      <c r="D610" s="2"/>
      <c r="E610" s="2"/>
      <c r="F610" s="2"/>
      <c r="G610" s="2"/>
      <c r="H610" s="2"/>
      <c r="I610" s="2"/>
      <c r="J610" s="2"/>
      <c r="K610" s="2"/>
      <c r="L610" s="2"/>
      <c r="M610" s="2"/>
      <c r="N610" s="2"/>
      <c r="O610" s="2"/>
      <c r="P610" s="2"/>
      <c r="Q610" s="2"/>
      <c r="R610" s="2"/>
      <c r="S610" s="2"/>
      <c r="T610" s="2"/>
      <c r="U610" s="2"/>
      <c r="V610" s="2"/>
      <c r="W610" s="2"/>
      <c r="X610" s="2"/>
    </row>
    <row r="611" spans="1:24" ht="18">
      <c r="A611" s="2"/>
      <c r="B611" s="2"/>
      <c r="C611" s="2"/>
      <c r="D611" s="2"/>
      <c r="E611" s="2"/>
      <c r="F611" s="2"/>
      <c r="G611" s="2"/>
      <c r="H611" s="2"/>
      <c r="I611" s="2"/>
      <c r="J611" s="2"/>
      <c r="K611" s="2"/>
      <c r="L611" s="2"/>
      <c r="M611" s="2"/>
      <c r="N611" s="2"/>
      <c r="O611" s="2"/>
      <c r="P611" s="2"/>
      <c r="Q611" s="2"/>
      <c r="R611" s="2"/>
      <c r="S611" s="2"/>
      <c r="T611" s="2"/>
      <c r="U611" s="2"/>
      <c r="V611" s="2"/>
      <c r="W611" s="2"/>
      <c r="X611" s="2"/>
    </row>
    <row r="612" spans="1:24" ht="18">
      <c r="A612" s="2"/>
      <c r="B612" s="2"/>
      <c r="C612" s="2"/>
      <c r="D612" s="2"/>
      <c r="E612" s="2"/>
      <c r="F612" s="2"/>
      <c r="G612" s="2"/>
      <c r="H612" s="2"/>
      <c r="I612" s="2"/>
      <c r="J612" s="2"/>
      <c r="K612" s="2"/>
      <c r="L612" s="2"/>
      <c r="M612" s="2"/>
      <c r="N612" s="2"/>
      <c r="O612" s="2"/>
      <c r="P612" s="2"/>
      <c r="Q612" s="2"/>
      <c r="R612" s="2"/>
      <c r="S612" s="2"/>
      <c r="T612" s="2"/>
      <c r="U612" s="2"/>
      <c r="V612" s="2"/>
      <c r="W612" s="2"/>
      <c r="X612" s="2"/>
    </row>
    <row r="613" spans="1:24" ht="18">
      <c r="A613" s="2"/>
      <c r="B613" s="2"/>
      <c r="C613" s="2"/>
      <c r="D613" s="2"/>
      <c r="E613" s="2"/>
      <c r="F613" s="2"/>
      <c r="G613" s="2"/>
      <c r="H613" s="2"/>
      <c r="I613" s="2"/>
      <c r="J613" s="2"/>
      <c r="K613" s="2"/>
      <c r="L613" s="2"/>
      <c r="M613" s="2"/>
      <c r="N613" s="2"/>
      <c r="O613" s="2"/>
      <c r="P613" s="2"/>
      <c r="Q613" s="2"/>
      <c r="R613" s="2"/>
      <c r="S613" s="2"/>
      <c r="T613" s="2"/>
      <c r="U613" s="2"/>
      <c r="V613" s="2"/>
      <c r="W613" s="2"/>
      <c r="X613" s="2"/>
    </row>
    <row r="614" spans="1:24" ht="18">
      <c r="A614" s="2"/>
      <c r="B614" s="2"/>
      <c r="C614" s="2"/>
      <c r="D614" s="2"/>
      <c r="E614" s="2"/>
      <c r="F614" s="2"/>
      <c r="G614" s="2"/>
      <c r="H614" s="2"/>
      <c r="I614" s="2"/>
      <c r="J614" s="2"/>
      <c r="K614" s="2"/>
      <c r="L614" s="2"/>
      <c r="M614" s="2"/>
      <c r="N614" s="2"/>
      <c r="O614" s="2"/>
      <c r="P614" s="2"/>
      <c r="Q614" s="2"/>
      <c r="R614" s="2"/>
      <c r="S614" s="2"/>
      <c r="T614" s="2"/>
      <c r="U614" s="2"/>
      <c r="V614" s="2"/>
      <c r="W614" s="2"/>
      <c r="X614" s="2"/>
    </row>
    <row r="615" spans="1:24" ht="18">
      <c r="A615" s="2"/>
      <c r="B615" s="2"/>
      <c r="C615" s="2"/>
      <c r="D615" s="2"/>
      <c r="E615" s="2"/>
      <c r="F615" s="2"/>
      <c r="G615" s="2"/>
      <c r="H615" s="2"/>
      <c r="I615" s="2"/>
      <c r="J615" s="2"/>
      <c r="K615" s="2"/>
      <c r="L615" s="2"/>
      <c r="M615" s="2"/>
      <c r="N615" s="2"/>
      <c r="O615" s="2"/>
      <c r="P615" s="2"/>
      <c r="Q615" s="2"/>
      <c r="R615" s="2"/>
      <c r="S615" s="2"/>
      <c r="T615" s="2"/>
      <c r="U615" s="2"/>
      <c r="V615" s="2"/>
      <c r="W615" s="2"/>
      <c r="X615" s="2"/>
    </row>
    <row r="616" spans="1:24" ht="18">
      <c r="A616" s="2"/>
      <c r="B616" s="2"/>
      <c r="C616" s="2"/>
      <c r="D616" s="2"/>
      <c r="E616" s="2"/>
      <c r="F616" s="2"/>
      <c r="G616" s="2"/>
      <c r="H616" s="2"/>
      <c r="I616" s="2"/>
      <c r="J616" s="2"/>
      <c r="K616" s="2"/>
      <c r="L616" s="2"/>
      <c r="M616" s="2"/>
      <c r="N616" s="2"/>
      <c r="O616" s="2"/>
      <c r="P616" s="2"/>
      <c r="Q616" s="2"/>
      <c r="R616" s="2"/>
      <c r="S616" s="2"/>
      <c r="T616" s="2"/>
      <c r="U616" s="2"/>
      <c r="V616" s="2"/>
      <c r="W616" s="2"/>
      <c r="X616" s="2"/>
    </row>
    <row r="617" spans="1:24" ht="18">
      <c r="A617" s="2"/>
      <c r="B617" s="2"/>
      <c r="C617" s="2"/>
      <c r="D617" s="2"/>
      <c r="E617" s="2"/>
      <c r="F617" s="2"/>
      <c r="G617" s="2"/>
      <c r="H617" s="2"/>
      <c r="I617" s="2"/>
      <c r="J617" s="2"/>
      <c r="K617" s="2"/>
      <c r="L617" s="2"/>
      <c r="M617" s="2"/>
      <c r="N617" s="2"/>
      <c r="O617" s="2"/>
      <c r="P617" s="2"/>
      <c r="Q617" s="2"/>
      <c r="R617" s="2"/>
      <c r="S617" s="2"/>
      <c r="T617" s="2"/>
      <c r="U617" s="2"/>
      <c r="V617" s="2"/>
      <c r="W617" s="2"/>
      <c r="X617" s="2"/>
    </row>
    <row r="618" spans="1:24" ht="18">
      <c r="A618" s="2"/>
      <c r="B618" s="2"/>
      <c r="C618" s="2"/>
      <c r="D618" s="2"/>
      <c r="E618" s="2"/>
      <c r="F618" s="2"/>
      <c r="G618" s="2"/>
      <c r="H618" s="2"/>
      <c r="I618" s="2"/>
      <c r="J618" s="2"/>
      <c r="K618" s="2"/>
      <c r="L618" s="2"/>
      <c r="M618" s="2"/>
      <c r="N618" s="2"/>
      <c r="O618" s="2"/>
      <c r="P618" s="2"/>
      <c r="Q618" s="2"/>
      <c r="R618" s="2"/>
      <c r="S618" s="2"/>
      <c r="T618" s="2"/>
      <c r="U618" s="2"/>
      <c r="V618" s="2"/>
      <c r="W618" s="2"/>
      <c r="X618" s="2"/>
    </row>
    <row r="619" spans="1:24" ht="18">
      <c r="A619" s="2"/>
      <c r="B619" s="2"/>
      <c r="C619" s="2"/>
      <c r="D619" s="2"/>
      <c r="E619" s="2"/>
      <c r="F619" s="2"/>
      <c r="G619" s="2"/>
      <c r="H619" s="2"/>
      <c r="I619" s="2"/>
      <c r="J619" s="2"/>
      <c r="K619" s="2"/>
      <c r="L619" s="2"/>
      <c r="M619" s="2"/>
      <c r="N619" s="2"/>
      <c r="O619" s="2"/>
      <c r="P619" s="2"/>
      <c r="Q619" s="2"/>
      <c r="R619" s="2"/>
      <c r="S619" s="2"/>
      <c r="T619" s="2"/>
      <c r="U619" s="2"/>
      <c r="V619" s="2"/>
      <c r="W619" s="2"/>
      <c r="X619" s="2"/>
    </row>
    <row r="620" spans="1:24" ht="18">
      <c r="A620" s="2"/>
      <c r="B620" s="2"/>
      <c r="C620" s="2"/>
      <c r="D620" s="2"/>
      <c r="E620" s="2"/>
      <c r="F620" s="2"/>
      <c r="G620" s="2"/>
      <c r="H620" s="2"/>
      <c r="I620" s="2"/>
      <c r="J620" s="2"/>
      <c r="K620" s="2"/>
      <c r="L620" s="2"/>
      <c r="M620" s="2"/>
      <c r="N620" s="2"/>
      <c r="O620" s="2"/>
      <c r="P620" s="2"/>
      <c r="Q620" s="2"/>
      <c r="R620" s="2"/>
      <c r="S620" s="2"/>
      <c r="T620" s="2"/>
      <c r="U620" s="2"/>
      <c r="V620" s="2"/>
      <c r="W620" s="2"/>
      <c r="X620" s="2"/>
    </row>
    <row r="621" spans="1:24" ht="18">
      <c r="A621" s="2"/>
      <c r="B621" s="2"/>
      <c r="C621" s="2"/>
      <c r="D621" s="2"/>
      <c r="E621" s="2"/>
      <c r="F621" s="2"/>
      <c r="G621" s="2"/>
      <c r="H621" s="2"/>
      <c r="I621" s="2"/>
      <c r="J621" s="2"/>
      <c r="K621" s="2"/>
      <c r="L621" s="2"/>
      <c r="M621" s="2"/>
      <c r="N621" s="2"/>
      <c r="O621" s="2"/>
      <c r="P621" s="2"/>
      <c r="Q621" s="2"/>
      <c r="R621" s="2"/>
      <c r="S621" s="2"/>
      <c r="T621" s="2"/>
      <c r="U621" s="2"/>
      <c r="V621" s="2"/>
      <c r="W621" s="2"/>
      <c r="X621" s="2"/>
    </row>
    <row r="622" spans="1:24" ht="18">
      <c r="A622" s="2"/>
      <c r="B622" s="2"/>
      <c r="C622" s="2"/>
      <c r="D622" s="2"/>
      <c r="E622" s="2"/>
      <c r="F622" s="2"/>
      <c r="G622" s="2"/>
      <c r="H622" s="2"/>
      <c r="I622" s="2"/>
      <c r="J622" s="2"/>
      <c r="K622" s="2"/>
      <c r="L622" s="2"/>
      <c r="M622" s="2"/>
      <c r="N622" s="2"/>
      <c r="O622" s="2"/>
      <c r="P622" s="2"/>
      <c r="Q622" s="2"/>
      <c r="R622" s="2"/>
      <c r="S622" s="2"/>
      <c r="T622" s="2"/>
      <c r="U622" s="2"/>
      <c r="V622" s="2"/>
      <c r="W622" s="2"/>
      <c r="X622" s="2"/>
    </row>
    <row r="623" spans="1:24" ht="18">
      <c r="A623" s="2"/>
      <c r="B623" s="2"/>
      <c r="C623" s="2"/>
      <c r="D623" s="2"/>
      <c r="E623" s="2"/>
      <c r="F623" s="2"/>
      <c r="G623" s="2"/>
      <c r="H623" s="2"/>
      <c r="I623" s="2"/>
      <c r="J623" s="2"/>
      <c r="K623" s="2"/>
      <c r="L623" s="2"/>
      <c r="M623" s="2"/>
      <c r="N623" s="2"/>
      <c r="O623" s="2"/>
      <c r="P623" s="2"/>
      <c r="Q623" s="2"/>
      <c r="R623" s="2"/>
      <c r="S623" s="2"/>
      <c r="T623" s="2"/>
      <c r="U623" s="2"/>
      <c r="V623" s="2"/>
      <c r="W623" s="2"/>
      <c r="X623" s="2"/>
    </row>
    <row r="624" spans="1:24" ht="18">
      <c r="A624" s="2"/>
      <c r="B624" s="2"/>
      <c r="C624" s="2"/>
      <c r="D624" s="2"/>
      <c r="E624" s="2"/>
      <c r="F624" s="2"/>
      <c r="G624" s="2"/>
      <c r="H624" s="2"/>
      <c r="I624" s="2"/>
      <c r="J624" s="2"/>
      <c r="K624" s="2"/>
      <c r="L624" s="2"/>
      <c r="M624" s="2"/>
      <c r="N624" s="2"/>
      <c r="O624" s="2"/>
      <c r="P624" s="2"/>
      <c r="Q624" s="2"/>
      <c r="R624" s="2"/>
      <c r="S624" s="2"/>
      <c r="T624" s="2"/>
      <c r="U624" s="2"/>
      <c r="V624" s="2"/>
      <c r="W624" s="2"/>
      <c r="X624" s="2"/>
    </row>
    <row r="625" spans="1:24" ht="18">
      <c r="A625" s="2"/>
      <c r="B625" s="2"/>
      <c r="C625" s="2"/>
      <c r="D625" s="2"/>
      <c r="E625" s="2"/>
      <c r="F625" s="2"/>
      <c r="G625" s="2"/>
      <c r="H625" s="2"/>
      <c r="I625" s="2"/>
      <c r="J625" s="2"/>
      <c r="K625" s="2"/>
      <c r="L625" s="2"/>
      <c r="M625" s="2"/>
      <c r="N625" s="2"/>
      <c r="O625" s="2"/>
      <c r="P625" s="2"/>
      <c r="Q625" s="2"/>
      <c r="R625" s="2"/>
      <c r="S625" s="2"/>
      <c r="T625" s="2"/>
      <c r="U625" s="2"/>
      <c r="V625" s="2"/>
      <c r="W625" s="2"/>
      <c r="X625" s="2"/>
    </row>
    <row r="626" spans="1:24" ht="18">
      <c r="A626" s="2"/>
      <c r="B626" s="2"/>
      <c r="C626" s="2"/>
      <c r="D626" s="2"/>
      <c r="E626" s="2"/>
      <c r="F626" s="2"/>
      <c r="G626" s="2"/>
      <c r="H626" s="2"/>
      <c r="I626" s="2"/>
      <c r="J626" s="2"/>
      <c r="K626" s="2"/>
      <c r="L626" s="2"/>
      <c r="M626" s="2"/>
      <c r="N626" s="2"/>
      <c r="O626" s="2"/>
      <c r="P626" s="2"/>
      <c r="Q626" s="2"/>
      <c r="R626" s="2"/>
      <c r="S626" s="2"/>
      <c r="T626" s="2"/>
      <c r="U626" s="2"/>
      <c r="V626" s="2"/>
      <c r="W626" s="2"/>
      <c r="X626" s="2"/>
    </row>
    <row r="627" spans="1:24" ht="18">
      <c r="A627" s="2"/>
      <c r="B627" s="2"/>
      <c r="C627" s="2"/>
      <c r="D627" s="2"/>
      <c r="E627" s="2"/>
      <c r="F627" s="2"/>
      <c r="G627" s="2"/>
      <c r="H627" s="2"/>
      <c r="I627" s="2"/>
      <c r="J627" s="2"/>
      <c r="K627" s="2"/>
      <c r="L627" s="2"/>
      <c r="M627" s="2"/>
      <c r="N627" s="2"/>
      <c r="O627" s="2"/>
      <c r="P627" s="2"/>
      <c r="Q627" s="2"/>
      <c r="R627" s="2"/>
      <c r="S627" s="2"/>
      <c r="T627" s="2"/>
      <c r="U627" s="2"/>
      <c r="V627" s="2"/>
      <c r="W627" s="2"/>
      <c r="X627" s="2"/>
    </row>
    <row r="628" spans="1:24" ht="18">
      <c r="A628" s="2"/>
      <c r="B628" s="2"/>
      <c r="C628" s="2"/>
      <c r="D628" s="2"/>
      <c r="E628" s="2"/>
      <c r="F628" s="2"/>
      <c r="G628" s="2"/>
      <c r="H628" s="2"/>
      <c r="I628" s="2"/>
      <c r="J628" s="2"/>
      <c r="K628" s="2"/>
      <c r="L628" s="2"/>
      <c r="M628" s="2"/>
      <c r="N628" s="2"/>
      <c r="O628" s="2"/>
      <c r="P628" s="2"/>
      <c r="Q628" s="2"/>
      <c r="R628" s="2"/>
      <c r="S628" s="2"/>
      <c r="T628" s="2"/>
      <c r="U628" s="2"/>
      <c r="V628" s="2"/>
      <c r="W628" s="2"/>
      <c r="X628" s="2"/>
    </row>
    <row r="629" spans="1:24" ht="18">
      <c r="A629" s="2"/>
      <c r="B629" s="2"/>
      <c r="C629" s="2"/>
      <c r="D629" s="2"/>
      <c r="E629" s="2"/>
      <c r="F629" s="2"/>
      <c r="G629" s="2"/>
      <c r="H629" s="2"/>
      <c r="I629" s="2"/>
      <c r="J629" s="2"/>
      <c r="K629" s="2"/>
      <c r="L629" s="2"/>
      <c r="M629" s="2"/>
      <c r="N629" s="2"/>
      <c r="O629" s="2"/>
      <c r="P629" s="2"/>
      <c r="Q629" s="2"/>
      <c r="R629" s="2"/>
      <c r="S629" s="2"/>
      <c r="T629" s="2"/>
      <c r="U629" s="2"/>
      <c r="V629" s="2"/>
      <c r="W629" s="2"/>
      <c r="X629" s="2"/>
    </row>
    <row r="630" spans="1:24" ht="18">
      <c r="A630" s="2"/>
      <c r="B630" s="2"/>
      <c r="C630" s="2"/>
      <c r="D630" s="2"/>
      <c r="E630" s="2"/>
      <c r="F630" s="2"/>
      <c r="G630" s="2"/>
      <c r="H630" s="2"/>
      <c r="I630" s="2"/>
      <c r="J630" s="2"/>
      <c r="K630" s="2"/>
      <c r="L630" s="2"/>
      <c r="M630" s="2"/>
      <c r="N630" s="2"/>
      <c r="O630" s="2"/>
      <c r="P630" s="2"/>
      <c r="Q630" s="2"/>
      <c r="R630" s="2"/>
      <c r="S630" s="2"/>
      <c r="T630" s="2"/>
      <c r="U630" s="2"/>
      <c r="V630" s="2"/>
      <c r="W630" s="2"/>
      <c r="X630" s="2"/>
    </row>
    <row r="631" spans="1:24" ht="18">
      <c r="A631" s="2"/>
      <c r="B631" s="2"/>
      <c r="C631" s="2"/>
      <c r="D631" s="2"/>
      <c r="E631" s="2"/>
      <c r="F631" s="2"/>
      <c r="G631" s="2"/>
      <c r="H631" s="2"/>
      <c r="I631" s="2"/>
      <c r="J631" s="2"/>
      <c r="K631" s="2"/>
      <c r="L631" s="2"/>
      <c r="M631" s="2"/>
      <c r="N631" s="2"/>
      <c r="O631" s="2"/>
      <c r="P631" s="2"/>
      <c r="Q631" s="2"/>
      <c r="R631" s="2"/>
      <c r="S631" s="2"/>
      <c r="T631" s="2"/>
      <c r="U631" s="2"/>
      <c r="V631" s="2"/>
      <c r="W631" s="2"/>
      <c r="X631" s="2"/>
    </row>
    <row r="632" spans="1:24" ht="18">
      <c r="A632" s="2"/>
      <c r="B632" s="2"/>
      <c r="C632" s="2"/>
      <c r="D632" s="2"/>
      <c r="E632" s="2"/>
      <c r="F632" s="2"/>
      <c r="G632" s="2"/>
      <c r="H632" s="2"/>
      <c r="I632" s="2"/>
      <c r="J632" s="2"/>
      <c r="K632" s="2"/>
      <c r="L632" s="2"/>
      <c r="M632" s="2"/>
      <c r="N632" s="2"/>
      <c r="O632" s="2"/>
      <c r="P632" s="2"/>
      <c r="Q632" s="2"/>
      <c r="R632" s="2"/>
      <c r="S632" s="2"/>
      <c r="T632" s="2"/>
      <c r="U632" s="2"/>
      <c r="V632" s="2"/>
      <c r="W632" s="2"/>
      <c r="X632" s="2"/>
    </row>
    <row r="633" spans="1:24" ht="18">
      <c r="A633" s="2"/>
      <c r="B633" s="2"/>
      <c r="C633" s="2"/>
      <c r="D633" s="2"/>
      <c r="E633" s="2"/>
      <c r="F633" s="2"/>
      <c r="G633" s="2"/>
      <c r="H633" s="2"/>
      <c r="I633" s="2"/>
      <c r="J633" s="2"/>
      <c r="K633" s="2"/>
      <c r="L633" s="2"/>
      <c r="M633" s="2"/>
      <c r="N633" s="2"/>
      <c r="O633" s="2"/>
      <c r="P633" s="2"/>
      <c r="Q633" s="2"/>
      <c r="R633" s="2"/>
      <c r="S633" s="2"/>
      <c r="T633" s="2"/>
      <c r="U633" s="2"/>
      <c r="V633" s="2"/>
      <c r="W633" s="2"/>
      <c r="X633" s="2"/>
    </row>
    <row r="634" spans="1:24" ht="18">
      <c r="A634" s="2"/>
      <c r="B634" s="2"/>
      <c r="C634" s="2"/>
      <c r="D634" s="2"/>
      <c r="E634" s="2"/>
      <c r="F634" s="2"/>
      <c r="G634" s="2"/>
      <c r="H634" s="2"/>
      <c r="I634" s="2"/>
      <c r="J634" s="2"/>
      <c r="K634" s="2"/>
      <c r="L634" s="2"/>
      <c r="M634" s="2"/>
      <c r="N634" s="2"/>
      <c r="O634" s="2"/>
      <c r="P634" s="2"/>
      <c r="Q634" s="2"/>
      <c r="R634" s="2"/>
      <c r="S634" s="2"/>
      <c r="T634" s="2"/>
      <c r="U634" s="2"/>
      <c r="V634" s="2"/>
      <c r="W634" s="2"/>
      <c r="X634" s="2"/>
    </row>
    <row r="635" spans="1:24" ht="18">
      <c r="A635" s="2"/>
      <c r="B635" s="2"/>
      <c r="C635" s="2"/>
      <c r="D635" s="2"/>
      <c r="E635" s="2"/>
      <c r="F635" s="2"/>
      <c r="G635" s="2"/>
      <c r="H635" s="2"/>
      <c r="I635" s="2"/>
      <c r="J635" s="2"/>
      <c r="K635" s="2"/>
      <c r="L635" s="2"/>
      <c r="M635" s="2"/>
      <c r="N635" s="2"/>
      <c r="O635" s="2"/>
      <c r="P635" s="2"/>
      <c r="Q635" s="2"/>
      <c r="R635" s="2"/>
      <c r="S635" s="2"/>
      <c r="T635" s="2"/>
      <c r="U635" s="2"/>
      <c r="V635" s="2"/>
      <c r="W635" s="2"/>
      <c r="X635" s="2"/>
    </row>
    <row r="636" spans="1:24" ht="18">
      <c r="A636" s="2"/>
      <c r="B636" s="2"/>
      <c r="C636" s="2"/>
      <c r="D636" s="2"/>
      <c r="E636" s="2"/>
      <c r="F636" s="2"/>
      <c r="G636" s="2"/>
      <c r="H636" s="2"/>
      <c r="I636" s="2"/>
      <c r="J636" s="2"/>
      <c r="K636" s="2"/>
      <c r="L636" s="2"/>
      <c r="M636" s="2"/>
      <c r="N636" s="2"/>
      <c r="O636" s="2"/>
      <c r="P636" s="2"/>
      <c r="Q636" s="2"/>
      <c r="R636" s="2"/>
      <c r="S636" s="2"/>
      <c r="T636" s="2"/>
      <c r="U636" s="2"/>
      <c r="V636" s="2"/>
      <c r="W636" s="2"/>
      <c r="X636" s="2"/>
    </row>
    <row r="637" spans="1:24" ht="18">
      <c r="A637" s="2"/>
      <c r="B637" s="2"/>
      <c r="C637" s="2"/>
      <c r="D637" s="2"/>
      <c r="E637" s="2"/>
      <c r="F637" s="2"/>
      <c r="G637" s="2"/>
      <c r="H637" s="2"/>
      <c r="I637" s="2"/>
      <c r="J637" s="2"/>
      <c r="K637" s="2"/>
      <c r="L637" s="2"/>
      <c r="M637" s="2"/>
      <c r="N637" s="2"/>
      <c r="O637" s="2"/>
      <c r="P637" s="2"/>
      <c r="Q637" s="2"/>
      <c r="R637" s="2"/>
      <c r="S637" s="2"/>
      <c r="T637" s="2"/>
      <c r="U637" s="2"/>
      <c r="V637" s="2"/>
      <c r="W637" s="2"/>
      <c r="X637" s="2"/>
    </row>
    <row r="638" spans="1:24" ht="18">
      <c r="A638" s="2"/>
      <c r="B638" s="2"/>
      <c r="C638" s="2"/>
      <c r="D638" s="2"/>
      <c r="E638" s="2"/>
      <c r="F638" s="2"/>
      <c r="G638" s="2"/>
      <c r="H638" s="2"/>
      <c r="I638" s="2"/>
      <c r="J638" s="2"/>
      <c r="K638" s="2"/>
      <c r="L638" s="2"/>
      <c r="M638" s="2"/>
      <c r="N638" s="2"/>
      <c r="O638" s="2"/>
      <c r="P638" s="2"/>
      <c r="Q638" s="2"/>
      <c r="R638" s="2"/>
      <c r="S638" s="2"/>
      <c r="T638" s="2"/>
      <c r="U638" s="2"/>
      <c r="V638" s="2"/>
      <c r="W638" s="2"/>
      <c r="X638" s="2"/>
    </row>
    <row r="639" spans="1:24" ht="18">
      <c r="A639" s="2"/>
      <c r="B639" s="2"/>
      <c r="C639" s="2"/>
      <c r="D639" s="2"/>
      <c r="E639" s="2"/>
      <c r="F639" s="2"/>
      <c r="G639" s="2"/>
      <c r="H639" s="2"/>
      <c r="I639" s="2"/>
      <c r="J639" s="2"/>
      <c r="K639" s="2"/>
      <c r="L639" s="2"/>
      <c r="M639" s="2"/>
      <c r="N639" s="2"/>
      <c r="O639" s="2"/>
      <c r="P639" s="2"/>
      <c r="Q639" s="2"/>
      <c r="R639" s="2"/>
      <c r="S639" s="2"/>
      <c r="T639" s="2"/>
      <c r="U639" s="2"/>
      <c r="V639" s="2"/>
      <c r="W639" s="2"/>
      <c r="X639" s="2"/>
    </row>
    <row r="640" spans="1:24" ht="18">
      <c r="A640" s="2"/>
      <c r="B640" s="2"/>
      <c r="C640" s="2"/>
      <c r="D640" s="2"/>
      <c r="E640" s="2"/>
      <c r="F640" s="2"/>
      <c r="G640" s="2"/>
      <c r="H640" s="2"/>
      <c r="I640" s="2"/>
      <c r="J640" s="2"/>
      <c r="K640" s="2"/>
      <c r="L640" s="2"/>
      <c r="M640" s="2"/>
      <c r="N640" s="2"/>
      <c r="O640" s="2"/>
      <c r="P640" s="2"/>
      <c r="Q640" s="2"/>
      <c r="R640" s="2"/>
      <c r="S640" s="2"/>
      <c r="T640" s="2"/>
      <c r="U640" s="2"/>
      <c r="V640" s="2"/>
      <c r="W640" s="2"/>
      <c r="X640" s="2"/>
    </row>
    <row r="641" spans="1:24" ht="18">
      <c r="A641" s="2"/>
      <c r="B641" s="2"/>
      <c r="C641" s="2"/>
      <c r="D641" s="2"/>
      <c r="E641" s="2"/>
      <c r="F641" s="2"/>
      <c r="G641" s="2"/>
      <c r="H641" s="2"/>
      <c r="I641" s="2"/>
      <c r="J641" s="2"/>
      <c r="K641" s="2"/>
      <c r="L641" s="2"/>
      <c r="M641" s="2"/>
      <c r="N641" s="2"/>
      <c r="O641" s="2"/>
      <c r="P641" s="2"/>
      <c r="Q641" s="2"/>
      <c r="R641" s="2"/>
      <c r="S641" s="2"/>
      <c r="T641" s="2"/>
      <c r="U641" s="2"/>
      <c r="V641" s="2"/>
      <c r="W641" s="2"/>
      <c r="X641" s="2"/>
    </row>
    <row r="642" spans="1:24" ht="18">
      <c r="A642" s="2"/>
      <c r="B642" s="2"/>
      <c r="C642" s="2"/>
      <c r="D642" s="2"/>
      <c r="E642" s="2"/>
      <c r="F642" s="2"/>
      <c r="G642" s="2"/>
      <c r="H642" s="2"/>
      <c r="I642" s="2"/>
      <c r="J642" s="2"/>
      <c r="K642" s="2"/>
      <c r="L642" s="2"/>
      <c r="M642" s="2"/>
      <c r="N642" s="2"/>
      <c r="O642" s="2"/>
      <c r="P642" s="2"/>
      <c r="Q642" s="2"/>
      <c r="R642" s="2"/>
      <c r="S642" s="2"/>
      <c r="T642" s="2"/>
      <c r="U642" s="2"/>
      <c r="V642" s="2"/>
      <c r="W642" s="2"/>
      <c r="X642" s="2"/>
    </row>
    <row r="643" spans="1:24" ht="18">
      <c r="A643" s="2"/>
      <c r="B643" s="2"/>
      <c r="C643" s="2"/>
      <c r="D643" s="2"/>
      <c r="E643" s="2"/>
      <c r="F643" s="2"/>
      <c r="G643" s="2"/>
      <c r="H643" s="2"/>
      <c r="I643" s="2"/>
      <c r="J643" s="2"/>
      <c r="K643" s="2"/>
      <c r="L643" s="2"/>
      <c r="M643" s="2"/>
      <c r="N643" s="2"/>
      <c r="O643" s="2"/>
      <c r="P643" s="2"/>
      <c r="Q643" s="2"/>
      <c r="R643" s="2"/>
      <c r="S643" s="2"/>
      <c r="T643" s="2"/>
      <c r="U643" s="2"/>
      <c r="V643" s="2"/>
      <c r="W643" s="2"/>
      <c r="X643" s="2"/>
    </row>
    <row r="644" spans="1:24" ht="18">
      <c r="A644" s="2"/>
      <c r="B644" s="2"/>
      <c r="C644" s="2"/>
      <c r="D644" s="2"/>
      <c r="E644" s="2"/>
      <c r="F644" s="2"/>
      <c r="G644" s="2"/>
      <c r="H644" s="2"/>
      <c r="I644" s="2"/>
      <c r="J644" s="2"/>
      <c r="K644" s="2"/>
      <c r="L644" s="2"/>
      <c r="M644" s="2"/>
      <c r="N644" s="2"/>
      <c r="O644" s="2"/>
      <c r="P644" s="2"/>
      <c r="Q644" s="2"/>
      <c r="R644" s="2"/>
      <c r="S644" s="2"/>
      <c r="T644" s="2"/>
      <c r="U644" s="2"/>
      <c r="V644" s="2"/>
      <c r="W644" s="2"/>
      <c r="X644" s="2"/>
    </row>
    <row r="645" spans="1:24" ht="18">
      <c r="A645" s="2"/>
      <c r="B645" s="2"/>
      <c r="C645" s="2"/>
      <c r="D645" s="2"/>
      <c r="E645" s="2"/>
      <c r="F645" s="2"/>
      <c r="G645" s="2"/>
      <c r="H645" s="2"/>
      <c r="I645" s="2"/>
      <c r="J645" s="2"/>
      <c r="K645" s="2"/>
      <c r="L645" s="2"/>
      <c r="M645" s="2"/>
      <c r="N645" s="2"/>
      <c r="O645" s="2"/>
      <c r="P645" s="2"/>
      <c r="Q645" s="2"/>
      <c r="R645" s="2"/>
      <c r="S645" s="2"/>
      <c r="T645" s="2"/>
      <c r="U645" s="2"/>
      <c r="V645" s="2"/>
      <c r="W645" s="2"/>
      <c r="X645" s="2"/>
    </row>
    <row r="646" spans="1:24" ht="18">
      <c r="A646" s="2"/>
      <c r="B646" s="2"/>
      <c r="C646" s="2"/>
      <c r="D646" s="2"/>
      <c r="E646" s="2"/>
      <c r="F646" s="2"/>
      <c r="G646" s="2"/>
      <c r="H646" s="2"/>
      <c r="I646" s="2"/>
      <c r="J646" s="2"/>
      <c r="K646" s="2"/>
      <c r="L646" s="2"/>
      <c r="M646" s="2"/>
      <c r="N646" s="2"/>
      <c r="O646" s="2"/>
      <c r="P646" s="2"/>
      <c r="Q646" s="2"/>
      <c r="R646" s="2"/>
      <c r="S646" s="2"/>
      <c r="T646" s="2"/>
      <c r="U646" s="2"/>
      <c r="V646" s="2"/>
      <c r="W646" s="2"/>
      <c r="X646" s="2"/>
    </row>
    <row r="647" spans="1:24" ht="18">
      <c r="A647" s="2"/>
      <c r="B647" s="2"/>
      <c r="C647" s="2"/>
      <c r="D647" s="2"/>
      <c r="E647" s="2"/>
      <c r="F647" s="2"/>
      <c r="G647" s="2"/>
      <c r="H647" s="2"/>
      <c r="I647" s="2"/>
      <c r="J647" s="2"/>
      <c r="K647" s="2"/>
      <c r="L647" s="2"/>
      <c r="M647" s="2"/>
      <c r="N647" s="2"/>
      <c r="O647" s="2"/>
      <c r="P647" s="2"/>
      <c r="Q647" s="2"/>
      <c r="R647" s="2"/>
      <c r="S647" s="2"/>
      <c r="T647" s="2"/>
      <c r="U647" s="2"/>
      <c r="V647" s="2"/>
      <c r="W647" s="2"/>
      <c r="X647" s="2"/>
    </row>
    <row r="648" spans="1:24" ht="18">
      <c r="A648" s="2"/>
      <c r="B648" s="2"/>
      <c r="C648" s="2"/>
      <c r="D648" s="2"/>
      <c r="E648" s="2"/>
      <c r="F648" s="2"/>
      <c r="G648" s="2"/>
      <c r="H648" s="2"/>
      <c r="I648" s="2"/>
      <c r="J648" s="2"/>
      <c r="K648" s="2"/>
      <c r="L648" s="2"/>
      <c r="M648" s="2"/>
      <c r="N648" s="2"/>
      <c r="O648" s="2"/>
      <c r="P648" s="2"/>
      <c r="Q648" s="2"/>
      <c r="R648" s="2"/>
      <c r="S648" s="2"/>
      <c r="T648" s="2"/>
      <c r="U648" s="2"/>
      <c r="V648" s="2"/>
      <c r="W648" s="2"/>
      <c r="X648" s="2"/>
    </row>
    <row r="649" spans="1:24" ht="18">
      <c r="A649" s="2"/>
      <c r="B649" s="2"/>
      <c r="C649" s="2"/>
      <c r="D649" s="2"/>
      <c r="E649" s="2"/>
      <c r="F649" s="2"/>
      <c r="G649" s="2"/>
      <c r="H649" s="2"/>
      <c r="I649" s="2"/>
      <c r="J649" s="2"/>
      <c r="K649" s="2"/>
      <c r="L649" s="2"/>
      <c r="M649" s="2"/>
      <c r="N649" s="2"/>
      <c r="O649" s="2"/>
      <c r="P649" s="2"/>
      <c r="Q649" s="2"/>
      <c r="R649" s="2"/>
      <c r="S649" s="2"/>
      <c r="T649" s="2"/>
      <c r="U649" s="2"/>
      <c r="V649" s="2"/>
      <c r="W649" s="2"/>
      <c r="X649" s="2"/>
    </row>
    <row r="650" spans="1:24" ht="18">
      <c r="A650" s="2"/>
      <c r="B650" s="2"/>
      <c r="C650" s="2"/>
      <c r="D650" s="2"/>
      <c r="E650" s="2"/>
      <c r="F650" s="2"/>
      <c r="G650" s="2"/>
      <c r="H650" s="2"/>
      <c r="I650" s="2"/>
      <c r="J650" s="2"/>
      <c r="K650" s="2"/>
      <c r="L650" s="2"/>
      <c r="M650" s="2"/>
      <c r="N650" s="2"/>
      <c r="O650" s="2"/>
      <c r="P650" s="2"/>
      <c r="Q650" s="2"/>
      <c r="R650" s="2"/>
      <c r="S650" s="2"/>
      <c r="T650" s="2"/>
      <c r="U650" s="2"/>
      <c r="V650" s="2"/>
      <c r="W650" s="2"/>
      <c r="X650" s="2"/>
    </row>
    <row r="651" spans="1:24" ht="18">
      <c r="A651" s="2"/>
      <c r="B651" s="2"/>
      <c r="C651" s="2"/>
      <c r="D651" s="2"/>
      <c r="E651" s="2"/>
      <c r="F651" s="2"/>
      <c r="G651" s="2"/>
      <c r="H651" s="2"/>
      <c r="I651" s="2"/>
      <c r="J651" s="2"/>
      <c r="K651" s="2"/>
      <c r="L651" s="2"/>
      <c r="M651" s="2"/>
      <c r="N651" s="2"/>
      <c r="O651" s="2"/>
      <c r="P651" s="2"/>
      <c r="Q651" s="2"/>
      <c r="R651" s="2"/>
      <c r="S651" s="2"/>
      <c r="T651" s="2"/>
      <c r="U651" s="2"/>
      <c r="V651" s="2"/>
      <c r="W651" s="2"/>
      <c r="X651" s="2"/>
    </row>
    <row r="652" spans="1:24" ht="18">
      <c r="A652" s="2"/>
      <c r="B652" s="2"/>
      <c r="C652" s="2"/>
      <c r="D652" s="2"/>
      <c r="E652" s="2"/>
      <c r="F652" s="2"/>
      <c r="G652" s="2"/>
      <c r="H652" s="2"/>
      <c r="I652" s="2"/>
      <c r="J652" s="2"/>
      <c r="K652" s="2"/>
      <c r="L652" s="2"/>
      <c r="M652" s="2"/>
      <c r="N652" s="2"/>
      <c r="O652" s="2"/>
      <c r="P652" s="2"/>
      <c r="Q652" s="2"/>
      <c r="R652" s="2"/>
      <c r="S652" s="2"/>
      <c r="T652" s="2"/>
      <c r="U652" s="2"/>
      <c r="V652" s="2"/>
      <c r="W652" s="2"/>
      <c r="X652" s="2"/>
    </row>
    <row r="653" spans="1:24" ht="18">
      <c r="A653" s="2"/>
      <c r="B653" s="2"/>
      <c r="C653" s="2"/>
      <c r="D653" s="2"/>
      <c r="E653" s="2"/>
      <c r="F653" s="2"/>
      <c r="G653" s="2"/>
      <c r="H653" s="2"/>
      <c r="I653" s="2"/>
      <c r="J653" s="2"/>
      <c r="K653" s="2"/>
      <c r="L653" s="2"/>
      <c r="M653" s="2"/>
      <c r="N653" s="2"/>
      <c r="O653" s="2"/>
      <c r="P653" s="2"/>
      <c r="Q653" s="2"/>
      <c r="R653" s="2"/>
      <c r="S653" s="2"/>
      <c r="T653" s="2"/>
      <c r="U653" s="2"/>
      <c r="V653" s="2"/>
      <c r="W653" s="2"/>
      <c r="X653" s="2"/>
    </row>
    <row r="654" spans="1:24" ht="18">
      <c r="A654" s="2"/>
      <c r="B654" s="2"/>
      <c r="C654" s="2"/>
      <c r="D654" s="2"/>
      <c r="E654" s="2"/>
      <c r="F654" s="2"/>
      <c r="G654" s="2"/>
      <c r="H654" s="2"/>
      <c r="I654" s="2"/>
      <c r="J654" s="2"/>
      <c r="K654" s="2"/>
      <c r="L654" s="2"/>
      <c r="M654" s="2"/>
      <c r="N654" s="2"/>
      <c r="O654" s="2"/>
      <c r="P654" s="2"/>
      <c r="Q654" s="2"/>
      <c r="R654" s="2"/>
      <c r="S654" s="2"/>
      <c r="T654" s="2"/>
      <c r="U654" s="2"/>
      <c r="V654" s="2"/>
      <c r="W654" s="2"/>
      <c r="X654" s="2"/>
    </row>
    <row r="655" spans="1:24" ht="18">
      <c r="A655" s="2"/>
      <c r="B655" s="2"/>
      <c r="C655" s="2"/>
      <c r="D655" s="2"/>
      <c r="E655" s="2"/>
      <c r="F655" s="2"/>
      <c r="G655" s="2"/>
      <c r="H655" s="2"/>
      <c r="I655" s="2"/>
      <c r="J655" s="2"/>
      <c r="K655" s="2"/>
      <c r="L655" s="2"/>
      <c r="M655" s="2"/>
      <c r="N655" s="2"/>
      <c r="O655" s="2"/>
      <c r="P655" s="2"/>
      <c r="Q655" s="2"/>
      <c r="R655" s="2"/>
      <c r="S655" s="2"/>
      <c r="T655" s="2"/>
      <c r="U655" s="2"/>
      <c r="V655" s="2"/>
      <c r="W655" s="2"/>
      <c r="X655" s="2"/>
    </row>
    <row r="656" spans="1:24" ht="18">
      <c r="A656" s="2"/>
      <c r="B656" s="2"/>
      <c r="C656" s="2"/>
      <c r="D656" s="2"/>
      <c r="E656" s="2"/>
      <c r="F656" s="2"/>
      <c r="G656" s="2"/>
      <c r="H656" s="2"/>
      <c r="I656" s="2"/>
      <c r="J656" s="2"/>
      <c r="K656" s="2"/>
      <c r="L656" s="2"/>
      <c r="M656" s="2"/>
      <c r="N656" s="2"/>
      <c r="O656" s="2"/>
      <c r="P656" s="2"/>
      <c r="Q656" s="2"/>
      <c r="R656" s="2"/>
      <c r="S656" s="2"/>
      <c r="T656" s="2"/>
      <c r="U656" s="2"/>
      <c r="V656" s="2"/>
      <c r="W656" s="2"/>
      <c r="X656" s="2"/>
    </row>
    <row r="657" spans="1:24" ht="18">
      <c r="A657" s="2"/>
      <c r="B657" s="2"/>
      <c r="C657" s="2"/>
      <c r="D657" s="2"/>
      <c r="E657" s="2"/>
      <c r="F657" s="2"/>
      <c r="G657" s="2"/>
      <c r="H657" s="2"/>
      <c r="I657" s="2"/>
      <c r="J657" s="2"/>
      <c r="K657" s="2"/>
      <c r="L657" s="2"/>
      <c r="M657" s="2"/>
      <c r="N657" s="2"/>
      <c r="O657" s="2"/>
      <c r="P657" s="2"/>
      <c r="Q657" s="2"/>
      <c r="R657" s="2"/>
      <c r="S657" s="2"/>
      <c r="T657" s="2"/>
      <c r="U657" s="2"/>
      <c r="V657" s="2"/>
      <c r="W657" s="2"/>
      <c r="X657" s="2"/>
    </row>
    <row r="658" spans="1:24" ht="18">
      <c r="A658" s="2"/>
      <c r="B658" s="2"/>
      <c r="C658" s="2"/>
      <c r="D658" s="2"/>
      <c r="E658" s="2"/>
      <c r="F658" s="2"/>
      <c r="G658" s="2"/>
      <c r="H658" s="2"/>
      <c r="I658" s="2"/>
      <c r="J658" s="2"/>
      <c r="K658" s="2"/>
      <c r="L658" s="2"/>
      <c r="M658" s="2"/>
      <c r="N658" s="2"/>
      <c r="O658" s="2"/>
      <c r="P658" s="2"/>
      <c r="Q658" s="2"/>
      <c r="R658" s="2"/>
      <c r="S658" s="2"/>
      <c r="T658" s="2"/>
      <c r="U658" s="2"/>
      <c r="V658" s="2"/>
      <c r="W658" s="2"/>
      <c r="X658" s="2"/>
    </row>
    <row r="659" spans="1:24" ht="18">
      <c r="A659" s="2"/>
      <c r="B659" s="2"/>
      <c r="C659" s="2"/>
      <c r="D659" s="2"/>
      <c r="E659" s="2"/>
      <c r="F659" s="2"/>
      <c r="G659" s="2"/>
      <c r="H659" s="2"/>
      <c r="I659" s="2"/>
      <c r="J659" s="2"/>
      <c r="K659" s="2"/>
      <c r="L659" s="2"/>
      <c r="M659" s="2"/>
      <c r="N659" s="2"/>
      <c r="O659" s="2"/>
      <c r="P659" s="2"/>
      <c r="Q659" s="2"/>
      <c r="R659" s="2"/>
      <c r="S659" s="2"/>
      <c r="T659" s="2"/>
      <c r="U659" s="2"/>
      <c r="V659" s="2"/>
      <c r="W659" s="2"/>
      <c r="X659" s="2"/>
    </row>
    <row r="660" spans="1:24" ht="18">
      <c r="A660" s="2"/>
      <c r="B660" s="2"/>
      <c r="C660" s="2"/>
      <c r="D660" s="2"/>
      <c r="E660" s="2"/>
      <c r="F660" s="2"/>
      <c r="G660" s="2"/>
      <c r="H660" s="2"/>
      <c r="I660" s="2"/>
      <c r="J660" s="2"/>
      <c r="K660" s="2"/>
      <c r="L660" s="2"/>
      <c r="M660" s="2"/>
      <c r="N660" s="2"/>
      <c r="O660" s="2"/>
      <c r="P660" s="2"/>
      <c r="Q660" s="2"/>
      <c r="R660" s="2"/>
      <c r="S660" s="2"/>
      <c r="T660" s="2"/>
      <c r="U660" s="2"/>
      <c r="V660" s="2"/>
      <c r="W660" s="2"/>
      <c r="X660" s="2"/>
    </row>
    <row r="661" spans="1:24" ht="18">
      <c r="A661" s="2"/>
      <c r="B661" s="2"/>
      <c r="C661" s="2"/>
      <c r="D661" s="2"/>
      <c r="E661" s="2"/>
      <c r="F661" s="2"/>
      <c r="G661" s="2"/>
      <c r="H661" s="2"/>
      <c r="I661" s="2"/>
      <c r="J661" s="2"/>
      <c r="K661" s="2"/>
      <c r="L661" s="2"/>
      <c r="M661" s="2"/>
      <c r="N661" s="2"/>
      <c r="O661" s="2"/>
      <c r="P661" s="2"/>
      <c r="Q661" s="2"/>
      <c r="R661" s="2"/>
      <c r="S661" s="2"/>
      <c r="T661" s="2"/>
      <c r="U661" s="2"/>
      <c r="V661" s="2"/>
      <c r="W661" s="2"/>
      <c r="X661" s="2"/>
    </row>
    <row r="662" spans="1:24" ht="18">
      <c r="A662" s="2"/>
      <c r="B662" s="2"/>
      <c r="C662" s="2"/>
      <c r="D662" s="2"/>
      <c r="E662" s="2"/>
      <c r="F662" s="2"/>
      <c r="G662" s="2"/>
      <c r="H662" s="2"/>
      <c r="I662" s="2"/>
      <c r="J662" s="2"/>
      <c r="K662" s="2"/>
      <c r="L662" s="2"/>
      <c r="M662" s="2"/>
      <c r="N662" s="2"/>
      <c r="O662" s="2"/>
      <c r="P662" s="2"/>
      <c r="Q662" s="2"/>
      <c r="R662" s="2"/>
      <c r="S662" s="2"/>
      <c r="T662" s="2"/>
      <c r="U662" s="2"/>
      <c r="V662" s="2"/>
      <c r="W662" s="2"/>
      <c r="X662" s="2"/>
    </row>
    <row r="663" spans="1:24" ht="18">
      <c r="A663" s="2"/>
      <c r="B663" s="2"/>
      <c r="C663" s="2"/>
      <c r="D663" s="2"/>
      <c r="E663" s="2"/>
      <c r="F663" s="2"/>
      <c r="G663" s="2"/>
      <c r="H663" s="2"/>
      <c r="I663" s="2"/>
      <c r="J663" s="2"/>
      <c r="K663" s="2"/>
      <c r="L663" s="2"/>
      <c r="M663" s="2"/>
      <c r="N663" s="2"/>
      <c r="O663" s="2"/>
      <c r="P663" s="2"/>
      <c r="Q663" s="2"/>
      <c r="R663" s="2"/>
      <c r="S663" s="2"/>
      <c r="T663" s="2"/>
      <c r="U663" s="2"/>
      <c r="V663" s="2"/>
      <c r="W663" s="2"/>
      <c r="X663" s="2"/>
    </row>
    <row r="664" spans="1:24" ht="18">
      <c r="A664" s="2"/>
      <c r="B664" s="2"/>
      <c r="C664" s="2"/>
      <c r="D664" s="2"/>
      <c r="E664" s="2"/>
      <c r="F664" s="2"/>
      <c r="G664" s="2"/>
      <c r="H664" s="2"/>
      <c r="I664" s="2"/>
      <c r="J664" s="2"/>
      <c r="K664" s="2"/>
      <c r="L664" s="2"/>
      <c r="M664" s="2"/>
      <c r="N664" s="2"/>
      <c r="O664" s="2"/>
      <c r="P664" s="2"/>
      <c r="Q664" s="2"/>
      <c r="R664" s="2"/>
      <c r="S664" s="2"/>
      <c r="T664" s="2"/>
      <c r="U664" s="2"/>
      <c r="V664" s="2"/>
      <c r="W664" s="2"/>
      <c r="X664" s="2"/>
    </row>
    <row r="665" spans="1:24" ht="18">
      <c r="A665" s="2"/>
      <c r="B665" s="2"/>
      <c r="C665" s="2"/>
      <c r="D665" s="2"/>
      <c r="E665" s="2"/>
      <c r="F665" s="2"/>
      <c r="G665" s="2"/>
      <c r="H665" s="2"/>
      <c r="I665" s="2"/>
      <c r="J665" s="2"/>
      <c r="K665" s="2"/>
      <c r="L665" s="2"/>
      <c r="M665" s="2"/>
      <c r="N665" s="2"/>
      <c r="O665" s="2"/>
      <c r="P665" s="2"/>
      <c r="Q665" s="2"/>
      <c r="R665" s="2"/>
      <c r="S665" s="2"/>
      <c r="T665" s="2"/>
      <c r="U665" s="2"/>
      <c r="V665" s="2"/>
      <c r="W665" s="2"/>
      <c r="X665" s="2"/>
    </row>
    <row r="666" spans="1:24" ht="18">
      <c r="A666" s="2"/>
      <c r="B666" s="2"/>
      <c r="C666" s="2"/>
      <c r="D666" s="2"/>
      <c r="E666" s="2"/>
      <c r="F666" s="2"/>
      <c r="G666" s="2"/>
      <c r="H666" s="2"/>
      <c r="I666" s="2"/>
      <c r="J666" s="2"/>
      <c r="K666" s="2"/>
      <c r="L666" s="2"/>
      <c r="M666" s="2"/>
      <c r="N666" s="2"/>
      <c r="O666" s="2"/>
      <c r="P666" s="2"/>
      <c r="Q666" s="2"/>
      <c r="R666" s="2"/>
      <c r="S666" s="2"/>
      <c r="T666" s="2"/>
      <c r="U666" s="2"/>
      <c r="V666" s="2"/>
      <c r="W666" s="2"/>
      <c r="X666" s="2"/>
    </row>
    <row r="667" spans="1:24" ht="18">
      <c r="A667" s="2"/>
      <c r="B667" s="2"/>
      <c r="C667" s="2"/>
      <c r="D667" s="2"/>
      <c r="E667" s="2"/>
      <c r="F667" s="2"/>
      <c r="G667" s="2"/>
      <c r="H667" s="2"/>
      <c r="I667" s="2"/>
      <c r="J667" s="2"/>
      <c r="K667" s="2"/>
      <c r="L667" s="2"/>
      <c r="M667" s="2"/>
      <c r="N667" s="2"/>
      <c r="O667" s="2"/>
      <c r="P667" s="2"/>
      <c r="Q667" s="2"/>
      <c r="R667" s="2"/>
      <c r="S667" s="2"/>
      <c r="T667" s="2"/>
      <c r="U667" s="2"/>
      <c r="V667" s="2"/>
      <c r="W667" s="2"/>
      <c r="X667" s="2"/>
    </row>
    <row r="668" spans="1:24" ht="18">
      <c r="A668" s="2"/>
      <c r="B668" s="2"/>
      <c r="C668" s="2"/>
      <c r="D668" s="2"/>
      <c r="E668" s="2"/>
      <c r="F668" s="2"/>
      <c r="G668" s="2"/>
      <c r="H668" s="2"/>
      <c r="I668" s="2"/>
      <c r="J668" s="2"/>
      <c r="K668" s="2"/>
      <c r="L668" s="2"/>
      <c r="M668" s="2"/>
      <c r="N668" s="2"/>
      <c r="O668" s="2"/>
      <c r="P668" s="2"/>
      <c r="Q668" s="2"/>
      <c r="R668" s="2"/>
      <c r="S668" s="2"/>
      <c r="T668" s="2"/>
      <c r="U668" s="2"/>
      <c r="V668" s="2"/>
      <c r="W668" s="2"/>
      <c r="X668" s="2"/>
    </row>
    <row r="669" spans="1:24" ht="18">
      <c r="A669" s="2"/>
      <c r="B669" s="2"/>
      <c r="C669" s="2"/>
      <c r="D669" s="2"/>
      <c r="E669" s="2"/>
      <c r="F669" s="2"/>
      <c r="G669" s="2"/>
      <c r="H669" s="2"/>
      <c r="I669" s="2"/>
      <c r="J669" s="2"/>
      <c r="K669" s="2"/>
      <c r="L669" s="2"/>
      <c r="M669" s="2"/>
      <c r="N669" s="2"/>
      <c r="O669" s="2"/>
      <c r="P669" s="2"/>
      <c r="Q669" s="2"/>
      <c r="R669" s="2"/>
      <c r="S669" s="2"/>
      <c r="T669" s="2"/>
      <c r="U669" s="2"/>
      <c r="V669" s="2"/>
      <c r="W669" s="2"/>
      <c r="X669" s="2"/>
    </row>
    <row r="670" spans="1:24" ht="18">
      <c r="A670" s="2"/>
      <c r="B670" s="2"/>
      <c r="C670" s="2"/>
      <c r="D670" s="2"/>
      <c r="E670" s="2"/>
      <c r="F670" s="2"/>
      <c r="G670" s="2"/>
      <c r="H670" s="2"/>
      <c r="I670" s="2"/>
      <c r="J670" s="2"/>
      <c r="K670" s="2"/>
      <c r="L670" s="2"/>
      <c r="M670" s="2"/>
      <c r="N670" s="2"/>
      <c r="O670" s="2"/>
      <c r="P670" s="2"/>
      <c r="Q670" s="2"/>
      <c r="R670" s="2"/>
      <c r="S670" s="2"/>
      <c r="T670" s="2"/>
      <c r="U670" s="2"/>
      <c r="V670" s="2"/>
      <c r="W670" s="2"/>
      <c r="X670" s="2"/>
    </row>
    <row r="671" spans="1:24" ht="18">
      <c r="A671" s="2"/>
      <c r="B671" s="2"/>
      <c r="C671" s="2"/>
      <c r="D671" s="2"/>
      <c r="E671" s="2"/>
      <c r="F671" s="2"/>
      <c r="G671" s="2"/>
      <c r="H671" s="2"/>
      <c r="I671" s="2"/>
      <c r="J671" s="2"/>
      <c r="K671" s="2"/>
      <c r="L671" s="2"/>
      <c r="M671" s="2"/>
      <c r="N671" s="2"/>
      <c r="O671" s="2"/>
      <c r="P671" s="2"/>
      <c r="Q671" s="2"/>
      <c r="R671" s="2"/>
      <c r="S671" s="2"/>
      <c r="T671" s="2"/>
      <c r="U671" s="2"/>
      <c r="V671" s="2"/>
      <c r="W671" s="2"/>
      <c r="X671" s="2"/>
    </row>
    <row r="672" spans="1:24" ht="18">
      <c r="A672" s="2"/>
      <c r="B672" s="2"/>
      <c r="C672" s="2"/>
      <c r="D672" s="2"/>
      <c r="E672" s="2"/>
      <c r="F672" s="2"/>
      <c r="G672" s="2"/>
      <c r="H672" s="2"/>
      <c r="I672" s="2"/>
      <c r="J672" s="2"/>
      <c r="K672" s="2"/>
      <c r="L672" s="2"/>
      <c r="M672" s="2"/>
      <c r="N672" s="2"/>
      <c r="O672" s="2"/>
      <c r="P672" s="2"/>
      <c r="Q672" s="2"/>
      <c r="R672" s="2"/>
      <c r="S672" s="2"/>
      <c r="T672" s="2"/>
      <c r="U672" s="2"/>
      <c r="V672" s="2"/>
      <c r="W672" s="2"/>
      <c r="X672" s="2"/>
    </row>
    <row r="673" spans="1:24" ht="18">
      <c r="A673" s="2"/>
      <c r="B673" s="2"/>
      <c r="C673" s="2"/>
      <c r="D673" s="2"/>
      <c r="E673" s="2"/>
      <c r="F673" s="2"/>
      <c r="G673" s="2"/>
      <c r="H673" s="2"/>
      <c r="I673" s="2"/>
      <c r="J673" s="2"/>
      <c r="K673" s="2"/>
      <c r="L673" s="2"/>
      <c r="M673" s="2"/>
      <c r="N673" s="2"/>
      <c r="O673" s="2"/>
      <c r="P673" s="2"/>
      <c r="Q673" s="2"/>
      <c r="R673" s="2"/>
      <c r="S673" s="2"/>
      <c r="T673" s="2"/>
      <c r="U673" s="2"/>
      <c r="V673" s="2"/>
      <c r="W673" s="2"/>
      <c r="X673" s="2"/>
    </row>
    <row r="674" spans="1:24" ht="18">
      <c r="A674" s="2"/>
      <c r="B674" s="2"/>
      <c r="C674" s="2"/>
      <c r="D674" s="2"/>
      <c r="E674" s="2"/>
      <c r="F674" s="2"/>
      <c r="G674" s="2"/>
      <c r="H674" s="2"/>
      <c r="I674" s="2"/>
      <c r="J674" s="2"/>
      <c r="K674" s="2"/>
      <c r="L674" s="2"/>
      <c r="M674" s="2"/>
      <c r="N674" s="2"/>
      <c r="O674" s="2"/>
      <c r="P674" s="2"/>
      <c r="Q674" s="2"/>
      <c r="R674" s="2"/>
      <c r="S674" s="2"/>
      <c r="T674" s="2"/>
      <c r="U674" s="2"/>
      <c r="V674" s="2"/>
      <c r="W674" s="2"/>
      <c r="X674" s="2"/>
    </row>
    <row r="675" spans="1:24" ht="18">
      <c r="A675" s="2"/>
      <c r="B675" s="2"/>
      <c r="C675" s="2"/>
      <c r="D675" s="2"/>
      <c r="E675" s="2"/>
      <c r="F675" s="2"/>
      <c r="G675" s="2"/>
      <c r="H675" s="2"/>
      <c r="I675" s="2"/>
      <c r="J675" s="2"/>
      <c r="K675" s="2"/>
      <c r="L675" s="2"/>
      <c r="M675" s="2"/>
      <c r="N675" s="2"/>
      <c r="O675" s="2"/>
      <c r="P675" s="2"/>
      <c r="Q675" s="2"/>
      <c r="R675" s="2"/>
      <c r="S675" s="2"/>
      <c r="T675" s="2"/>
      <c r="U675" s="2"/>
      <c r="V675" s="2"/>
      <c r="W675" s="2"/>
      <c r="X675" s="2"/>
    </row>
    <row r="676" spans="1:24" ht="18">
      <c r="A676" s="2"/>
      <c r="B676" s="2"/>
      <c r="C676" s="2"/>
      <c r="D676" s="2"/>
      <c r="E676" s="2"/>
      <c r="F676" s="2"/>
      <c r="G676" s="2"/>
      <c r="H676" s="2"/>
      <c r="I676" s="2"/>
      <c r="J676" s="2"/>
      <c r="K676" s="2"/>
      <c r="L676" s="2"/>
      <c r="M676" s="2"/>
      <c r="N676" s="2"/>
      <c r="O676" s="2"/>
      <c r="P676" s="2"/>
      <c r="Q676" s="2"/>
      <c r="R676" s="2"/>
      <c r="S676" s="2"/>
      <c r="T676" s="2"/>
      <c r="U676" s="2"/>
      <c r="V676" s="2"/>
      <c r="W676" s="2"/>
      <c r="X676" s="2"/>
    </row>
    <row r="677" spans="1:24" ht="18">
      <c r="A677" s="2"/>
      <c r="B677" s="2"/>
      <c r="C677" s="2"/>
      <c r="D677" s="2"/>
      <c r="E677" s="2"/>
      <c r="F677" s="2"/>
      <c r="G677" s="2"/>
      <c r="H677" s="2"/>
      <c r="I677" s="2"/>
      <c r="J677" s="2"/>
      <c r="K677" s="2"/>
      <c r="L677" s="2"/>
      <c r="M677" s="2"/>
      <c r="N677" s="2"/>
      <c r="O677" s="2"/>
      <c r="P677" s="2"/>
      <c r="Q677" s="2"/>
      <c r="R677" s="2"/>
      <c r="S677" s="2"/>
      <c r="T677" s="2"/>
      <c r="U677" s="2"/>
      <c r="V677" s="2"/>
      <c r="W677" s="2"/>
      <c r="X677" s="2"/>
    </row>
    <row r="678" spans="1:24" ht="18">
      <c r="A678" s="2"/>
      <c r="B678" s="2"/>
      <c r="C678" s="2"/>
      <c r="D678" s="2"/>
      <c r="E678" s="2"/>
      <c r="F678" s="2"/>
      <c r="G678" s="2"/>
      <c r="H678" s="2"/>
      <c r="I678" s="2"/>
      <c r="J678" s="2"/>
      <c r="K678" s="2"/>
      <c r="L678" s="2"/>
      <c r="M678" s="2"/>
      <c r="N678" s="2"/>
      <c r="O678" s="2"/>
      <c r="P678" s="2"/>
      <c r="Q678" s="2"/>
      <c r="R678" s="2"/>
      <c r="S678" s="2"/>
      <c r="T678" s="2"/>
      <c r="U678" s="2"/>
      <c r="V678" s="2"/>
      <c r="W678" s="2"/>
      <c r="X678" s="2"/>
    </row>
    <row r="679" spans="1:24" ht="18">
      <c r="A679" s="2"/>
      <c r="B679" s="2"/>
      <c r="C679" s="2"/>
      <c r="D679" s="2"/>
      <c r="E679" s="2"/>
      <c r="F679" s="2"/>
      <c r="G679" s="2"/>
      <c r="H679" s="2"/>
      <c r="I679" s="2"/>
      <c r="J679" s="2"/>
      <c r="K679" s="2"/>
      <c r="L679" s="2"/>
      <c r="M679" s="2"/>
      <c r="N679" s="2"/>
      <c r="O679" s="2"/>
      <c r="P679" s="2"/>
      <c r="Q679" s="2"/>
      <c r="R679" s="2"/>
      <c r="S679" s="2"/>
      <c r="T679" s="2"/>
      <c r="U679" s="2"/>
      <c r="V679" s="2"/>
      <c r="W679" s="2"/>
      <c r="X679" s="2"/>
    </row>
    <row r="680" spans="1:24" ht="18">
      <c r="A680" s="2"/>
      <c r="B680" s="2"/>
      <c r="C680" s="2"/>
      <c r="D680" s="2"/>
      <c r="E680" s="2"/>
      <c r="F680" s="2"/>
      <c r="G680" s="2"/>
      <c r="H680" s="2"/>
      <c r="I680" s="2"/>
      <c r="J680" s="2"/>
      <c r="K680" s="2"/>
      <c r="L680" s="2"/>
      <c r="M680" s="2"/>
      <c r="N680" s="2"/>
      <c r="O680" s="2"/>
      <c r="P680" s="2"/>
      <c r="Q680" s="2"/>
      <c r="R680" s="2"/>
      <c r="S680" s="2"/>
      <c r="T680" s="2"/>
      <c r="U680" s="2"/>
      <c r="V680" s="2"/>
      <c r="W680" s="2"/>
      <c r="X680" s="2"/>
    </row>
    <row r="681" spans="1:24" ht="18">
      <c r="A681" s="2"/>
      <c r="B681" s="2"/>
      <c r="C681" s="2"/>
      <c r="D681" s="2"/>
      <c r="E681" s="2"/>
      <c r="F681" s="2"/>
      <c r="G681" s="2"/>
      <c r="H681" s="2"/>
      <c r="I681" s="2"/>
      <c r="J681" s="2"/>
      <c r="K681" s="2"/>
      <c r="L681" s="2"/>
      <c r="M681" s="2"/>
      <c r="N681" s="2"/>
      <c r="O681" s="2"/>
      <c r="P681" s="2"/>
      <c r="Q681" s="2"/>
      <c r="R681" s="2"/>
      <c r="S681" s="2"/>
      <c r="T681" s="2"/>
      <c r="U681" s="2"/>
      <c r="V681" s="2"/>
      <c r="W681" s="2"/>
      <c r="X681" s="2"/>
    </row>
    <row r="682" spans="1:24" ht="18">
      <c r="A682" s="2"/>
      <c r="B682" s="2"/>
      <c r="C682" s="2"/>
      <c r="D682" s="2"/>
      <c r="E682" s="2"/>
      <c r="F682" s="2"/>
      <c r="G682" s="2"/>
      <c r="H682" s="2"/>
      <c r="I682" s="2"/>
      <c r="J682" s="2"/>
      <c r="K682" s="2"/>
      <c r="L682" s="2"/>
      <c r="M682" s="2"/>
      <c r="N682" s="2"/>
      <c r="O682" s="2"/>
      <c r="P682" s="2"/>
      <c r="Q682" s="2"/>
      <c r="R682" s="2"/>
      <c r="S682" s="2"/>
      <c r="T682" s="2"/>
      <c r="U682" s="2"/>
      <c r="V682" s="2"/>
      <c r="W682" s="2"/>
      <c r="X682" s="2"/>
    </row>
    <row r="683" spans="1:24" ht="18">
      <c r="A683" s="2"/>
      <c r="B683" s="2"/>
      <c r="C683" s="2"/>
      <c r="D683" s="2"/>
      <c r="E683" s="2"/>
      <c r="F683" s="2"/>
      <c r="G683" s="2"/>
      <c r="H683" s="2"/>
      <c r="I683" s="2"/>
      <c r="J683" s="2"/>
      <c r="K683" s="2"/>
      <c r="L683" s="2"/>
      <c r="M683" s="2"/>
      <c r="N683" s="2"/>
      <c r="O683" s="2"/>
      <c r="P683" s="2"/>
      <c r="Q683" s="2"/>
      <c r="R683" s="2"/>
      <c r="S683" s="2"/>
      <c r="T683" s="2"/>
      <c r="U683" s="2"/>
      <c r="V683" s="2"/>
      <c r="W683" s="2"/>
      <c r="X683" s="2"/>
    </row>
    <row r="684" spans="1:24" ht="18">
      <c r="A684" s="2"/>
      <c r="B684" s="2"/>
      <c r="C684" s="2"/>
      <c r="D684" s="2"/>
      <c r="E684" s="2"/>
      <c r="F684" s="2"/>
      <c r="G684" s="2"/>
      <c r="H684" s="2"/>
      <c r="I684" s="2"/>
      <c r="J684" s="2"/>
      <c r="K684" s="2"/>
      <c r="L684" s="2"/>
      <c r="M684" s="2"/>
      <c r="N684" s="2"/>
      <c r="O684" s="2"/>
      <c r="P684" s="2"/>
      <c r="Q684" s="2"/>
      <c r="R684" s="2"/>
      <c r="S684" s="2"/>
      <c r="T684" s="2"/>
      <c r="U684" s="2"/>
      <c r="V684" s="2"/>
      <c r="W684" s="2"/>
      <c r="X684" s="2"/>
    </row>
    <row r="685" spans="1:24" ht="18">
      <c r="A685" s="2"/>
      <c r="B685" s="2"/>
      <c r="C685" s="2"/>
      <c r="D685" s="2"/>
      <c r="E685" s="2"/>
      <c r="F685" s="2"/>
      <c r="G685" s="2"/>
      <c r="H685" s="2"/>
      <c r="I685" s="2"/>
      <c r="J685" s="2"/>
      <c r="K685" s="2"/>
      <c r="L685" s="2"/>
      <c r="M685" s="2"/>
      <c r="N685" s="2"/>
      <c r="O685" s="2"/>
      <c r="P685" s="2"/>
      <c r="Q685" s="2"/>
      <c r="R685" s="2"/>
      <c r="S685" s="2"/>
      <c r="T685" s="2"/>
      <c r="U685" s="2"/>
      <c r="V685" s="2"/>
      <c r="W685" s="2"/>
      <c r="X685" s="2"/>
    </row>
    <row r="686" spans="1:24" ht="18">
      <c r="A686" s="2"/>
      <c r="B686" s="2"/>
      <c r="C686" s="2"/>
      <c r="D686" s="2"/>
      <c r="E686" s="2"/>
      <c r="F686" s="2"/>
      <c r="G686" s="2"/>
      <c r="H686" s="2"/>
      <c r="I686" s="2"/>
      <c r="J686" s="2"/>
      <c r="K686" s="2"/>
      <c r="L686" s="2"/>
      <c r="M686" s="2"/>
      <c r="N686" s="2"/>
      <c r="O686" s="2"/>
      <c r="P686" s="2"/>
      <c r="Q686" s="2"/>
      <c r="R686" s="2"/>
      <c r="S686" s="2"/>
      <c r="T686" s="2"/>
      <c r="U686" s="2"/>
      <c r="V686" s="2"/>
      <c r="W686" s="2"/>
      <c r="X686" s="2"/>
    </row>
    <row r="687" spans="1:24" ht="18">
      <c r="A687" s="2"/>
      <c r="B687" s="2"/>
      <c r="C687" s="2"/>
      <c r="D687" s="2"/>
      <c r="E687" s="2"/>
      <c r="F687" s="2"/>
      <c r="G687" s="2"/>
      <c r="H687" s="2"/>
      <c r="I687" s="2"/>
      <c r="J687" s="2"/>
      <c r="K687" s="2"/>
      <c r="L687" s="2"/>
      <c r="M687" s="2"/>
      <c r="N687" s="2"/>
      <c r="O687" s="2"/>
      <c r="P687" s="2"/>
      <c r="Q687" s="2"/>
      <c r="R687" s="2"/>
      <c r="S687" s="2"/>
      <c r="T687" s="2"/>
      <c r="U687" s="2"/>
      <c r="V687" s="2"/>
      <c r="W687" s="2"/>
      <c r="X687" s="2"/>
    </row>
    <row r="688" spans="1:24" ht="18">
      <c r="A688" s="2"/>
      <c r="B688" s="2"/>
      <c r="C688" s="2"/>
      <c r="D688" s="2"/>
      <c r="E688" s="2"/>
      <c r="F688" s="2"/>
      <c r="G688" s="2"/>
      <c r="H688" s="2"/>
      <c r="I688" s="2"/>
      <c r="J688" s="2"/>
      <c r="K688" s="2"/>
      <c r="L688" s="2"/>
      <c r="M688" s="2"/>
      <c r="N688" s="2"/>
      <c r="O688" s="2"/>
      <c r="P688" s="2"/>
      <c r="Q688" s="2"/>
      <c r="R688" s="2"/>
      <c r="S688" s="2"/>
      <c r="T688" s="2"/>
      <c r="U688" s="2"/>
      <c r="V688" s="2"/>
      <c r="W688" s="2"/>
      <c r="X688" s="2"/>
    </row>
    <row r="689" spans="1:24" ht="18">
      <c r="A689" s="2"/>
      <c r="B689" s="2"/>
      <c r="C689" s="2"/>
      <c r="D689" s="2"/>
      <c r="E689" s="2"/>
      <c r="F689" s="2"/>
      <c r="G689" s="2"/>
      <c r="H689" s="2"/>
      <c r="I689" s="2"/>
      <c r="J689" s="2"/>
      <c r="K689" s="2"/>
      <c r="L689" s="2"/>
      <c r="M689" s="2"/>
      <c r="N689" s="2"/>
      <c r="O689" s="2"/>
      <c r="P689" s="2"/>
      <c r="Q689" s="2"/>
      <c r="R689" s="2"/>
      <c r="S689" s="2"/>
      <c r="T689" s="2"/>
      <c r="U689" s="2"/>
      <c r="V689" s="2"/>
      <c r="W689" s="2"/>
      <c r="X689" s="2"/>
    </row>
    <row r="690" spans="1:24" ht="18">
      <c r="A690" s="2"/>
      <c r="B690" s="2"/>
      <c r="C690" s="2"/>
      <c r="D690" s="2"/>
      <c r="E690" s="2"/>
      <c r="F690" s="2"/>
      <c r="G690" s="2"/>
      <c r="H690" s="2"/>
      <c r="I690" s="2"/>
      <c r="J690" s="2"/>
      <c r="K690" s="2"/>
      <c r="L690" s="2"/>
      <c r="M690" s="2"/>
      <c r="N690" s="2"/>
      <c r="O690" s="2"/>
      <c r="P690" s="2"/>
      <c r="Q690" s="2"/>
      <c r="R690" s="2"/>
      <c r="S690" s="2"/>
      <c r="T690" s="2"/>
      <c r="U690" s="2"/>
      <c r="V690" s="2"/>
      <c r="W690" s="2"/>
      <c r="X690" s="2"/>
    </row>
    <row r="691" spans="1:24" ht="18">
      <c r="A691" s="2"/>
      <c r="B691" s="2"/>
      <c r="C691" s="2"/>
      <c r="D691" s="2"/>
      <c r="E691" s="2"/>
      <c r="F691" s="2"/>
      <c r="G691" s="2"/>
      <c r="H691" s="2"/>
      <c r="I691" s="2"/>
      <c r="J691" s="2"/>
      <c r="K691" s="2"/>
      <c r="L691" s="2"/>
      <c r="M691" s="2"/>
      <c r="N691" s="2"/>
      <c r="O691" s="2"/>
      <c r="P691" s="2"/>
      <c r="Q691" s="2"/>
      <c r="R691" s="2"/>
      <c r="S691" s="2"/>
      <c r="T691" s="2"/>
      <c r="U691" s="2"/>
      <c r="V691" s="2"/>
      <c r="W691" s="2"/>
      <c r="X691" s="2"/>
    </row>
    <row r="692" spans="1:24" ht="18">
      <c r="A692" s="2"/>
      <c r="B692" s="2"/>
      <c r="C692" s="2"/>
      <c r="D692" s="2"/>
      <c r="E692" s="2"/>
      <c r="F692" s="2"/>
      <c r="G692" s="2"/>
      <c r="H692" s="2"/>
      <c r="I692" s="2"/>
      <c r="J692" s="2"/>
      <c r="K692" s="2"/>
      <c r="L692" s="2"/>
      <c r="M692" s="2"/>
      <c r="N692" s="2"/>
      <c r="O692" s="2"/>
      <c r="P692" s="2"/>
      <c r="Q692" s="2"/>
      <c r="R692" s="2"/>
      <c r="S692" s="2"/>
      <c r="T692" s="2"/>
      <c r="U692" s="2"/>
      <c r="V692" s="2"/>
      <c r="W692" s="2"/>
      <c r="X692" s="2"/>
    </row>
    <row r="693" spans="1:24" ht="18">
      <c r="A693" s="2"/>
      <c r="B693" s="2"/>
      <c r="C693" s="2"/>
      <c r="D693" s="2"/>
      <c r="E693" s="2"/>
      <c r="F693" s="2"/>
      <c r="G693" s="2"/>
      <c r="H693" s="2"/>
      <c r="I693" s="2"/>
      <c r="J693" s="2"/>
      <c r="K693" s="2"/>
      <c r="L693" s="2"/>
      <c r="M693" s="2"/>
      <c r="N693" s="2"/>
      <c r="O693" s="2"/>
      <c r="P693" s="2"/>
      <c r="Q693" s="2"/>
      <c r="R693" s="2"/>
      <c r="S693" s="2"/>
      <c r="T693" s="2"/>
      <c r="U693" s="2"/>
      <c r="V693" s="2"/>
      <c r="W693" s="2"/>
      <c r="X693" s="2"/>
    </row>
    <row r="694" spans="1:24" ht="18">
      <c r="A694" s="2"/>
      <c r="B694" s="2"/>
      <c r="C694" s="2"/>
      <c r="D694" s="2"/>
      <c r="E694" s="2"/>
      <c r="F694" s="2"/>
      <c r="G694" s="2"/>
      <c r="H694" s="2"/>
      <c r="I694" s="2"/>
      <c r="J694" s="2"/>
      <c r="K694" s="2"/>
      <c r="L694" s="2"/>
      <c r="M694" s="2"/>
      <c r="N694" s="2"/>
      <c r="O694" s="2"/>
      <c r="P694" s="2"/>
      <c r="Q694" s="2"/>
      <c r="R694" s="2"/>
      <c r="S694" s="2"/>
      <c r="T694" s="2"/>
      <c r="U694" s="2"/>
      <c r="V694" s="2"/>
      <c r="W694" s="2"/>
      <c r="X694" s="2"/>
    </row>
    <row r="695" spans="1:24" ht="18">
      <c r="A695" s="2"/>
      <c r="B695" s="2"/>
      <c r="C695" s="2"/>
      <c r="D695" s="2"/>
      <c r="E695" s="2"/>
      <c r="F695" s="2"/>
      <c r="G695" s="2"/>
      <c r="H695" s="2"/>
      <c r="I695" s="2"/>
      <c r="J695" s="2"/>
      <c r="K695" s="2"/>
      <c r="L695" s="2"/>
      <c r="M695" s="2"/>
      <c r="N695" s="2"/>
      <c r="O695" s="2"/>
      <c r="P695" s="2"/>
      <c r="Q695" s="2"/>
      <c r="R695" s="2"/>
      <c r="S695" s="2"/>
      <c r="T695" s="2"/>
      <c r="U695" s="2"/>
      <c r="V695" s="2"/>
      <c r="W695" s="2"/>
      <c r="X695" s="2"/>
    </row>
    <row r="696" spans="1:24" ht="18">
      <c r="A696" s="2"/>
      <c r="B696" s="2"/>
      <c r="C696" s="2"/>
      <c r="D696" s="2"/>
      <c r="E696" s="2"/>
      <c r="F696" s="2"/>
      <c r="G696" s="2"/>
      <c r="H696" s="2"/>
      <c r="I696" s="2"/>
      <c r="J696" s="2"/>
      <c r="K696" s="2"/>
      <c r="L696" s="2"/>
      <c r="M696" s="2"/>
      <c r="N696" s="2"/>
      <c r="O696" s="2"/>
      <c r="P696" s="2"/>
      <c r="Q696" s="2"/>
      <c r="R696" s="2"/>
      <c r="S696" s="2"/>
      <c r="T696" s="2"/>
      <c r="U696" s="2"/>
      <c r="V696" s="2"/>
      <c r="W696" s="2"/>
      <c r="X696" s="2"/>
    </row>
    <row r="697" spans="1:24" ht="18">
      <c r="A697" s="2"/>
      <c r="B697" s="2"/>
      <c r="C697" s="2"/>
      <c r="D697" s="2"/>
      <c r="E697" s="2"/>
      <c r="F697" s="2"/>
      <c r="G697" s="2"/>
      <c r="H697" s="2"/>
      <c r="I697" s="2"/>
      <c r="J697" s="2"/>
      <c r="K697" s="2"/>
      <c r="L697" s="2"/>
      <c r="M697" s="2"/>
      <c r="N697" s="2"/>
      <c r="O697" s="2"/>
      <c r="P697" s="2"/>
      <c r="Q697" s="2"/>
      <c r="R697" s="2"/>
      <c r="S697" s="2"/>
      <c r="T697" s="2"/>
      <c r="U697" s="2"/>
      <c r="V697" s="2"/>
      <c r="W697" s="2"/>
      <c r="X697" s="2"/>
    </row>
    <row r="698" spans="1:24" ht="18">
      <c r="A698" s="2"/>
      <c r="B698" s="2"/>
      <c r="C698" s="2"/>
      <c r="D698" s="2"/>
      <c r="E698" s="2"/>
      <c r="F698" s="2"/>
      <c r="G698" s="2"/>
      <c r="H698" s="2"/>
      <c r="I698" s="2"/>
      <c r="J698" s="2"/>
      <c r="K698" s="2"/>
      <c r="L698" s="2"/>
      <c r="M698" s="2"/>
      <c r="N698" s="2"/>
      <c r="O698" s="2"/>
      <c r="P698" s="2"/>
      <c r="Q698" s="2"/>
      <c r="R698" s="2"/>
      <c r="S698" s="2"/>
      <c r="T698" s="2"/>
      <c r="U698" s="2"/>
      <c r="V698" s="2"/>
      <c r="W698" s="2"/>
      <c r="X698" s="2"/>
    </row>
    <row r="699" spans="1:24" ht="18">
      <c r="A699" s="2"/>
      <c r="B699" s="2"/>
      <c r="C699" s="2"/>
      <c r="D699" s="2"/>
      <c r="E699" s="2"/>
      <c r="F699" s="2"/>
      <c r="G699" s="2"/>
      <c r="H699" s="2"/>
      <c r="I699" s="2"/>
      <c r="J699" s="2"/>
      <c r="K699" s="2"/>
      <c r="L699" s="2"/>
      <c r="M699" s="2"/>
      <c r="N699" s="2"/>
      <c r="O699" s="2"/>
      <c r="P699" s="2"/>
      <c r="Q699" s="2"/>
      <c r="R699" s="2"/>
      <c r="S699" s="2"/>
      <c r="T699" s="2"/>
      <c r="U699" s="2"/>
      <c r="V699" s="2"/>
      <c r="W699" s="2"/>
      <c r="X699" s="2"/>
    </row>
    <row r="700" spans="1:24" ht="18">
      <c r="A700" s="2"/>
      <c r="B700" s="2"/>
      <c r="C700" s="2"/>
      <c r="D700" s="2"/>
      <c r="E700" s="2"/>
      <c r="F700" s="2"/>
      <c r="G700" s="2"/>
      <c r="H700" s="2"/>
      <c r="I700" s="2"/>
      <c r="J700" s="2"/>
      <c r="K700" s="2"/>
      <c r="L700" s="2"/>
      <c r="M700" s="2"/>
      <c r="N700" s="2"/>
      <c r="O700" s="2"/>
      <c r="P700" s="2"/>
      <c r="Q700" s="2"/>
      <c r="R700" s="2"/>
      <c r="S700" s="2"/>
      <c r="T700" s="2"/>
      <c r="U700" s="2"/>
      <c r="V700" s="2"/>
      <c r="W700" s="2"/>
      <c r="X700" s="2"/>
    </row>
    <row r="701" spans="1:24" ht="18">
      <c r="A701" s="2"/>
      <c r="B701" s="2"/>
      <c r="C701" s="2"/>
      <c r="D701" s="2"/>
      <c r="E701" s="2"/>
      <c r="F701" s="2"/>
      <c r="G701" s="2"/>
      <c r="H701" s="2"/>
      <c r="I701" s="2"/>
      <c r="J701" s="2"/>
      <c r="K701" s="2"/>
      <c r="L701" s="2"/>
      <c r="M701" s="2"/>
      <c r="N701" s="2"/>
      <c r="O701" s="2"/>
      <c r="P701" s="2"/>
      <c r="Q701" s="2"/>
      <c r="R701" s="2"/>
      <c r="S701" s="2"/>
      <c r="T701" s="2"/>
      <c r="U701" s="2"/>
      <c r="V701" s="2"/>
      <c r="W701" s="2"/>
      <c r="X701" s="2"/>
    </row>
    <row r="702" spans="1:24" ht="18">
      <c r="A702" s="2"/>
      <c r="B702" s="2"/>
      <c r="C702" s="2"/>
      <c r="D702" s="2"/>
      <c r="E702" s="2"/>
      <c r="F702" s="2"/>
      <c r="G702" s="2"/>
      <c r="H702" s="2"/>
      <c r="I702" s="2"/>
      <c r="J702" s="2"/>
      <c r="K702" s="2"/>
      <c r="L702" s="2"/>
      <c r="M702" s="2"/>
      <c r="N702" s="2"/>
      <c r="O702" s="2"/>
      <c r="P702" s="2"/>
      <c r="Q702" s="2"/>
      <c r="R702" s="2"/>
      <c r="S702" s="2"/>
      <c r="T702" s="2"/>
      <c r="U702" s="2"/>
      <c r="V702" s="2"/>
      <c r="W702" s="2"/>
      <c r="X702" s="2"/>
    </row>
    <row r="703" spans="1:24" ht="18">
      <c r="A703" s="2"/>
      <c r="B703" s="2"/>
      <c r="C703" s="2"/>
      <c r="D703" s="2"/>
      <c r="E703" s="2"/>
      <c r="F703" s="2"/>
      <c r="G703" s="2"/>
      <c r="H703" s="2"/>
      <c r="I703" s="2"/>
      <c r="J703" s="2"/>
      <c r="K703" s="2"/>
      <c r="L703" s="2"/>
      <c r="M703" s="2"/>
      <c r="N703" s="2"/>
      <c r="O703" s="2"/>
      <c r="P703" s="2"/>
      <c r="Q703" s="2"/>
      <c r="R703" s="2"/>
      <c r="S703" s="2"/>
      <c r="T703" s="2"/>
      <c r="U703" s="2"/>
      <c r="V703" s="2"/>
      <c r="W703" s="2"/>
      <c r="X703" s="2"/>
    </row>
    <row r="704" spans="1:24" ht="18">
      <c r="A704" s="2"/>
      <c r="B704" s="2"/>
      <c r="C704" s="2"/>
      <c r="D704" s="2"/>
      <c r="E704" s="2"/>
      <c r="F704" s="2"/>
      <c r="G704" s="2"/>
      <c r="H704" s="2"/>
      <c r="I704" s="2"/>
      <c r="J704" s="2"/>
      <c r="K704" s="2"/>
      <c r="L704" s="2"/>
      <c r="M704" s="2"/>
      <c r="N704" s="2"/>
      <c r="O704" s="2"/>
      <c r="P704" s="2"/>
      <c r="Q704" s="2"/>
      <c r="R704" s="2"/>
      <c r="S704" s="2"/>
      <c r="T704" s="2"/>
      <c r="U704" s="2"/>
      <c r="V704" s="2"/>
      <c r="W704" s="2"/>
      <c r="X704" s="2"/>
    </row>
    <row r="705" spans="1:24" ht="18">
      <c r="A705" s="2"/>
      <c r="B705" s="2"/>
      <c r="C705" s="2"/>
      <c r="D705" s="2"/>
      <c r="E705" s="2"/>
      <c r="F705" s="2"/>
      <c r="G705" s="2"/>
      <c r="H705" s="2"/>
      <c r="I705" s="2"/>
      <c r="J705" s="2"/>
      <c r="K705" s="2"/>
      <c r="L705" s="2"/>
      <c r="M705" s="2"/>
      <c r="N705" s="2"/>
      <c r="O705" s="2"/>
      <c r="P705" s="2"/>
      <c r="Q705" s="2"/>
      <c r="R705" s="2"/>
      <c r="S705" s="2"/>
      <c r="T705" s="2"/>
      <c r="U705" s="2"/>
      <c r="V705" s="2"/>
      <c r="W705" s="2"/>
      <c r="X705" s="2"/>
    </row>
    <row r="706" spans="1:24" ht="18">
      <c r="A706" s="2"/>
      <c r="B706" s="2"/>
      <c r="C706" s="2"/>
      <c r="D706" s="2"/>
      <c r="E706" s="2"/>
      <c r="F706" s="2"/>
      <c r="G706" s="2"/>
      <c r="H706" s="2"/>
      <c r="I706" s="2"/>
      <c r="J706" s="2"/>
      <c r="K706" s="2"/>
      <c r="L706" s="2"/>
      <c r="M706" s="2"/>
      <c r="N706" s="2"/>
      <c r="O706" s="2"/>
      <c r="P706" s="2"/>
      <c r="Q706" s="2"/>
      <c r="R706" s="2"/>
      <c r="S706" s="2"/>
      <c r="T706" s="2"/>
      <c r="U706" s="2"/>
      <c r="V706" s="2"/>
      <c r="W706" s="2"/>
      <c r="X706" s="2"/>
    </row>
    <row r="707" spans="1:24" ht="18">
      <c r="A707" s="2"/>
      <c r="B707" s="2"/>
      <c r="C707" s="2"/>
      <c r="D707" s="2"/>
      <c r="E707" s="2"/>
      <c r="F707" s="2"/>
      <c r="G707" s="2"/>
      <c r="H707" s="2"/>
      <c r="I707" s="2"/>
      <c r="J707" s="2"/>
      <c r="K707" s="2"/>
      <c r="L707" s="2"/>
      <c r="M707" s="2"/>
      <c r="N707" s="2"/>
      <c r="O707" s="2"/>
      <c r="P707" s="2"/>
      <c r="Q707" s="2"/>
      <c r="R707" s="2"/>
      <c r="S707" s="2"/>
      <c r="T707" s="2"/>
      <c r="U707" s="2"/>
      <c r="V707" s="2"/>
      <c r="W707" s="2"/>
      <c r="X707" s="2"/>
    </row>
    <row r="708" spans="1:24" ht="18">
      <c r="A708" s="2"/>
      <c r="B708" s="2"/>
      <c r="C708" s="2"/>
      <c r="D708" s="2"/>
      <c r="E708" s="2"/>
      <c r="F708" s="2"/>
      <c r="G708" s="2"/>
      <c r="H708" s="2"/>
      <c r="I708" s="2"/>
      <c r="J708" s="2"/>
      <c r="K708" s="2"/>
      <c r="L708" s="2"/>
      <c r="M708" s="2"/>
      <c r="N708" s="2"/>
      <c r="O708" s="2"/>
      <c r="P708" s="2"/>
      <c r="Q708" s="2"/>
      <c r="R708" s="2"/>
      <c r="S708" s="2"/>
      <c r="T708" s="2"/>
      <c r="U708" s="2"/>
      <c r="V708" s="2"/>
      <c r="W708" s="2"/>
      <c r="X708" s="2"/>
    </row>
    <row r="709" spans="1:24" ht="18">
      <c r="A709" s="2"/>
      <c r="B709" s="2"/>
      <c r="C709" s="2"/>
      <c r="D709" s="2"/>
      <c r="E709" s="2"/>
      <c r="F709" s="2"/>
      <c r="G709" s="2"/>
      <c r="H709" s="2"/>
      <c r="I709" s="2"/>
      <c r="J709" s="2"/>
      <c r="K709" s="2"/>
      <c r="L709" s="2"/>
      <c r="M709" s="2"/>
      <c r="N709" s="2"/>
      <c r="O709" s="2"/>
      <c r="P709" s="2"/>
      <c r="Q709" s="2"/>
      <c r="R709" s="2"/>
      <c r="S709" s="2"/>
      <c r="T709" s="2"/>
      <c r="U709" s="2"/>
      <c r="V709" s="2"/>
      <c r="W709" s="2"/>
      <c r="X709" s="2"/>
    </row>
    <row r="710" spans="1:24" ht="18">
      <c r="A710" s="2"/>
      <c r="B710" s="2"/>
      <c r="C710" s="2"/>
      <c r="D710" s="2"/>
      <c r="E710" s="2"/>
      <c r="F710" s="2"/>
      <c r="G710" s="2"/>
      <c r="H710" s="2"/>
      <c r="I710" s="2"/>
      <c r="J710" s="2"/>
      <c r="K710" s="2"/>
      <c r="L710" s="2"/>
      <c r="M710" s="2"/>
      <c r="N710" s="2"/>
      <c r="O710" s="2"/>
      <c r="P710" s="2"/>
      <c r="Q710" s="2"/>
      <c r="R710" s="2"/>
      <c r="S710" s="2"/>
      <c r="T710" s="2"/>
      <c r="U710" s="2"/>
      <c r="V710" s="2"/>
      <c r="W710" s="2"/>
      <c r="X710" s="2"/>
    </row>
    <row r="711" spans="1:24" ht="18">
      <c r="A711" s="2"/>
      <c r="B711" s="2"/>
      <c r="C711" s="2"/>
      <c r="D711" s="2"/>
      <c r="E711" s="2"/>
      <c r="F711" s="2"/>
      <c r="G711" s="2"/>
      <c r="H711" s="2"/>
      <c r="I711" s="2"/>
      <c r="J711" s="2"/>
      <c r="K711" s="2"/>
      <c r="L711" s="2"/>
      <c r="M711" s="2"/>
      <c r="N711" s="2"/>
      <c r="O711" s="2"/>
      <c r="P711" s="2"/>
      <c r="Q711" s="2"/>
      <c r="R711" s="2"/>
      <c r="S711" s="2"/>
      <c r="T711" s="2"/>
      <c r="U711" s="2"/>
      <c r="V711" s="2"/>
      <c r="W711" s="2"/>
      <c r="X711" s="2"/>
    </row>
    <row r="712" spans="1:24" ht="18">
      <c r="A712" s="2"/>
      <c r="B712" s="2"/>
      <c r="C712" s="2"/>
      <c r="D712" s="2"/>
      <c r="E712" s="2"/>
      <c r="F712" s="2"/>
      <c r="G712" s="2"/>
      <c r="H712" s="2"/>
      <c r="I712" s="2"/>
      <c r="J712" s="2"/>
      <c r="K712" s="2"/>
      <c r="L712" s="2"/>
      <c r="M712" s="2"/>
      <c r="N712" s="2"/>
      <c r="O712" s="2"/>
      <c r="P712" s="2"/>
      <c r="Q712" s="2"/>
      <c r="R712" s="2"/>
      <c r="S712" s="2"/>
      <c r="T712" s="2"/>
      <c r="U712" s="2"/>
      <c r="V712" s="2"/>
      <c r="W712" s="2"/>
      <c r="X712" s="2"/>
    </row>
    <row r="713" spans="1:24" ht="18">
      <c r="A713" s="2"/>
      <c r="B713" s="2"/>
      <c r="C713" s="2"/>
      <c r="D713" s="2"/>
      <c r="E713" s="2"/>
      <c r="F713" s="2"/>
      <c r="G713" s="2"/>
      <c r="H713" s="2"/>
      <c r="I713" s="2"/>
      <c r="J713" s="2"/>
      <c r="K713" s="2"/>
      <c r="L713" s="2"/>
      <c r="M713" s="2"/>
      <c r="N713" s="2"/>
      <c r="O713" s="2"/>
      <c r="P713" s="2"/>
      <c r="Q713" s="2"/>
      <c r="R713" s="2"/>
      <c r="S713" s="2"/>
      <c r="T713" s="2"/>
      <c r="U713" s="2"/>
      <c r="V713" s="2"/>
      <c r="W713" s="2"/>
      <c r="X713" s="2"/>
    </row>
    <row r="714" spans="1:24" ht="18">
      <c r="A714" s="2"/>
      <c r="B714" s="2"/>
      <c r="C714" s="2"/>
      <c r="D714" s="2"/>
      <c r="E714" s="2"/>
      <c r="F714" s="2"/>
      <c r="G714" s="2"/>
      <c r="H714" s="2"/>
      <c r="I714" s="2"/>
      <c r="J714" s="2"/>
      <c r="K714" s="2"/>
      <c r="L714" s="2"/>
      <c r="M714" s="2"/>
      <c r="N714" s="2"/>
      <c r="O714" s="2"/>
      <c r="P714" s="2"/>
      <c r="Q714" s="2"/>
      <c r="R714" s="2"/>
      <c r="S714" s="2"/>
      <c r="T714" s="2"/>
      <c r="U714" s="2"/>
      <c r="V714" s="2"/>
      <c r="W714" s="2"/>
      <c r="X714" s="2"/>
    </row>
    <row r="715" spans="1:24" ht="18">
      <c r="A715" s="2"/>
      <c r="B715" s="2"/>
      <c r="C715" s="2"/>
      <c r="D715" s="2"/>
      <c r="E715" s="2"/>
      <c r="F715" s="2"/>
      <c r="G715" s="2"/>
      <c r="H715" s="2"/>
      <c r="I715" s="2"/>
      <c r="J715" s="2"/>
      <c r="K715" s="2"/>
      <c r="L715" s="2"/>
      <c r="M715" s="2"/>
      <c r="N715" s="2"/>
      <c r="O715" s="2"/>
      <c r="P715" s="2"/>
      <c r="Q715" s="2"/>
      <c r="R715" s="2"/>
      <c r="S715" s="2"/>
      <c r="T715" s="2"/>
      <c r="U715" s="2"/>
      <c r="V715" s="2"/>
      <c r="W715" s="2"/>
      <c r="X715" s="2"/>
    </row>
    <row r="716" spans="1:24" ht="18">
      <c r="A716" s="2"/>
      <c r="B716" s="2"/>
      <c r="C716" s="2"/>
      <c r="D716" s="2"/>
      <c r="E716" s="2"/>
      <c r="F716" s="2"/>
      <c r="G716" s="2"/>
      <c r="H716" s="2"/>
      <c r="I716" s="2"/>
      <c r="J716" s="2"/>
      <c r="K716" s="2"/>
      <c r="L716" s="2"/>
      <c r="M716" s="2"/>
      <c r="N716" s="2"/>
      <c r="O716" s="2"/>
      <c r="P716" s="2"/>
      <c r="Q716" s="2"/>
      <c r="R716" s="2"/>
      <c r="S716" s="2"/>
      <c r="T716" s="2"/>
      <c r="U716" s="2"/>
      <c r="V716" s="2"/>
      <c r="W716" s="2"/>
      <c r="X716" s="2"/>
    </row>
    <row r="717" spans="1:24" ht="18">
      <c r="A717" s="2"/>
      <c r="B717" s="2"/>
      <c r="C717" s="2"/>
      <c r="D717" s="2"/>
      <c r="E717" s="2"/>
      <c r="F717" s="2"/>
      <c r="G717" s="2"/>
      <c r="H717" s="2"/>
      <c r="I717" s="2"/>
      <c r="J717" s="2"/>
      <c r="K717" s="2"/>
      <c r="L717" s="2"/>
      <c r="M717" s="2"/>
      <c r="N717" s="2"/>
      <c r="O717" s="2"/>
      <c r="P717" s="2"/>
      <c r="Q717" s="2"/>
      <c r="R717" s="2"/>
      <c r="S717" s="2"/>
      <c r="T717" s="2"/>
      <c r="U717" s="2"/>
      <c r="V717" s="2"/>
      <c r="W717" s="2"/>
      <c r="X717" s="2"/>
    </row>
    <row r="718" spans="1:24" ht="18">
      <c r="A718" s="2"/>
      <c r="B718" s="2"/>
      <c r="C718" s="2"/>
      <c r="D718" s="2"/>
      <c r="E718" s="2"/>
      <c r="F718" s="2"/>
      <c r="G718" s="2"/>
      <c r="H718" s="2"/>
      <c r="I718" s="2"/>
      <c r="J718" s="2"/>
      <c r="K718" s="2"/>
      <c r="L718" s="2"/>
      <c r="M718" s="2"/>
      <c r="N718" s="2"/>
      <c r="O718" s="2"/>
      <c r="P718" s="2"/>
      <c r="Q718" s="2"/>
      <c r="R718" s="2"/>
      <c r="S718" s="2"/>
      <c r="T718" s="2"/>
      <c r="U718" s="2"/>
      <c r="V718" s="2"/>
      <c r="W718" s="2"/>
      <c r="X718" s="2"/>
    </row>
    <row r="719" spans="1:24" ht="18">
      <c r="A719" s="2"/>
      <c r="B719" s="2"/>
      <c r="C719" s="2"/>
      <c r="D719" s="2"/>
      <c r="E719" s="2"/>
      <c r="F719" s="2"/>
      <c r="G719" s="2"/>
      <c r="H719" s="2"/>
      <c r="I719" s="2"/>
      <c r="J719" s="2"/>
      <c r="K719" s="2"/>
      <c r="L719" s="2"/>
      <c r="M719" s="2"/>
      <c r="N719" s="2"/>
      <c r="O719" s="2"/>
      <c r="P719" s="2"/>
      <c r="Q719" s="2"/>
      <c r="R719" s="2"/>
      <c r="S719" s="2"/>
      <c r="T719" s="2"/>
      <c r="U719" s="2"/>
      <c r="V719" s="2"/>
      <c r="W719" s="2"/>
      <c r="X719" s="2"/>
    </row>
    <row r="720" spans="1:24" ht="18">
      <c r="A720" s="2"/>
      <c r="B720" s="2"/>
      <c r="C720" s="2"/>
      <c r="D720" s="2"/>
      <c r="E720" s="2"/>
      <c r="F720" s="2"/>
      <c r="G720" s="2"/>
      <c r="H720" s="2"/>
      <c r="I720" s="2"/>
      <c r="J720" s="2"/>
      <c r="K720" s="2"/>
      <c r="L720" s="2"/>
      <c r="M720" s="2"/>
      <c r="N720" s="2"/>
      <c r="O720" s="2"/>
      <c r="P720" s="2"/>
      <c r="Q720" s="2"/>
      <c r="R720" s="2"/>
      <c r="S720" s="2"/>
      <c r="T720" s="2"/>
      <c r="U720" s="2"/>
      <c r="V720" s="2"/>
      <c r="W720" s="2"/>
      <c r="X720" s="2"/>
    </row>
    <row r="721" spans="1:24" ht="18">
      <c r="A721" s="2"/>
      <c r="B721" s="2"/>
      <c r="C721" s="2"/>
      <c r="D721" s="2"/>
      <c r="E721" s="2"/>
      <c r="F721" s="2"/>
      <c r="G721" s="2"/>
      <c r="H721" s="2"/>
      <c r="I721" s="2"/>
      <c r="J721" s="2"/>
      <c r="K721" s="2"/>
      <c r="L721" s="2"/>
      <c r="M721" s="2"/>
      <c r="N721" s="2"/>
      <c r="O721" s="2"/>
      <c r="P721" s="2"/>
      <c r="Q721" s="2"/>
      <c r="R721" s="2"/>
      <c r="S721" s="2"/>
      <c r="T721" s="2"/>
      <c r="U721" s="2"/>
      <c r="V721" s="2"/>
      <c r="W721" s="2"/>
      <c r="X721" s="2"/>
    </row>
    <row r="722" spans="1:24" ht="18">
      <c r="A722" s="2"/>
      <c r="B722" s="2"/>
      <c r="C722" s="2"/>
      <c r="D722" s="2"/>
      <c r="E722" s="2"/>
      <c r="F722" s="2"/>
      <c r="G722" s="2"/>
      <c r="H722" s="2"/>
      <c r="I722" s="2"/>
      <c r="J722" s="2"/>
      <c r="K722" s="2"/>
      <c r="L722" s="2"/>
      <c r="M722" s="2"/>
      <c r="N722" s="2"/>
      <c r="O722" s="2"/>
      <c r="P722" s="2"/>
      <c r="Q722" s="2"/>
      <c r="R722" s="2"/>
      <c r="S722" s="2"/>
      <c r="T722" s="2"/>
      <c r="U722" s="2"/>
      <c r="V722" s="2"/>
      <c r="W722" s="2"/>
      <c r="X722" s="2"/>
    </row>
    <row r="723" spans="1:24" ht="18">
      <c r="A723" s="2"/>
      <c r="B723" s="2"/>
      <c r="C723" s="2"/>
      <c r="D723" s="2"/>
      <c r="E723" s="2"/>
      <c r="F723" s="2"/>
      <c r="G723" s="2"/>
      <c r="H723" s="2"/>
      <c r="I723" s="2"/>
      <c r="J723" s="2"/>
      <c r="K723" s="2"/>
      <c r="L723" s="2"/>
      <c r="M723" s="2"/>
      <c r="N723" s="2"/>
      <c r="O723" s="2"/>
      <c r="P723" s="2"/>
      <c r="Q723" s="2"/>
      <c r="R723" s="2"/>
      <c r="S723" s="2"/>
      <c r="T723" s="2"/>
      <c r="U723" s="2"/>
      <c r="V723" s="2"/>
      <c r="W723" s="2"/>
      <c r="X723" s="2"/>
    </row>
    <row r="724" spans="1:24" ht="18">
      <c r="A724" s="2"/>
      <c r="B724" s="2"/>
      <c r="C724" s="2"/>
      <c r="D724" s="2"/>
      <c r="E724" s="2"/>
      <c r="F724" s="2"/>
      <c r="G724" s="2"/>
      <c r="H724" s="2"/>
      <c r="I724" s="2"/>
      <c r="J724" s="2"/>
      <c r="K724" s="2"/>
      <c r="L724" s="2"/>
      <c r="M724" s="2"/>
      <c r="N724" s="2"/>
      <c r="O724" s="2"/>
      <c r="P724" s="2"/>
      <c r="Q724" s="2"/>
      <c r="R724" s="2"/>
      <c r="S724" s="2"/>
      <c r="T724" s="2"/>
      <c r="U724" s="2"/>
      <c r="V724" s="2"/>
      <c r="W724" s="2"/>
      <c r="X724" s="2"/>
    </row>
    <row r="725" spans="1:24" ht="18">
      <c r="A725" s="2"/>
      <c r="B725" s="2"/>
      <c r="C725" s="2"/>
      <c r="D725" s="2"/>
      <c r="E725" s="2"/>
      <c r="F725" s="2"/>
      <c r="G725" s="2"/>
      <c r="H725" s="2"/>
      <c r="I725" s="2"/>
      <c r="J725" s="2"/>
      <c r="K725" s="2"/>
      <c r="L725" s="2"/>
      <c r="M725" s="2"/>
      <c r="N725" s="2"/>
      <c r="O725" s="2"/>
      <c r="P725" s="2"/>
      <c r="Q725" s="2"/>
      <c r="R725" s="2"/>
      <c r="S725" s="2"/>
      <c r="T725" s="2"/>
      <c r="U725" s="2"/>
      <c r="V725" s="2"/>
      <c r="W725" s="2"/>
      <c r="X725" s="2"/>
    </row>
    <row r="726" spans="1:24" ht="18">
      <c r="A726" s="2"/>
      <c r="B726" s="2"/>
      <c r="C726" s="2"/>
      <c r="D726" s="2"/>
      <c r="E726" s="2"/>
      <c r="F726" s="2"/>
      <c r="G726" s="2"/>
      <c r="H726" s="2"/>
      <c r="I726" s="2"/>
      <c r="J726" s="2"/>
      <c r="K726" s="2"/>
      <c r="L726" s="2"/>
      <c r="M726" s="2"/>
      <c r="N726" s="2"/>
      <c r="O726" s="2"/>
      <c r="P726" s="2"/>
      <c r="Q726" s="2"/>
      <c r="R726" s="2"/>
      <c r="S726" s="2"/>
      <c r="T726" s="2"/>
      <c r="U726" s="2"/>
      <c r="V726" s="2"/>
      <c r="W726" s="2"/>
      <c r="X726" s="2"/>
    </row>
    <row r="727" spans="1:24" ht="18">
      <c r="A727" s="2"/>
      <c r="B727" s="2"/>
      <c r="C727" s="2"/>
      <c r="D727" s="2"/>
      <c r="E727" s="2"/>
      <c r="F727" s="2"/>
      <c r="G727" s="2"/>
      <c r="H727" s="2"/>
      <c r="I727" s="2"/>
      <c r="J727" s="2"/>
      <c r="K727" s="2"/>
      <c r="L727" s="2"/>
      <c r="M727" s="2"/>
      <c r="N727" s="2"/>
      <c r="O727" s="2"/>
      <c r="P727" s="2"/>
      <c r="Q727" s="2"/>
      <c r="R727" s="2"/>
      <c r="S727" s="2"/>
      <c r="T727" s="2"/>
      <c r="U727" s="2"/>
      <c r="V727" s="2"/>
      <c r="W727" s="2"/>
      <c r="X727" s="2"/>
    </row>
    <row r="728" spans="1:24" ht="18">
      <c r="A728" s="2"/>
      <c r="B728" s="2"/>
      <c r="C728" s="2"/>
      <c r="D728" s="2"/>
      <c r="E728" s="2"/>
      <c r="F728" s="2"/>
      <c r="G728" s="2"/>
      <c r="H728" s="2"/>
      <c r="I728" s="2"/>
      <c r="J728" s="2"/>
      <c r="K728" s="2"/>
      <c r="L728" s="2"/>
      <c r="M728" s="2"/>
      <c r="N728" s="2"/>
      <c r="O728" s="2"/>
      <c r="P728" s="2"/>
      <c r="Q728" s="2"/>
      <c r="R728" s="2"/>
      <c r="S728" s="2"/>
      <c r="T728" s="2"/>
      <c r="U728" s="2"/>
      <c r="V728" s="2"/>
      <c r="W728" s="2"/>
      <c r="X728" s="2"/>
    </row>
    <row r="729" spans="1:24" ht="18">
      <c r="A729" s="2"/>
      <c r="B729" s="2"/>
      <c r="C729" s="2"/>
      <c r="D729" s="2"/>
      <c r="E729" s="2"/>
      <c r="F729" s="2"/>
      <c r="G729" s="2"/>
      <c r="H729" s="2"/>
      <c r="I729" s="2"/>
      <c r="J729" s="2"/>
      <c r="K729" s="2"/>
      <c r="L729" s="2"/>
      <c r="M729" s="2"/>
      <c r="N729" s="2"/>
      <c r="O729" s="2"/>
      <c r="P729" s="2"/>
      <c r="Q729" s="2"/>
      <c r="R729" s="2"/>
      <c r="S729" s="2"/>
      <c r="T729" s="2"/>
      <c r="U729" s="2"/>
      <c r="V729" s="2"/>
      <c r="W729" s="2"/>
      <c r="X729" s="2"/>
    </row>
    <row r="730" spans="1:24" ht="18">
      <c r="A730" s="2"/>
      <c r="B730" s="2"/>
      <c r="C730" s="2"/>
      <c r="D730" s="2"/>
      <c r="E730" s="2"/>
      <c r="F730" s="2"/>
      <c r="G730" s="2"/>
      <c r="H730" s="2"/>
      <c r="I730" s="2"/>
      <c r="J730" s="2"/>
      <c r="K730" s="2"/>
      <c r="L730" s="2"/>
      <c r="M730" s="2"/>
      <c r="N730" s="2"/>
      <c r="O730" s="2"/>
      <c r="P730" s="2"/>
      <c r="Q730" s="2"/>
      <c r="R730" s="2"/>
      <c r="S730" s="2"/>
      <c r="T730" s="2"/>
      <c r="U730" s="2"/>
      <c r="V730" s="2"/>
      <c r="W730" s="2"/>
      <c r="X730" s="2"/>
    </row>
    <row r="731" spans="1:24" ht="18">
      <c r="A731" s="2"/>
      <c r="B731" s="2"/>
      <c r="C731" s="2"/>
      <c r="D731" s="2"/>
      <c r="E731" s="2"/>
      <c r="F731" s="2"/>
      <c r="G731" s="2"/>
      <c r="H731" s="2"/>
      <c r="I731" s="2"/>
      <c r="J731" s="2"/>
      <c r="K731" s="2"/>
      <c r="L731" s="2"/>
      <c r="M731" s="2"/>
      <c r="N731" s="2"/>
      <c r="O731" s="2"/>
      <c r="P731" s="2"/>
      <c r="Q731" s="2"/>
      <c r="R731" s="2"/>
      <c r="S731" s="2"/>
      <c r="T731" s="2"/>
      <c r="U731" s="2"/>
      <c r="V731" s="2"/>
      <c r="W731" s="2"/>
      <c r="X731" s="2"/>
    </row>
    <row r="732" spans="1:24" ht="18">
      <c r="A732" s="2"/>
      <c r="B732" s="2"/>
      <c r="C732" s="2"/>
      <c r="D732" s="2"/>
      <c r="E732" s="2"/>
      <c r="F732" s="2"/>
      <c r="G732" s="2"/>
      <c r="H732" s="2"/>
      <c r="I732" s="2"/>
      <c r="J732" s="2"/>
      <c r="K732" s="2"/>
      <c r="L732" s="2"/>
      <c r="M732" s="2"/>
      <c r="N732" s="2"/>
      <c r="O732" s="2"/>
      <c r="P732" s="2"/>
      <c r="Q732" s="2"/>
      <c r="R732" s="2"/>
      <c r="S732" s="2"/>
      <c r="T732" s="2"/>
      <c r="U732" s="2"/>
      <c r="V732" s="2"/>
      <c r="W732" s="2"/>
      <c r="X732" s="2"/>
    </row>
    <row r="733" spans="1:24" ht="18">
      <c r="A733" s="2"/>
      <c r="B733" s="2"/>
      <c r="C733" s="2"/>
      <c r="D733" s="2"/>
      <c r="E733" s="2"/>
      <c r="F733" s="2"/>
      <c r="G733" s="2"/>
      <c r="H733" s="2"/>
      <c r="I733" s="2"/>
      <c r="J733" s="2"/>
      <c r="K733" s="2"/>
      <c r="L733" s="2"/>
      <c r="M733" s="2"/>
      <c r="N733" s="2"/>
      <c r="O733" s="2"/>
      <c r="P733" s="2"/>
      <c r="Q733" s="2"/>
      <c r="R733" s="2"/>
      <c r="S733" s="2"/>
      <c r="T733" s="2"/>
      <c r="U733" s="2"/>
      <c r="V733" s="2"/>
      <c r="W733" s="2"/>
      <c r="X733" s="2"/>
    </row>
    <row r="734" spans="1:24" ht="18">
      <c r="A734" s="2"/>
      <c r="B734" s="2"/>
      <c r="C734" s="2"/>
      <c r="D734" s="2"/>
      <c r="E734" s="2"/>
      <c r="F734" s="2"/>
      <c r="G734" s="2"/>
      <c r="H734" s="2"/>
      <c r="I734" s="2"/>
      <c r="J734" s="2"/>
      <c r="K734" s="2"/>
      <c r="L734" s="2"/>
      <c r="M734" s="2"/>
      <c r="N734" s="2"/>
      <c r="O734" s="2"/>
      <c r="P734" s="2"/>
      <c r="Q734" s="2"/>
      <c r="R734" s="2"/>
      <c r="S734" s="2"/>
      <c r="T734" s="2"/>
      <c r="U734" s="2"/>
      <c r="V734" s="2"/>
      <c r="W734" s="2"/>
      <c r="X734" s="2"/>
    </row>
    <row r="735" spans="1:24" ht="18">
      <c r="A735" s="2"/>
      <c r="B735" s="2"/>
      <c r="C735" s="2"/>
      <c r="D735" s="2"/>
      <c r="E735" s="2"/>
      <c r="F735" s="2"/>
      <c r="G735" s="2"/>
      <c r="H735" s="2"/>
      <c r="I735" s="2"/>
      <c r="J735" s="2"/>
      <c r="K735" s="2"/>
      <c r="L735" s="2"/>
      <c r="M735" s="2"/>
      <c r="N735" s="2"/>
      <c r="O735" s="2"/>
      <c r="P735" s="2"/>
      <c r="Q735" s="2"/>
      <c r="R735" s="2"/>
      <c r="S735" s="2"/>
      <c r="T735" s="2"/>
      <c r="U735" s="2"/>
      <c r="V735" s="2"/>
      <c r="W735" s="2"/>
      <c r="X735" s="2"/>
    </row>
    <row r="736" spans="1:24" ht="18">
      <c r="A736" s="2"/>
      <c r="B736" s="2"/>
      <c r="C736" s="2"/>
      <c r="D736" s="2"/>
      <c r="E736" s="2"/>
      <c r="F736" s="2"/>
      <c r="G736" s="2"/>
      <c r="H736" s="2"/>
      <c r="I736" s="2"/>
      <c r="J736" s="2"/>
      <c r="K736" s="2"/>
      <c r="L736" s="2"/>
      <c r="M736" s="2"/>
      <c r="N736" s="2"/>
      <c r="O736" s="2"/>
      <c r="P736" s="2"/>
      <c r="Q736" s="2"/>
      <c r="R736" s="2"/>
      <c r="S736" s="2"/>
      <c r="T736" s="2"/>
      <c r="U736" s="2"/>
      <c r="V736" s="2"/>
      <c r="W736" s="2"/>
      <c r="X736" s="2"/>
    </row>
    <row r="737" spans="1:24" ht="18">
      <c r="A737" s="2"/>
      <c r="B737" s="2"/>
      <c r="C737" s="2"/>
      <c r="D737" s="2"/>
      <c r="E737" s="2"/>
      <c r="F737" s="2"/>
      <c r="G737" s="2"/>
      <c r="H737" s="2"/>
      <c r="I737" s="2"/>
      <c r="J737" s="2"/>
      <c r="K737" s="2"/>
      <c r="L737" s="2"/>
      <c r="M737" s="2"/>
      <c r="N737" s="2"/>
      <c r="O737" s="2"/>
      <c r="P737" s="2"/>
      <c r="Q737" s="2"/>
      <c r="R737" s="2"/>
      <c r="S737" s="2"/>
      <c r="T737" s="2"/>
      <c r="U737" s="2"/>
      <c r="V737" s="2"/>
      <c r="W737" s="2"/>
      <c r="X737" s="2"/>
    </row>
    <row r="738" spans="1:24" ht="18">
      <c r="A738" s="2"/>
      <c r="B738" s="2"/>
      <c r="C738" s="2"/>
      <c r="D738" s="2"/>
      <c r="E738" s="2"/>
      <c r="F738" s="2"/>
      <c r="G738" s="2"/>
      <c r="H738" s="2"/>
      <c r="I738" s="2"/>
      <c r="J738" s="2"/>
      <c r="K738" s="2"/>
      <c r="L738" s="2"/>
      <c r="M738" s="2"/>
      <c r="N738" s="2"/>
      <c r="O738" s="2"/>
      <c r="P738" s="2"/>
      <c r="Q738" s="2"/>
      <c r="R738" s="2"/>
      <c r="S738" s="2"/>
      <c r="T738" s="2"/>
      <c r="U738" s="2"/>
      <c r="V738" s="2"/>
      <c r="W738" s="2"/>
      <c r="X738" s="2"/>
    </row>
    <row r="739" spans="1:24" ht="18">
      <c r="A739" s="2"/>
      <c r="B739" s="2"/>
      <c r="C739" s="2"/>
      <c r="D739" s="2"/>
      <c r="E739" s="2"/>
      <c r="F739" s="2"/>
      <c r="G739" s="2"/>
      <c r="H739" s="2"/>
      <c r="I739" s="2"/>
      <c r="J739" s="2"/>
      <c r="K739" s="2"/>
      <c r="L739" s="2"/>
      <c r="M739" s="2"/>
      <c r="N739" s="2"/>
      <c r="O739" s="2"/>
      <c r="P739" s="2"/>
      <c r="Q739" s="2"/>
      <c r="R739" s="2"/>
      <c r="S739" s="2"/>
      <c r="T739" s="2"/>
      <c r="U739" s="2"/>
      <c r="V739" s="2"/>
      <c r="W739" s="2"/>
      <c r="X739" s="2"/>
    </row>
    <row r="740" spans="1:24" ht="18">
      <c r="A740" s="2"/>
      <c r="B740" s="2"/>
      <c r="C740" s="2"/>
      <c r="D740" s="2"/>
      <c r="E740" s="2"/>
      <c r="F740" s="2"/>
      <c r="G740" s="2"/>
      <c r="H740" s="2"/>
      <c r="I740" s="2"/>
      <c r="J740" s="2"/>
      <c r="K740" s="2"/>
      <c r="L740" s="2"/>
      <c r="M740" s="2"/>
      <c r="N740" s="2"/>
      <c r="O740" s="2"/>
      <c r="P740" s="2"/>
      <c r="Q740" s="2"/>
      <c r="R740" s="2"/>
      <c r="S740" s="2"/>
      <c r="T740" s="2"/>
      <c r="U740" s="2"/>
      <c r="V740" s="2"/>
      <c r="W740" s="2"/>
      <c r="X740" s="2"/>
    </row>
    <row r="741" spans="1:24" ht="18">
      <c r="A741" s="2"/>
      <c r="B741" s="2"/>
      <c r="C741" s="2"/>
      <c r="D741" s="2"/>
      <c r="E741" s="2"/>
      <c r="F741" s="2"/>
      <c r="G741" s="2"/>
      <c r="H741" s="2"/>
      <c r="I741" s="2"/>
      <c r="J741" s="2"/>
      <c r="K741" s="2"/>
      <c r="L741" s="2"/>
      <c r="M741" s="2"/>
      <c r="N741" s="2"/>
      <c r="O741" s="2"/>
      <c r="P741" s="2"/>
      <c r="Q741" s="2"/>
      <c r="R741" s="2"/>
      <c r="S741" s="2"/>
      <c r="T741" s="2"/>
      <c r="U741" s="2"/>
      <c r="V741" s="2"/>
      <c r="W741" s="2"/>
      <c r="X741" s="2"/>
    </row>
    <row r="742" spans="1:24" ht="18">
      <c r="A742" s="2"/>
      <c r="B742" s="2"/>
      <c r="C742" s="2"/>
      <c r="D742" s="2"/>
      <c r="E742" s="2"/>
      <c r="F742" s="2"/>
      <c r="G742" s="2"/>
      <c r="H742" s="2"/>
      <c r="I742" s="2"/>
      <c r="J742" s="2"/>
      <c r="K742" s="2"/>
      <c r="L742" s="2"/>
      <c r="M742" s="2"/>
      <c r="N742" s="2"/>
      <c r="O742" s="2"/>
      <c r="P742" s="2"/>
      <c r="Q742" s="2"/>
      <c r="R742" s="2"/>
      <c r="S742" s="2"/>
      <c r="T742" s="2"/>
      <c r="U742" s="2"/>
      <c r="V742" s="2"/>
      <c r="W742" s="2"/>
      <c r="X742" s="2"/>
    </row>
    <row r="743" spans="1:24" ht="18">
      <c r="A743" s="2"/>
      <c r="B743" s="2"/>
      <c r="C743" s="2"/>
      <c r="D743" s="2"/>
      <c r="E743" s="2"/>
      <c r="F743" s="2"/>
      <c r="G743" s="2"/>
      <c r="H743" s="2"/>
      <c r="I743" s="2"/>
      <c r="J743" s="2"/>
      <c r="K743" s="2"/>
      <c r="L743" s="2"/>
      <c r="M743" s="2"/>
      <c r="N743" s="2"/>
      <c r="O743" s="2"/>
      <c r="P743" s="2"/>
      <c r="Q743" s="2"/>
      <c r="R743" s="2"/>
      <c r="S743" s="2"/>
      <c r="T743" s="2"/>
      <c r="U743" s="2"/>
      <c r="V743" s="2"/>
      <c r="W743" s="2"/>
      <c r="X743" s="2"/>
    </row>
    <row r="744" spans="1:24" ht="18">
      <c r="A744" s="2"/>
      <c r="B744" s="2"/>
      <c r="C744" s="2"/>
      <c r="D744" s="2"/>
      <c r="E744" s="2"/>
      <c r="F744" s="2"/>
      <c r="G744" s="2"/>
      <c r="H744" s="2"/>
      <c r="I744" s="2"/>
      <c r="J744" s="2"/>
      <c r="K744" s="2"/>
      <c r="L744" s="2"/>
      <c r="M744" s="2"/>
      <c r="N744" s="2"/>
      <c r="O744" s="2"/>
      <c r="P744" s="2"/>
      <c r="Q744" s="2"/>
      <c r="R744" s="2"/>
      <c r="S744" s="2"/>
      <c r="T744" s="2"/>
      <c r="U744" s="2"/>
      <c r="V744" s="2"/>
      <c r="W744" s="2"/>
      <c r="X744" s="2"/>
    </row>
    <row r="745" spans="1:24" ht="18">
      <c r="A745" s="2"/>
      <c r="B745" s="2"/>
      <c r="C745" s="2"/>
      <c r="D745" s="2"/>
      <c r="E745" s="2"/>
      <c r="F745" s="2"/>
      <c r="G745" s="2"/>
      <c r="H745" s="2"/>
      <c r="I745" s="2"/>
      <c r="J745" s="2"/>
      <c r="K745" s="2"/>
      <c r="L745" s="2"/>
      <c r="M745" s="2"/>
      <c r="N745" s="2"/>
      <c r="O745" s="2"/>
      <c r="P745" s="2"/>
      <c r="Q745" s="2"/>
      <c r="R745" s="2"/>
      <c r="S745" s="2"/>
      <c r="T745" s="2"/>
      <c r="U745" s="2"/>
      <c r="V745" s="2"/>
      <c r="W745" s="2"/>
      <c r="X745" s="2"/>
    </row>
    <row r="746" spans="1:24" ht="18">
      <c r="A746" s="2"/>
      <c r="B746" s="2"/>
      <c r="C746" s="2"/>
      <c r="D746" s="2"/>
      <c r="E746" s="2"/>
      <c r="F746" s="2"/>
      <c r="G746" s="2"/>
      <c r="H746" s="2"/>
      <c r="I746" s="2"/>
      <c r="J746" s="2"/>
      <c r="K746" s="2"/>
      <c r="L746" s="2"/>
      <c r="M746" s="2"/>
      <c r="N746" s="2"/>
      <c r="O746" s="2"/>
      <c r="P746" s="2"/>
      <c r="Q746" s="2"/>
      <c r="R746" s="2"/>
      <c r="S746" s="2"/>
      <c r="T746" s="2"/>
      <c r="U746" s="2"/>
      <c r="V746" s="2"/>
      <c r="W746" s="2"/>
      <c r="X746" s="2"/>
    </row>
    <row r="747" spans="1:24" ht="18">
      <c r="A747" s="2"/>
      <c r="B747" s="2"/>
      <c r="C747" s="2"/>
      <c r="D747" s="2"/>
      <c r="E747" s="2"/>
      <c r="F747" s="2"/>
      <c r="G747" s="2"/>
      <c r="H747" s="2"/>
      <c r="I747" s="2"/>
      <c r="J747" s="2"/>
      <c r="K747" s="2"/>
      <c r="L747" s="2"/>
      <c r="M747" s="2"/>
      <c r="N747" s="2"/>
      <c r="O747" s="2"/>
      <c r="P747" s="2"/>
      <c r="Q747" s="2"/>
      <c r="R747" s="2"/>
      <c r="S747" s="2"/>
      <c r="T747" s="2"/>
      <c r="U747" s="2"/>
      <c r="V747" s="2"/>
      <c r="W747" s="2"/>
      <c r="X747" s="2"/>
    </row>
    <row r="748" spans="1:24" ht="18">
      <c r="A748" s="2"/>
      <c r="B748" s="2"/>
      <c r="C748" s="2"/>
      <c r="D748" s="2"/>
      <c r="E748" s="2"/>
      <c r="F748" s="2"/>
      <c r="G748" s="2"/>
      <c r="H748" s="2"/>
      <c r="I748" s="2"/>
      <c r="J748" s="2"/>
      <c r="K748" s="2"/>
      <c r="L748" s="2"/>
      <c r="M748" s="2"/>
      <c r="N748" s="2"/>
      <c r="O748" s="2"/>
      <c r="P748" s="2"/>
      <c r="Q748" s="2"/>
      <c r="R748" s="2"/>
      <c r="S748" s="2"/>
      <c r="T748" s="2"/>
      <c r="U748" s="2"/>
      <c r="V748" s="2"/>
      <c r="W748" s="2"/>
      <c r="X748" s="2"/>
    </row>
    <row r="749" spans="1:24" ht="18">
      <c r="A749" s="2"/>
      <c r="B749" s="2"/>
      <c r="C749" s="2"/>
      <c r="D749" s="2"/>
      <c r="E749" s="2"/>
      <c r="F749" s="2"/>
      <c r="G749" s="2"/>
      <c r="H749" s="2"/>
      <c r="I749" s="2"/>
      <c r="J749" s="2"/>
      <c r="K749" s="2"/>
      <c r="L749" s="2"/>
      <c r="M749" s="2"/>
      <c r="N749" s="2"/>
      <c r="O749" s="2"/>
      <c r="P749" s="2"/>
      <c r="Q749" s="2"/>
      <c r="R749" s="2"/>
      <c r="S749" s="2"/>
      <c r="T749" s="2"/>
      <c r="U749" s="2"/>
      <c r="V749" s="2"/>
      <c r="W749" s="2"/>
      <c r="X749" s="2"/>
    </row>
    <row r="750" spans="1:24" ht="18">
      <c r="A750" s="2"/>
      <c r="B750" s="2"/>
      <c r="C750" s="2"/>
      <c r="D750" s="2"/>
      <c r="E750" s="2"/>
      <c r="F750" s="2"/>
      <c r="G750" s="2"/>
      <c r="H750" s="2"/>
      <c r="I750" s="2"/>
      <c r="J750" s="2"/>
      <c r="K750" s="2"/>
      <c r="L750" s="2"/>
      <c r="M750" s="2"/>
      <c r="N750" s="2"/>
      <c r="O750" s="2"/>
      <c r="P750" s="2"/>
      <c r="Q750" s="2"/>
      <c r="R750" s="2"/>
      <c r="S750" s="2"/>
      <c r="T750" s="2"/>
      <c r="U750" s="2"/>
      <c r="V750" s="2"/>
      <c r="W750" s="2"/>
      <c r="X750" s="2"/>
    </row>
    <row r="751" spans="1:24" ht="18">
      <c r="A751" s="2"/>
      <c r="B751" s="2"/>
      <c r="C751" s="2"/>
      <c r="D751" s="2"/>
      <c r="E751" s="2"/>
      <c r="F751" s="2"/>
      <c r="G751" s="2"/>
      <c r="H751" s="2"/>
      <c r="I751" s="2"/>
      <c r="J751" s="2"/>
      <c r="K751" s="2"/>
      <c r="L751" s="2"/>
      <c r="M751" s="2"/>
      <c r="N751" s="2"/>
      <c r="O751" s="2"/>
      <c r="P751" s="2"/>
      <c r="Q751" s="2"/>
      <c r="R751" s="2"/>
      <c r="S751" s="2"/>
      <c r="T751" s="2"/>
      <c r="U751" s="2"/>
      <c r="V751" s="2"/>
      <c r="W751" s="2"/>
      <c r="X751" s="2"/>
    </row>
    <row r="752" spans="1:24" ht="18">
      <c r="A752" s="2"/>
      <c r="B752" s="2"/>
      <c r="C752" s="2"/>
      <c r="D752" s="2"/>
      <c r="E752" s="2"/>
      <c r="F752" s="2"/>
      <c r="G752" s="2"/>
      <c r="H752" s="2"/>
      <c r="I752" s="2"/>
      <c r="J752" s="2"/>
      <c r="K752" s="2"/>
      <c r="L752" s="2"/>
      <c r="M752" s="2"/>
      <c r="N752" s="2"/>
      <c r="O752" s="2"/>
      <c r="P752" s="2"/>
      <c r="Q752" s="2"/>
      <c r="R752" s="2"/>
      <c r="S752" s="2"/>
      <c r="T752" s="2"/>
      <c r="U752" s="2"/>
      <c r="V752" s="2"/>
      <c r="W752" s="2"/>
      <c r="X752" s="2"/>
    </row>
    <row r="753" spans="1:24" ht="18">
      <c r="A753" s="2"/>
      <c r="B753" s="2"/>
      <c r="C753" s="2"/>
      <c r="D753" s="2"/>
      <c r="E753" s="2"/>
      <c r="F753" s="2"/>
      <c r="G753" s="2"/>
      <c r="H753" s="2"/>
      <c r="I753" s="2"/>
      <c r="J753" s="2"/>
      <c r="K753" s="2"/>
      <c r="L753" s="2"/>
      <c r="M753" s="2"/>
      <c r="N753" s="2"/>
      <c r="O753" s="2"/>
      <c r="P753" s="2"/>
      <c r="Q753" s="2"/>
      <c r="R753" s="2"/>
      <c r="S753" s="2"/>
      <c r="T753" s="2"/>
      <c r="U753" s="2"/>
      <c r="V753" s="2"/>
      <c r="W753" s="2"/>
      <c r="X753" s="2"/>
    </row>
    <row r="754" spans="1:24" ht="18">
      <c r="A754" s="2"/>
      <c r="B754" s="2"/>
      <c r="C754" s="2"/>
      <c r="D754" s="2"/>
      <c r="E754" s="2"/>
      <c r="F754" s="2"/>
      <c r="G754" s="2"/>
      <c r="H754" s="2"/>
      <c r="I754" s="2"/>
      <c r="J754" s="2"/>
      <c r="K754" s="2"/>
      <c r="L754" s="2"/>
      <c r="M754" s="2"/>
      <c r="N754" s="2"/>
      <c r="O754" s="2"/>
      <c r="P754" s="2"/>
      <c r="Q754" s="2"/>
      <c r="R754" s="2"/>
      <c r="S754" s="2"/>
      <c r="T754" s="2"/>
      <c r="U754" s="2"/>
      <c r="V754" s="2"/>
      <c r="W754" s="2"/>
      <c r="X754" s="2"/>
    </row>
    <row r="755" spans="1:24" ht="18">
      <c r="A755" s="2"/>
      <c r="B755" s="2"/>
      <c r="C755" s="2"/>
      <c r="D755" s="2"/>
      <c r="E755" s="2"/>
      <c r="F755" s="2"/>
      <c r="G755" s="2"/>
      <c r="H755" s="2"/>
      <c r="I755" s="2"/>
      <c r="J755" s="2"/>
      <c r="K755" s="2"/>
      <c r="L755" s="2"/>
      <c r="M755" s="2"/>
      <c r="N755" s="2"/>
      <c r="O755" s="2"/>
      <c r="P755" s="2"/>
      <c r="Q755" s="2"/>
      <c r="R755" s="2"/>
      <c r="S755" s="2"/>
      <c r="T755" s="2"/>
      <c r="U755" s="2"/>
      <c r="V755" s="2"/>
      <c r="W755" s="2"/>
      <c r="X755" s="2"/>
    </row>
    <row r="756" spans="1:24" ht="18">
      <c r="A756" s="2"/>
      <c r="B756" s="2"/>
      <c r="C756" s="2"/>
      <c r="D756" s="2"/>
      <c r="E756" s="2"/>
      <c r="F756" s="2"/>
      <c r="G756" s="2"/>
      <c r="H756" s="2"/>
      <c r="I756" s="2"/>
      <c r="J756" s="2"/>
      <c r="K756" s="2"/>
      <c r="L756" s="2"/>
      <c r="M756" s="2"/>
      <c r="N756" s="2"/>
      <c r="O756" s="2"/>
      <c r="P756" s="2"/>
      <c r="Q756" s="2"/>
      <c r="R756" s="2"/>
      <c r="S756" s="2"/>
      <c r="T756" s="2"/>
      <c r="U756" s="2"/>
      <c r="V756" s="2"/>
      <c r="W756" s="2"/>
      <c r="X756" s="2"/>
    </row>
    <row r="757" spans="1:24" ht="18">
      <c r="A757" s="2"/>
      <c r="B757" s="2"/>
      <c r="C757" s="2"/>
      <c r="D757" s="2"/>
      <c r="E757" s="2"/>
      <c r="F757" s="2"/>
      <c r="G757" s="2"/>
      <c r="H757" s="2"/>
      <c r="I757" s="2"/>
      <c r="J757" s="2"/>
      <c r="K757" s="2"/>
      <c r="L757" s="2"/>
      <c r="M757" s="2"/>
      <c r="N757" s="2"/>
      <c r="O757" s="2"/>
      <c r="P757" s="2"/>
      <c r="Q757" s="2"/>
      <c r="R757" s="2"/>
      <c r="S757" s="2"/>
      <c r="T757" s="2"/>
      <c r="U757" s="2"/>
      <c r="V757" s="2"/>
      <c r="W757" s="2"/>
      <c r="X757" s="2"/>
    </row>
    <row r="758" spans="1:24" ht="18">
      <c r="A758" s="2"/>
      <c r="B758" s="2"/>
      <c r="C758" s="2"/>
      <c r="D758" s="2"/>
      <c r="E758" s="2"/>
      <c r="F758" s="2"/>
      <c r="G758" s="2"/>
      <c r="H758" s="2"/>
      <c r="I758" s="2"/>
      <c r="J758" s="2"/>
      <c r="K758" s="2"/>
      <c r="L758" s="2"/>
      <c r="M758" s="2"/>
      <c r="N758" s="2"/>
      <c r="O758" s="2"/>
      <c r="P758" s="2"/>
      <c r="Q758" s="2"/>
      <c r="R758" s="2"/>
      <c r="S758" s="2"/>
      <c r="T758" s="2"/>
      <c r="U758" s="2"/>
      <c r="V758" s="2"/>
      <c r="W758" s="2"/>
      <c r="X758" s="2"/>
    </row>
    <row r="759" spans="1:24" ht="18">
      <c r="A759" s="2"/>
      <c r="B759" s="2"/>
      <c r="C759" s="2"/>
      <c r="D759" s="2"/>
      <c r="E759" s="2"/>
      <c r="F759" s="2"/>
      <c r="G759" s="2"/>
      <c r="H759" s="2"/>
      <c r="I759" s="2"/>
      <c r="J759" s="2"/>
      <c r="K759" s="2"/>
      <c r="L759" s="2"/>
      <c r="M759" s="2"/>
      <c r="N759" s="2"/>
      <c r="O759" s="2"/>
      <c r="P759" s="2"/>
      <c r="Q759" s="2"/>
      <c r="R759" s="2"/>
      <c r="S759" s="2"/>
      <c r="T759" s="2"/>
      <c r="U759" s="2"/>
      <c r="V759" s="2"/>
      <c r="W759" s="2"/>
      <c r="X759" s="2"/>
    </row>
    <row r="760" spans="1:24" ht="18">
      <c r="A760" s="2"/>
      <c r="B760" s="2"/>
      <c r="C760" s="2"/>
      <c r="D760" s="2"/>
      <c r="E760" s="2"/>
      <c r="F760" s="2"/>
      <c r="G760" s="2"/>
      <c r="H760" s="2"/>
      <c r="I760" s="2"/>
      <c r="J760" s="2"/>
      <c r="K760" s="2"/>
      <c r="L760" s="2"/>
      <c r="M760" s="2"/>
      <c r="N760" s="2"/>
      <c r="O760" s="2"/>
      <c r="P760" s="2"/>
      <c r="Q760" s="2"/>
      <c r="R760" s="2"/>
      <c r="S760" s="2"/>
      <c r="T760" s="2"/>
      <c r="U760" s="2"/>
      <c r="V760" s="2"/>
      <c r="W760" s="2"/>
      <c r="X760" s="2"/>
    </row>
    <row r="761" spans="1:24" ht="18">
      <c r="A761" s="2"/>
      <c r="B761" s="2"/>
      <c r="C761" s="2"/>
      <c r="D761" s="2"/>
      <c r="E761" s="2"/>
      <c r="F761" s="2"/>
      <c r="G761" s="2"/>
      <c r="H761" s="2"/>
      <c r="I761" s="2"/>
      <c r="J761" s="2"/>
      <c r="K761" s="2"/>
      <c r="L761" s="2"/>
      <c r="M761" s="2"/>
      <c r="N761" s="2"/>
      <c r="O761" s="2"/>
      <c r="P761" s="2"/>
      <c r="Q761" s="2"/>
      <c r="R761" s="2"/>
      <c r="S761" s="2"/>
      <c r="T761" s="2"/>
      <c r="U761" s="2"/>
      <c r="V761" s="2"/>
      <c r="W761" s="2"/>
      <c r="X761" s="2"/>
    </row>
    <row r="762" spans="1:24" ht="18">
      <c r="A762" s="2"/>
      <c r="B762" s="2"/>
      <c r="C762" s="2"/>
      <c r="D762" s="2"/>
      <c r="E762" s="2"/>
      <c r="F762" s="2"/>
      <c r="G762" s="2"/>
      <c r="H762" s="2"/>
      <c r="I762" s="2"/>
      <c r="J762" s="2"/>
      <c r="K762" s="2"/>
      <c r="L762" s="2"/>
      <c r="M762" s="2"/>
      <c r="N762" s="2"/>
      <c r="O762" s="2"/>
      <c r="P762" s="2"/>
      <c r="Q762" s="2"/>
      <c r="R762" s="2"/>
      <c r="S762" s="2"/>
      <c r="T762" s="2"/>
      <c r="U762" s="2"/>
      <c r="V762" s="2"/>
      <c r="W762" s="2"/>
      <c r="X762" s="2"/>
    </row>
    <row r="763" spans="1:24" ht="18">
      <c r="A763" s="2"/>
      <c r="B763" s="2"/>
      <c r="C763" s="2"/>
      <c r="D763" s="2"/>
      <c r="E763" s="2"/>
      <c r="F763" s="2"/>
      <c r="G763" s="2"/>
      <c r="H763" s="2"/>
      <c r="I763" s="2"/>
      <c r="J763" s="2"/>
      <c r="K763" s="2"/>
      <c r="L763" s="2"/>
      <c r="M763" s="2"/>
      <c r="N763" s="2"/>
      <c r="O763" s="2"/>
      <c r="P763" s="2"/>
      <c r="Q763" s="2"/>
      <c r="R763" s="2"/>
      <c r="S763" s="2"/>
      <c r="T763" s="2"/>
      <c r="U763" s="2"/>
      <c r="V763" s="2"/>
      <c r="W763" s="2"/>
      <c r="X763" s="2"/>
    </row>
    <row r="764" spans="1:24" ht="18">
      <c r="A764" s="2"/>
      <c r="B764" s="2"/>
      <c r="C764" s="2"/>
      <c r="D764" s="2"/>
      <c r="E764" s="2"/>
      <c r="F764" s="2"/>
      <c r="G764" s="2"/>
      <c r="H764" s="2"/>
      <c r="I764" s="2"/>
      <c r="J764" s="2"/>
      <c r="K764" s="2"/>
      <c r="L764" s="2"/>
      <c r="M764" s="2"/>
      <c r="N764" s="2"/>
      <c r="O764" s="2"/>
      <c r="P764" s="2"/>
      <c r="Q764" s="2"/>
      <c r="R764" s="2"/>
      <c r="S764" s="2"/>
      <c r="T764" s="2"/>
      <c r="U764" s="2"/>
      <c r="V764" s="2"/>
      <c r="W764" s="2"/>
      <c r="X764" s="2"/>
    </row>
    <row r="765" spans="1:24" ht="18">
      <c r="A765" s="2"/>
      <c r="B765" s="2"/>
      <c r="C765" s="2"/>
      <c r="D765" s="2"/>
      <c r="E765" s="2"/>
      <c r="F765" s="2"/>
      <c r="G765" s="2"/>
      <c r="H765" s="2"/>
      <c r="I765" s="2"/>
      <c r="J765" s="2"/>
      <c r="K765" s="2"/>
      <c r="L765" s="2"/>
      <c r="M765" s="2"/>
      <c r="N765" s="2"/>
      <c r="O765" s="2"/>
      <c r="P765" s="2"/>
      <c r="Q765" s="2"/>
      <c r="R765" s="2"/>
      <c r="S765" s="2"/>
      <c r="T765" s="2"/>
      <c r="U765" s="2"/>
      <c r="V765" s="2"/>
      <c r="W765" s="2"/>
      <c r="X765" s="2"/>
    </row>
    <row r="766" spans="1:24" ht="18">
      <c r="A766" s="2"/>
      <c r="B766" s="2"/>
      <c r="C766" s="2"/>
      <c r="D766" s="2"/>
      <c r="E766" s="2"/>
      <c r="F766" s="2"/>
      <c r="G766" s="2"/>
      <c r="H766" s="2"/>
      <c r="I766" s="2"/>
      <c r="J766" s="2"/>
      <c r="K766" s="2"/>
      <c r="L766" s="2"/>
      <c r="M766" s="2"/>
      <c r="N766" s="2"/>
      <c r="O766" s="2"/>
      <c r="P766" s="2"/>
      <c r="Q766" s="2"/>
      <c r="R766" s="2"/>
      <c r="S766" s="2"/>
      <c r="T766" s="2"/>
      <c r="U766" s="2"/>
      <c r="V766" s="2"/>
      <c r="W766" s="2"/>
      <c r="X766" s="2"/>
    </row>
    <row r="767" spans="1:24" ht="18">
      <c r="A767" s="2"/>
      <c r="B767" s="2"/>
      <c r="C767" s="2"/>
      <c r="D767" s="2"/>
      <c r="E767" s="2"/>
      <c r="F767" s="2"/>
      <c r="G767" s="2"/>
      <c r="H767" s="2"/>
      <c r="I767" s="2"/>
      <c r="J767" s="2"/>
      <c r="K767" s="2"/>
      <c r="L767" s="2"/>
      <c r="M767" s="2"/>
      <c r="N767" s="2"/>
      <c r="O767" s="2"/>
      <c r="P767" s="2"/>
      <c r="Q767" s="2"/>
      <c r="R767" s="2"/>
      <c r="S767" s="2"/>
      <c r="T767" s="2"/>
      <c r="U767" s="2"/>
      <c r="V767" s="2"/>
      <c r="W767" s="2"/>
      <c r="X767" s="2"/>
    </row>
    <row r="768" spans="1:24" ht="18">
      <c r="A768" s="2"/>
      <c r="B768" s="2"/>
      <c r="C768" s="2"/>
      <c r="D768" s="2"/>
      <c r="E768" s="2"/>
      <c r="F768" s="2"/>
      <c r="G768" s="2"/>
      <c r="H768" s="2"/>
      <c r="I768" s="2"/>
      <c r="J768" s="2"/>
      <c r="K768" s="2"/>
      <c r="L768" s="2"/>
      <c r="M768" s="2"/>
      <c r="N768" s="2"/>
      <c r="O768" s="2"/>
      <c r="P768" s="2"/>
      <c r="Q768" s="2"/>
      <c r="R768" s="2"/>
      <c r="S768" s="2"/>
      <c r="T768" s="2"/>
      <c r="U768" s="2"/>
      <c r="V768" s="2"/>
      <c r="W768" s="2"/>
      <c r="X768" s="2"/>
    </row>
    <row r="769" spans="1:24" ht="18">
      <c r="A769" s="2"/>
      <c r="B769" s="2"/>
      <c r="C769" s="2"/>
      <c r="D769" s="2"/>
      <c r="E769" s="2"/>
      <c r="F769" s="2"/>
      <c r="G769" s="2"/>
      <c r="H769" s="2"/>
      <c r="I769" s="2"/>
      <c r="J769" s="2"/>
      <c r="K769" s="2"/>
      <c r="L769" s="2"/>
      <c r="M769" s="2"/>
      <c r="N769" s="2"/>
      <c r="O769" s="2"/>
      <c r="P769" s="2"/>
      <c r="Q769" s="2"/>
      <c r="R769" s="2"/>
      <c r="S769" s="2"/>
      <c r="T769" s="2"/>
      <c r="U769" s="2"/>
      <c r="V769" s="2"/>
      <c r="W769" s="2"/>
      <c r="X769" s="2"/>
    </row>
    <row r="770" spans="1:24" ht="18">
      <c r="A770" s="2"/>
      <c r="B770" s="2"/>
      <c r="C770" s="2"/>
      <c r="D770" s="2"/>
      <c r="E770" s="2"/>
      <c r="F770" s="2"/>
      <c r="G770" s="2"/>
      <c r="H770" s="2"/>
      <c r="I770" s="2"/>
      <c r="J770" s="2"/>
      <c r="K770" s="2"/>
      <c r="L770" s="2"/>
      <c r="M770" s="2"/>
      <c r="N770" s="2"/>
      <c r="O770" s="2"/>
      <c r="P770" s="2"/>
      <c r="Q770" s="2"/>
      <c r="R770" s="2"/>
      <c r="S770" s="2"/>
      <c r="T770" s="2"/>
      <c r="U770" s="2"/>
      <c r="V770" s="2"/>
      <c r="W770" s="2"/>
      <c r="X770" s="2"/>
    </row>
    <row r="771" spans="1:24" ht="18">
      <c r="A771" s="2"/>
      <c r="B771" s="2"/>
      <c r="C771" s="2"/>
      <c r="D771" s="2"/>
      <c r="E771" s="2"/>
      <c r="F771" s="2"/>
      <c r="G771" s="2"/>
      <c r="H771" s="2"/>
      <c r="I771" s="2"/>
      <c r="J771" s="2"/>
      <c r="K771" s="2"/>
      <c r="L771" s="2"/>
      <c r="M771" s="2"/>
      <c r="N771" s="2"/>
      <c r="O771" s="2"/>
      <c r="P771" s="2"/>
      <c r="Q771" s="2"/>
      <c r="R771" s="2"/>
      <c r="S771" s="2"/>
      <c r="T771" s="2"/>
      <c r="U771" s="2"/>
      <c r="V771" s="2"/>
      <c r="W771" s="2"/>
      <c r="X771" s="2"/>
    </row>
    <row r="772" spans="1:24" ht="18">
      <c r="A772" s="2"/>
      <c r="B772" s="2"/>
      <c r="C772" s="2"/>
      <c r="D772" s="2"/>
      <c r="E772" s="2"/>
      <c r="F772" s="2"/>
      <c r="G772" s="2"/>
      <c r="H772" s="2"/>
      <c r="I772" s="2"/>
      <c r="J772" s="2"/>
      <c r="K772" s="2"/>
      <c r="L772" s="2"/>
      <c r="M772" s="2"/>
      <c r="N772" s="2"/>
      <c r="O772" s="2"/>
      <c r="P772" s="2"/>
      <c r="Q772" s="2"/>
      <c r="R772" s="2"/>
      <c r="S772" s="2"/>
      <c r="T772" s="2"/>
      <c r="U772" s="2"/>
      <c r="V772" s="2"/>
      <c r="W772" s="2"/>
      <c r="X772" s="2"/>
    </row>
    <row r="773" spans="1:24" ht="18">
      <c r="A773" s="2"/>
      <c r="B773" s="2"/>
      <c r="C773" s="2"/>
      <c r="D773" s="2"/>
      <c r="E773" s="2"/>
      <c r="F773" s="2"/>
      <c r="G773" s="2"/>
      <c r="H773" s="2"/>
      <c r="I773" s="2"/>
      <c r="J773" s="2"/>
      <c r="K773" s="2"/>
      <c r="L773" s="2"/>
      <c r="M773" s="2"/>
      <c r="N773" s="2"/>
      <c r="O773" s="2"/>
      <c r="P773" s="2"/>
      <c r="Q773" s="2"/>
      <c r="R773" s="2"/>
      <c r="S773" s="2"/>
      <c r="T773" s="2"/>
      <c r="U773" s="2"/>
      <c r="V773" s="2"/>
      <c r="W773" s="2"/>
      <c r="X773" s="2"/>
    </row>
    <row r="774" spans="1:24" ht="18">
      <c r="A774" s="2"/>
      <c r="B774" s="2"/>
      <c r="C774" s="2"/>
      <c r="D774" s="2"/>
      <c r="E774" s="2"/>
      <c r="F774" s="2"/>
      <c r="G774" s="2"/>
      <c r="H774" s="2"/>
      <c r="I774" s="2"/>
      <c r="J774" s="2"/>
      <c r="K774" s="2"/>
      <c r="L774" s="2"/>
      <c r="M774" s="2"/>
      <c r="N774" s="2"/>
      <c r="O774" s="2"/>
      <c r="P774" s="2"/>
      <c r="Q774" s="2"/>
      <c r="R774" s="2"/>
      <c r="S774" s="2"/>
      <c r="T774" s="2"/>
      <c r="U774" s="2"/>
      <c r="V774" s="2"/>
      <c r="W774" s="2"/>
      <c r="X774" s="2"/>
    </row>
    <row r="775" spans="1:24" ht="18">
      <c r="A775" s="2"/>
      <c r="B775" s="2"/>
      <c r="C775" s="2"/>
      <c r="D775" s="2"/>
      <c r="E775" s="2"/>
      <c r="F775" s="2"/>
      <c r="G775" s="2"/>
      <c r="H775" s="2"/>
      <c r="I775" s="2"/>
      <c r="J775" s="2"/>
      <c r="K775" s="2"/>
      <c r="L775" s="2"/>
      <c r="M775" s="2"/>
      <c r="N775" s="2"/>
      <c r="O775" s="2"/>
      <c r="P775" s="2"/>
      <c r="Q775" s="2"/>
      <c r="R775" s="2"/>
      <c r="S775" s="2"/>
      <c r="T775" s="2"/>
      <c r="U775" s="2"/>
      <c r="V775" s="2"/>
      <c r="W775" s="2"/>
      <c r="X775" s="2"/>
    </row>
    <row r="776" spans="1:24" ht="18">
      <c r="A776" s="2"/>
      <c r="B776" s="2"/>
      <c r="C776" s="2"/>
      <c r="D776" s="2"/>
      <c r="E776" s="2"/>
      <c r="F776" s="2"/>
      <c r="G776" s="2"/>
      <c r="H776" s="2"/>
      <c r="I776" s="2"/>
      <c r="J776" s="2"/>
      <c r="K776" s="2"/>
      <c r="L776" s="2"/>
      <c r="M776" s="2"/>
      <c r="N776" s="2"/>
      <c r="O776" s="2"/>
      <c r="P776" s="2"/>
      <c r="Q776" s="2"/>
      <c r="R776" s="2"/>
      <c r="S776" s="2"/>
      <c r="T776" s="2"/>
      <c r="U776" s="2"/>
      <c r="V776" s="2"/>
      <c r="W776" s="2"/>
      <c r="X776" s="2"/>
    </row>
    <row r="777" spans="1:24" ht="18">
      <c r="A777" s="2"/>
      <c r="B777" s="2"/>
      <c r="C777" s="2"/>
      <c r="D777" s="2"/>
      <c r="E777" s="2"/>
      <c r="F777" s="2"/>
      <c r="G777" s="2"/>
      <c r="H777" s="2"/>
      <c r="I777" s="2"/>
      <c r="J777" s="2"/>
      <c r="K777" s="2"/>
      <c r="L777" s="2"/>
      <c r="M777" s="2"/>
      <c r="N777" s="2"/>
      <c r="O777" s="2"/>
      <c r="P777" s="2"/>
      <c r="Q777" s="2"/>
      <c r="R777" s="2"/>
      <c r="S777" s="2"/>
      <c r="T777" s="2"/>
      <c r="U777" s="2"/>
      <c r="V777" s="2"/>
      <c r="W777" s="2"/>
      <c r="X777" s="2"/>
    </row>
    <row r="778" spans="1:24" ht="18">
      <c r="A778" s="2"/>
      <c r="B778" s="2"/>
      <c r="C778" s="2"/>
      <c r="D778" s="2"/>
      <c r="E778" s="2"/>
      <c r="F778" s="2"/>
      <c r="G778" s="2"/>
      <c r="H778" s="2"/>
      <c r="I778" s="2"/>
      <c r="J778" s="2"/>
      <c r="K778" s="2"/>
      <c r="L778" s="2"/>
      <c r="M778" s="2"/>
      <c r="N778" s="2"/>
      <c r="O778" s="2"/>
      <c r="P778" s="2"/>
      <c r="Q778" s="2"/>
      <c r="R778" s="2"/>
      <c r="S778" s="2"/>
      <c r="T778" s="2"/>
      <c r="U778" s="2"/>
      <c r="V778" s="2"/>
      <c r="W778" s="2"/>
      <c r="X778" s="2"/>
    </row>
    <row r="779" spans="1:24" ht="18">
      <c r="A779" s="2"/>
      <c r="B779" s="2"/>
      <c r="C779" s="2"/>
      <c r="D779" s="2"/>
      <c r="E779" s="2"/>
      <c r="F779" s="2"/>
      <c r="G779" s="2"/>
      <c r="H779" s="2"/>
      <c r="I779" s="2"/>
      <c r="J779" s="2"/>
      <c r="K779" s="2"/>
      <c r="L779" s="2"/>
      <c r="M779" s="2"/>
      <c r="N779" s="2"/>
      <c r="O779" s="2"/>
      <c r="P779" s="2"/>
      <c r="Q779" s="2"/>
      <c r="R779" s="2"/>
      <c r="S779" s="2"/>
      <c r="T779" s="2"/>
      <c r="U779" s="2"/>
      <c r="V779" s="2"/>
      <c r="W779" s="2"/>
      <c r="X779" s="2"/>
    </row>
    <row r="780" spans="1:24" ht="18">
      <c r="A780" s="2"/>
      <c r="B780" s="2"/>
      <c r="C780" s="2"/>
      <c r="D780" s="2"/>
      <c r="E780" s="2"/>
      <c r="F780" s="2"/>
      <c r="G780" s="2"/>
      <c r="H780" s="2"/>
      <c r="I780" s="2"/>
      <c r="J780" s="2"/>
      <c r="K780" s="2"/>
      <c r="L780" s="2"/>
      <c r="M780" s="2"/>
      <c r="N780" s="2"/>
      <c r="O780" s="2"/>
      <c r="P780" s="2"/>
      <c r="Q780" s="2"/>
      <c r="R780" s="2"/>
      <c r="S780" s="2"/>
      <c r="T780" s="2"/>
      <c r="U780" s="2"/>
      <c r="V780" s="2"/>
      <c r="W780" s="2"/>
      <c r="X780" s="2"/>
    </row>
    <row r="781" spans="1:24" ht="18">
      <c r="A781" s="2"/>
      <c r="B781" s="2"/>
      <c r="C781" s="2"/>
      <c r="D781" s="2"/>
      <c r="E781" s="2"/>
      <c r="F781" s="2"/>
      <c r="G781" s="2"/>
      <c r="H781" s="2"/>
      <c r="I781" s="2"/>
      <c r="J781" s="2"/>
      <c r="K781" s="2"/>
      <c r="L781" s="2"/>
      <c r="M781" s="2"/>
      <c r="N781" s="2"/>
      <c r="O781" s="2"/>
      <c r="P781" s="2"/>
      <c r="Q781" s="2"/>
      <c r="R781" s="2"/>
      <c r="S781" s="2"/>
      <c r="T781" s="2"/>
      <c r="U781" s="2"/>
      <c r="V781" s="2"/>
      <c r="W781" s="2"/>
      <c r="X781" s="2"/>
    </row>
    <row r="782" spans="1:24" ht="18">
      <c r="A782" s="2"/>
      <c r="B782" s="2"/>
      <c r="C782" s="2"/>
      <c r="D782" s="2"/>
      <c r="E782" s="2"/>
      <c r="F782" s="2"/>
      <c r="G782" s="2"/>
      <c r="H782" s="2"/>
      <c r="I782" s="2"/>
      <c r="J782" s="2"/>
      <c r="K782" s="2"/>
      <c r="L782" s="2"/>
      <c r="M782" s="2"/>
      <c r="N782" s="2"/>
      <c r="O782" s="2"/>
      <c r="P782" s="2"/>
      <c r="Q782" s="2"/>
      <c r="R782" s="2"/>
      <c r="S782" s="2"/>
      <c r="T782" s="2"/>
      <c r="U782" s="2"/>
      <c r="V782" s="2"/>
      <c r="W782" s="2"/>
      <c r="X782" s="2"/>
    </row>
    <row r="783" spans="1:24" ht="18">
      <c r="A783" s="2"/>
      <c r="B783" s="2"/>
      <c r="C783" s="2"/>
      <c r="D783" s="2"/>
      <c r="E783" s="2"/>
      <c r="F783" s="2"/>
      <c r="G783" s="2"/>
      <c r="H783" s="2"/>
      <c r="I783" s="2"/>
      <c r="J783" s="2"/>
      <c r="K783" s="2"/>
      <c r="L783" s="2"/>
      <c r="M783" s="2"/>
      <c r="N783" s="2"/>
      <c r="O783" s="2"/>
      <c r="P783" s="2"/>
      <c r="Q783" s="2"/>
      <c r="R783" s="2"/>
      <c r="S783" s="2"/>
      <c r="T783" s="2"/>
      <c r="U783" s="2"/>
      <c r="V783" s="2"/>
      <c r="W783" s="2"/>
      <c r="X783" s="2"/>
    </row>
    <row r="784" spans="1:24" ht="18">
      <c r="A784" s="2"/>
      <c r="B784" s="2"/>
      <c r="C784" s="2"/>
      <c r="D784" s="2"/>
      <c r="E784" s="2"/>
      <c r="F784" s="2"/>
      <c r="G784" s="2"/>
      <c r="H784" s="2"/>
      <c r="I784" s="2"/>
      <c r="J784" s="2"/>
      <c r="K784" s="2"/>
      <c r="L784" s="2"/>
      <c r="M784" s="2"/>
      <c r="N784" s="2"/>
      <c r="O784" s="2"/>
      <c r="P784" s="2"/>
      <c r="Q784" s="2"/>
      <c r="R784" s="2"/>
      <c r="S784" s="2"/>
      <c r="T784" s="2"/>
      <c r="U784" s="2"/>
      <c r="V784" s="2"/>
      <c r="W784" s="2"/>
      <c r="X784" s="2"/>
    </row>
    <row r="785" spans="1:24" ht="18">
      <c r="A785" s="2"/>
      <c r="B785" s="2"/>
      <c r="C785" s="2"/>
      <c r="D785" s="2"/>
      <c r="E785" s="2"/>
      <c r="F785" s="2"/>
      <c r="G785" s="2"/>
      <c r="H785" s="2"/>
      <c r="I785" s="2"/>
      <c r="J785" s="2"/>
      <c r="K785" s="2"/>
      <c r="L785" s="2"/>
      <c r="M785" s="2"/>
      <c r="N785" s="2"/>
      <c r="O785" s="2"/>
      <c r="P785" s="2"/>
      <c r="Q785" s="2"/>
      <c r="R785" s="2"/>
      <c r="S785" s="2"/>
      <c r="T785" s="2"/>
      <c r="U785" s="2"/>
      <c r="V785" s="2"/>
      <c r="W785" s="2"/>
      <c r="X785" s="2"/>
    </row>
    <row r="786" spans="1:24" ht="18">
      <c r="A786" s="2"/>
      <c r="B786" s="2"/>
      <c r="C786" s="2"/>
      <c r="D786" s="2"/>
      <c r="E786" s="2"/>
      <c r="F786" s="2"/>
      <c r="G786" s="2"/>
      <c r="H786" s="2"/>
      <c r="I786" s="2"/>
      <c r="J786" s="2"/>
      <c r="K786" s="2"/>
      <c r="L786" s="2"/>
      <c r="M786" s="2"/>
      <c r="N786" s="2"/>
      <c r="O786" s="2"/>
      <c r="P786" s="2"/>
      <c r="Q786" s="2"/>
      <c r="R786" s="2"/>
      <c r="S786" s="2"/>
      <c r="T786" s="2"/>
      <c r="U786" s="2"/>
      <c r="V786" s="2"/>
      <c r="W786" s="2"/>
      <c r="X786" s="2"/>
    </row>
    <row r="787" spans="1:24" ht="18">
      <c r="A787" s="2"/>
      <c r="B787" s="2"/>
      <c r="C787" s="2"/>
      <c r="D787" s="2"/>
      <c r="E787" s="2"/>
      <c r="F787" s="2"/>
      <c r="G787" s="2"/>
      <c r="H787" s="2"/>
      <c r="I787" s="2"/>
      <c r="J787" s="2"/>
      <c r="K787" s="2"/>
      <c r="L787" s="2"/>
      <c r="M787" s="2"/>
      <c r="N787" s="2"/>
      <c r="O787" s="2"/>
      <c r="P787" s="2"/>
      <c r="Q787" s="2"/>
      <c r="R787" s="2"/>
      <c r="S787" s="2"/>
      <c r="T787" s="2"/>
      <c r="U787" s="2"/>
      <c r="V787" s="2"/>
      <c r="W787" s="2"/>
      <c r="X787" s="2"/>
    </row>
    <row r="788" spans="1:24" ht="18">
      <c r="A788" s="2"/>
      <c r="B788" s="2"/>
      <c r="C788" s="2"/>
      <c r="D788" s="2"/>
      <c r="E788" s="2"/>
      <c r="F788" s="2"/>
      <c r="G788" s="2"/>
      <c r="H788" s="2"/>
      <c r="I788" s="2"/>
      <c r="J788" s="2"/>
      <c r="K788" s="2"/>
      <c r="L788" s="2"/>
      <c r="M788" s="2"/>
      <c r="N788" s="2"/>
      <c r="O788" s="2"/>
      <c r="P788" s="2"/>
      <c r="Q788" s="2"/>
      <c r="R788" s="2"/>
      <c r="S788" s="2"/>
      <c r="T788" s="2"/>
      <c r="U788" s="2"/>
      <c r="V788" s="2"/>
      <c r="W788" s="2"/>
      <c r="X788" s="2"/>
    </row>
    <row r="789" spans="1:24" ht="18">
      <c r="A789" s="2"/>
      <c r="B789" s="2"/>
      <c r="C789" s="2"/>
      <c r="D789" s="2"/>
      <c r="E789" s="2"/>
      <c r="F789" s="2"/>
      <c r="G789" s="2"/>
      <c r="H789" s="2"/>
      <c r="I789" s="2"/>
      <c r="J789" s="2"/>
      <c r="K789" s="2"/>
      <c r="L789" s="2"/>
      <c r="M789" s="2"/>
      <c r="N789" s="2"/>
      <c r="O789" s="2"/>
      <c r="P789" s="2"/>
      <c r="Q789" s="2"/>
      <c r="R789" s="2"/>
      <c r="S789" s="2"/>
      <c r="T789" s="2"/>
      <c r="U789" s="2"/>
      <c r="V789" s="2"/>
      <c r="W789" s="2"/>
      <c r="X789" s="2"/>
    </row>
    <row r="790" spans="1:24" ht="18">
      <c r="A790" s="2"/>
      <c r="B790" s="2"/>
      <c r="C790" s="2"/>
      <c r="D790" s="2"/>
      <c r="E790" s="2"/>
      <c r="F790" s="2"/>
      <c r="G790" s="2"/>
      <c r="H790" s="2"/>
      <c r="I790" s="2"/>
      <c r="J790" s="2"/>
      <c r="K790" s="2"/>
      <c r="L790" s="2"/>
      <c r="M790" s="2"/>
      <c r="N790" s="2"/>
      <c r="O790" s="2"/>
      <c r="P790" s="2"/>
      <c r="Q790" s="2"/>
      <c r="R790" s="2"/>
      <c r="S790" s="2"/>
      <c r="T790" s="2"/>
      <c r="U790" s="2"/>
      <c r="V790" s="2"/>
      <c r="W790" s="2"/>
      <c r="X790" s="2"/>
    </row>
    <row r="791" spans="1:24" ht="18">
      <c r="A791" s="2"/>
      <c r="B791" s="2"/>
      <c r="C791" s="2"/>
      <c r="D791" s="2"/>
      <c r="E791" s="2"/>
      <c r="F791" s="2"/>
      <c r="G791" s="2"/>
      <c r="H791" s="2"/>
      <c r="I791" s="2"/>
      <c r="J791" s="2"/>
      <c r="K791" s="2"/>
      <c r="L791" s="2"/>
      <c r="M791" s="2"/>
      <c r="N791" s="2"/>
      <c r="O791" s="2"/>
      <c r="P791" s="2"/>
      <c r="Q791" s="2"/>
      <c r="R791" s="2"/>
      <c r="S791" s="2"/>
      <c r="T791" s="2"/>
      <c r="U791" s="2"/>
      <c r="V791" s="2"/>
      <c r="W791" s="2"/>
      <c r="X791" s="2"/>
    </row>
    <row r="792" spans="1:24" ht="18">
      <c r="A792" s="2"/>
      <c r="B792" s="2"/>
      <c r="C792" s="2"/>
      <c r="D792" s="2"/>
      <c r="E792" s="2"/>
      <c r="F792" s="2"/>
      <c r="G792" s="2"/>
      <c r="H792" s="2"/>
      <c r="I792" s="2"/>
      <c r="J792" s="2"/>
      <c r="K792" s="2"/>
      <c r="L792" s="2"/>
      <c r="M792" s="2"/>
      <c r="N792" s="2"/>
      <c r="O792" s="2"/>
      <c r="P792" s="2"/>
      <c r="Q792" s="2"/>
      <c r="R792" s="2"/>
      <c r="S792" s="2"/>
      <c r="T792" s="2"/>
      <c r="U792" s="2"/>
      <c r="V792" s="2"/>
      <c r="W792" s="2"/>
      <c r="X792" s="2"/>
    </row>
    <row r="793" spans="1:24" ht="18">
      <c r="A793" s="2"/>
      <c r="B793" s="2"/>
      <c r="C793" s="2"/>
      <c r="D793" s="2"/>
      <c r="E793" s="2"/>
      <c r="F793" s="2"/>
      <c r="G793" s="2"/>
      <c r="H793" s="2"/>
      <c r="I793" s="2"/>
      <c r="J793" s="2"/>
      <c r="K793" s="2"/>
      <c r="L793" s="2"/>
      <c r="M793" s="2"/>
      <c r="N793" s="2"/>
      <c r="O793" s="2"/>
      <c r="P793" s="2"/>
      <c r="Q793" s="2"/>
      <c r="R793" s="2"/>
      <c r="S793" s="2"/>
      <c r="T793" s="2"/>
      <c r="U793" s="2"/>
      <c r="V793" s="2"/>
      <c r="W793" s="2"/>
      <c r="X793" s="2"/>
    </row>
    <row r="794" spans="1:24" ht="18">
      <c r="A794" s="2"/>
      <c r="B794" s="2"/>
      <c r="C794" s="2"/>
      <c r="D794" s="2"/>
      <c r="E794" s="2"/>
      <c r="F794" s="2"/>
      <c r="G794" s="2"/>
      <c r="H794" s="2"/>
      <c r="I794" s="2"/>
      <c r="J794" s="2"/>
      <c r="K794" s="2"/>
      <c r="L794" s="2"/>
      <c r="M794" s="2"/>
      <c r="N794" s="2"/>
      <c r="O794" s="2"/>
      <c r="P794" s="2"/>
      <c r="Q794" s="2"/>
      <c r="R794" s="2"/>
      <c r="S794" s="2"/>
      <c r="T794" s="2"/>
      <c r="U794" s="2"/>
      <c r="V794" s="2"/>
      <c r="W794" s="2"/>
      <c r="X794" s="2"/>
    </row>
    <row r="795" spans="1:24" ht="18">
      <c r="A795" s="2"/>
      <c r="B795" s="2"/>
      <c r="C795" s="2"/>
      <c r="D795" s="2"/>
      <c r="E795" s="2"/>
      <c r="F795" s="2"/>
      <c r="G795" s="2"/>
      <c r="H795" s="2"/>
      <c r="I795" s="2"/>
      <c r="J795" s="2"/>
      <c r="K795" s="2"/>
      <c r="L795" s="2"/>
      <c r="M795" s="2"/>
      <c r="N795" s="2"/>
      <c r="O795" s="2"/>
      <c r="P795" s="2"/>
      <c r="Q795" s="2"/>
      <c r="R795" s="2"/>
      <c r="S795" s="2"/>
      <c r="T795" s="2"/>
      <c r="U795" s="2"/>
      <c r="V795" s="2"/>
      <c r="W795" s="2"/>
      <c r="X795" s="2"/>
    </row>
    <row r="796" spans="1:24" ht="18">
      <c r="A796" s="2"/>
      <c r="B796" s="2"/>
      <c r="C796" s="2"/>
      <c r="D796" s="2"/>
      <c r="E796" s="2"/>
      <c r="F796" s="2"/>
      <c r="G796" s="2"/>
      <c r="H796" s="2"/>
      <c r="I796" s="2"/>
      <c r="J796" s="2"/>
      <c r="K796" s="2"/>
      <c r="L796" s="2"/>
      <c r="M796" s="2"/>
      <c r="N796" s="2"/>
      <c r="O796" s="2"/>
      <c r="P796" s="2"/>
      <c r="Q796" s="2"/>
      <c r="R796" s="2"/>
      <c r="S796" s="2"/>
      <c r="T796" s="2"/>
      <c r="U796" s="2"/>
      <c r="V796" s="2"/>
      <c r="W796" s="2"/>
      <c r="X796" s="2"/>
    </row>
    <row r="797" spans="1:24" ht="18">
      <c r="A797" s="2"/>
      <c r="B797" s="2"/>
      <c r="C797" s="2"/>
      <c r="D797" s="2"/>
      <c r="E797" s="2"/>
      <c r="F797" s="2"/>
      <c r="G797" s="2"/>
      <c r="H797" s="2"/>
      <c r="I797" s="2"/>
      <c r="J797" s="2"/>
      <c r="K797" s="2"/>
      <c r="L797" s="2"/>
      <c r="M797" s="2"/>
      <c r="N797" s="2"/>
      <c r="O797" s="2"/>
      <c r="P797" s="2"/>
      <c r="Q797" s="2"/>
      <c r="R797" s="2"/>
      <c r="S797" s="2"/>
      <c r="T797" s="2"/>
      <c r="U797" s="2"/>
      <c r="V797" s="2"/>
      <c r="W797" s="2"/>
      <c r="X797" s="2"/>
    </row>
    <row r="798" spans="1:24" ht="18">
      <c r="A798" s="2"/>
      <c r="B798" s="2"/>
      <c r="C798" s="2"/>
      <c r="D798" s="2"/>
      <c r="E798" s="2"/>
      <c r="F798" s="2"/>
      <c r="G798" s="2"/>
      <c r="H798" s="2"/>
      <c r="I798" s="2"/>
      <c r="J798" s="2"/>
      <c r="K798" s="2"/>
      <c r="L798" s="2"/>
      <c r="M798" s="2"/>
      <c r="N798" s="2"/>
      <c r="O798" s="2"/>
      <c r="P798" s="2"/>
      <c r="Q798" s="2"/>
      <c r="R798" s="2"/>
      <c r="S798" s="2"/>
      <c r="T798" s="2"/>
      <c r="U798" s="2"/>
      <c r="V798" s="2"/>
      <c r="W798" s="2"/>
      <c r="X798" s="2"/>
    </row>
    <row r="799" spans="1:24" ht="18">
      <c r="A799" s="2"/>
      <c r="B799" s="2"/>
      <c r="C799" s="2"/>
      <c r="D799" s="2"/>
      <c r="E799" s="2"/>
      <c r="F799" s="2"/>
      <c r="G799" s="2"/>
      <c r="H799" s="2"/>
      <c r="I799" s="2"/>
      <c r="J799" s="2"/>
      <c r="K799" s="2"/>
      <c r="L799" s="2"/>
      <c r="M799" s="2"/>
      <c r="N799" s="2"/>
      <c r="O799" s="2"/>
      <c r="P799" s="2"/>
      <c r="Q799" s="2"/>
      <c r="R799" s="2"/>
      <c r="S799" s="2"/>
      <c r="T799" s="2"/>
      <c r="U799" s="2"/>
      <c r="V799" s="2"/>
      <c r="W799" s="2"/>
      <c r="X799" s="2"/>
    </row>
    <row r="800" spans="1:24" ht="18">
      <c r="A800" s="2"/>
      <c r="B800" s="2"/>
      <c r="C800" s="2"/>
      <c r="D800" s="2"/>
      <c r="E800" s="2"/>
      <c r="F800" s="2"/>
      <c r="G800" s="2"/>
      <c r="H800" s="2"/>
      <c r="I800" s="2"/>
      <c r="J800" s="2"/>
      <c r="K800" s="2"/>
      <c r="L800" s="2"/>
      <c r="M800" s="2"/>
      <c r="N800" s="2"/>
      <c r="O800" s="2"/>
      <c r="P800" s="2"/>
      <c r="Q800" s="2"/>
      <c r="R800" s="2"/>
      <c r="S800" s="2"/>
      <c r="T800" s="2"/>
      <c r="U800" s="2"/>
      <c r="V800" s="2"/>
      <c r="W800" s="2"/>
      <c r="X800" s="2"/>
    </row>
    <row r="801" spans="1:24" ht="18">
      <c r="A801" s="2"/>
      <c r="B801" s="2"/>
      <c r="C801" s="2"/>
      <c r="D801" s="2"/>
      <c r="E801" s="2"/>
      <c r="F801" s="2"/>
      <c r="G801" s="2"/>
      <c r="H801" s="2"/>
      <c r="I801" s="2"/>
      <c r="J801" s="2"/>
      <c r="K801" s="2"/>
      <c r="L801" s="2"/>
      <c r="M801" s="2"/>
      <c r="N801" s="2"/>
      <c r="O801" s="2"/>
      <c r="P801" s="2"/>
      <c r="Q801" s="2"/>
      <c r="R801" s="2"/>
      <c r="S801" s="2"/>
      <c r="T801" s="2"/>
      <c r="U801" s="2"/>
      <c r="V801" s="2"/>
      <c r="W801" s="2"/>
      <c r="X801" s="2"/>
    </row>
    <row r="802" spans="1:24" ht="18">
      <c r="A802" s="2"/>
      <c r="B802" s="2"/>
      <c r="C802" s="2"/>
      <c r="D802" s="2"/>
      <c r="E802" s="2"/>
      <c r="F802" s="2"/>
      <c r="G802" s="2"/>
      <c r="H802" s="2"/>
      <c r="I802" s="2"/>
      <c r="J802" s="2"/>
      <c r="K802" s="2"/>
      <c r="L802" s="2"/>
      <c r="M802" s="2"/>
      <c r="N802" s="2"/>
      <c r="O802" s="2"/>
      <c r="P802" s="2"/>
      <c r="Q802" s="2"/>
      <c r="R802" s="2"/>
      <c r="S802" s="2"/>
      <c r="T802" s="2"/>
      <c r="U802" s="2"/>
      <c r="V802" s="2"/>
      <c r="W802" s="2"/>
      <c r="X802" s="2"/>
    </row>
    <row r="803" spans="1:24" ht="18">
      <c r="A803" s="2"/>
      <c r="B803" s="2"/>
      <c r="C803" s="2"/>
      <c r="D803" s="2"/>
      <c r="E803" s="2"/>
      <c r="F803" s="2"/>
      <c r="G803" s="2"/>
      <c r="H803" s="2"/>
      <c r="I803" s="2"/>
      <c r="J803" s="2"/>
      <c r="K803" s="2"/>
      <c r="L803" s="2"/>
      <c r="M803" s="2"/>
      <c r="N803" s="2"/>
      <c r="O803" s="2"/>
      <c r="P803" s="2"/>
      <c r="Q803" s="2"/>
      <c r="R803" s="2"/>
      <c r="S803" s="2"/>
      <c r="T803" s="2"/>
      <c r="U803" s="2"/>
      <c r="V803" s="2"/>
      <c r="W803" s="2"/>
      <c r="X803" s="2"/>
    </row>
    <row r="804" spans="1:24" ht="18">
      <c r="A804" s="2"/>
      <c r="B804" s="2"/>
      <c r="C804" s="2"/>
      <c r="D804" s="2"/>
      <c r="E804" s="2"/>
      <c r="F804" s="2"/>
      <c r="G804" s="2"/>
      <c r="H804" s="2"/>
      <c r="I804" s="2"/>
      <c r="J804" s="2"/>
      <c r="K804" s="2"/>
      <c r="L804" s="2"/>
      <c r="M804" s="2"/>
      <c r="N804" s="2"/>
      <c r="O804" s="2"/>
      <c r="P804" s="2"/>
      <c r="Q804" s="2"/>
      <c r="R804" s="2"/>
      <c r="S804" s="2"/>
      <c r="T804" s="2"/>
      <c r="U804" s="2"/>
      <c r="V804" s="2"/>
      <c r="W804" s="2"/>
      <c r="X804" s="2"/>
    </row>
    <row r="805" spans="1:24" ht="18">
      <c r="A805" s="2"/>
      <c r="B805" s="2"/>
      <c r="C805" s="2"/>
      <c r="D805" s="2"/>
      <c r="E805" s="2"/>
      <c r="F805" s="2"/>
      <c r="G805" s="2"/>
      <c r="H805" s="2"/>
      <c r="I805" s="2"/>
      <c r="J805" s="2"/>
      <c r="K805" s="2"/>
      <c r="L805" s="2"/>
      <c r="M805" s="2"/>
      <c r="N805" s="2"/>
      <c r="O805" s="2"/>
      <c r="P805" s="2"/>
      <c r="Q805" s="2"/>
      <c r="R805" s="2"/>
      <c r="S805" s="2"/>
      <c r="T805" s="2"/>
      <c r="U805" s="2"/>
      <c r="V805" s="2"/>
      <c r="W805" s="2"/>
      <c r="X805" s="2"/>
    </row>
    <row r="806" spans="1:24" ht="18">
      <c r="A806" s="2"/>
      <c r="B806" s="2"/>
      <c r="C806" s="2"/>
      <c r="D806" s="2"/>
      <c r="E806" s="2"/>
      <c r="F806" s="2"/>
      <c r="G806" s="2"/>
      <c r="H806" s="2"/>
      <c r="I806" s="2"/>
      <c r="J806" s="2"/>
      <c r="K806" s="2"/>
      <c r="L806" s="2"/>
      <c r="M806" s="2"/>
      <c r="N806" s="2"/>
      <c r="O806" s="2"/>
      <c r="P806" s="2"/>
      <c r="Q806" s="2"/>
      <c r="R806" s="2"/>
      <c r="S806" s="2"/>
      <c r="T806" s="2"/>
      <c r="U806" s="2"/>
      <c r="V806" s="2"/>
      <c r="W806" s="2"/>
      <c r="X806" s="2"/>
    </row>
    <row r="807" spans="1:24" ht="18">
      <c r="A807" s="2"/>
      <c r="B807" s="2"/>
      <c r="C807" s="2"/>
      <c r="D807" s="2"/>
      <c r="E807" s="2"/>
      <c r="F807" s="2"/>
      <c r="G807" s="2"/>
      <c r="H807" s="2"/>
      <c r="I807" s="2"/>
      <c r="J807" s="2"/>
      <c r="K807" s="2"/>
      <c r="L807" s="2"/>
      <c r="M807" s="2"/>
      <c r="N807" s="2"/>
      <c r="O807" s="2"/>
      <c r="P807" s="2"/>
      <c r="Q807" s="2"/>
      <c r="R807" s="2"/>
      <c r="S807" s="2"/>
      <c r="T807" s="2"/>
      <c r="U807" s="2"/>
      <c r="V807" s="2"/>
      <c r="W807" s="2"/>
      <c r="X807" s="2"/>
    </row>
    <row r="808" spans="1:24" ht="18">
      <c r="A808" s="2"/>
      <c r="B808" s="2"/>
      <c r="C808" s="2"/>
      <c r="D808" s="2"/>
      <c r="E808" s="2"/>
      <c r="F808" s="2"/>
      <c r="G808" s="2"/>
      <c r="H808" s="2"/>
      <c r="I808" s="2"/>
      <c r="J808" s="2"/>
      <c r="K808" s="2"/>
      <c r="L808" s="2"/>
      <c r="M808" s="2"/>
      <c r="N808" s="2"/>
      <c r="O808" s="2"/>
      <c r="P808" s="2"/>
      <c r="Q808" s="2"/>
      <c r="R808" s="2"/>
      <c r="S808" s="2"/>
      <c r="T808" s="2"/>
      <c r="U808" s="2"/>
      <c r="V808" s="2"/>
      <c r="W808" s="2"/>
      <c r="X808" s="2"/>
    </row>
    <row r="809" spans="1:24" ht="18">
      <c r="A809" s="2"/>
      <c r="B809" s="2"/>
      <c r="C809" s="2"/>
      <c r="D809" s="2"/>
      <c r="E809" s="2"/>
      <c r="F809" s="2"/>
      <c r="G809" s="2"/>
      <c r="H809" s="2"/>
      <c r="I809" s="2"/>
      <c r="J809" s="2"/>
      <c r="K809" s="2"/>
      <c r="L809" s="2"/>
      <c r="M809" s="2"/>
      <c r="N809" s="2"/>
      <c r="O809" s="2"/>
      <c r="P809" s="2"/>
      <c r="Q809" s="2"/>
      <c r="R809" s="2"/>
      <c r="S809" s="2"/>
      <c r="T809" s="2"/>
      <c r="U809" s="2"/>
      <c r="V809" s="2"/>
      <c r="W809" s="2"/>
      <c r="X809" s="2"/>
    </row>
    <row r="810" spans="1:24" ht="18">
      <c r="A810" s="2"/>
      <c r="B810" s="2"/>
      <c r="C810" s="2"/>
      <c r="D810" s="2"/>
      <c r="E810" s="2"/>
      <c r="F810" s="2"/>
      <c r="G810" s="2"/>
      <c r="H810" s="2"/>
      <c r="I810" s="2"/>
      <c r="J810" s="2"/>
      <c r="K810" s="2"/>
      <c r="L810" s="2"/>
      <c r="M810" s="2"/>
      <c r="N810" s="2"/>
      <c r="O810" s="2"/>
      <c r="P810" s="2"/>
      <c r="Q810" s="2"/>
      <c r="R810" s="2"/>
      <c r="S810" s="2"/>
      <c r="T810" s="2"/>
      <c r="U810" s="2"/>
      <c r="V810" s="2"/>
      <c r="W810" s="2"/>
      <c r="X810" s="2"/>
    </row>
    <row r="811" spans="1:24" ht="18">
      <c r="A811" s="2"/>
      <c r="B811" s="2"/>
      <c r="C811" s="2"/>
      <c r="D811" s="2"/>
      <c r="E811" s="2"/>
      <c r="F811" s="2"/>
      <c r="G811" s="2"/>
      <c r="H811" s="2"/>
      <c r="I811" s="2"/>
      <c r="J811" s="2"/>
      <c r="K811" s="2"/>
      <c r="L811" s="2"/>
      <c r="M811" s="2"/>
      <c r="N811" s="2"/>
      <c r="O811" s="2"/>
      <c r="P811" s="2"/>
      <c r="Q811" s="2"/>
      <c r="R811" s="2"/>
      <c r="S811" s="2"/>
      <c r="T811" s="2"/>
      <c r="U811" s="2"/>
      <c r="V811" s="2"/>
      <c r="W811" s="2"/>
      <c r="X811" s="2"/>
    </row>
    <row r="812" spans="1:24" ht="18">
      <c r="A812" s="2"/>
      <c r="B812" s="2"/>
      <c r="C812" s="2"/>
      <c r="D812" s="2"/>
      <c r="E812" s="2"/>
      <c r="F812" s="2"/>
      <c r="G812" s="2"/>
      <c r="H812" s="2"/>
      <c r="I812" s="2"/>
      <c r="J812" s="2"/>
      <c r="K812" s="2"/>
      <c r="L812" s="2"/>
      <c r="M812" s="2"/>
      <c r="N812" s="2"/>
      <c r="O812" s="2"/>
      <c r="P812" s="2"/>
      <c r="Q812" s="2"/>
      <c r="R812" s="2"/>
      <c r="S812" s="2"/>
      <c r="T812" s="2"/>
      <c r="U812" s="2"/>
      <c r="V812" s="2"/>
      <c r="W812" s="2"/>
      <c r="X812" s="2"/>
    </row>
    <row r="813" spans="1:24" ht="18">
      <c r="A813" s="2"/>
      <c r="B813" s="2"/>
      <c r="C813" s="2"/>
      <c r="D813" s="2"/>
      <c r="E813" s="2"/>
      <c r="F813" s="2"/>
      <c r="G813" s="2"/>
      <c r="H813" s="2"/>
      <c r="I813" s="2"/>
      <c r="J813" s="2"/>
      <c r="K813" s="2"/>
      <c r="L813" s="2"/>
      <c r="M813" s="2"/>
      <c r="N813" s="2"/>
      <c r="O813" s="2"/>
      <c r="P813" s="2"/>
      <c r="Q813" s="2"/>
      <c r="R813" s="2"/>
      <c r="S813" s="2"/>
      <c r="T813" s="2"/>
      <c r="U813" s="2"/>
      <c r="V813" s="2"/>
      <c r="W813" s="2"/>
      <c r="X813" s="2"/>
    </row>
    <row r="814" spans="1:24" ht="18">
      <c r="A814" s="2"/>
      <c r="B814" s="2"/>
      <c r="C814" s="2"/>
      <c r="D814" s="2"/>
      <c r="E814" s="2"/>
      <c r="F814" s="2"/>
      <c r="G814" s="2"/>
      <c r="H814" s="2"/>
      <c r="I814" s="2"/>
      <c r="J814" s="2"/>
      <c r="K814" s="2"/>
      <c r="L814" s="2"/>
      <c r="M814" s="2"/>
      <c r="N814" s="2"/>
      <c r="O814" s="2"/>
      <c r="P814" s="2"/>
      <c r="Q814" s="2"/>
      <c r="R814" s="2"/>
      <c r="S814" s="2"/>
      <c r="T814" s="2"/>
      <c r="U814" s="2"/>
      <c r="V814" s="2"/>
      <c r="W814" s="2"/>
      <c r="X814" s="2"/>
    </row>
    <row r="815" spans="1:24" ht="18">
      <c r="A815" s="2"/>
      <c r="B815" s="2"/>
      <c r="C815" s="2"/>
      <c r="D815" s="2"/>
      <c r="E815" s="2"/>
      <c r="F815" s="2"/>
      <c r="G815" s="2"/>
      <c r="H815" s="2"/>
      <c r="I815" s="2"/>
      <c r="J815" s="2"/>
      <c r="K815" s="2"/>
      <c r="L815" s="2"/>
      <c r="M815" s="2"/>
      <c r="N815" s="2"/>
      <c r="O815" s="2"/>
      <c r="P815" s="2"/>
      <c r="Q815" s="2"/>
      <c r="R815" s="2"/>
      <c r="S815" s="2"/>
      <c r="T815" s="2"/>
      <c r="U815" s="2"/>
      <c r="V815" s="2"/>
      <c r="W815" s="2"/>
      <c r="X815" s="2"/>
    </row>
    <row r="816" spans="1:24" ht="18">
      <c r="A816" s="2"/>
      <c r="B816" s="2"/>
      <c r="C816" s="2"/>
      <c r="D816" s="2"/>
      <c r="E816" s="2"/>
      <c r="F816" s="2"/>
      <c r="G816" s="2"/>
      <c r="H816" s="2"/>
      <c r="I816" s="2"/>
      <c r="J816" s="2"/>
      <c r="K816" s="2"/>
      <c r="L816" s="2"/>
      <c r="M816" s="2"/>
      <c r="N816" s="2"/>
      <c r="O816" s="2"/>
      <c r="P816" s="2"/>
      <c r="Q816" s="2"/>
      <c r="R816" s="2"/>
      <c r="S816" s="2"/>
      <c r="T816" s="2"/>
      <c r="U816" s="2"/>
      <c r="V816" s="2"/>
      <c r="W816" s="2"/>
      <c r="X816" s="2"/>
    </row>
    <row r="817" spans="1:24" ht="18">
      <c r="A817" s="2"/>
      <c r="B817" s="2"/>
      <c r="C817" s="2"/>
      <c r="D817" s="2"/>
      <c r="E817" s="2"/>
      <c r="F817" s="2"/>
      <c r="G817" s="2"/>
      <c r="H817" s="2"/>
      <c r="I817" s="2"/>
      <c r="J817" s="2"/>
      <c r="K817" s="2"/>
      <c r="L817" s="2"/>
      <c r="M817" s="2"/>
      <c r="N817" s="2"/>
      <c r="O817" s="2"/>
      <c r="P817" s="2"/>
      <c r="Q817" s="2"/>
      <c r="R817" s="2"/>
      <c r="S817" s="2"/>
      <c r="T817" s="2"/>
      <c r="U817" s="2"/>
      <c r="V817" s="2"/>
      <c r="W817" s="2"/>
      <c r="X817" s="2"/>
    </row>
    <row r="818" spans="1:24" ht="18">
      <c r="A818" s="2"/>
      <c r="B818" s="2"/>
      <c r="C818" s="2"/>
      <c r="D818" s="2"/>
      <c r="E818" s="2"/>
      <c r="F818" s="2"/>
      <c r="G818" s="2"/>
      <c r="H818" s="2"/>
      <c r="I818" s="2"/>
      <c r="J818" s="2"/>
      <c r="K818" s="2"/>
      <c r="L818" s="2"/>
      <c r="M818" s="2"/>
      <c r="N818" s="2"/>
      <c r="O818" s="2"/>
      <c r="P818" s="2"/>
      <c r="Q818" s="2"/>
      <c r="R818" s="2"/>
      <c r="S818" s="2"/>
      <c r="T818" s="2"/>
      <c r="U818" s="2"/>
      <c r="V818" s="2"/>
      <c r="W818" s="2"/>
      <c r="X818" s="2"/>
    </row>
    <row r="819" spans="1:24" ht="18">
      <c r="A819" s="2"/>
      <c r="B819" s="2"/>
      <c r="C819" s="2"/>
      <c r="D819" s="2"/>
      <c r="E819" s="2"/>
      <c r="F819" s="2"/>
      <c r="G819" s="2"/>
      <c r="H819" s="2"/>
      <c r="I819" s="2"/>
      <c r="J819" s="2"/>
      <c r="K819" s="2"/>
      <c r="L819" s="2"/>
      <c r="M819" s="2"/>
      <c r="N819" s="2"/>
      <c r="O819" s="2"/>
      <c r="P819" s="2"/>
      <c r="Q819" s="2"/>
      <c r="R819" s="2"/>
      <c r="S819" s="2"/>
      <c r="T819" s="2"/>
      <c r="U819" s="2"/>
      <c r="V819" s="2"/>
      <c r="W819" s="2"/>
      <c r="X819" s="2"/>
    </row>
    <row r="820" spans="1:24" ht="18">
      <c r="A820" s="2"/>
      <c r="B820" s="2"/>
      <c r="C820" s="2"/>
      <c r="D820" s="2"/>
      <c r="E820" s="2"/>
      <c r="F820" s="2"/>
      <c r="G820" s="2"/>
      <c r="H820" s="2"/>
      <c r="I820" s="2"/>
      <c r="J820" s="2"/>
      <c r="K820" s="2"/>
      <c r="L820" s="2"/>
      <c r="M820" s="2"/>
      <c r="N820" s="2"/>
      <c r="O820" s="2"/>
      <c r="P820" s="2"/>
      <c r="Q820" s="2"/>
      <c r="R820" s="2"/>
      <c r="S820" s="2"/>
      <c r="T820" s="2"/>
      <c r="U820" s="2"/>
      <c r="V820" s="2"/>
      <c r="W820" s="2"/>
      <c r="X820" s="2"/>
    </row>
    <row r="821" spans="1:24" ht="18">
      <c r="A821" s="2"/>
      <c r="B821" s="2"/>
      <c r="C821" s="2"/>
      <c r="D821" s="2"/>
      <c r="E821" s="2"/>
      <c r="F821" s="2"/>
      <c r="G821" s="2"/>
      <c r="H821" s="2"/>
      <c r="I821" s="2"/>
      <c r="J821" s="2"/>
      <c r="K821" s="2"/>
      <c r="L821" s="2"/>
      <c r="M821" s="2"/>
      <c r="N821" s="2"/>
      <c r="O821" s="2"/>
      <c r="P821" s="2"/>
      <c r="Q821" s="2"/>
      <c r="R821" s="2"/>
      <c r="S821" s="2"/>
      <c r="T821" s="2"/>
      <c r="U821" s="2"/>
      <c r="V821" s="2"/>
      <c r="W821" s="2"/>
      <c r="X821" s="2"/>
    </row>
    <row r="822" spans="1:24" ht="18">
      <c r="A822" s="2"/>
      <c r="B822" s="2"/>
      <c r="C822" s="2"/>
      <c r="D822" s="2"/>
      <c r="E822" s="2"/>
      <c r="F822" s="2"/>
      <c r="G822" s="2"/>
      <c r="H822" s="2"/>
      <c r="I822" s="2"/>
      <c r="J822" s="2"/>
      <c r="K822" s="2"/>
      <c r="L822" s="2"/>
      <c r="M822" s="2"/>
      <c r="N822" s="2"/>
      <c r="O822" s="2"/>
      <c r="P822" s="2"/>
      <c r="Q822" s="2"/>
      <c r="R822" s="2"/>
      <c r="S822" s="2"/>
      <c r="T822" s="2"/>
      <c r="U822" s="2"/>
      <c r="V822" s="2"/>
      <c r="W822" s="2"/>
      <c r="X822" s="2"/>
    </row>
    <row r="823" spans="1:24" ht="18">
      <c r="A823" s="2"/>
      <c r="B823" s="2"/>
      <c r="C823" s="2"/>
      <c r="D823" s="2"/>
      <c r="E823" s="2"/>
      <c r="F823" s="2"/>
      <c r="G823" s="2"/>
      <c r="H823" s="2"/>
      <c r="I823" s="2"/>
      <c r="J823" s="2"/>
      <c r="K823" s="2"/>
      <c r="L823" s="2"/>
      <c r="M823" s="2"/>
      <c r="N823" s="2"/>
      <c r="O823" s="2"/>
      <c r="P823" s="2"/>
      <c r="Q823" s="2"/>
      <c r="R823" s="2"/>
      <c r="S823" s="2"/>
      <c r="T823" s="2"/>
      <c r="U823" s="2"/>
      <c r="V823" s="2"/>
      <c r="W823" s="2"/>
      <c r="X823" s="2"/>
    </row>
    <row r="824" spans="1:24" ht="18">
      <c r="A824" s="2"/>
      <c r="B824" s="2"/>
      <c r="C824" s="2"/>
      <c r="D824" s="2"/>
      <c r="E824" s="2"/>
      <c r="F824" s="2"/>
      <c r="G824" s="2"/>
      <c r="H824" s="2"/>
      <c r="I824" s="2"/>
      <c r="J824" s="2"/>
      <c r="K824" s="2"/>
      <c r="L824" s="2"/>
      <c r="M824" s="2"/>
      <c r="N824" s="2"/>
      <c r="O824" s="2"/>
      <c r="P824" s="2"/>
      <c r="Q824" s="2"/>
      <c r="R824" s="2"/>
      <c r="S824" s="2"/>
      <c r="T824" s="2"/>
      <c r="U824" s="2"/>
      <c r="V824" s="2"/>
      <c r="W824" s="2"/>
      <c r="X824" s="2"/>
    </row>
    <row r="825" spans="1:24" ht="18">
      <c r="A825" s="2"/>
      <c r="B825" s="2"/>
      <c r="C825" s="2"/>
      <c r="D825" s="2"/>
      <c r="E825" s="2"/>
      <c r="F825" s="2"/>
      <c r="G825" s="2"/>
      <c r="H825" s="2"/>
      <c r="I825" s="2"/>
      <c r="J825" s="2"/>
      <c r="K825" s="2"/>
      <c r="L825" s="2"/>
      <c r="M825" s="2"/>
      <c r="N825" s="2"/>
      <c r="O825" s="2"/>
      <c r="P825" s="2"/>
      <c r="Q825" s="2"/>
      <c r="R825" s="2"/>
      <c r="S825" s="2"/>
      <c r="T825" s="2"/>
      <c r="U825" s="2"/>
      <c r="V825" s="2"/>
      <c r="W825" s="2"/>
      <c r="X825" s="2"/>
    </row>
    <row r="826" spans="1:24" ht="18">
      <c r="A826" s="2"/>
      <c r="B826" s="2"/>
      <c r="C826" s="2"/>
      <c r="D826" s="2"/>
      <c r="E826" s="2"/>
      <c r="F826" s="2"/>
      <c r="G826" s="2"/>
      <c r="H826" s="2"/>
      <c r="I826" s="2"/>
      <c r="J826" s="2"/>
      <c r="K826" s="2"/>
      <c r="L826" s="2"/>
      <c r="M826" s="2"/>
      <c r="N826" s="2"/>
      <c r="O826" s="2"/>
      <c r="P826" s="2"/>
      <c r="Q826" s="2"/>
      <c r="R826" s="2"/>
      <c r="S826" s="2"/>
      <c r="T826" s="2"/>
      <c r="U826" s="2"/>
      <c r="V826" s="2"/>
      <c r="W826" s="2"/>
      <c r="X826" s="2"/>
    </row>
    <row r="827" spans="1:24" ht="18">
      <c r="A827" s="2"/>
      <c r="B827" s="2"/>
      <c r="C827" s="2"/>
      <c r="D827" s="2"/>
      <c r="E827" s="2"/>
      <c r="F827" s="2"/>
      <c r="G827" s="2"/>
      <c r="H827" s="2"/>
      <c r="I827" s="2"/>
      <c r="J827" s="2"/>
      <c r="K827" s="2"/>
      <c r="L827" s="2"/>
      <c r="M827" s="2"/>
      <c r="N827" s="2"/>
      <c r="O827" s="2"/>
      <c r="P827" s="2"/>
      <c r="Q827" s="2"/>
      <c r="R827" s="2"/>
      <c r="S827" s="2"/>
      <c r="T827" s="2"/>
      <c r="U827" s="2"/>
      <c r="V827" s="2"/>
      <c r="W827" s="2"/>
      <c r="X827" s="2"/>
    </row>
    <row r="828" spans="1:24" ht="18">
      <c r="A828" s="2"/>
      <c r="B828" s="2"/>
      <c r="C828" s="2"/>
      <c r="D828" s="2"/>
      <c r="E828" s="2"/>
      <c r="F828" s="2"/>
      <c r="G828" s="2"/>
      <c r="H828" s="2"/>
      <c r="I828" s="2"/>
      <c r="J828" s="2"/>
      <c r="K828" s="2"/>
      <c r="L828" s="2"/>
      <c r="M828" s="2"/>
      <c r="N828" s="2"/>
      <c r="O828" s="2"/>
      <c r="P828" s="2"/>
      <c r="Q828" s="2"/>
      <c r="R828" s="2"/>
      <c r="S828" s="2"/>
      <c r="T828" s="2"/>
      <c r="U828" s="2"/>
      <c r="V828" s="2"/>
      <c r="W828" s="2"/>
      <c r="X828" s="2"/>
    </row>
    <row r="829" spans="1:24" ht="18">
      <c r="A829" s="2"/>
      <c r="B829" s="2"/>
      <c r="C829" s="2"/>
      <c r="D829" s="2"/>
      <c r="E829" s="2"/>
      <c r="F829" s="2"/>
      <c r="G829" s="2"/>
      <c r="H829" s="2"/>
      <c r="I829" s="2"/>
      <c r="J829" s="2"/>
      <c r="K829" s="2"/>
      <c r="L829" s="2"/>
      <c r="M829" s="2"/>
      <c r="N829" s="2"/>
      <c r="O829" s="2"/>
      <c r="P829" s="2"/>
      <c r="Q829" s="2"/>
      <c r="R829" s="2"/>
      <c r="S829" s="2"/>
      <c r="T829" s="2"/>
      <c r="U829" s="2"/>
      <c r="V829" s="2"/>
      <c r="W829" s="2"/>
      <c r="X829" s="2"/>
    </row>
    <row r="830" spans="1:24" ht="18">
      <c r="A830" s="2"/>
      <c r="B830" s="2"/>
      <c r="C830" s="2"/>
      <c r="D830" s="2"/>
      <c r="E830" s="2"/>
      <c r="F830" s="2"/>
      <c r="G830" s="2"/>
      <c r="H830" s="2"/>
      <c r="I830" s="2"/>
      <c r="J830" s="2"/>
      <c r="K830" s="2"/>
      <c r="L830" s="2"/>
      <c r="M830" s="2"/>
      <c r="N830" s="2"/>
      <c r="O830" s="2"/>
      <c r="P830" s="2"/>
      <c r="Q830" s="2"/>
      <c r="R830" s="2"/>
      <c r="S830" s="2"/>
      <c r="T830" s="2"/>
      <c r="U830" s="2"/>
      <c r="V830" s="2"/>
      <c r="W830" s="2"/>
      <c r="X830" s="2"/>
    </row>
    <row r="831" spans="1:24" ht="18">
      <c r="A831" s="2"/>
      <c r="B831" s="2"/>
      <c r="C831" s="2"/>
      <c r="D831" s="2"/>
      <c r="E831" s="2"/>
      <c r="F831" s="2"/>
      <c r="G831" s="2"/>
      <c r="H831" s="2"/>
      <c r="I831" s="2"/>
      <c r="J831" s="2"/>
      <c r="K831" s="2"/>
      <c r="L831" s="2"/>
      <c r="M831" s="2"/>
      <c r="N831" s="2"/>
      <c r="O831" s="2"/>
      <c r="P831" s="2"/>
      <c r="Q831" s="2"/>
      <c r="R831" s="2"/>
      <c r="S831" s="2"/>
      <c r="T831" s="2"/>
      <c r="U831" s="2"/>
      <c r="V831" s="2"/>
      <c r="W831" s="2"/>
      <c r="X831" s="2"/>
    </row>
    <row r="832" spans="1:24" ht="18">
      <c r="A832" s="2"/>
      <c r="B832" s="2"/>
      <c r="C832" s="2"/>
      <c r="D832" s="2"/>
      <c r="E832" s="2"/>
      <c r="F832" s="2"/>
      <c r="G832" s="2"/>
      <c r="H832" s="2"/>
      <c r="I832" s="2"/>
      <c r="J832" s="2"/>
      <c r="K832" s="2"/>
      <c r="L832" s="2"/>
      <c r="M832" s="2"/>
      <c r="N832" s="2"/>
      <c r="O832" s="2"/>
      <c r="P832" s="2"/>
      <c r="Q832" s="2"/>
      <c r="R832" s="2"/>
      <c r="S832" s="2"/>
      <c r="T832" s="2"/>
      <c r="U832" s="2"/>
      <c r="V832" s="2"/>
      <c r="W832" s="2"/>
      <c r="X832" s="2"/>
    </row>
    <row r="833" spans="1:24" ht="18">
      <c r="A833" s="2"/>
      <c r="B833" s="2"/>
      <c r="C833" s="2"/>
      <c r="D833" s="2"/>
      <c r="E833" s="2"/>
      <c r="F833" s="2"/>
      <c r="G833" s="2"/>
      <c r="H833" s="2"/>
      <c r="I833" s="2"/>
      <c r="J833" s="2"/>
      <c r="K833" s="2"/>
      <c r="L833" s="2"/>
      <c r="M833" s="2"/>
      <c r="N833" s="2"/>
      <c r="O833" s="2"/>
      <c r="P833" s="2"/>
      <c r="Q833" s="2"/>
      <c r="R833" s="2"/>
      <c r="S833" s="2"/>
      <c r="T833" s="2"/>
      <c r="U833" s="2"/>
      <c r="V833" s="2"/>
      <c r="W833" s="2"/>
      <c r="X833" s="2"/>
    </row>
    <row r="834" spans="1:24" ht="18">
      <c r="A834" s="2"/>
      <c r="B834" s="2"/>
      <c r="C834" s="2"/>
      <c r="D834" s="2"/>
      <c r="E834" s="2"/>
      <c r="F834" s="2"/>
      <c r="G834" s="2"/>
      <c r="H834" s="2"/>
      <c r="I834" s="2"/>
      <c r="J834" s="2"/>
      <c r="K834" s="2"/>
      <c r="L834" s="2"/>
      <c r="M834" s="2"/>
      <c r="N834" s="2"/>
      <c r="O834" s="2"/>
      <c r="P834" s="2"/>
      <c r="Q834" s="2"/>
      <c r="R834" s="2"/>
      <c r="S834" s="2"/>
      <c r="T834" s="2"/>
      <c r="U834" s="2"/>
      <c r="V834" s="2"/>
      <c r="W834" s="2"/>
      <c r="X834" s="2"/>
    </row>
    <row r="835" spans="1:24" ht="18">
      <c r="A835" s="2"/>
      <c r="B835" s="2"/>
      <c r="C835" s="2"/>
      <c r="D835" s="2"/>
      <c r="E835" s="2"/>
      <c r="F835" s="2"/>
      <c r="G835" s="2"/>
      <c r="H835" s="2"/>
      <c r="I835" s="2"/>
      <c r="J835" s="2"/>
      <c r="K835" s="2"/>
      <c r="L835" s="2"/>
      <c r="M835" s="2"/>
      <c r="N835" s="2"/>
      <c r="O835" s="2"/>
      <c r="P835" s="2"/>
      <c r="Q835" s="2"/>
      <c r="R835" s="2"/>
      <c r="S835" s="2"/>
      <c r="T835" s="2"/>
      <c r="U835" s="2"/>
      <c r="V835" s="2"/>
      <c r="W835" s="2"/>
      <c r="X835" s="2"/>
    </row>
    <row r="836" spans="1:24" ht="18">
      <c r="A836" s="2"/>
      <c r="B836" s="2"/>
      <c r="C836" s="2"/>
      <c r="D836" s="2"/>
      <c r="E836" s="2"/>
      <c r="F836" s="2"/>
      <c r="G836" s="2"/>
      <c r="H836" s="2"/>
      <c r="I836" s="2"/>
      <c r="J836" s="2"/>
      <c r="K836" s="2"/>
      <c r="L836" s="2"/>
      <c r="M836" s="2"/>
      <c r="N836" s="2"/>
      <c r="O836" s="2"/>
      <c r="P836" s="2"/>
      <c r="Q836" s="2"/>
      <c r="R836" s="2"/>
      <c r="S836" s="2"/>
      <c r="T836" s="2"/>
      <c r="U836" s="2"/>
      <c r="V836" s="2"/>
      <c r="W836" s="2"/>
      <c r="X836" s="2"/>
    </row>
    <row r="837" spans="1:24" ht="18">
      <c r="A837" s="2"/>
      <c r="B837" s="2"/>
      <c r="C837" s="2"/>
      <c r="D837" s="2"/>
      <c r="E837" s="2"/>
      <c r="F837" s="2"/>
      <c r="G837" s="2"/>
      <c r="H837" s="2"/>
      <c r="I837" s="2"/>
      <c r="J837" s="2"/>
      <c r="K837" s="2"/>
      <c r="L837" s="2"/>
      <c r="M837" s="2"/>
      <c r="N837" s="2"/>
      <c r="O837" s="2"/>
      <c r="P837" s="2"/>
      <c r="Q837" s="2"/>
      <c r="R837" s="2"/>
      <c r="S837" s="2"/>
      <c r="T837" s="2"/>
      <c r="U837" s="2"/>
      <c r="V837" s="2"/>
      <c r="W837" s="2"/>
      <c r="X837" s="2"/>
    </row>
    <row r="838" spans="1:24" ht="18">
      <c r="A838" s="2"/>
      <c r="B838" s="2"/>
      <c r="C838" s="2"/>
      <c r="D838" s="2"/>
      <c r="E838" s="2"/>
      <c r="F838" s="2"/>
      <c r="G838" s="2"/>
      <c r="H838" s="2"/>
      <c r="I838" s="2"/>
      <c r="J838" s="2"/>
      <c r="K838" s="2"/>
      <c r="L838" s="2"/>
      <c r="M838" s="2"/>
      <c r="N838" s="2"/>
      <c r="O838" s="2"/>
      <c r="P838" s="2"/>
      <c r="Q838" s="2"/>
      <c r="R838" s="2"/>
      <c r="S838" s="2"/>
      <c r="T838" s="2"/>
      <c r="U838" s="2"/>
      <c r="V838" s="2"/>
      <c r="W838" s="2"/>
      <c r="X838" s="2"/>
    </row>
    <row r="839" spans="1:24" ht="18">
      <c r="A839" s="2"/>
      <c r="B839" s="2"/>
      <c r="C839" s="2"/>
      <c r="D839" s="2"/>
      <c r="E839" s="2"/>
      <c r="F839" s="2"/>
      <c r="G839" s="2"/>
      <c r="H839" s="2"/>
      <c r="I839" s="2"/>
      <c r="J839" s="2"/>
      <c r="K839" s="2"/>
      <c r="L839" s="2"/>
      <c r="M839" s="2"/>
      <c r="N839" s="2"/>
      <c r="O839" s="2"/>
      <c r="P839" s="2"/>
      <c r="Q839" s="2"/>
      <c r="R839" s="2"/>
      <c r="S839" s="2"/>
      <c r="T839" s="2"/>
      <c r="U839" s="2"/>
      <c r="V839" s="2"/>
      <c r="W839" s="2"/>
      <c r="X839" s="2"/>
    </row>
    <row r="840" spans="1:24" ht="18">
      <c r="A840" s="2"/>
      <c r="B840" s="2"/>
      <c r="C840" s="2"/>
      <c r="D840" s="2"/>
      <c r="E840" s="2"/>
      <c r="F840" s="2"/>
      <c r="G840" s="2"/>
      <c r="H840" s="2"/>
      <c r="I840" s="2"/>
      <c r="J840" s="2"/>
      <c r="K840" s="2"/>
      <c r="L840" s="2"/>
      <c r="M840" s="2"/>
      <c r="N840" s="2"/>
      <c r="O840" s="2"/>
      <c r="P840" s="2"/>
      <c r="Q840" s="2"/>
      <c r="R840" s="2"/>
      <c r="S840" s="2"/>
      <c r="T840" s="2"/>
      <c r="U840" s="2"/>
      <c r="V840" s="2"/>
      <c r="W840" s="2"/>
      <c r="X840" s="2"/>
    </row>
    <row r="841" spans="1:24" ht="18">
      <c r="A841" s="2"/>
      <c r="B841" s="2"/>
      <c r="C841" s="2"/>
      <c r="D841" s="2"/>
      <c r="E841" s="2"/>
      <c r="F841" s="2"/>
      <c r="G841" s="2"/>
      <c r="H841" s="2"/>
      <c r="I841" s="2"/>
      <c r="J841" s="2"/>
      <c r="K841" s="2"/>
      <c r="L841" s="2"/>
      <c r="M841" s="2"/>
      <c r="N841" s="2"/>
      <c r="O841" s="2"/>
      <c r="P841" s="2"/>
      <c r="Q841" s="2"/>
      <c r="R841" s="2"/>
      <c r="S841" s="2"/>
      <c r="T841" s="2"/>
      <c r="U841" s="2"/>
      <c r="V841" s="2"/>
      <c r="W841" s="2"/>
      <c r="X841" s="2"/>
    </row>
    <row r="842" spans="1:24" ht="18">
      <c r="A842" s="2"/>
      <c r="B842" s="2"/>
      <c r="C842" s="2"/>
      <c r="D842" s="2"/>
      <c r="E842" s="2"/>
      <c r="F842" s="2"/>
      <c r="G842" s="2"/>
      <c r="H842" s="2"/>
      <c r="I842" s="2"/>
      <c r="J842" s="2"/>
      <c r="K842" s="2"/>
      <c r="L842" s="2"/>
      <c r="M842" s="2"/>
      <c r="N842" s="2"/>
      <c r="O842" s="2"/>
      <c r="P842" s="2"/>
      <c r="Q842" s="2"/>
      <c r="R842" s="2"/>
      <c r="S842" s="2"/>
      <c r="T842" s="2"/>
      <c r="U842" s="2"/>
      <c r="V842" s="2"/>
      <c r="W842" s="2"/>
      <c r="X842" s="2"/>
    </row>
    <row r="843" spans="1:24" ht="18">
      <c r="A843" s="2"/>
      <c r="B843" s="2"/>
      <c r="C843" s="2"/>
      <c r="D843" s="2"/>
      <c r="E843" s="2"/>
      <c r="F843" s="2"/>
      <c r="G843" s="2"/>
      <c r="H843" s="2"/>
      <c r="I843" s="2"/>
      <c r="J843" s="2"/>
      <c r="K843" s="2"/>
      <c r="L843" s="2"/>
      <c r="M843" s="2"/>
      <c r="N843" s="2"/>
      <c r="O843" s="2"/>
      <c r="P843" s="2"/>
      <c r="Q843" s="2"/>
      <c r="R843" s="2"/>
      <c r="S843" s="2"/>
      <c r="T843" s="2"/>
      <c r="U843" s="2"/>
      <c r="V843" s="2"/>
      <c r="W843" s="2"/>
      <c r="X843" s="2"/>
    </row>
    <row r="844" spans="1:24" ht="18">
      <c r="A844" s="2"/>
      <c r="B844" s="2"/>
      <c r="C844" s="2"/>
      <c r="D844" s="2"/>
      <c r="E844" s="2"/>
      <c r="F844" s="2"/>
      <c r="G844" s="2"/>
      <c r="H844" s="2"/>
      <c r="I844" s="2"/>
      <c r="J844" s="2"/>
      <c r="K844" s="2"/>
      <c r="L844" s="2"/>
      <c r="M844" s="2"/>
      <c r="N844" s="2"/>
      <c r="O844" s="2"/>
      <c r="P844" s="2"/>
      <c r="Q844" s="2"/>
      <c r="R844" s="2"/>
      <c r="S844" s="2"/>
      <c r="T844" s="2"/>
      <c r="U844" s="2"/>
      <c r="V844" s="2"/>
      <c r="W844" s="2"/>
      <c r="X844" s="2"/>
    </row>
    <row r="845" spans="1:24" ht="18">
      <c r="A845" s="2"/>
      <c r="B845" s="2"/>
      <c r="C845" s="2"/>
      <c r="D845" s="2"/>
      <c r="E845" s="2"/>
      <c r="F845" s="2"/>
      <c r="G845" s="2"/>
      <c r="H845" s="2"/>
      <c r="I845" s="2"/>
      <c r="J845" s="2"/>
      <c r="K845" s="2"/>
      <c r="L845" s="2"/>
      <c r="M845" s="2"/>
      <c r="N845" s="2"/>
      <c r="O845" s="2"/>
      <c r="P845" s="2"/>
      <c r="Q845" s="2"/>
      <c r="R845" s="2"/>
      <c r="S845" s="2"/>
      <c r="T845" s="2"/>
      <c r="U845" s="2"/>
      <c r="V845" s="2"/>
      <c r="W845" s="2"/>
      <c r="X845" s="2"/>
    </row>
    <row r="846" spans="1:24" ht="18">
      <c r="A846" s="2"/>
      <c r="B846" s="2"/>
      <c r="C846" s="2"/>
      <c r="D846" s="2"/>
      <c r="E846" s="2"/>
      <c r="F846" s="2"/>
      <c r="G846" s="2"/>
      <c r="H846" s="2"/>
      <c r="I846" s="2"/>
      <c r="J846" s="2"/>
      <c r="K846" s="2"/>
      <c r="L846" s="2"/>
      <c r="M846" s="2"/>
      <c r="N846" s="2"/>
      <c r="O846" s="2"/>
      <c r="P846" s="2"/>
      <c r="Q846" s="2"/>
      <c r="R846" s="2"/>
      <c r="S846" s="2"/>
      <c r="T846" s="2"/>
      <c r="U846" s="2"/>
      <c r="V846" s="2"/>
      <c r="W846" s="2"/>
      <c r="X846" s="2"/>
    </row>
    <row r="847" spans="1:24" ht="18">
      <c r="A847" s="2"/>
      <c r="B847" s="2"/>
      <c r="C847" s="2"/>
      <c r="D847" s="2"/>
      <c r="E847" s="2"/>
      <c r="F847" s="2"/>
      <c r="G847" s="2"/>
      <c r="H847" s="2"/>
      <c r="I847" s="2"/>
      <c r="J847" s="2"/>
      <c r="K847" s="2"/>
      <c r="L847" s="2"/>
      <c r="M847" s="2"/>
      <c r="N847" s="2"/>
      <c r="O847" s="2"/>
      <c r="P847" s="2"/>
      <c r="Q847" s="2"/>
      <c r="R847" s="2"/>
      <c r="S847" s="2"/>
      <c r="T847" s="2"/>
      <c r="U847" s="2"/>
      <c r="V847" s="2"/>
      <c r="W847" s="2"/>
      <c r="X847" s="2"/>
    </row>
    <row r="848" spans="1:24" ht="18">
      <c r="A848" s="2"/>
      <c r="B848" s="2"/>
      <c r="C848" s="2"/>
      <c r="D848" s="2"/>
      <c r="E848" s="2"/>
      <c r="F848" s="2"/>
      <c r="G848" s="2"/>
      <c r="H848" s="2"/>
      <c r="I848" s="2"/>
      <c r="J848" s="2"/>
      <c r="K848" s="2"/>
      <c r="L848" s="2"/>
      <c r="M848" s="2"/>
      <c r="N848" s="2"/>
      <c r="O848" s="2"/>
      <c r="P848" s="2"/>
      <c r="Q848" s="2"/>
      <c r="R848" s="2"/>
      <c r="S848" s="2"/>
      <c r="T848" s="2"/>
      <c r="U848" s="2"/>
      <c r="V848" s="2"/>
      <c r="W848" s="2"/>
      <c r="X848" s="2"/>
    </row>
    <row r="849" spans="1:24" ht="18">
      <c r="A849" s="2"/>
      <c r="B849" s="2"/>
      <c r="C849" s="2"/>
      <c r="D849" s="2"/>
      <c r="E849" s="2"/>
      <c r="F849" s="2"/>
      <c r="G849" s="2"/>
      <c r="H849" s="2"/>
      <c r="I849" s="2"/>
      <c r="J849" s="2"/>
      <c r="K849" s="2"/>
      <c r="L849" s="2"/>
      <c r="M849" s="2"/>
      <c r="N849" s="2"/>
      <c r="O849" s="2"/>
      <c r="P849" s="2"/>
      <c r="Q849" s="2"/>
      <c r="R849" s="2"/>
      <c r="S849" s="2"/>
      <c r="T849" s="2"/>
      <c r="U849" s="2"/>
      <c r="V849" s="2"/>
      <c r="W849" s="2"/>
      <c r="X849" s="2"/>
    </row>
    <row r="850" spans="1:24" ht="18">
      <c r="A850" s="2"/>
      <c r="B850" s="2"/>
      <c r="C850" s="2"/>
      <c r="D850" s="2"/>
      <c r="E850" s="2"/>
      <c r="F850" s="2"/>
      <c r="G850" s="2"/>
      <c r="H850" s="2"/>
      <c r="I850" s="2"/>
      <c r="J850" s="2"/>
      <c r="K850" s="2"/>
      <c r="L850" s="2"/>
      <c r="M850" s="2"/>
      <c r="N850" s="2"/>
      <c r="O850" s="2"/>
      <c r="P850" s="2"/>
      <c r="Q850" s="2"/>
      <c r="R850" s="2"/>
      <c r="S850" s="2"/>
      <c r="T850" s="2"/>
      <c r="U850" s="2"/>
      <c r="V850" s="2"/>
      <c r="W850" s="2"/>
      <c r="X850" s="2"/>
    </row>
    <row r="851" spans="1:24" ht="18">
      <c r="A851" s="2"/>
      <c r="B851" s="2"/>
      <c r="C851" s="2"/>
      <c r="D851" s="2"/>
      <c r="E851" s="2"/>
      <c r="F851" s="2"/>
      <c r="G851" s="2"/>
      <c r="H851" s="2"/>
      <c r="I851" s="2"/>
      <c r="J851" s="2"/>
      <c r="K851" s="2"/>
      <c r="L851" s="2"/>
      <c r="M851" s="2"/>
      <c r="N851" s="2"/>
      <c r="O851" s="2"/>
      <c r="P851" s="2"/>
      <c r="Q851" s="2"/>
      <c r="R851" s="2"/>
      <c r="S851" s="2"/>
      <c r="T851" s="2"/>
      <c r="U851" s="2"/>
      <c r="V851" s="2"/>
      <c r="W851" s="2"/>
      <c r="X851" s="2"/>
    </row>
    <row r="852" spans="1:24" ht="18">
      <c r="A852" s="2"/>
      <c r="B852" s="2"/>
      <c r="C852" s="2"/>
      <c r="D852" s="2"/>
      <c r="E852" s="2"/>
      <c r="F852" s="2"/>
      <c r="G852" s="2"/>
      <c r="H852" s="2"/>
      <c r="I852" s="2"/>
      <c r="J852" s="2"/>
      <c r="K852" s="2"/>
      <c r="L852" s="2"/>
      <c r="M852" s="2"/>
      <c r="N852" s="2"/>
      <c r="O852" s="2"/>
      <c r="P852" s="2"/>
      <c r="Q852" s="2"/>
      <c r="R852" s="2"/>
      <c r="S852" s="2"/>
      <c r="T852" s="2"/>
      <c r="U852" s="2"/>
      <c r="V852" s="2"/>
      <c r="W852" s="2"/>
      <c r="X852" s="2"/>
    </row>
    <row r="853" spans="1:24" ht="18">
      <c r="A853" s="2"/>
      <c r="B853" s="2"/>
      <c r="C853" s="2"/>
      <c r="D853" s="2"/>
      <c r="E853" s="2"/>
      <c r="F853" s="2"/>
      <c r="G853" s="2"/>
      <c r="H853" s="2"/>
      <c r="I853" s="2"/>
      <c r="J853" s="2"/>
      <c r="K853" s="2"/>
      <c r="L853" s="2"/>
      <c r="M853" s="2"/>
      <c r="N853" s="2"/>
      <c r="O853" s="2"/>
      <c r="P853" s="2"/>
      <c r="Q853" s="2"/>
      <c r="R853" s="2"/>
      <c r="S853" s="2"/>
      <c r="T853" s="2"/>
      <c r="U853" s="2"/>
      <c r="V853" s="2"/>
      <c r="W853" s="2"/>
      <c r="X853" s="2"/>
    </row>
    <row r="854" spans="1:24" ht="18">
      <c r="A854" s="2"/>
      <c r="B854" s="2"/>
      <c r="C854" s="2"/>
      <c r="D854" s="2"/>
      <c r="E854" s="2"/>
      <c r="F854" s="2"/>
      <c r="G854" s="2"/>
      <c r="H854" s="2"/>
      <c r="I854" s="2"/>
      <c r="J854" s="2"/>
      <c r="K854" s="2"/>
      <c r="L854" s="2"/>
      <c r="M854" s="2"/>
      <c r="N854" s="2"/>
      <c r="O854" s="2"/>
      <c r="P854" s="2"/>
      <c r="Q854" s="2"/>
      <c r="R854" s="2"/>
      <c r="S854" s="2"/>
      <c r="T854" s="2"/>
      <c r="U854" s="2"/>
      <c r="V854" s="2"/>
      <c r="W854" s="2"/>
      <c r="X854" s="2"/>
    </row>
    <row r="855" spans="1:24" ht="18">
      <c r="A855" s="2"/>
      <c r="B855" s="2"/>
      <c r="C855" s="2"/>
      <c r="D855" s="2"/>
      <c r="E855" s="2"/>
      <c r="F855" s="2"/>
      <c r="G855" s="2"/>
      <c r="H855" s="2"/>
      <c r="I855" s="2"/>
      <c r="J855" s="2"/>
      <c r="K855" s="2"/>
      <c r="L855" s="2"/>
      <c r="M855" s="2"/>
      <c r="N855" s="2"/>
      <c r="O855" s="2"/>
      <c r="P855" s="2"/>
      <c r="Q855" s="2"/>
      <c r="R855" s="2"/>
      <c r="S855" s="2"/>
      <c r="T855" s="2"/>
      <c r="U855" s="2"/>
      <c r="V855" s="2"/>
      <c r="W855" s="2"/>
      <c r="X855" s="2"/>
    </row>
    <row r="856" spans="1:24" ht="18">
      <c r="A856" s="2"/>
      <c r="B856" s="2"/>
      <c r="C856" s="2"/>
      <c r="D856" s="2"/>
      <c r="E856" s="2"/>
      <c r="F856" s="2"/>
      <c r="G856" s="2"/>
      <c r="H856" s="2"/>
      <c r="I856" s="2"/>
      <c r="J856" s="2"/>
      <c r="K856" s="2"/>
      <c r="L856" s="2"/>
      <c r="M856" s="2"/>
      <c r="N856" s="2"/>
      <c r="O856" s="2"/>
      <c r="P856" s="2"/>
      <c r="Q856" s="2"/>
      <c r="R856" s="2"/>
      <c r="S856" s="2"/>
      <c r="T856" s="2"/>
      <c r="U856" s="2"/>
      <c r="V856" s="2"/>
      <c r="W856" s="2"/>
      <c r="X856" s="2"/>
    </row>
    <row r="857" spans="1:24" ht="18">
      <c r="A857" s="2"/>
      <c r="B857" s="2"/>
      <c r="C857" s="2"/>
      <c r="D857" s="2"/>
      <c r="E857" s="2"/>
      <c r="F857" s="2"/>
      <c r="G857" s="2"/>
      <c r="H857" s="2"/>
      <c r="I857" s="2"/>
      <c r="J857" s="2"/>
      <c r="K857" s="2"/>
      <c r="L857" s="2"/>
      <c r="M857" s="2"/>
      <c r="N857" s="2"/>
      <c r="O857" s="2"/>
      <c r="P857" s="2"/>
      <c r="Q857" s="2"/>
      <c r="R857" s="2"/>
      <c r="S857" s="2"/>
      <c r="T857" s="2"/>
      <c r="U857" s="2"/>
      <c r="V857" s="2"/>
      <c r="W857" s="2"/>
      <c r="X857" s="2"/>
    </row>
    <row r="858" spans="1:24" ht="18">
      <c r="A858" s="2"/>
      <c r="B858" s="2"/>
      <c r="C858" s="2"/>
      <c r="D858" s="2"/>
      <c r="E858" s="2"/>
      <c r="F858" s="2"/>
      <c r="G858" s="2"/>
      <c r="H858" s="2"/>
      <c r="I858" s="2"/>
      <c r="J858" s="2"/>
      <c r="K858" s="2"/>
      <c r="L858" s="2"/>
      <c r="M858" s="2"/>
      <c r="N858" s="2"/>
      <c r="O858" s="2"/>
      <c r="P858" s="2"/>
      <c r="Q858" s="2"/>
      <c r="R858" s="2"/>
      <c r="S858" s="2"/>
      <c r="T858" s="2"/>
      <c r="U858" s="2"/>
      <c r="V858" s="2"/>
      <c r="W858" s="2"/>
      <c r="X858" s="2"/>
    </row>
    <row r="859" spans="1:24" ht="18">
      <c r="A859" s="2"/>
      <c r="B859" s="2"/>
      <c r="C859" s="2"/>
      <c r="D859" s="2"/>
      <c r="E859" s="2"/>
      <c r="F859" s="2"/>
      <c r="G859" s="2"/>
      <c r="H859" s="2"/>
      <c r="I859" s="2"/>
      <c r="J859" s="2"/>
      <c r="K859" s="2"/>
      <c r="L859" s="2"/>
      <c r="M859" s="2"/>
      <c r="N859" s="2"/>
      <c r="O859" s="2"/>
      <c r="P859" s="2"/>
      <c r="Q859" s="2"/>
      <c r="R859" s="2"/>
      <c r="S859" s="2"/>
      <c r="T859" s="2"/>
      <c r="U859" s="2"/>
      <c r="V859" s="2"/>
      <c r="W859" s="2"/>
      <c r="X859" s="2"/>
    </row>
    <row r="860" spans="1:24" ht="18">
      <c r="A860" s="2"/>
      <c r="B860" s="2"/>
      <c r="C860" s="2"/>
      <c r="D860" s="2"/>
      <c r="E860" s="2"/>
      <c r="F860" s="2"/>
      <c r="G860" s="2"/>
      <c r="H860" s="2"/>
      <c r="I860" s="2"/>
      <c r="J860" s="2"/>
      <c r="K860" s="2"/>
      <c r="L860" s="2"/>
      <c r="M860" s="2"/>
      <c r="N860" s="2"/>
      <c r="O860" s="2"/>
      <c r="P860" s="2"/>
      <c r="Q860" s="2"/>
      <c r="R860" s="2"/>
      <c r="S860" s="2"/>
      <c r="T860" s="2"/>
      <c r="U860" s="2"/>
      <c r="V860" s="2"/>
      <c r="W860" s="2"/>
      <c r="X860" s="2"/>
    </row>
    <row r="861" spans="1:24" ht="18">
      <c r="A861" s="2"/>
      <c r="B861" s="2"/>
      <c r="C861" s="2"/>
      <c r="D861" s="2"/>
      <c r="E861" s="2"/>
      <c r="F861" s="2"/>
      <c r="G861" s="2"/>
      <c r="H861" s="2"/>
      <c r="I861" s="2"/>
      <c r="J861" s="2"/>
      <c r="K861" s="2"/>
      <c r="L861" s="2"/>
      <c r="M861" s="2"/>
      <c r="N861" s="2"/>
      <c r="O861" s="2"/>
      <c r="P861" s="2"/>
      <c r="Q861" s="2"/>
      <c r="R861" s="2"/>
      <c r="S861" s="2"/>
      <c r="T861" s="2"/>
      <c r="U861" s="2"/>
      <c r="V861" s="2"/>
      <c r="W861" s="2"/>
      <c r="X861" s="2"/>
    </row>
    <row r="862" spans="1:24" ht="18">
      <c r="A862" s="2"/>
      <c r="B862" s="2"/>
      <c r="C862" s="2"/>
      <c r="D862" s="2"/>
      <c r="E862" s="2"/>
      <c r="F862" s="2"/>
      <c r="G862" s="2"/>
      <c r="H862" s="2"/>
      <c r="I862" s="2"/>
      <c r="J862" s="2"/>
      <c r="K862" s="2"/>
      <c r="L862" s="2"/>
      <c r="M862" s="2"/>
      <c r="N862" s="2"/>
      <c r="O862" s="2"/>
      <c r="P862" s="2"/>
      <c r="Q862" s="2"/>
      <c r="R862" s="2"/>
      <c r="S862" s="2"/>
      <c r="T862" s="2"/>
      <c r="U862" s="2"/>
      <c r="V862" s="2"/>
      <c r="W862" s="2"/>
      <c r="X862" s="2"/>
    </row>
    <row r="863" spans="1:24" ht="18">
      <c r="A863" s="2"/>
      <c r="B863" s="2"/>
      <c r="C863" s="2"/>
      <c r="D863" s="2"/>
      <c r="E863" s="2"/>
      <c r="F863" s="2"/>
      <c r="G863" s="2"/>
      <c r="H863" s="2"/>
      <c r="I863" s="2"/>
      <c r="J863" s="2"/>
      <c r="K863" s="2"/>
      <c r="L863" s="2"/>
      <c r="M863" s="2"/>
      <c r="N863" s="2"/>
      <c r="O863" s="2"/>
      <c r="P863" s="2"/>
      <c r="Q863" s="2"/>
      <c r="R863" s="2"/>
      <c r="S863" s="2"/>
      <c r="T863" s="2"/>
      <c r="U863" s="2"/>
      <c r="V863" s="2"/>
      <c r="W863" s="2"/>
      <c r="X863" s="2"/>
    </row>
    <row r="864" spans="1:24" ht="18">
      <c r="A864" s="2"/>
      <c r="B864" s="2"/>
      <c r="C864" s="2"/>
      <c r="D864" s="2"/>
      <c r="E864" s="2"/>
      <c r="F864" s="2"/>
      <c r="G864" s="2"/>
      <c r="H864" s="2"/>
      <c r="I864" s="2"/>
      <c r="J864" s="2"/>
      <c r="K864" s="2"/>
      <c r="L864" s="2"/>
      <c r="M864" s="2"/>
      <c r="N864" s="2"/>
      <c r="O864" s="2"/>
      <c r="P864" s="2"/>
      <c r="Q864" s="2"/>
      <c r="R864" s="2"/>
      <c r="S864" s="2"/>
      <c r="T864" s="2"/>
      <c r="U864" s="2"/>
      <c r="V864" s="2"/>
      <c r="W864" s="2"/>
      <c r="X864" s="2"/>
    </row>
    <row r="865" spans="1:24" ht="18">
      <c r="A865" s="2"/>
      <c r="B865" s="2"/>
      <c r="C865" s="2"/>
      <c r="D865" s="2"/>
      <c r="E865" s="2"/>
      <c r="F865" s="2"/>
      <c r="G865" s="2"/>
      <c r="H865" s="2"/>
      <c r="I865" s="2"/>
      <c r="J865" s="2"/>
      <c r="K865" s="2"/>
      <c r="L865" s="2"/>
      <c r="M865" s="2"/>
      <c r="N865" s="2"/>
      <c r="O865" s="2"/>
      <c r="P865" s="2"/>
      <c r="Q865" s="2"/>
      <c r="R865" s="2"/>
      <c r="S865" s="2"/>
      <c r="T865" s="2"/>
      <c r="U865" s="2"/>
      <c r="V865" s="2"/>
      <c r="W865" s="2"/>
      <c r="X865" s="2"/>
    </row>
    <row r="866" spans="1:24" ht="18">
      <c r="A866" s="2"/>
      <c r="B866" s="2"/>
      <c r="C866" s="2"/>
      <c r="D866" s="2"/>
      <c r="E866" s="2"/>
      <c r="F866" s="2"/>
      <c r="G866" s="2"/>
      <c r="H866" s="2"/>
      <c r="I866" s="2"/>
      <c r="J866" s="2"/>
      <c r="K866" s="2"/>
      <c r="L866" s="2"/>
      <c r="M866" s="2"/>
      <c r="N866" s="2"/>
      <c r="O866" s="2"/>
      <c r="P866" s="2"/>
      <c r="Q866" s="2"/>
      <c r="R866" s="2"/>
      <c r="S866" s="2"/>
      <c r="T866" s="2"/>
      <c r="U866" s="2"/>
      <c r="V866" s="2"/>
      <c r="W866" s="2"/>
      <c r="X866" s="2"/>
    </row>
    <row r="867" spans="1:24" ht="18">
      <c r="A867" s="2"/>
      <c r="B867" s="2"/>
      <c r="C867" s="2"/>
      <c r="D867" s="2"/>
      <c r="E867" s="2"/>
      <c r="F867" s="2"/>
      <c r="G867" s="2"/>
      <c r="H867" s="2"/>
      <c r="I867" s="2"/>
      <c r="J867" s="2"/>
      <c r="K867" s="2"/>
      <c r="L867" s="2"/>
      <c r="M867" s="2"/>
      <c r="N867" s="2"/>
      <c r="O867" s="2"/>
      <c r="P867" s="2"/>
      <c r="Q867" s="2"/>
      <c r="R867" s="2"/>
      <c r="S867" s="2"/>
      <c r="T867" s="2"/>
      <c r="U867" s="2"/>
      <c r="V867" s="2"/>
      <c r="W867" s="2"/>
      <c r="X867" s="2"/>
    </row>
    <row r="868" spans="1:24" ht="18">
      <c r="A868" s="2"/>
      <c r="B868" s="2"/>
      <c r="C868" s="2"/>
      <c r="D868" s="2"/>
      <c r="E868" s="2"/>
      <c r="F868" s="2"/>
      <c r="G868" s="2"/>
      <c r="H868" s="2"/>
      <c r="I868" s="2"/>
      <c r="J868" s="2"/>
      <c r="K868" s="2"/>
      <c r="L868" s="2"/>
      <c r="M868" s="2"/>
      <c r="N868" s="2"/>
      <c r="O868" s="2"/>
      <c r="P868" s="2"/>
      <c r="Q868" s="2"/>
      <c r="R868" s="2"/>
      <c r="S868" s="2"/>
      <c r="T868" s="2"/>
      <c r="U868" s="2"/>
      <c r="V868" s="2"/>
      <c r="W868" s="2"/>
      <c r="X868" s="2"/>
    </row>
    <row r="869" spans="1:24" ht="18">
      <c r="A869" s="2"/>
      <c r="B869" s="2"/>
      <c r="C869" s="2"/>
      <c r="D869" s="2"/>
      <c r="E869" s="2"/>
      <c r="F869" s="2"/>
      <c r="G869" s="2"/>
      <c r="H869" s="2"/>
      <c r="I869" s="2"/>
      <c r="J869" s="2"/>
      <c r="K869" s="2"/>
      <c r="L869" s="2"/>
      <c r="M869" s="2"/>
      <c r="N869" s="2"/>
      <c r="O869" s="2"/>
      <c r="P869" s="2"/>
      <c r="Q869" s="2"/>
      <c r="R869" s="2"/>
      <c r="S869" s="2"/>
      <c r="T869" s="2"/>
      <c r="U869" s="2"/>
      <c r="V869" s="2"/>
      <c r="W869" s="2"/>
      <c r="X869" s="2"/>
    </row>
    <row r="870" spans="1:24" ht="18">
      <c r="A870" s="2"/>
      <c r="B870" s="2"/>
      <c r="C870" s="2"/>
      <c r="D870" s="2"/>
      <c r="E870" s="2"/>
      <c r="F870" s="2"/>
      <c r="G870" s="2"/>
      <c r="H870" s="2"/>
      <c r="I870" s="2"/>
      <c r="J870" s="2"/>
      <c r="K870" s="2"/>
      <c r="L870" s="2"/>
      <c r="M870" s="2"/>
      <c r="N870" s="2"/>
      <c r="O870" s="2"/>
      <c r="P870" s="2"/>
      <c r="Q870" s="2"/>
      <c r="R870" s="2"/>
      <c r="S870" s="2"/>
      <c r="T870" s="2"/>
      <c r="U870" s="2"/>
      <c r="V870" s="2"/>
      <c r="W870" s="2"/>
      <c r="X870" s="2"/>
    </row>
    <row r="871" spans="1:24" ht="18">
      <c r="A871" s="2"/>
      <c r="B871" s="2"/>
      <c r="C871" s="2"/>
      <c r="D871" s="2"/>
      <c r="E871" s="2"/>
      <c r="F871" s="2"/>
      <c r="G871" s="2"/>
      <c r="H871" s="2"/>
      <c r="I871" s="2"/>
      <c r="J871" s="2"/>
      <c r="K871" s="2"/>
      <c r="L871" s="2"/>
      <c r="M871" s="2"/>
      <c r="N871" s="2"/>
      <c r="O871" s="2"/>
      <c r="P871" s="2"/>
      <c r="Q871" s="2"/>
      <c r="R871" s="2"/>
      <c r="S871" s="2"/>
      <c r="T871" s="2"/>
      <c r="U871" s="2"/>
      <c r="V871" s="2"/>
      <c r="W871" s="2"/>
      <c r="X871" s="2"/>
    </row>
    <row r="872" spans="1:24" ht="18">
      <c r="A872" s="2"/>
      <c r="B872" s="2"/>
      <c r="C872" s="2"/>
      <c r="D872" s="2"/>
      <c r="E872" s="2"/>
      <c r="F872" s="2"/>
      <c r="G872" s="2"/>
      <c r="H872" s="2"/>
      <c r="I872" s="2"/>
      <c r="J872" s="2"/>
      <c r="K872" s="2"/>
      <c r="L872" s="2"/>
      <c r="M872" s="2"/>
      <c r="N872" s="2"/>
      <c r="O872" s="2"/>
      <c r="P872" s="2"/>
      <c r="Q872" s="2"/>
      <c r="R872" s="2"/>
      <c r="S872" s="2"/>
      <c r="T872" s="2"/>
      <c r="U872" s="2"/>
      <c r="V872" s="2"/>
      <c r="W872" s="2"/>
      <c r="X872" s="2"/>
    </row>
    <row r="873" spans="1:24" ht="18">
      <c r="A873" s="2"/>
      <c r="B873" s="2"/>
      <c r="C873" s="2"/>
      <c r="D873" s="2"/>
      <c r="E873" s="2"/>
      <c r="F873" s="2"/>
      <c r="G873" s="2"/>
      <c r="H873" s="2"/>
      <c r="I873" s="2"/>
      <c r="J873" s="2"/>
      <c r="K873" s="2"/>
      <c r="L873" s="2"/>
      <c r="M873" s="2"/>
      <c r="N873" s="2"/>
      <c r="O873" s="2"/>
      <c r="P873" s="2"/>
      <c r="Q873" s="2"/>
      <c r="R873" s="2"/>
      <c r="S873" s="2"/>
      <c r="T873" s="2"/>
      <c r="U873" s="2"/>
      <c r="V873" s="2"/>
      <c r="W873" s="2"/>
      <c r="X873" s="2"/>
    </row>
    <row r="874" spans="1:24" ht="18">
      <c r="A874" s="2"/>
      <c r="B874" s="2"/>
      <c r="C874" s="2"/>
      <c r="D874" s="2"/>
      <c r="E874" s="2"/>
      <c r="F874" s="2"/>
      <c r="G874" s="2"/>
      <c r="H874" s="2"/>
      <c r="I874" s="2"/>
      <c r="J874" s="2"/>
      <c r="K874" s="2"/>
      <c r="L874" s="2"/>
      <c r="M874" s="2"/>
      <c r="N874" s="2"/>
      <c r="O874" s="2"/>
      <c r="P874" s="2"/>
      <c r="Q874" s="2"/>
      <c r="R874" s="2"/>
      <c r="S874" s="2"/>
      <c r="T874" s="2"/>
      <c r="U874" s="2"/>
      <c r="V874" s="2"/>
      <c r="W874" s="2"/>
      <c r="X874" s="2"/>
    </row>
    <row r="875" spans="1:24" ht="18">
      <c r="A875" s="2"/>
      <c r="B875" s="2"/>
      <c r="C875" s="2"/>
      <c r="D875" s="2"/>
      <c r="E875" s="2"/>
      <c r="F875" s="2"/>
      <c r="G875" s="2"/>
      <c r="H875" s="2"/>
      <c r="I875" s="2"/>
      <c r="J875" s="2"/>
      <c r="K875" s="2"/>
      <c r="L875" s="2"/>
      <c r="M875" s="2"/>
      <c r="N875" s="2"/>
      <c r="O875" s="2"/>
      <c r="P875" s="2"/>
      <c r="Q875" s="2"/>
      <c r="R875" s="2"/>
      <c r="S875" s="2"/>
      <c r="T875" s="2"/>
      <c r="U875" s="2"/>
      <c r="V875" s="2"/>
      <c r="W875" s="2"/>
      <c r="X875" s="2"/>
    </row>
    <row r="876" spans="1:24" ht="18">
      <c r="A876" s="2"/>
      <c r="B876" s="2"/>
      <c r="C876" s="2"/>
      <c r="D876" s="2"/>
      <c r="E876" s="2"/>
      <c r="F876" s="2"/>
      <c r="G876" s="2"/>
      <c r="H876" s="2"/>
      <c r="I876" s="2"/>
      <c r="J876" s="2"/>
      <c r="K876" s="2"/>
      <c r="L876" s="2"/>
      <c r="M876" s="2"/>
      <c r="N876" s="2"/>
      <c r="O876" s="2"/>
      <c r="P876" s="2"/>
      <c r="Q876" s="2"/>
      <c r="R876" s="2"/>
      <c r="S876" s="2"/>
      <c r="T876" s="2"/>
      <c r="U876" s="2"/>
      <c r="V876" s="2"/>
      <c r="W876" s="2"/>
      <c r="X876" s="2"/>
    </row>
    <row r="877" spans="1:24" ht="18">
      <c r="A877" s="2"/>
      <c r="B877" s="2"/>
      <c r="C877" s="2"/>
      <c r="D877" s="2"/>
      <c r="E877" s="2"/>
      <c r="F877" s="2"/>
      <c r="G877" s="2"/>
      <c r="H877" s="2"/>
      <c r="I877" s="2"/>
      <c r="J877" s="2"/>
      <c r="K877" s="2"/>
      <c r="L877" s="2"/>
      <c r="M877" s="2"/>
      <c r="N877" s="2"/>
      <c r="O877" s="2"/>
      <c r="P877" s="2"/>
      <c r="Q877" s="2"/>
      <c r="R877" s="2"/>
      <c r="S877" s="2"/>
      <c r="T877" s="2"/>
      <c r="U877" s="2"/>
      <c r="V877" s="2"/>
      <c r="W877" s="2"/>
      <c r="X877" s="2"/>
    </row>
    <row r="878" spans="1:24" ht="18">
      <c r="A878" s="2"/>
      <c r="B878" s="2"/>
      <c r="C878" s="2"/>
      <c r="D878" s="2"/>
      <c r="E878" s="2"/>
      <c r="F878" s="2"/>
      <c r="G878" s="2"/>
      <c r="H878" s="2"/>
      <c r="I878" s="2"/>
      <c r="J878" s="2"/>
      <c r="K878" s="2"/>
      <c r="L878" s="2"/>
      <c r="M878" s="2"/>
      <c r="N878" s="2"/>
      <c r="O878" s="2"/>
      <c r="P878" s="2"/>
      <c r="Q878" s="2"/>
      <c r="R878" s="2"/>
      <c r="S878" s="2"/>
      <c r="T878" s="2"/>
      <c r="U878" s="2"/>
      <c r="V878" s="2"/>
      <c r="W878" s="2"/>
      <c r="X878" s="2"/>
    </row>
    <row r="879" spans="1:24" ht="18">
      <c r="A879" s="2"/>
      <c r="B879" s="2"/>
      <c r="C879" s="2"/>
      <c r="D879" s="2"/>
      <c r="E879" s="2"/>
      <c r="F879" s="2"/>
      <c r="G879" s="2"/>
      <c r="H879" s="2"/>
      <c r="I879" s="2"/>
      <c r="J879" s="2"/>
      <c r="K879" s="2"/>
      <c r="L879" s="2"/>
      <c r="M879" s="2"/>
      <c r="N879" s="2"/>
      <c r="O879" s="2"/>
      <c r="P879" s="2"/>
      <c r="Q879" s="2"/>
      <c r="R879" s="2"/>
      <c r="S879" s="2"/>
      <c r="T879" s="2"/>
      <c r="U879" s="2"/>
      <c r="V879" s="2"/>
      <c r="W879" s="2"/>
      <c r="X879" s="2"/>
    </row>
    <row r="880" spans="1:24" ht="18">
      <c r="A880" s="2"/>
      <c r="B880" s="2"/>
      <c r="C880" s="2"/>
      <c r="D880" s="2"/>
      <c r="E880" s="2"/>
      <c r="F880" s="2"/>
      <c r="G880" s="2"/>
      <c r="H880" s="2"/>
      <c r="I880" s="2"/>
      <c r="J880" s="2"/>
      <c r="K880" s="2"/>
      <c r="L880" s="2"/>
      <c r="M880" s="2"/>
      <c r="N880" s="2"/>
      <c r="O880" s="2"/>
      <c r="P880" s="2"/>
      <c r="Q880" s="2"/>
      <c r="R880" s="2"/>
      <c r="S880" s="2"/>
      <c r="T880" s="2"/>
      <c r="U880" s="2"/>
      <c r="V880" s="2"/>
      <c r="W880" s="2"/>
      <c r="X880" s="2"/>
    </row>
    <row r="881" spans="1:24" ht="18">
      <c r="A881" s="2"/>
      <c r="B881" s="2"/>
      <c r="C881" s="2"/>
      <c r="D881" s="2"/>
      <c r="E881" s="2"/>
      <c r="F881" s="2"/>
      <c r="G881" s="2"/>
      <c r="H881" s="2"/>
      <c r="I881" s="2"/>
      <c r="J881" s="2"/>
      <c r="K881" s="2"/>
      <c r="L881" s="2"/>
      <c r="M881" s="2"/>
      <c r="N881" s="2"/>
      <c r="O881" s="2"/>
      <c r="P881" s="2"/>
      <c r="Q881" s="2"/>
      <c r="R881" s="2"/>
      <c r="S881" s="2"/>
      <c r="T881" s="2"/>
      <c r="U881" s="2"/>
      <c r="V881" s="2"/>
      <c r="W881" s="2"/>
      <c r="X881" s="2"/>
    </row>
    <row r="882" spans="1:24" ht="18">
      <c r="A882" s="2"/>
      <c r="B882" s="2"/>
      <c r="C882" s="2"/>
      <c r="D882" s="2"/>
      <c r="E882" s="2"/>
      <c r="F882" s="2"/>
      <c r="G882" s="2"/>
      <c r="H882" s="2"/>
      <c r="I882" s="2"/>
      <c r="J882" s="2"/>
      <c r="K882" s="2"/>
      <c r="L882" s="2"/>
      <c r="M882" s="2"/>
      <c r="N882" s="2"/>
      <c r="O882" s="2"/>
      <c r="P882" s="2"/>
      <c r="Q882" s="2"/>
      <c r="R882" s="2"/>
      <c r="S882" s="2"/>
      <c r="T882" s="2"/>
      <c r="U882" s="2"/>
      <c r="V882" s="2"/>
      <c r="W882" s="2"/>
      <c r="X882" s="2"/>
    </row>
    <row r="883" spans="1:24" ht="18">
      <c r="A883" s="2"/>
      <c r="B883" s="2"/>
      <c r="C883" s="2"/>
      <c r="D883" s="2"/>
      <c r="E883" s="2"/>
      <c r="F883" s="2"/>
      <c r="G883" s="2"/>
      <c r="H883" s="2"/>
      <c r="I883" s="2"/>
      <c r="J883" s="2"/>
      <c r="K883" s="2"/>
      <c r="L883" s="2"/>
      <c r="M883" s="2"/>
      <c r="N883" s="2"/>
      <c r="O883" s="2"/>
      <c r="P883" s="2"/>
      <c r="Q883" s="2"/>
      <c r="R883" s="2"/>
      <c r="S883" s="2"/>
      <c r="T883" s="2"/>
      <c r="U883" s="2"/>
      <c r="V883" s="2"/>
      <c r="W883" s="2"/>
      <c r="X883" s="2"/>
    </row>
    <row r="884" spans="1:24" ht="18">
      <c r="A884" s="2"/>
      <c r="B884" s="2"/>
      <c r="C884" s="2"/>
      <c r="D884" s="2"/>
      <c r="E884" s="2"/>
      <c r="F884" s="2"/>
      <c r="G884" s="2"/>
      <c r="H884" s="2"/>
      <c r="I884" s="2"/>
      <c r="J884" s="2"/>
      <c r="K884" s="2"/>
      <c r="L884" s="2"/>
      <c r="M884" s="2"/>
      <c r="N884" s="2"/>
      <c r="O884" s="2"/>
      <c r="P884" s="2"/>
      <c r="Q884" s="2"/>
      <c r="R884" s="2"/>
      <c r="S884" s="2"/>
      <c r="T884" s="2"/>
      <c r="U884" s="2"/>
      <c r="V884" s="2"/>
      <c r="W884" s="2"/>
      <c r="X884" s="2"/>
    </row>
    <row r="885" spans="1:24" ht="18">
      <c r="A885" s="2"/>
      <c r="B885" s="2"/>
      <c r="C885" s="2"/>
      <c r="D885" s="2"/>
      <c r="E885" s="2"/>
      <c r="F885" s="2"/>
      <c r="G885" s="2"/>
      <c r="H885" s="2"/>
      <c r="I885" s="2"/>
      <c r="J885" s="2"/>
      <c r="K885" s="2"/>
      <c r="L885" s="2"/>
      <c r="M885" s="2"/>
      <c r="N885" s="2"/>
      <c r="O885" s="2"/>
      <c r="P885" s="2"/>
      <c r="Q885" s="2"/>
      <c r="R885" s="2"/>
      <c r="S885" s="2"/>
      <c r="T885" s="2"/>
      <c r="U885" s="2"/>
      <c r="V885" s="2"/>
      <c r="W885" s="2"/>
      <c r="X885" s="2"/>
    </row>
    <row r="886" spans="1:24" ht="18">
      <c r="A886" s="2"/>
      <c r="B886" s="2"/>
      <c r="C886" s="2"/>
      <c r="D886" s="2"/>
      <c r="E886" s="2"/>
      <c r="F886" s="2"/>
      <c r="G886" s="2"/>
      <c r="H886" s="2"/>
      <c r="I886" s="2"/>
      <c r="J886" s="2"/>
      <c r="K886" s="2"/>
      <c r="L886" s="2"/>
      <c r="M886" s="2"/>
      <c r="N886" s="2"/>
      <c r="O886" s="2"/>
      <c r="P886" s="2"/>
      <c r="Q886" s="2"/>
      <c r="R886" s="2"/>
      <c r="S886" s="2"/>
      <c r="T886" s="2"/>
      <c r="U886" s="2"/>
      <c r="V886" s="2"/>
      <c r="W886" s="2"/>
      <c r="X886" s="2"/>
    </row>
    <row r="887" spans="1:24" ht="18">
      <c r="A887" s="2"/>
      <c r="B887" s="2"/>
      <c r="C887" s="2"/>
      <c r="D887" s="2"/>
      <c r="E887" s="2"/>
      <c r="F887" s="2"/>
      <c r="G887" s="2"/>
      <c r="H887" s="2"/>
      <c r="I887" s="2"/>
      <c r="J887" s="2"/>
      <c r="K887" s="2"/>
      <c r="L887" s="2"/>
      <c r="M887" s="2"/>
      <c r="N887" s="2"/>
      <c r="O887" s="2"/>
      <c r="P887" s="2"/>
      <c r="Q887" s="2"/>
      <c r="R887" s="2"/>
      <c r="S887" s="2"/>
      <c r="T887" s="2"/>
      <c r="U887" s="2"/>
      <c r="V887" s="2"/>
      <c r="W887" s="2"/>
      <c r="X887" s="2"/>
    </row>
    <row r="888" spans="1:24" ht="18">
      <c r="A888" s="2"/>
      <c r="B888" s="2"/>
      <c r="C888" s="2"/>
      <c r="D888" s="2"/>
      <c r="E888" s="2"/>
      <c r="F888" s="2"/>
      <c r="G888" s="2"/>
      <c r="H888" s="2"/>
      <c r="I888" s="2"/>
      <c r="J888" s="2"/>
      <c r="K888" s="2"/>
      <c r="L888" s="2"/>
      <c r="M888" s="2"/>
      <c r="N888" s="2"/>
      <c r="O888" s="2"/>
      <c r="P888" s="2"/>
      <c r="Q888" s="2"/>
      <c r="R888" s="2"/>
      <c r="S888" s="2"/>
      <c r="T888" s="2"/>
      <c r="U888" s="2"/>
      <c r="V888" s="2"/>
      <c r="W888" s="2"/>
      <c r="X888" s="2"/>
    </row>
    <row r="889" spans="1:24" ht="18">
      <c r="A889" s="2"/>
      <c r="B889" s="2"/>
      <c r="C889" s="2"/>
      <c r="D889" s="2"/>
      <c r="E889" s="2"/>
      <c r="F889" s="2"/>
      <c r="G889" s="2"/>
      <c r="H889" s="2"/>
      <c r="I889" s="2"/>
      <c r="J889" s="2"/>
      <c r="K889" s="2"/>
      <c r="L889" s="2"/>
      <c r="M889" s="2"/>
      <c r="N889" s="2"/>
      <c r="O889" s="2"/>
      <c r="P889" s="2"/>
      <c r="Q889" s="2"/>
      <c r="R889" s="2"/>
      <c r="S889" s="2"/>
      <c r="T889" s="2"/>
      <c r="U889" s="2"/>
      <c r="V889" s="2"/>
      <c r="W889" s="2"/>
      <c r="X889" s="2"/>
    </row>
    <row r="890" spans="1:24" ht="18">
      <c r="A890" s="2"/>
      <c r="B890" s="2"/>
      <c r="C890" s="2"/>
      <c r="D890" s="2"/>
      <c r="E890" s="2"/>
      <c r="F890" s="2"/>
      <c r="G890" s="2"/>
      <c r="H890" s="2"/>
      <c r="I890" s="2"/>
      <c r="J890" s="2"/>
      <c r="K890" s="2"/>
      <c r="L890" s="2"/>
      <c r="M890" s="2"/>
      <c r="N890" s="2"/>
      <c r="O890" s="2"/>
      <c r="P890" s="2"/>
      <c r="Q890" s="2"/>
      <c r="R890" s="2"/>
      <c r="S890" s="2"/>
      <c r="T890" s="2"/>
      <c r="U890" s="2"/>
      <c r="V890" s="2"/>
      <c r="W890" s="2"/>
      <c r="X890" s="2"/>
    </row>
    <row r="891" spans="1:24" ht="18">
      <c r="A891" s="2"/>
      <c r="B891" s="2"/>
      <c r="C891" s="2"/>
      <c r="D891" s="2"/>
      <c r="E891" s="2"/>
      <c r="F891" s="2"/>
      <c r="G891" s="2"/>
      <c r="H891" s="2"/>
      <c r="I891" s="2"/>
      <c r="J891" s="2"/>
      <c r="K891" s="2"/>
      <c r="L891" s="2"/>
      <c r="M891" s="2"/>
      <c r="N891" s="2"/>
      <c r="O891" s="2"/>
      <c r="P891" s="2"/>
      <c r="Q891" s="2"/>
      <c r="R891" s="2"/>
      <c r="S891" s="2"/>
      <c r="T891" s="2"/>
      <c r="U891" s="2"/>
      <c r="V891" s="2"/>
      <c r="W891" s="2"/>
      <c r="X891" s="2"/>
    </row>
    <row r="892" spans="1:24" ht="18">
      <c r="A892" s="2"/>
      <c r="B892" s="2"/>
      <c r="C892" s="2"/>
      <c r="D892" s="2"/>
      <c r="E892" s="2"/>
      <c r="F892" s="2"/>
      <c r="G892" s="2"/>
      <c r="H892" s="2"/>
      <c r="I892" s="2"/>
      <c r="J892" s="2"/>
      <c r="K892" s="2"/>
      <c r="L892" s="2"/>
      <c r="M892" s="2"/>
      <c r="N892" s="2"/>
      <c r="O892" s="2"/>
      <c r="P892" s="2"/>
      <c r="Q892" s="2"/>
      <c r="R892" s="2"/>
      <c r="S892" s="2"/>
      <c r="T892" s="2"/>
      <c r="U892" s="2"/>
      <c r="V892" s="2"/>
      <c r="W892" s="2"/>
      <c r="X892" s="2"/>
    </row>
    <row r="893" spans="1:24" ht="18">
      <c r="A893" s="2"/>
      <c r="B893" s="2"/>
      <c r="C893" s="2"/>
      <c r="D893" s="2"/>
      <c r="E893" s="2"/>
      <c r="F893" s="2"/>
      <c r="G893" s="2"/>
      <c r="H893" s="2"/>
      <c r="I893" s="2"/>
      <c r="J893" s="2"/>
      <c r="K893" s="2"/>
      <c r="L893" s="2"/>
      <c r="M893" s="2"/>
      <c r="N893" s="2"/>
      <c r="O893" s="2"/>
      <c r="P893" s="2"/>
      <c r="Q893" s="2"/>
      <c r="R893" s="2"/>
      <c r="S893" s="2"/>
      <c r="T893" s="2"/>
      <c r="U893" s="2"/>
      <c r="V893" s="2"/>
      <c r="W893" s="2"/>
      <c r="X893" s="2"/>
    </row>
    <row r="894" spans="1:24" ht="18">
      <c r="A894" s="2"/>
      <c r="B894" s="2"/>
      <c r="C894" s="2"/>
      <c r="D894" s="2"/>
      <c r="E894" s="2"/>
      <c r="F894" s="2"/>
      <c r="G894" s="2"/>
      <c r="H894" s="2"/>
      <c r="I894" s="2"/>
      <c r="J894" s="2"/>
      <c r="K894" s="2"/>
      <c r="L894" s="2"/>
      <c r="M894" s="2"/>
      <c r="N894" s="2"/>
      <c r="O894" s="2"/>
      <c r="P894" s="2"/>
      <c r="Q894" s="2"/>
      <c r="R894" s="2"/>
      <c r="S894" s="2"/>
      <c r="T894" s="2"/>
      <c r="U894" s="2"/>
      <c r="V894" s="2"/>
      <c r="W894" s="2"/>
      <c r="X894" s="2"/>
    </row>
    <row r="895" spans="1:24" ht="18">
      <c r="A895" s="2"/>
      <c r="B895" s="2"/>
      <c r="C895" s="2"/>
      <c r="D895" s="2"/>
      <c r="E895" s="2"/>
      <c r="F895" s="2"/>
      <c r="G895" s="2"/>
      <c r="H895" s="2"/>
      <c r="I895" s="2"/>
      <c r="J895" s="2"/>
      <c r="K895" s="2"/>
      <c r="L895" s="2"/>
      <c r="M895" s="2"/>
      <c r="N895" s="2"/>
      <c r="O895" s="2"/>
      <c r="P895" s="2"/>
      <c r="Q895" s="2"/>
      <c r="R895" s="2"/>
      <c r="S895" s="2"/>
      <c r="T895" s="2"/>
      <c r="U895" s="2"/>
      <c r="V895" s="2"/>
      <c r="W895" s="2"/>
      <c r="X895" s="2"/>
    </row>
    <row r="896" spans="1:24" ht="18">
      <c r="A896" s="2"/>
      <c r="B896" s="2"/>
      <c r="C896" s="2"/>
      <c r="D896" s="2"/>
      <c r="E896" s="2"/>
      <c r="F896" s="2"/>
      <c r="G896" s="2"/>
      <c r="H896" s="2"/>
      <c r="I896" s="2"/>
      <c r="J896" s="2"/>
      <c r="K896" s="2"/>
      <c r="L896" s="2"/>
      <c r="M896" s="2"/>
      <c r="N896" s="2"/>
      <c r="O896" s="2"/>
      <c r="P896" s="2"/>
      <c r="Q896" s="2"/>
      <c r="R896" s="2"/>
      <c r="S896" s="2"/>
      <c r="T896" s="2"/>
      <c r="U896" s="2"/>
      <c r="V896" s="2"/>
      <c r="W896" s="2"/>
      <c r="X896" s="2"/>
    </row>
    <row r="897" spans="1:24" ht="18">
      <c r="A897" s="2"/>
      <c r="B897" s="2"/>
      <c r="C897" s="2"/>
      <c r="D897" s="2"/>
      <c r="E897" s="2"/>
      <c r="F897" s="2"/>
      <c r="G897" s="2"/>
      <c r="H897" s="2"/>
      <c r="I897" s="2"/>
      <c r="J897" s="2"/>
      <c r="K897" s="2"/>
      <c r="L897" s="2"/>
      <c r="M897" s="2"/>
      <c r="N897" s="2"/>
      <c r="O897" s="2"/>
      <c r="P897" s="2"/>
      <c r="Q897" s="2"/>
      <c r="R897" s="2"/>
      <c r="S897" s="2"/>
      <c r="T897" s="2"/>
      <c r="U897" s="2"/>
      <c r="V897" s="2"/>
      <c r="W897" s="2"/>
      <c r="X897" s="2"/>
    </row>
    <row r="898" spans="1:24" ht="18">
      <c r="A898" s="2"/>
      <c r="B898" s="2"/>
      <c r="C898" s="2"/>
      <c r="D898" s="2"/>
      <c r="E898" s="2"/>
      <c r="F898" s="2"/>
      <c r="G898" s="2"/>
      <c r="H898" s="2"/>
      <c r="I898" s="2"/>
      <c r="J898" s="2"/>
      <c r="K898" s="2"/>
      <c r="L898" s="2"/>
      <c r="M898" s="2"/>
      <c r="N898" s="2"/>
      <c r="O898" s="2"/>
      <c r="P898" s="2"/>
      <c r="Q898" s="2"/>
      <c r="R898" s="2"/>
      <c r="S898" s="2"/>
      <c r="T898" s="2"/>
      <c r="U898" s="2"/>
      <c r="V898" s="2"/>
      <c r="W898" s="2"/>
      <c r="X898" s="2"/>
    </row>
    <row r="899" spans="1:24" ht="18">
      <c r="A899" s="2"/>
      <c r="B899" s="2"/>
      <c r="C899" s="2"/>
      <c r="D899" s="2"/>
      <c r="E899" s="2"/>
      <c r="F899" s="2"/>
      <c r="G899" s="2"/>
      <c r="H899" s="2"/>
      <c r="I899" s="2"/>
      <c r="J899" s="2"/>
      <c r="K899" s="2"/>
      <c r="L899" s="2"/>
      <c r="M899" s="2"/>
      <c r="N899" s="2"/>
      <c r="O899" s="2"/>
      <c r="P899" s="2"/>
      <c r="Q899" s="2"/>
      <c r="R899" s="2"/>
      <c r="S899" s="2"/>
      <c r="T899" s="2"/>
      <c r="U899" s="2"/>
      <c r="V899" s="2"/>
      <c r="W899" s="2"/>
      <c r="X899" s="2"/>
    </row>
    <row r="900" spans="1:24" ht="18">
      <c r="A900" s="2"/>
      <c r="B900" s="2"/>
      <c r="C900" s="2"/>
      <c r="D900" s="2"/>
      <c r="E900" s="2"/>
      <c r="F900" s="2"/>
      <c r="G900" s="2"/>
      <c r="H900" s="2"/>
      <c r="I900" s="2"/>
      <c r="J900" s="2"/>
      <c r="K900" s="2"/>
      <c r="L900" s="2"/>
      <c r="M900" s="2"/>
      <c r="N900" s="2"/>
      <c r="O900" s="2"/>
      <c r="P900" s="2"/>
      <c r="Q900" s="2"/>
      <c r="R900" s="2"/>
      <c r="S900" s="2"/>
      <c r="T900" s="2"/>
      <c r="U900" s="2"/>
      <c r="V900" s="2"/>
      <c r="W900" s="2"/>
      <c r="X900" s="2"/>
    </row>
    <row r="901" spans="1:24" ht="18">
      <c r="A901" s="2"/>
      <c r="B901" s="2"/>
      <c r="C901" s="2"/>
      <c r="D901" s="2"/>
      <c r="E901" s="2"/>
      <c r="F901" s="2"/>
      <c r="G901" s="2"/>
      <c r="H901" s="2"/>
      <c r="I901" s="2"/>
      <c r="J901" s="2"/>
      <c r="K901" s="2"/>
      <c r="L901" s="2"/>
      <c r="M901" s="2"/>
      <c r="N901" s="2"/>
      <c r="O901" s="2"/>
      <c r="P901" s="2"/>
      <c r="Q901" s="2"/>
      <c r="R901" s="2"/>
      <c r="S901" s="2"/>
      <c r="T901" s="2"/>
      <c r="U901" s="2"/>
      <c r="V901" s="2"/>
      <c r="W901" s="2"/>
      <c r="X901" s="2"/>
    </row>
    <row r="902" spans="1:24" ht="18">
      <c r="A902" s="2"/>
      <c r="B902" s="2"/>
      <c r="C902" s="2"/>
      <c r="D902" s="2"/>
      <c r="E902" s="2"/>
      <c r="F902" s="2"/>
      <c r="G902" s="2"/>
      <c r="H902" s="2"/>
      <c r="I902" s="2"/>
      <c r="J902" s="2"/>
      <c r="K902" s="2"/>
      <c r="L902" s="2"/>
      <c r="M902" s="2"/>
      <c r="N902" s="2"/>
      <c r="O902" s="2"/>
      <c r="P902" s="2"/>
      <c r="Q902" s="2"/>
      <c r="R902" s="2"/>
      <c r="S902" s="2"/>
      <c r="T902" s="2"/>
      <c r="U902" s="2"/>
      <c r="V902" s="2"/>
      <c r="W902" s="2"/>
      <c r="X902" s="2"/>
    </row>
    <row r="903" spans="1:24" ht="18">
      <c r="A903" s="2"/>
      <c r="B903" s="2"/>
      <c r="C903" s="2"/>
      <c r="D903" s="2"/>
      <c r="E903" s="2"/>
      <c r="F903" s="2"/>
      <c r="G903" s="2"/>
      <c r="H903" s="2"/>
      <c r="I903" s="2"/>
      <c r="J903" s="2"/>
      <c r="K903" s="2"/>
      <c r="L903" s="2"/>
      <c r="M903" s="2"/>
      <c r="N903" s="2"/>
      <c r="O903" s="2"/>
      <c r="P903" s="2"/>
      <c r="Q903" s="2"/>
      <c r="R903" s="2"/>
      <c r="S903" s="2"/>
      <c r="T903" s="2"/>
      <c r="U903" s="2"/>
      <c r="V903" s="2"/>
      <c r="W903" s="2"/>
      <c r="X903" s="2"/>
    </row>
    <row r="904" spans="1:24" ht="18">
      <c r="A904" s="2"/>
      <c r="B904" s="2"/>
      <c r="C904" s="2"/>
      <c r="D904" s="2"/>
      <c r="E904" s="2"/>
      <c r="F904" s="2"/>
      <c r="G904" s="2"/>
      <c r="H904" s="2"/>
      <c r="I904" s="2"/>
      <c r="J904" s="2"/>
      <c r="K904" s="2"/>
      <c r="L904" s="2"/>
      <c r="M904" s="2"/>
      <c r="N904" s="2"/>
      <c r="O904" s="2"/>
      <c r="P904" s="2"/>
      <c r="Q904" s="2"/>
      <c r="R904" s="2"/>
      <c r="S904" s="2"/>
      <c r="T904" s="2"/>
      <c r="U904" s="2"/>
      <c r="V904" s="2"/>
      <c r="W904" s="2"/>
      <c r="X904" s="2"/>
    </row>
    <row r="905" spans="1:24" ht="18">
      <c r="A905" s="2"/>
      <c r="B905" s="2"/>
      <c r="C905" s="2"/>
      <c r="D905" s="2"/>
      <c r="E905" s="2"/>
      <c r="F905" s="2"/>
      <c r="G905" s="2"/>
      <c r="H905" s="2"/>
      <c r="I905" s="2"/>
      <c r="J905" s="2"/>
      <c r="K905" s="2"/>
      <c r="L905" s="2"/>
      <c r="M905" s="2"/>
      <c r="N905" s="2"/>
      <c r="O905" s="2"/>
      <c r="P905" s="2"/>
      <c r="Q905" s="2"/>
      <c r="R905" s="2"/>
      <c r="S905" s="2"/>
      <c r="T905" s="2"/>
      <c r="U905" s="2"/>
      <c r="V905" s="2"/>
      <c r="W905" s="2"/>
      <c r="X905" s="2"/>
    </row>
    <row r="906" spans="1:24" ht="18">
      <c r="A906" s="2"/>
      <c r="B906" s="2"/>
      <c r="C906" s="2"/>
      <c r="D906" s="2"/>
      <c r="E906" s="2"/>
      <c r="F906" s="2"/>
      <c r="G906" s="2"/>
      <c r="H906" s="2"/>
      <c r="I906" s="2"/>
      <c r="J906" s="2"/>
      <c r="K906" s="2"/>
      <c r="L906" s="2"/>
      <c r="M906" s="2"/>
      <c r="N906" s="2"/>
      <c r="O906" s="2"/>
      <c r="P906" s="2"/>
      <c r="Q906" s="2"/>
      <c r="R906" s="2"/>
      <c r="S906" s="2"/>
      <c r="T906" s="2"/>
      <c r="U906" s="2"/>
      <c r="V906" s="2"/>
      <c r="W906" s="2"/>
      <c r="X906" s="2"/>
    </row>
    <row r="907" spans="1:24" ht="18">
      <c r="A907" s="2"/>
      <c r="B907" s="2"/>
      <c r="C907" s="2"/>
      <c r="D907" s="2"/>
      <c r="E907" s="2"/>
      <c r="F907" s="2"/>
      <c r="G907" s="2"/>
      <c r="H907" s="2"/>
      <c r="I907" s="2"/>
      <c r="J907" s="2"/>
      <c r="K907" s="2"/>
      <c r="L907" s="2"/>
      <c r="M907" s="2"/>
      <c r="N907" s="2"/>
      <c r="O907" s="2"/>
      <c r="P907" s="2"/>
      <c r="Q907" s="2"/>
      <c r="R907" s="2"/>
      <c r="S907" s="2"/>
      <c r="T907" s="2"/>
      <c r="U907" s="2"/>
      <c r="V907" s="2"/>
      <c r="W907" s="2"/>
      <c r="X907" s="2"/>
    </row>
    <row r="908" spans="1:24" ht="18">
      <c r="A908" s="2"/>
      <c r="B908" s="2"/>
      <c r="C908" s="2"/>
      <c r="D908" s="2"/>
      <c r="E908" s="2"/>
      <c r="F908" s="2"/>
      <c r="G908" s="2"/>
      <c r="H908" s="2"/>
      <c r="I908" s="2"/>
      <c r="J908" s="2"/>
      <c r="K908" s="2"/>
      <c r="L908" s="2"/>
      <c r="M908" s="2"/>
      <c r="N908" s="2"/>
      <c r="O908" s="2"/>
      <c r="P908" s="2"/>
      <c r="Q908" s="2"/>
      <c r="R908" s="2"/>
      <c r="S908" s="2"/>
      <c r="T908" s="2"/>
      <c r="U908" s="2"/>
      <c r="V908" s="2"/>
      <c r="W908" s="2"/>
      <c r="X908" s="2"/>
    </row>
    <row r="909" spans="1:24" ht="18">
      <c r="A909" s="2"/>
      <c r="B909" s="2"/>
      <c r="C909" s="2"/>
      <c r="D909" s="2"/>
      <c r="E909" s="2"/>
      <c r="F909" s="2"/>
      <c r="G909" s="2"/>
      <c r="H909" s="2"/>
      <c r="I909" s="2"/>
      <c r="J909" s="2"/>
      <c r="K909" s="2"/>
      <c r="L909" s="2"/>
      <c r="M909" s="2"/>
      <c r="N909" s="2"/>
      <c r="O909" s="2"/>
      <c r="P909" s="2"/>
      <c r="Q909" s="2"/>
      <c r="R909" s="2"/>
      <c r="S909" s="2"/>
      <c r="T909" s="2"/>
      <c r="U909" s="2"/>
      <c r="V909" s="2"/>
      <c r="W909" s="2"/>
      <c r="X909" s="2"/>
    </row>
    <row r="910" spans="1:24" ht="18">
      <c r="A910" s="2"/>
      <c r="B910" s="2"/>
      <c r="C910" s="2"/>
      <c r="D910" s="2"/>
      <c r="E910" s="2"/>
      <c r="F910" s="2"/>
      <c r="G910" s="2"/>
      <c r="H910" s="2"/>
      <c r="I910" s="2"/>
      <c r="J910" s="2"/>
      <c r="K910" s="2"/>
      <c r="L910" s="2"/>
      <c r="M910" s="2"/>
      <c r="N910" s="2"/>
      <c r="O910" s="2"/>
      <c r="P910" s="2"/>
      <c r="Q910" s="2"/>
      <c r="R910" s="2"/>
      <c r="S910" s="2"/>
      <c r="T910" s="2"/>
      <c r="U910" s="2"/>
      <c r="V910" s="2"/>
      <c r="W910" s="2"/>
      <c r="X910" s="2"/>
    </row>
    <row r="911" spans="1:24" ht="18">
      <c r="A911" s="2"/>
      <c r="B911" s="2"/>
      <c r="C911" s="2"/>
      <c r="D911" s="2"/>
      <c r="E911" s="2"/>
      <c r="F911" s="2"/>
      <c r="G911" s="2"/>
      <c r="H911" s="2"/>
      <c r="I911" s="2"/>
      <c r="J911" s="2"/>
      <c r="K911" s="2"/>
      <c r="L911" s="2"/>
      <c r="M911" s="2"/>
      <c r="N911" s="2"/>
      <c r="O911" s="2"/>
      <c r="P911" s="2"/>
      <c r="Q911" s="2"/>
      <c r="R911" s="2"/>
      <c r="S911" s="2"/>
      <c r="T911" s="2"/>
      <c r="U911" s="2"/>
      <c r="V911" s="2"/>
      <c r="W911" s="2"/>
      <c r="X911" s="2"/>
    </row>
    <row r="912" spans="1:24" ht="18">
      <c r="A912" s="2"/>
      <c r="B912" s="2"/>
      <c r="C912" s="2"/>
      <c r="D912" s="2"/>
      <c r="E912" s="2"/>
      <c r="F912" s="2"/>
      <c r="G912" s="2"/>
      <c r="H912" s="2"/>
      <c r="I912" s="2"/>
      <c r="J912" s="2"/>
      <c r="K912" s="2"/>
      <c r="L912" s="2"/>
      <c r="M912" s="2"/>
      <c r="N912" s="2"/>
      <c r="O912" s="2"/>
      <c r="P912" s="2"/>
      <c r="Q912" s="2"/>
      <c r="R912" s="2"/>
      <c r="S912" s="2"/>
      <c r="T912" s="2"/>
      <c r="U912" s="2"/>
      <c r="V912" s="2"/>
      <c r="W912" s="2"/>
      <c r="X912" s="2"/>
    </row>
    <row r="913" spans="1:24" ht="18">
      <c r="A913" s="2"/>
      <c r="B913" s="2"/>
      <c r="C913" s="2"/>
      <c r="D913" s="2"/>
      <c r="E913" s="2"/>
      <c r="F913" s="2"/>
      <c r="G913" s="2"/>
      <c r="H913" s="2"/>
      <c r="I913" s="2"/>
      <c r="J913" s="2"/>
      <c r="K913" s="2"/>
      <c r="L913" s="2"/>
      <c r="M913" s="2"/>
      <c r="N913" s="2"/>
      <c r="O913" s="2"/>
      <c r="P913" s="2"/>
      <c r="Q913" s="2"/>
      <c r="R913" s="2"/>
      <c r="S913" s="2"/>
      <c r="T913" s="2"/>
      <c r="U913" s="2"/>
      <c r="V913" s="2"/>
      <c r="W913" s="2"/>
      <c r="X913" s="2"/>
    </row>
    <row r="914" spans="1:24" ht="18">
      <c r="A914" s="2"/>
      <c r="B914" s="2"/>
      <c r="C914" s="2"/>
      <c r="D914" s="2"/>
      <c r="E914" s="2"/>
      <c r="F914" s="2"/>
      <c r="G914" s="2"/>
      <c r="H914" s="2"/>
      <c r="I914" s="2"/>
      <c r="J914" s="2"/>
      <c r="K914" s="2"/>
      <c r="L914" s="2"/>
      <c r="M914" s="2"/>
      <c r="N914" s="2"/>
      <c r="O914" s="2"/>
      <c r="P914" s="2"/>
      <c r="Q914" s="2"/>
      <c r="R914" s="2"/>
      <c r="S914" s="2"/>
      <c r="T914" s="2"/>
      <c r="U914" s="2"/>
      <c r="V914" s="2"/>
      <c r="W914" s="2"/>
      <c r="X914" s="2"/>
    </row>
    <row r="915" spans="1:24" ht="18">
      <c r="A915" s="2"/>
      <c r="B915" s="2"/>
      <c r="C915" s="2"/>
      <c r="D915" s="2"/>
      <c r="E915" s="2"/>
      <c r="F915" s="2"/>
      <c r="G915" s="2"/>
      <c r="H915" s="2"/>
      <c r="I915" s="2"/>
      <c r="J915" s="2"/>
      <c r="K915" s="2"/>
      <c r="L915" s="2"/>
      <c r="M915" s="2"/>
      <c r="N915" s="2"/>
      <c r="O915" s="2"/>
      <c r="P915" s="2"/>
      <c r="Q915" s="2"/>
      <c r="R915" s="2"/>
      <c r="S915" s="2"/>
      <c r="T915" s="2"/>
      <c r="U915" s="2"/>
      <c r="V915" s="2"/>
      <c r="W915" s="2"/>
      <c r="X915" s="2"/>
    </row>
    <row r="916" spans="1:24" ht="18">
      <c r="A916" s="2"/>
      <c r="B916" s="2"/>
      <c r="C916" s="2"/>
      <c r="D916" s="2"/>
      <c r="E916" s="2"/>
      <c r="F916" s="2"/>
      <c r="G916" s="2"/>
      <c r="H916" s="2"/>
      <c r="I916" s="2"/>
      <c r="J916" s="2"/>
      <c r="K916" s="2"/>
      <c r="L916" s="2"/>
      <c r="M916" s="2"/>
      <c r="N916" s="2"/>
      <c r="O916" s="2"/>
      <c r="P916" s="2"/>
      <c r="Q916" s="2"/>
      <c r="R916" s="2"/>
      <c r="S916" s="2"/>
      <c r="T916" s="2"/>
      <c r="U916" s="2"/>
      <c r="V916" s="2"/>
      <c r="W916" s="2"/>
      <c r="X916" s="2"/>
    </row>
    <row r="917" spans="1:24" ht="18">
      <c r="A917" s="2"/>
      <c r="B917" s="2"/>
      <c r="C917" s="2"/>
      <c r="D917" s="2"/>
      <c r="E917" s="2"/>
      <c r="F917" s="2"/>
      <c r="G917" s="2"/>
      <c r="H917" s="2"/>
      <c r="I917" s="2"/>
      <c r="J917" s="2"/>
      <c r="K917" s="2"/>
      <c r="L917" s="2"/>
      <c r="M917" s="2"/>
      <c r="N917" s="2"/>
      <c r="O917" s="2"/>
      <c r="P917" s="2"/>
      <c r="Q917" s="2"/>
      <c r="R917" s="2"/>
      <c r="S917" s="2"/>
      <c r="T917" s="2"/>
      <c r="U917" s="2"/>
      <c r="V917" s="2"/>
      <c r="W917" s="2"/>
      <c r="X917" s="2"/>
    </row>
    <row r="918" spans="1:24" ht="18">
      <c r="A918" s="2"/>
      <c r="B918" s="2"/>
      <c r="C918" s="2"/>
      <c r="D918" s="2"/>
      <c r="E918" s="2"/>
      <c r="F918" s="2"/>
      <c r="G918" s="2"/>
      <c r="H918" s="2"/>
      <c r="I918" s="2"/>
      <c r="J918" s="2"/>
      <c r="K918" s="2"/>
      <c r="L918" s="2"/>
      <c r="M918" s="2"/>
      <c r="N918" s="2"/>
      <c r="O918" s="2"/>
      <c r="P918" s="2"/>
      <c r="Q918" s="2"/>
      <c r="R918" s="2"/>
      <c r="S918" s="2"/>
      <c r="T918" s="2"/>
      <c r="U918" s="2"/>
      <c r="V918" s="2"/>
      <c r="W918" s="2"/>
      <c r="X918" s="2"/>
    </row>
    <row r="919" spans="1:24" ht="18">
      <c r="A919" s="2"/>
      <c r="B919" s="2"/>
      <c r="C919" s="2"/>
      <c r="D919" s="2"/>
      <c r="E919" s="2"/>
      <c r="F919" s="2"/>
      <c r="G919" s="2"/>
      <c r="H919" s="2"/>
      <c r="I919" s="2"/>
      <c r="J919" s="2"/>
      <c r="K919" s="2"/>
      <c r="L919" s="2"/>
      <c r="M919" s="2"/>
      <c r="N919" s="2"/>
      <c r="O919" s="2"/>
      <c r="P919" s="2"/>
      <c r="Q919" s="2"/>
      <c r="R919" s="2"/>
      <c r="S919" s="2"/>
      <c r="T919" s="2"/>
      <c r="U919" s="2"/>
      <c r="V919" s="2"/>
      <c r="W919" s="2"/>
      <c r="X919" s="2"/>
    </row>
    <row r="920" spans="1:24" ht="18">
      <c r="A920" s="2"/>
      <c r="B920" s="2"/>
      <c r="C920" s="2"/>
      <c r="D920" s="2"/>
      <c r="E920" s="2"/>
      <c r="F920" s="2"/>
      <c r="G920" s="2"/>
      <c r="H920" s="2"/>
      <c r="I920" s="2"/>
      <c r="J920" s="2"/>
      <c r="K920" s="2"/>
      <c r="L920" s="2"/>
      <c r="M920" s="2"/>
      <c r="N920" s="2"/>
      <c r="O920" s="2"/>
      <c r="P920" s="2"/>
      <c r="Q920" s="2"/>
      <c r="R920" s="2"/>
      <c r="S920" s="2"/>
      <c r="T920" s="2"/>
      <c r="U920" s="2"/>
      <c r="V920" s="2"/>
      <c r="W920" s="2"/>
      <c r="X920" s="2"/>
    </row>
    <row r="921" spans="1:24" ht="18">
      <c r="A921" s="2"/>
      <c r="B921" s="2"/>
      <c r="C921" s="2"/>
      <c r="D921" s="2"/>
      <c r="E921" s="2"/>
      <c r="F921" s="2"/>
      <c r="G921" s="2"/>
      <c r="H921" s="2"/>
      <c r="I921" s="2"/>
      <c r="J921" s="2"/>
      <c r="K921" s="2"/>
      <c r="L921" s="2"/>
      <c r="M921" s="2"/>
      <c r="N921" s="2"/>
      <c r="O921" s="2"/>
      <c r="P921" s="2"/>
      <c r="Q921" s="2"/>
      <c r="R921" s="2"/>
      <c r="S921" s="2"/>
      <c r="T921" s="2"/>
      <c r="U921" s="2"/>
      <c r="V921" s="2"/>
      <c r="W921" s="2"/>
      <c r="X921" s="2"/>
    </row>
    <row r="922" spans="1:24" ht="18">
      <c r="A922" s="2"/>
      <c r="B922" s="2"/>
      <c r="C922" s="2"/>
      <c r="D922" s="2"/>
      <c r="E922" s="2"/>
      <c r="F922" s="2"/>
      <c r="G922" s="2"/>
      <c r="H922" s="2"/>
      <c r="I922" s="2"/>
      <c r="J922" s="2"/>
      <c r="K922" s="2"/>
      <c r="L922" s="2"/>
      <c r="M922" s="2"/>
      <c r="N922" s="2"/>
      <c r="O922" s="2"/>
      <c r="P922" s="2"/>
      <c r="Q922" s="2"/>
      <c r="R922" s="2"/>
      <c r="S922" s="2"/>
      <c r="T922" s="2"/>
      <c r="U922" s="2"/>
      <c r="V922" s="2"/>
      <c r="W922" s="2"/>
      <c r="X922" s="2"/>
    </row>
    <row r="923" spans="1:24" ht="18">
      <c r="A923" s="2"/>
      <c r="B923" s="2"/>
      <c r="C923" s="2"/>
      <c r="D923" s="2"/>
      <c r="E923" s="2"/>
      <c r="F923" s="2"/>
      <c r="G923" s="2"/>
      <c r="H923" s="2"/>
      <c r="I923" s="2"/>
      <c r="J923" s="2"/>
      <c r="K923" s="2"/>
      <c r="L923" s="2"/>
      <c r="M923" s="2"/>
      <c r="N923" s="2"/>
      <c r="O923" s="2"/>
      <c r="P923" s="2"/>
      <c r="Q923" s="2"/>
      <c r="R923" s="2"/>
      <c r="S923" s="2"/>
      <c r="T923" s="2"/>
      <c r="U923" s="2"/>
      <c r="V923" s="2"/>
      <c r="W923" s="2"/>
      <c r="X923" s="2"/>
    </row>
    <row r="924" spans="1:24" ht="18">
      <c r="A924" s="2"/>
      <c r="B924" s="2"/>
      <c r="C924" s="2"/>
      <c r="D924" s="2"/>
      <c r="E924" s="2"/>
      <c r="F924" s="2"/>
      <c r="G924" s="2"/>
      <c r="H924" s="2"/>
      <c r="I924" s="2"/>
      <c r="J924" s="2"/>
      <c r="K924" s="2"/>
      <c r="L924" s="2"/>
      <c r="M924" s="2"/>
      <c r="N924" s="2"/>
      <c r="O924" s="2"/>
      <c r="P924" s="2"/>
      <c r="Q924" s="2"/>
      <c r="R924" s="2"/>
      <c r="S924" s="2"/>
      <c r="T924" s="2"/>
      <c r="U924" s="2"/>
      <c r="V924" s="2"/>
      <c r="W924" s="2"/>
      <c r="X924" s="2"/>
    </row>
    <row r="925" spans="1:24" ht="18">
      <c r="A925" s="2"/>
      <c r="B925" s="2"/>
      <c r="C925" s="2"/>
      <c r="D925" s="2"/>
      <c r="E925" s="2"/>
      <c r="F925" s="2"/>
      <c r="G925" s="2"/>
      <c r="H925" s="2"/>
      <c r="I925" s="2"/>
      <c r="J925" s="2"/>
      <c r="K925" s="2"/>
      <c r="L925" s="2"/>
      <c r="M925" s="2"/>
      <c r="N925" s="2"/>
      <c r="O925" s="2"/>
      <c r="P925" s="2"/>
      <c r="Q925" s="2"/>
      <c r="R925" s="2"/>
      <c r="S925" s="2"/>
      <c r="T925" s="2"/>
      <c r="U925" s="2"/>
      <c r="V925" s="2"/>
      <c r="W925" s="2"/>
      <c r="X925" s="2"/>
    </row>
    <row r="926" spans="1:24" ht="18">
      <c r="A926" s="2"/>
      <c r="B926" s="2"/>
      <c r="C926" s="2"/>
      <c r="D926" s="2"/>
      <c r="E926" s="2"/>
      <c r="F926" s="2"/>
      <c r="G926" s="2"/>
      <c r="H926" s="2"/>
      <c r="I926" s="2"/>
      <c r="J926" s="2"/>
      <c r="K926" s="2"/>
      <c r="L926" s="2"/>
      <c r="M926" s="2"/>
      <c r="N926" s="2"/>
      <c r="O926" s="2"/>
      <c r="P926" s="2"/>
      <c r="Q926" s="2"/>
      <c r="R926" s="2"/>
      <c r="S926" s="2"/>
      <c r="T926" s="2"/>
      <c r="U926" s="2"/>
      <c r="V926" s="2"/>
      <c r="W926" s="2"/>
      <c r="X926" s="2"/>
    </row>
    <row r="927" spans="1:24" ht="18">
      <c r="A927" s="2"/>
      <c r="B927" s="2"/>
      <c r="C927" s="2"/>
      <c r="D927" s="2"/>
      <c r="E927" s="2"/>
      <c r="F927" s="2"/>
      <c r="G927" s="2"/>
      <c r="H927" s="2"/>
      <c r="I927" s="2"/>
      <c r="J927" s="2"/>
      <c r="K927" s="2"/>
      <c r="L927" s="2"/>
      <c r="M927" s="2"/>
      <c r="N927" s="2"/>
      <c r="O927" s="2"/>
      <c r="P927" s="2"/>
      <c r="Q927" s="2"/>
      <c r="R927" s="2"/>
      <c r="S927" s="2"/>
      <c r="T927" s="2"/>
      <c r="U927" s="2"/>
      <c r="V927" s="2"/>
      <c r="W927" s="2"/>
      <c r="X927" s="2"/>
    </row>
    <row r="928" spans="1:24" ht="18">
      <c r="A928" s="2"/>
      <c r="B928" s="2"/>
      <c r="C928" s="2"/>
      <c r="D928" s="2"/>
      <c r="E928" s="2"/>
      <c r="F928" s="2"/>
      <c r="G928" s="2"/>
      <c r="H928" s="2"/>
      <c r="I928" s="2"/>
      <c r="J928" s="2"/>
      <c r="K928" s="2"/>
      <c r="L928" s="2"/>
      <c r="M928" s="2"/>
      <c r="N928" s="2"/>
      <c r="O928" s="2"/>
      <c r="P928" s="2"/>
      <c r="Q928" s="2"/>
      <c r="R928" s="2"/>
      <c r="S928" s="2"/>
      <c r="T928" s="2"/>
      <c r="U928" s="2"/>
      <c r="V928" s="2"/>
      <c r="W928" s="2"/>
      <c r="X928" s="2"/>
    </row>
    <row r="929" spans="1:24" ht="18">
      <c r="A929" s="2"/>
      <c r="B929" s="2"/>
      <c r="C929" s="2"/>
      <c r="D929" s="2"/>
      <c r="E929" s="2"/>
      <c r="F929" s="2"/>
      <c r="G929" s="2"/>
      <c r="H929" s="2"/>
      <c r="I929" s="2"/>
      <c r="J929" s="2"/>
      <c r="K929" s="2"/>
      <c r="L929" s="2"/>
      <c r="M929" s="2"/>
      <c r="N929" s="2"/>
      <c r="O929" s="2"/>
      <c r="P929" s="2"/>
      <c r="Q929" s="2"/>
      <c r="R929" s="2"/>
      <c r="S929" s="2"/>
      <c r="T929" s="2"/>
      <c r="U929" s="2"/>
      <c r="V929" s="2"/>
      <c r="W929" s="2"/>
      <c r="X929" s="2"/>
    </row>
    <row r="930" spans="1:24" ht="18">
      <c r="A930" s="2"/>
      <c r="B930" s="2"/>
      <c r="C930" s="2"/>
      <c r="D930" s="2"/>
      <c r="E930" s="2"/>
      <c r="F930" s="2"/>
      <c r="G930" s="2"/>
      <c r="H930" s="2"/>
      <c r="I930" s="2"/>
      <c r="J930" s="2"/>
      <c r="K930" s="2"/>
      <c r="L930" s="2"/>
      <c r="M930" s="2"/>
      <c r="N930" s="2"/>
      <c r="O930" s="2"/>
      <c r="P930" s="2"/>
      <c r="Q930" s="2"/>
      <c r="R930" s="2"/>
      <c r="S930" s="2"/>
      <c r="T930" s="2"/>
      <c r="U930" s="2"/>
      <c r="V930" s="2"/>
      <c r="W930" s="2"/>
      <c r="X930" s="2"/>
    </row>
    <row r="931" spans="1:24" ht="18">
      <c r="A931" s="2"/>
      <c r="B931" s="2"/>
      <c r="C931" s="2"/>
      <c r="D931" s="2"/>
      <c r="E931" s="2"/>
      <c r="F931" s="2"/>
      <c r="G931" s="2"/>
      <c r="H931" s="2"/>
      <c r="I931" s="2"/>
      <c r="J931" s="2"/>
      <c r="K931" s="2"/>
      <c r="L931" s="2"/>
      <c r="M931" s="2"/>
      <c r="N931" s="2"/>
      <c r="O931" s="2"/>
      <c r="P931" s="2"/>
      <c r="Q931" s="2"/>
      <c r="R931" s="2"/>
      <c r="S931" s="2"/>
      <c r="T931" s="2"/>
      <c r="U931" s="2"/>
      <c r="V931" s="2"/>
      <c r="W931" s="2"/>
      <c r="X931" s="2"/>
    </row>
    <row r="932" spans="1:24" ht="18">
      <c r="A932" s="2"/>
      <c r="B932" s="2"/>
      <c r="C932" s="2"/>
      <c r="D932" s="2"/>
      <c r="E932" s="2"/>
      <c r="F932" s="2"/>
      <c r="G932" s="2"/>
      <c r="H932" s="2"/>
      <c r="I932" s="2"/>
      <c r="J932" s="2"/>
      <c r="K932" s="2"/>
      <c r="L932" s="2"/>
      <c r="M932" s="2"/>
      <c r="N932" s="2"/>
      <c r="O932" s="2"/>
      <c r="P932" s="2"/>
      <c r="Q932" s="2"/>
      <c r="R932" s="2"/>
      <c r="S932" s="2"/>
      <c r="T932" s="2"/>
      <c r="U932" s="2"/>
      <c r="V932" s="2"/>
      <c r="W932" s="2"/>
      <c r="X932" s="2"/>
    </row>
    <row r="933" spans="1:24" ht="18">
      <c r="A933" s="2"/>
      <c r="B933" s="2"/>
      <c r="C933" s="2"/>
      <c r="D933" s="2"/>
      <c r="E933" s="2"/>
      <c r="F933" s="2"/>
      <c r="G933" s="2"/>
      <c r="H933" s="2"/>
      <c r="I933" s="2"/>
      <c r="J933" s="2"/>
      <c r="K933" s="2"/>
      <c r="L933" s="2"/>
      <c r="M933" s="2"/>
      <c r="N933" s="2"/>
      <c r="O933" s="2"/>
      <c r="P933" s="2"/>
      <c r="Q933" s="2"/>
      <c r="R933" s="2"/>
      <c r="S933" s="2"/>
      <c r="T933" s="2"/>
      <c r="U933" s="2"/>
      <c r="V933" s="2"/>
      <c r="W933" s="2"/>
      <c r="X933" s="2"/>
    </row>
    <row r="934" spans="1:24" ht="18">
      <c r="A934" s="2"/>
      <c r="B934" s="2"/>
      <c r="C934" s="2"/>
      <c r="D934" s="2"/>
      <c r="E934" s="2"/>
      <c r="F934" s="2"/>
      <c r="G934" s="2"/>
      <c r="H934" s="2"/>
      <c r="I934" s="2"/>
      <c r="J934" s="2"/>
      <c r="K934" s="2"/>
      <c r="L934" s="2"/>
      <c r="M934" s="2"/>
      <c r="N934" s="2"/>
      <c r="O934" s="2"/>
      <c r="P934" s="2"/>
      <c r="Q934" s="2"/>
      <c r="R934" s="2"/>
      <c r="S934" s="2"/>
      <c r="T934" s="2"/>
      <c r="U934" s="2"/>
      <c r="V934" s="2"/>
      <c r="W934" s="2"/>
      <c r="X934" s="2"/>
    </row>
    <row r="935" spans="1:24" ht="18">
      <c r="A935" s="2"/>
      <c r="B935" s="2"/>
      <c r="C935" s="2"/>
      <c r="D935" s="2"/>
      <c r="E935" s="2"/>
      <c r="F935" s="2"/>
      <c r="G935" s="2"/>
      <c r="H935" s="2"/>
      <c r="I935" s="2"/>
      <c r="J935" s="2"/>
      <c r="K935" s="2"/>
      <c r="L935" s="2"/>
      <c r="M935" s="2"/>
      <c r="N935" s="2"/>
      <c r="O935" s="2"/>
      <c r="P935" s="2"/>
      <c r="Q935" s="2"/>
      <c r="R935" s="2"/>
      <c r="S935" s="2"/>
      <c r="T935" s="2"/>
      <c r="U935" s="2"/>
      <c r="V935" s="2"/>
      <c r="W935" s="2"/>
      <c r="X935" s="2"/>
    </row>
    <row r="936" spans="1:24" ht="18">
      <c r="A936" s="2"/>
      <c r="B936" s="2"/>
      <c r="C936" s="2"/>
      <c r="D936" s="2"/>
      <c r="E936" s="2"/>
      <c r="F936" s="2"/>
      <c r="G936" s="2"/>
      <c r="H936" s="2"/>
      <c r="I936" s="2"/>
      <c r="J936" s="2"/>
      <c r="K936" s="2"/>
      <c r="L936" s="2"/>
      <c r="M936" s="2"/>
      <c r="N936" s="2"/>
      <c r="O936" s="2"/>
      <c r="P936" s="2"/>
      <c r="Q936" s="2"/>
      <c r="R936" s="2"/>
      <c r="S936" s="2"/>
      <c r="T936" s="2"/>
      <c r="U936" s="2"/>
      <c r="V936" s="2"/>
      <c r="W936" s="2"/>
      <c r="X936" s="2"/>
    </row>
    <row r="937" spans="1:24" ht="18">
      <c r="A937" s="2"/>
      <c r="B937" s="2"/>
      <c r="C937" s="2"/>
      <c r="D937" s="2"/>
      <c r="E937" s="2"/>
      <c r="F937" s="2"/>
      <c r="G937" s="2"/>
      <c r="H937" s="2"/>
      <c r="I937" s="2"/>
      <c r="J937" s="2"/>
      <c r="K937" s="2"/>
      <c r="L937" s="2"/>
      <c r="M937" s="2"/>
      <c r="N937" s="2"/>
      <c r="O937" s="2"/>
      <c r="P937" s="2"/>
      <c r="Q937" s="2"/>
      <c r="R937" s="2"/>
      <c r="S937" s="2"/>
      <c r="T937" s="2"/>
      <c r="U937" s="2"/>
      <c r="V937" s="2"/>
      <c r="W937" s="2"/>
      <c r="X937" s="2"/>
    </row>
    <row r="938" spans="1:24" ht="18">
      <c r="A938" s="2"/>
      <c r="B938" s="2"/>
      <c r="C938" s="2"/>
      <c r="D938" s="2"/>
      <c r="E938" s="2"/>
      <c r="F938" s="2"/>
      <c r="G938" s="2"/>
      <c r="H938" s="2"/>
      <c r="I938" s="2"/>
      <c r="J938" s="2"/>
      <c r="K938" s="2"/>
      <c r="L938" s="2"/>
      <c r="M938" s="2"/>
      <c r="N938" s="2"/>
      <c r="O938" s="2"/>
      <c r="P938" s="2"/>
      <c r="Q938" s="2"/>
      <c r="R938" s="2"/>
      <c r="S938" s="2"/>
      <c r="T938" s="2"/>
      <c r="U938" s="2"/>
      <c r="V938" s="2"/>
      <c r="W938" s="2"/>
      <c r="X938" s="2"/>
    </row>
    <row r="939" spans="1:24" ht="18">
      <c r="A939" s="2"/>
      <c r="B939" s="2"/>
      <c r="C939" s="2"/>
      <c r="D939" s="2"/>
      <c r="E939" s="2"/>
      <c r="F939" s="2"/>
      <c r="G939" s="2"/>
      <c r="H939" s="2"/>
      <c r="I939" s="2"/>
      <c r="J939" s="2"/>
      <c r="K939" s="2"/>
      <c r="L939" s="2"/>
      <c r="M939" s="2"/>
      <c r="N939" s="2"/>
      <c r="O939" s="2"/>
      <c r="P939" s="2"/>
      <c r="Q939" s="2"/>
      <c r="R939" s="2"/>
      <c r="S939" s="2"/>
      <c r="T939" s="2"/>
      <c r="U939" s="2"/>
      <c r="V939" s="2"/>
      <c r="W939" s="2"/>
      <c r="X939" s="2"/>
    </row>
    <row r="940" spans="1:24" ht="18">
      <c r="A940" s="2"/>
      <c r="B940" s="2"/>
      <c r="C940" s="2"/>
      <c r="D940" s="2"/>
      <c r="E940" s="2"/>
      <c r="F940" s="2"/>
      <c r="G940" s="2"/>
      <c r="H940" s="2"/>
      <c r="I940" s="2"/>
      <c r="J940" s="2"/>
      <c r="K940" s="2"/>
      <c r="L940" s="2"/>
      <c r="M940" s="2"/>
      <c r="N940" s="2"/>
      <c r="O940" s="2"/>
      <c r="P940" s="2"/>
      <c r="Q940" s="2"/>
      <c r="R940" s="2"/>
      <c r="S940" s="2"/>
      <c r="T940" s="2"/>
      <c r="U940" s="2"/>
      <c r="V940" s="2"/>
      <c r="W940" s="2"/>
      <c r="X940" s="2"/>
    </row>
    <row r="941" spans="1:24" ht="18">
      <c r="A941" s="2"/>
      <c r="B941" s="2"/>
      <c r="C941" s="2"/>
      <c r="D941" s="2"/>
      <c r="E941" s="2"/>
      <c r="F941" s="2"/>
      <c r="G941" s="2"/>
      <c r="H941" s="2"/>
      <c r="I941" s="2"/>
      <c r="J941" s="2"/>
      <c r="K941" s="2"/>
      <c r="L941" s="2"/>
      <c r="M941" s="2"/>
      <c r="N941" s="2"/>
      <c r="O941" s="2"/>
      <c r="P941" s="2"/>
      <c r="Q941" s="2"/>
      <c r="R941" s="2"/>
      <c r="S941" s="2"/>
      <c r="T941" s="2"/>
      <c r="U941" s="2"/>
      <c r="V941" s="2"/>
      <c r="W941" s="2"/>
      <c r="X941" s="2"/>
    </row>
    <row r="942" spans="1:24" ht="18">
      <c r="A942" s="2"/>
      <c r="B942" s="2"/>
      <c r="C942" s="2"/>
      <c r="D942" s="2"/>
      <c r="E942" s="2"/>
      <c r="F942" s="2"/>
      <c r="G942" s="2"/>
      <c r="H942" s="2"/>
      <c r="I942" s="2"/>
      <c r="J942" s="2"/>
      <c r="K942" s="2"/>
      <c r="L942" s="2"/>
      <c r="M942" s="2"/>
      <c r="N942" s="2"/>
      <c r="O942" s="2"/>
      <c r="P942" s="2"/>
      <c r="Q942" s="2"/>
      <c r="R942" s="2"/>
      <c r="S942" s="2"/>
      <c r="T942" s="2"/>
      <c r="U942" s="2"/>
      <c r="V942" s="2"/>
      <c r="W942" s="2"/>
      <c r="X942" s="2"/>
    </row>
    <row r="943" spans="1:24" ht="18">
      <c r="A943" s="2"/>
      <c r="B943" s="2"/>
      <c r="C943" s="2"/>
      <c r="D943" s="2"/>
      <c r="E943" s="2"/>
      <c r="F943" s="2"/>
      <c r="G943" s="2"/>
      <c r="H943" s="2"/>
      <c r="I943" s="2"/>
      <c r="J943" s="2"/>
      <c r="K943" s="2"/>
      <c r="L943" s="2"/>
      <c r="M943" s="2"/>
      <c r="N943" s="2"/>
      <c r="O943" s="2"/>
      <c r="P943" s="2"/>
      <c r="Q943" s="2"/>
      <c r="R943" s="2"/>
      <c r="S943" s="2"/>
      <c r="T943" s="2"/>
      <c r="U943" s="2"/>
      <c r="V943" s="2"/>
      <c r="W943" s="2"/>
      <c r="X943" s="2"/>
    </row>
    <row r="944" spans="1:24" ht="18">
      <c r="A944" s="2"/>
      <c r="B944" s="2"/>
      <c r="C944" s="2"/>
      <c r="D944" s="2"/>
      <c r="E944" s="2"/>
      <c r="F944" s="2"/>
      <c r="G944" s="2"/>
      <c r="H944" s="2"/>
      <c r="I944" s="2"/>
      <c r="J944" s="2"/>
      <c r="K944" s="2"/>
      <c r="L944" s="2"/>
      <c r="M944" s="2"/>
      <c r="N944" s="2"/>
      <c r="O944" s="2"/>
      <c r="P944" s="2"/>
      <c r="Q944" s="2"/>
      <c r="R944" s="2"/>
      <c r="S944" s="2"/>
      <c r="T944" s="2"/>
      <c r="U944" s="2"/>
      <c r="V944" s="2"/>
      <c r="W944" s="2"/>
      <c r="X944" s="2"/>
    </row>
    <row r="945" spans="1:24" ht="18">
      <c r="A945" s="2"/>
      <c r="B945" s="2"/>
      <c r="C945" s="2"/>
      <c r="D945" s="2"/>
      <c r="E945" s="2"/>
      <c r="F945" s="2"/>
      <c r="G945" s="2"/>
      <c r="H945" s="2"/>
      <c r="I945" s="2"/>
      <c r="J945" s="2"/>
      <c r="K945" s="2"/>
      <c r="L945" s="2"/>
      <c r="M945" s="2"/>
      <c r="N945" s="2"/>
      <c r="O945" s="2"/>
      <c r="P945" s="2"/>
      <c r="Q945" s="2"/>
      <c r="R945" s="2"/>
      <c r="S945" s="2"/>
      <c r="T945" s="2"/>
      <c r="U945" s="2"/>
      <c r="V945" s="2"/>
      <c r="W945" s="2"/>
      <c r="X945" s="2"/>
    </row>
    <row r="946" spans="1:24" ht="18">
      <c r="A946" s="2"/>
      <c r="B946" s="2"/>
      <c r="C946" s="2"/>
      <c r="D946" s="2"/>
      <c r="E946" s="2"/>
      <c r="F946" s="2"/>
      <c r="G946" s="2"/>
      <c r="H946" s="2"/>
      <c r="I946" s="2"/>
      <c r="J946" s="2"/>
      <c r="K946" s="2"/>
      <c r="L946" s="2"/>
      <c r="M946" s="2"/>
      <c r="N946" s="2"/>
      <c r="O946" s="2"/>
      <c r="P946" s="2"/>
      <c r="Q946" s="2"/>
      <c r="R946" s="2"/>
      <c r="S946" s="2"/>
      <c r="T946" s="2"/>
      <c r="U946" s="2"/>
      <c r="V946" s="2"/>
      <c r="W946" s="2"/>
      <c r="X946" s="2"/>
    </row>
    <row r="947" spans="1:24" ht="18">
      <c r="A947" s="2"/>
      <c r="B947" s="2"/>
      <c r="C947" s="2"/>
      <c r="D947" s="2"/>
      <c r="E947" s="2"/>
      <c r="F947" s="2"/>
      <c r="G947" s="2"/>
      <c r="H947" s="2"/>
      <c r="I947" s="2"/>
      <c r="J947" s="2"/>
      <c r="K947" s="2"/>
      <c r="L947" s="2"/>
      <c r="M947" s="2"/>
      <c r="N947" s="2"/>
      <c r="O947" s="2"/>
      <c r="P947" s="2"/>
      <c r="Q947" s="2"/>
      <c r="R947" s="2"/>
      <c r="S947" s="2"/>
      <c r="T947" s="2"/>
      <c r="U947" s="2"/>
      <c r="V947" s="2"/>
      <c r="W947" s="2"/>
      <c r="X947" s="2"/>
    </row>
    <row r="948" spans="1:24" ht="18">
      <c r="A948" s="2"/>
      <c r="B948" s="2"/>
      <c r="C948" s="2"/>
      <c r="D948" s="2"/>
      <c r="E948" s="2"/>
      <c r="F948" s="2"/>
      <c r="G948" s="2"/>
      <c r="H948" s="2"/>
      <c r="I948" s="2"/>
      <c r="J948" s="2"/>
      <c r="K948" s="2"/>
      <c r="L948" s="2"/>
      <c r="M948" s="2"/>
      <c r="N948" s="2"/>
      <c r="O948" s="2"/>
      <c r="P948" s="2"/>
      <c r="Q948" s="2"/>
      <c r="R948" s="2"/>
      <c r="S948" s="2"/>
      <c r="T948" s="2"/>
      <c r="U948" s="2"/>
      <c r="V948" s="2"/>
      <c r="W948" s="2"/>
      <c r="X948" s="2"/>
    </row>
    <row r="949" spans="1:24" ht="18">
      <c r="A949" s="2"/>
      <c r="B949" s="2"/>
      <c r="C949" s="2"/>
      <c r="D949" s="2"/>
      <c r="E949" s="2"/>
      <c r="F949" s="2"/>
      <c r="G949" s="2"/>
      <c r="H949" s="2"/>
      <c r="I949" s="2"/>
      <c r="J949" s="2"/>
      <c r="K949" s="2"/>
      <c r="L949" s="2"/>
      <c r="M949" s="2"/>
      <c r="N949" s="2"/>
      <c r="O949" s="2"/>
      <c r="P949" s="2"/>
      <c r="Q949" s="2"/>
      <c r="R949" s="2"/>
      <c r="S949" s="2"/>
      <c r="T949" s="2"/>
      <c r="U949" s="2"/>
      <c r="V949" s="2"/>
      <c r="W949" s="2"/>
      <c r="X949" s="2"/>
    </row>
    <row r="950" spans="1:24" ht="18">
      <c r="A950" s="2"/>
      <c r="B950" s="2"/>
      <c r="C950" s="2"/>
      <c r="D950" s="2"/>
      <c r="E950" s="2"/>
      <c r="F950" s="2"/>
      <c r="G950" s="2"/>
      <c r="H950" s="2"/>
      <c r="I950" s="2"/>
      <c r="J950" s="2"/>
      <c r="K950" s="2"/>
      <c r="L950" s="2"/>
      <c r="M950" s="2"/>
      <c r="N950" s="2"/>
      <c r="O950" s="2"/>
      <c r="P950" s="2"/>
      <c r="Q950" s="2"/>
      <c r="R950" s="2"/>
      <c r="S950" s="2"/>
      <c r="T950" s="2"/>
      <c r="U950" s="2"/>
      <c r="V950" s="2"/>
      <c r="W950" s="2"/>
      <c r="X950" s="2"/>
    </row>
    <row r="951" spans="1:24" ht="18">
      <c r="A951" s="2"/>
      <c r="B951" s="2"/>
      <c r="C951" s="2"/>
      <c r="D951" s="2"/>
      <c r="E951" s="2"/>
      <c r="F951" s="2"/>
      <c r="G951" s="2"/>
      <c r="H951" s="2"/>
      <c r="I951" s="2"/>
      <c r="J951" s="2"/>
      <c r="K951" s="2"/>
      <c r="L951" s="2"/>
      <c r="M951" s="2"/>
      <c r="N951" s="2"/>
      <c r="O951" s="2"/>
      <c r="P951" s="2"/>
      <c r="Q951" s="2"/>
      <c r="R951" s="2"/>
      <c r="S951" s="2"/>
      <c r="T951" s="2"/>
      <c r="U951" s="2"/>
      <c r="V951" s="2"/>
      <c r="W951" s="2"/>
      <c r="X951" s="2"/>
    </row>
    <row r="952" spans="1:24" ht="18">
      <c r="A952" s="2"/>
      <c r="B952" s="2"/>
      <c r="C952" s="2"/>
      <c r="D952" s="2"/>
      <c r="E952" s="2"/>
      <c r="F952" s="2"/>
      <c r="G952" s="2"/>
      <c r="H952" s="2"/>
      <c r="I952" s="2"/>
      <c r="J952" s="2"/>
      <c r="K952" s="2"/>
      <c r="L952" s="2"/>
      <c r="M952" s="2"/>
      <c r="N952" s="2"/>
      <c r="O952" s="2"/>
      <c r="P952" s="2"/>
      <c r="Q952" s="2"/>
      <c r="R952" s="2"/>
      <c r="S952" s="2"/>
      <c r="T952" s="2"/>
      <c r="U952" s="2"/>
      <c r="V952" s="2"/>
      <c r="W952" s="2"/>
      <c r="X952" s="2"/>
    </row>
    <row r="953" spans="1:24" ht="18">
      <c r="A953" s="2"/>
      <c r="B953" s="2"/>
      <c r="C953" s="2"/>
      <c r="D953" s="2"/>
      <c r="E953" s="2"/>
      <c r="F953" s="2"/>
      <c r="G953" s="2"/>
      <c r="H953" s="2"/>
      <c r="I953" s="2"/>
      <c r="J953" s="2"/>
      <c r="K953" s="2"/>
      <c r="L953" s="2"/>
      <c r="M953" s="2"/>
      <c r="N953" s="2"/>
      <c r="O953" s="2"/>
      <c r="P953" s="2"/>
      <c r="Q953" s="2"/>
      <c r="R953" s="2"/>
      <c r="S953" s="2"/>
      <c r="T953" s="2"/>
      <c r="U953" s="2"/>
      <c r="V953" s="2"/>
      <c r="W953" s="2"/>
      <c r="X953" s="2"/>
    </row>
    <row r="954" spans="1:24" ht="18">
      <c r="A954" s="2"/>
      <c r="B954" s="2"/>
      <c r="C954" s="2"/>
      <c r="D954" s="2"/>
      <c r="E954" s="2"/>
      <c r="F954" s="2"/>
      <c r="G954" s="2"/>
      <c r="H954" s="2"/>
      <c r="I954" s="2"/>
      <c r="J954" s="2"/>
      <c r="K954" s="2"/>
      <c r="L954" s="2"/>
      <c r="M954" s="2"/>
      <c r="N954" s="2"/>
      <c r="O954" s="2"/>
      <c r="P954" s="2"/>
      <c r="Q954" s="2"/>
      <c r="R954" s="2"/>
      <c r="S954" s="2"/>
      <c r="T954" s="2"/>
      <c r="U954" s="2"/>
      <c r="V954" s="2"/>
      <c r="W954" s="2"/>
      <c r="X954" s="2"/>
    </row>
    <row r="955" spans="1:24" ht="18">
      <c r="A955" s="2"/>
      <c r="B955" s="2"/>
      <c r="C955" s="2"/>
      <c r="D955" s="2"/>
      <c r="E955" s="2"/>
      <c r="F955" s="2"/>
      <c r="G955" s="2"/>
      <c r="H955" s="2"/>
      <c r="I955" s="2"/>
      <c r="J955" s="2"/>
      <c r="K955" s="2"/>
      <c r="L955" s="2"/>
      <c r="M955" s="2"/>
      <c r="N955" s="2"/>
      <c r="O955" s="2"/>
      <c r="P955" s="2"/>
      <c r="Q955" s="2"/>
      <c r="R955" s="2"/>
      <c r="S955" s="2"/>
      <c r="T955" s="2"/>
      <c r="U955" s="2"/>
      <c r="V955" s="2"/>
      <c r="W955" s="2"/>
      <c r="X955" s="2"/>
    </row>
    <row r="956" spans="1:24" ht="18">
      <c r="A956" s="2"/>
      <c r="B956" s="2"/>
      <c r="C956" s="2"/>
      <c r="D956" s="2"/>
      <c r="E956" s="2"/>
      <c r="F956" s="2"/>
      <c r="G956" s="2"/>
      <c r="H956" s="2"/>
      <c r="I956" s="2"/>
      <c r="J956" s="2"/>
      <c r="K956" s="2"/>
      <c r="L956" s="2"/>
      <c r="M956" s="2"/>
      <c r="N956" s="2"/>
      <c r="O956" s="2"/>
      <c r="P956" s="2"/>
      <c r="Q956" s="2"/>
      <c r="R956" s="2"/>
      <c r="S956" s="2"/>
      <c r="T956" s="2"/>
      <c r="U956" s="2"/>
      <c r="V956" s="2"/>
      <c r="W956" s="2"/>
      <c r="X956" s="2"/>
    </row>
    <row r="957" spans="1:24" ht="18">
      <c r="A957" s="2"/>
      <c r="B957" s="2"/>
      <c r="C957" s="2"/>
      <c r="D957" s="2"/>
      <c r="E957" s="2"/>
      <c r="F957" s="2"/>
      <c r="G957" s="2"/>
      <c r="H957" s="2"/>
      <c r="I957" s="2"/>
      <c r="J957" s="2"/>
      <c r="K957" s="2"/>
      <c r="L957" s="2"/>
      <c r="M957" s="2"/>
      <c r="N957" s="2"/>
      <c r="O957" s="2"/>
      <c r="P957" s="2"/>
      <c r="Q957" s="2"/>
      <c r="R957" s="2"/>
      <c r="S957" s="2"/>
      <c r="T957" s="2"/>
      <c r="U957" s="2"/>
      <c r="V957" s="2"/>
      <c r="W957" s="2"/>
      <c r="X957" s="2"/>
    </row>
    <row r="958" spans="1:24" ht="18">
      <c r="A958" s="2"/>
      <c r="B958" s="2"/>
      <c r="C958" s="2"/>
      <c r="D958" s="2"/>
      <c r="E958" s="2"/>
      <c r="F958" s="2"/>
      <c r="G958" s="2"/>
      <c r="H958" s="2"/>
      <c r="I958" s="2"/>
      <c r="J958" s="2"/>
      <c r="K958" s="2"/>
      <c r="L958" s="2"/>
      <c r="M958" s="2"/>
      <c r="N958" s="2"/>
      <c r="O958" s="2"/>
      <c r="P958" s="2"/>
      <c r="Q958" s="2"/>
      <c r="R958" s="2"/>
      <c r="S958" s="2"/>
      <c r="T958" s="2"/>
      <c r="U958" s="2"/>
      <c r="V958" s="2"/>
      <c r="W958" s="2"/>
      <c r="X958" s="2"/>
    </row>
    <row r="959" spans="1:24" ht="18">
      <c r="A959" s="2"/>
      <c r="B959" s="2"/>
      <c r="C959" s="2"/>
      <c r="D959" s="2"/>
      <c r="E959" s="2"/>
      <c r="F959" s="2"/>
      <c r="G959" s="2"/>
      <c r="H959" s="2"/>
      <c r="I959" s="2"/>
      <c r="J959" s="2"/>
      <c r="K959" s="2"/>
      <c r="L959" s="2"/>
      <c r="M959" s="2"/>
      <c r="N959" s="2"/>
      <c r="O959" s="2"/>
      <c r="P959" s="2"/>
      <c r="Q959" s="2"/>
      <c r="R959" s="2"/>
      <c r="S959" s="2"/>
      <c r="T959" s="2"/>
      <c r="U959" s="2"/>
      <c r="V959" s="2"/>
      <c r="W959" s="2"/>
      <c r="X959" s="2"/>
    </row>
    <row r="960" spans="1:24" ht="18">
      <c r="A960" s="2"/>
      <c r="B960" s="2"/>
      <c r="C960" s="2"/>
      <c r="D960" s="2"/>
      <c r="E960" s="2"/>
      <c r="F960" s="2"/>
      <c r="G960" s="2"/>
      <c r="H960" s="2"/>
      <c r="I960" s="2"/>
      <c r="J960" s="2"/>
      <c r="K960" s="2"/>
      <c r="L960" s="2"/>
      <c r="M960" s="2"/>
      <c r="N960" s="2"/>
      <c r="O960" s="2"/>
      <c r="P960" s="2"/>
      <c r="Q960" s="2"/>
      <c r="R960" s="2"/>
      <c r="S960" s="2"/>
      <c r="T960" s="2"/>
      <c r="U960" s="2"/>
      <c r="V960" s="2"/>
      <c r="W960" s="2"/>
      <c r="X960" s="2"/>
    </row>
    <row r="961" spans="1:24" ht="18">
      <c r="A961" s="2"/>
      <c r="B961" s="2"/>
      <c r="C961" s="2"/>
      <c r="D961" s="2"/>
      <c r="E961" s="2"/>
      <c r="F961" s="2"/>
      <c r="G961" s="2"/>
      <c r="H961" s="2"/>
      <c r="I961" s="2"/>
      <c r="J961" s="2"/>
      <c r="K961" s="2"/>
      <c r="L961" s="2"/>
      <c r="M961" s="2"/>
      <c r="N961" s="2"/>
      <c r="O961" s="2"/>
      <c r="P961" s="2"/>
      <c r="Q961" s="2"/>
      <c r="R961" s="2"/>
      <c r="S961" s="2"/>
      <c r="T961" s="2"/>
      <c r="U961" s="2"/>
      <c r="V961" s="2"/>
      <c r="W961" s="2"/>
      <c r="X961" s="2"/>
    </row>
    <row r="962" spans="1:24" ht="18">
      <c r="A962" s="2"/>
      <c r="B962" s="2"/>
      <c r="C962" s="2"/>
      <c r="D962" s="2"/>
      <c r="E962" s="2"/>
      <c r="F962" s="2"/>
      <c r="G962" s="2"/>
      <c r="H962" s="2"/>
      <c r="I962" s="2"/>
      <c r="J962" s="2"/>
      <c r="K962" s="2"/>
      <c r="L962" s="2"/>
      <c r="M962" s="2"/>
      <c r="N962" s="2"/>
      <c r="O962" s="2"/>
      <c r="P962" s="2"/>
      <c r="Q962" s="2"/>
      <c r="R962" s="2"/>
      <c r="S962" s="2"/>
      <c r="T962" s="2"/>
      <c r="U962" s="2"/>
      <c r="V962" s="2"/>
      <c r="W962" s="2"/>
      <c r="X962" s="2"/>
    </row>
    <row r="963" spans="1:24" ht="18">
      <c r="A963" s="2"/>
      <c r="B963" s="2"/>
      <c r="C963" s="2"/>
      <c r="D963" s="2"/>
      <c r="E963" s="2"/>
      <c r="F963" s="2"/>
      <c r="G963" s="2"/>
      <c r="H963" s="2"/>
      <c r="I963" s="2"/>
      <c r="J963" s="2"/>
      <c r="K963" s="2"/>
      <c r="L963" s="2"/>
      <c r="M963" s="2"/>
      <c r="N963" s="2"/>
      <c r="O963" s="2"/>
      <c r="P963" s="2"/>
      <c r="Q963" s="2"/>
      <c r="R963" s="2"/>
      <c r="S963" s="2"/>
      <c r="T963" s="2"/>
      <c r="U963" s="2"/>
      <c r="V963" s="2"/>
      <c r="W963" s="2"/>
      <c r="X963" s="2"/>
    </row>
    <row r="964" spans="1:24" ht="18">
      <c r="A964" s="2"/>
      <c r="B964" s="2"/>
      <c r="C964" s="2"/>
      <c r="D964" s="2"/>
      <c r="E964" s="2"/>
      <c r="F964" s="2"/>
      <c r="G964" s="2"/>
      <c r="H964" s="2"/>
      <c r="I964" s="2"/>
      <c r="J964" s="2"/>
      <c r="K964" s="2"/>
      <c r="L964" s="2"/>
      <c r="M964" s="2"/>
      <c r="N964" s="2"/>
      <c r="O964" s="2"/>
      <c r="P964" s="2"/>
      <c r="Q964" s="2"/>
      <c r="R964" s="2"/>
      <c r="S964" s="2"/>
      <c r="T964" s="2"/>
      <c r="U964" s="2"/>
      <c r="V964" s="2"/>
      <c r="W964" s="2"/>
      <c r="X964" s="2"/>
    </row>
    <row r="965" spans="1:24" ht="18">
      <c r="A965" s="2"/>
      <c r="B965" s="2"/>
      <c r="C965" s="2"/>
      <c r="D965" s="2"/>
      <c r="E965" s="2"/>
      <c r="F965" s="2"/>
      <c r="G965" s="2"/>
      <c r="H965" s="2"/>
      <c r="I965" s="2"/>
      <c r="J965" s="2"/>
      <c r="K965" s="2"/>
      <c r="L965" s="2"/>
      <c r="M965" s="2"/>
      <c r="N965" s="2"/>
      <c r="O965" s="2"/>
      <c r="P965" s="2"/>
      <c r="Q965" s="2"/>
      <c r="R965" s="2"/>
      <c r="S965" s="2"/>
      <c r="T965" s="2"/>
      <c r="U965" s="2"/>
      <c r="V965" s="2"/>
      <c r="W965" s="2"/>
      <c r="X965" s="2"/>
    </row>
    <row r="966" spans="1:24" ht="18">
      <c r="A966" s="2"/>
      <c r="B966" s="2"/>
      <c r="C966" s="2"/>
      <c r="D966" s="2"/>
      <c r="E966" s="2"/>
      <c r="F966" s="2"/>
      <c r="G966" s="2"/>
      <c r="H966" s="2"/>
      <c r="I966" s="2"/>
      <c r="J966" s="2"/>
      <c r="K966" s="2"/>
      <c r="L966" s="2"/>
      <c r="M966" s="2"/>
      <c r="N966" s="2"/>
      <c r="O966" s="2"/>
      <c r="P966" s="2"/>
      <c r="Q966" s="2"/>
      <c r="R966" s="2"/>
      <c r="S966" s="2"/>
      <c r="T966" s="2"/>
      <c r="U966" s="2"/>
      <c r="V966" s="2"/>
      <c r="W966" s="2"/>
      <c r="X966" s="2"/>
    </row>
    <row r="967" spans="1:24" ht="18">
      <c r="A967" s="2"/>
      <c r="B967" s="2"/>
      <c r="C967" s="2"/>
      <c r="D967" s="2"/>
      <c r="E967" s="2"/>
      <c r="F967" s="2"/>
      <c r="G967" s="2"/>
      <c r="H967" s="2"/>
      <c r="I967" s="2"/>
      <c r="J967" s="2"/>
      <c r="K967" s="2"/>
      <c r="L967" s="2"/>
      <c r="M967" s="2"/>
      <c r="N967" s="2"/>
      <c r="O967" s="2"/>
      <c r="P967" s="2"/>
      <c r="Q967" s="2"/>
      <c r="R967" s="2"/>
      <c r="S967" s="2"/>
      <c r="T967" s="2"/>
      <c r="U967" s="2"/>
      <c r="V967" s="2"/>
      <c r="W967" s="2"/>
      <c r="X967" s="2"/>
    </row>
    <row r="968" spans="1:24" ht="18">
      <c r="A968" s="2"/>
      <c r="B968" s="2"/>
      <c r="C968" s="2"/>
      <c r="D968" s="2"/>
      <c r="E968" s="2"/>
      <c r="F968" s="2"/>
      <c r="G968" s="2"/>
      <c r="H968" s="2"/>
      <c r="I968" s="2"/>
      <c r="J968" s="2"/>
      <c r="K968" s="2"/>
      <c r="L968" s="2"/>
      <c r="M968" s="2"/>
      <c r="N968" s="2"/>
      <c r="O968" s="2"/>
      <c r="P968" s="2"/>
      <c r="Q968" s="2"/>
      <c r="R968" s="2"/>
      <c r="S968" s="2"/>
      <c r="T968" s="2"/>
      <c r="U968" s="2"/>
      <c r="V968" s="2"/>
      <c r="W968" s="2"/>
      <c r="X968" s="2"/>
    </row>
    <row r="969" spans="1:24" ht="18">
      <c r="A969" s="2"/>
      <c r="B969" s="2"/>
      <c r="C969" s="2"/>
      <c r="D969" s="2"/>
      <c r="E969" s="2"/>
      <c r="F969" s="2"/>
      <c r="G969" s="2"/>
      <c r="H969" s="2"/>
      <c r="I969" s="2"/>
      <c r="J969" s="2"/>
      <c r="K969" s="2"/>
      <c r="L969" s="2"/>
      <c r="M969" s="2"/>
      <c r="N969" s="2"/>
      <c r="O969" s="2"/>
      <c r="P969" s="2"/>
      <c r="Q969" s="2"/>
      <c r="R969" s="2"/>
      <c r="S969" s="2"/>
      <c r="T969" s="2"/>
      <c r="U969" s="2"/>
      <c r="V969" s="2"/>
      <c r="W969" s="2"/>
      <c r="X969" s="2"/>
    </row>
    <row r="970" spans="1:24" ht="18">
      <c r="A970" s="2"/>
      <c r="B970" s="2"/>
      <c r="C970" s="2"/>
      <c r="D970" s="2"/>
      <c r="E970" s="2"/>
      <c r="F970" s="2"/>
      <c r="G970" s="2"/>
      <c r="H970" s="2"/>
      <c r="I970" s="2"/>
      <c r="J970" s="2"/>
      <c r="K970" s="2"/>
      <c r="L970" s="2"/>
      <c r="M970" s="2"/>
      <c r="N970" s="2"/>
      <c r="O970" s="2"/>
      <c r="P970" s="2"/>
      <c r="Q970" s="2"/>
      <c r="R970" s="2"/>
      <c r="S970" s="2"/>
      <c r="T970" s="2"/>
      <c r="U970" s="2"/>
      <c r="V970" s="2"/>
      <c r="W970" s="2"/>
      <c r="X970" s="2"/>
    </row>
    <row r="971" spans="1:24" ht="18">
      <c r="A971" s="2"/>
      <c r="B971" s="2"/>
      <c r="C971" s="2"/>
      <c r="D971" s="2"/>
      <c r="E971" s="2"/>
      <c r="F971" s="2"/>
      <c r="G971" s="2"/>
      <c r="H971" s="2"/>
      <c r="I971" s="2"/>
      <c r="J971" s="2"/>
      <c r="K971" s="2"/>
      <c r="L971" s="2"/>
      <c r="M971" s="2"/>
      <c r="N971" s="2"/>
      <c r="O971" s="2"/>
      <c r="P971" s="2"/>
      <c r="Q971" s="2"/>
      <c r="R971" s="2"/>
      <c r="S971" s="2"/>
      <c r="T971" s="2"/>
      <c r="U971" s="2"/>
      <c r="V971" s="2"/>
      <c r="W971" s="2"/>
      <c r="X971" s="2"/>
    </row>
    <row r="972" spans="1:24" ht="18">
      <c r="A972" s="2"/>
      <c r="B972" s="2"/>
      <c r="C972" s="2"/>
      <c r="D972" s="2"/>
      <c r="E972" s="2"/>
      <c r="F972" s="2"/>
      <c r="G972" s="2"/>
      <c r="H972" s="2"/>
      <c r="I972" s="2"/>
      <c r="J972" s="2"/>
      <c r="K972" s="2"/>
      <c r="L972" s="2"/>
      <c r="M972" s="2"/>
      <c r="N972" s="2"/>
      <c r="O972" s="2"/>
      <c r="P972" s="2"/>
      <c r="Q972" s="2"/>
      <c r="R972" s="2"/>
      <c r="S972" s="2"/>
      <c r="T972" s="2"/>
      <c r="U972" s="2"/>
      <c r="V972" s="2"/>
      <c r="W972" s="2"/>
      <c r="X972" s="2"/>
    </row>
    <row r="973" spans="1:24" ht="18">
      <c r="A973" s="2"/>
      <c r="B973" s="2"/>
      <c r="C973" s="2"/>
      <c r="D973" s="2"/>
      <c r="E973" s="2"/>
      <c r="F973" s="2"/>
      <c r="G973" s="2"/>
      <c r="H973" s="2"/>
      <c r="I973" s="2"/>
      <c r="J973" s="2"/>
      <c r="K973" s="2"/>
      <c r="L973" s="2"/>
      <c r="M973" s="2"/>
      <c r="N973" s="2"/>
      <c r="O973" s="2"/>
      <c r="P973" s="2"/>
      <c r="Q973" s="2"/>
      <c r="R973" s="2"/>
      <c r="S973" s="2"/>
      <c r="T973" s="2"/>
      <c r="U973" s="2"/>
      <c r="V973" s="2"/>
      <c r="W973" s="2"/>
      <c r="X973" s="2"/>
    </row>
    <row r="974" spans="1:24" ht="18">
      <c r="A974" s="2"/>
      <c r="B974" s="2"/>
      <c r="C974" s="2"/>
      <c r="D974" s="2"/>
      <c r="E974" s="2"/>
      <c r="F974" s="2"/>
      <c r="G974" s="2"/>
      <c r="H974" s="2"/>
      <c r="I974" s="2"/>
      <c r="J974" s="2"/>
      <c r="K974" s="2"/>
      <c r="L974" s="2"/>
      <c r="M974" s="2"/>
      <c r="N974" s="2"/>
      <c r="O974" s="2"/>
      <c r="P974" s="2"/>
      <c r="Q974" s="2"/>
      <c r="R974" s="2"/>
      <c r="S974" s="2"/>
      <c r="T974" s="2"/>
      <c r="U974" s="2"/>
      <c r="V974" s="2"/>
      <c r="W974" s="2"/>
      <c r="X974" s="2"/>
    </row>
    <row r="975" spans="1:24" ht="18">
      <c r="A975" s="2"/>
      <c r="B975" s="2"/>
      <c r="C975" s="2"/>
      <c r="D975" s="2"/>
      <c r="E975" s="2"/>
      <c r="F975" s="2"/>
      <c r="G975" s="2"/>
      <c r="H975" s="2"/>
      <c r="I975" s="2"/>
      <c r="J975" s="2"/>
      <c r="K975" s="2"/>
      <c r="L975" s="2"/>
      <c r="M975" s="2"/>
      <c r="N975" s="2"/>
      <c r="O975" s="2"/>
      <c r="P975" s="2"/>
      <c r="Q975" s="2"/>
      <c r="R975" s="2"/>
      <c r="S975" s="2"/>
      <c r="T975" s="2"/>
      <c r="U975" s="2"/>
      <c r="V975" s="2"/>
      <c r="W975" s="2"/>
      <c r="X975" s="2"/>
    </row>
    <row r="976" spans="1:24" ht="18">
      <c r="A976" s="2"/>
      <c r="B976" s="2"/>
      <c r="C976" s="2"/>
      <c r="D976" s="2"/>
      <c r="E976" s="2"/>
      <c r="F976" s="2"/>
      <c r="G976" s="2"/>
      <c r="H976" s="2"/>
      <c r="I976" s="2"/>
      <c r="J976" s="2"/>
      <c r="K976" s="2"/>
      <c r="L976" s="2"/>
      <c r="M976" s="2"/>
      <c r="N976" s="2"/>
      <c r="O976" s="2"/>
      <c r="P976" s="2"/>
      <c r="Q976" s="2"/>
      <c r="R976" s="2"/>
      <c r="S976" s="2"/>
      <c r="T976" s="2"/>
      <c r="U976" s="2"/>
      <c r="V976" s="2"/>
      <c r="W976" s="2"/>
      <c r="X976" s="2"/>
    </row>
    <row r="977" spans="1:24" ht="18">
      <c r="A977" s="2"/>
      <c r="B977" s="2"/>
      <c r="C977" s="2"/>
      <c r="D977" s="2"/>
      <c r="E977" s="2"/>
      <c r="F977" s="2"/>
      <c r="G977" s="2"/>
      <c r="H977" s="2"/>
      <c r="I977" s="2"/>
      <c r="J977" s="2"/>
      <c r="K977" s="2"/>
      <c r="L977" s="2"/>
      <c r="M977" s="2"/>
      <c r="N977" s="2"/>
      <c r="O977" s="2"/>
      <c r="P977" s="2"/>
      <c r="Q977" s="2"/>
      <c r="R977" s="2"/>
      <c r="S977" s="2"/>
      <c r="T977" s="2"/>
      <c r="U977" s="2"/>
      <c r="V977" s="2"/>
      <c r="W977" s="2"/>
      <c r="X977" s="2"/>
    </row>
    <row r="978" spans="1:24" ht="18">
      <c r="A978" s="2"/>
      <c r="B978" s="2"/>
      <c r="C978" s="2"/>
      <c r="D978" s="2"/>
      <c r="E978" s="2"/>
      <c r="F978" s="2"/>
      <c r="G978" s="2"/>
      <c r="H978" s="2"/>
      <c r="I978" s="2"/>
      <c r="J978" s="2"/>
      <c r="K978" s="2"/>
      <c r="L978" s="2"/>
      <c r="M978" s="2"/>
      <c r="N978" s="2"/>
      <c r="O978" s="2"/>
      <c r="P978" s="2"/>
      <c r="Q978" s="2"/>
      <c r="R978" s="2"/>
      <c r="S978" s="2"/>
      <c r="T978" s="2"/>
      <c r="U978" s="2"/>
      <c r="V978" s="2"/>
      <c r="W978" s="2"/>
      <c r="X978" s="2"/>
    </row>
    <row r="979" spans="1:24" ht="18">
      <c r="A979" s="2"/>
      <c r="B979" s="2"/>
      <c r="C979" s="2"/>
      <c r="D979" s="2"/>
      <c r="E979" s="2"/>
      <c r="F979" s="2"/>
      <c r="G979" s="2"/>
      <c r="H979" s="2"/>
      <c r="I979" s="2"/>
      <c r="J979" s="2"/>
      <c r="K979" s="2"/>
      <c r="L979" s="2"/>
      <c r="M979" s="2"/>
      <c r="N979" s="2"/>
      <c r="O979" s="2"/>
      <c r="P979" s="2"/>
      <c r="Q979" s="2"/>
      <c r="R979" s="2"/>
      <c r="S979" s="2"/>
      <c r="T979" s="2"/>
      <c r="U979" s="2"/>
      <c r="V979" s="2"/>
      <c r="W979" s="2"/>
      <c r="X979" s="2"/>
    </row>
    <row r="980" spans="1:24" ht="18">
      <c r="A980" s="2"/>
      <c r="B980" s="2"/>
      <c r="C980" s="2"/>
      <c r="D980" s="2"/>
      <c r="E980" s="2"/>
      <c r="F980" s="2"/>
      <c r="G980" s="2"/>
      <c r="H980" s="2"/>
      <c r="I980" s="2"/>
      <c r="J980" s="2"/>
      <c r="K980" s="2"/>
      <c r="L980" s="2"/>
      <c r="M980" s="2"/>
      <c r="N980" s="2"/>
      <c r="O980" s="2"/>
      <c r="P980" s="2"/>
      <c r="Q980" s="2"/>
      <c r="R980" s="2"/>
      <c r="S980" s="2"/>
      <c r="T980" s="2"/>
      <c r="U980" s="2"/>
      <c r="V980" s="2"/>
      <c r="W980" s="2"/>
      <c r="X980" s="2"/>
    </row>
    <row r="981" spans="1:24" ht="18">
      <c r="A981" s="2"/>
      <c r="B981" s="2"/>
      <c r="C981" s="2"/>
      <c r="D981" s="2"/>
      <c r="E981" s="2"/>
      <c r="F981" s="2"/>
      <c r="G981" s="2"/>
      <c r="H981" s="2"/>
      <c r="I981" s="2"/>
      <c r="J981" s="2"/>
      <c r="K981" s="2"/>
      <c r="L981" s="2"/>
      <c r="M981" s="2"/>
      <c r="N981" s="2"/>
      <c r="O981" s="2"/>
      <c r="P981" s="2"/>
      <c r="Q981" s="2"/>
      <c r="R981" s="2"/>
      <c r="S981" s="2"/>
      <c r="T981" s="2"/>
      <c r="U981" s="2"/>
      <c r="V981" s="2"/>
      <c r="W981" s="2"/>
      <c r="X981" s="2"/>
    </row>
    <row r="982" spans="1:24" ht="18">
      <c r="A982" s="2"/>
      <c r="B982" s="2"/>
      <c r="C982" s="2"/>
      <c r="D982" s="2"/>
      <c r="E982" s="2"/>
      <c r="F982" s="2"/>
      <c r="G982" s="2"/>
      <c r="H982" s="2"/>
      <c r="I982" s="2"/>
      <c r="J982" s="2"/>
      <c r="K982" s="2"/>
      <c r="L982" s="2"/>
      <c r="M982" s="2"/>
      <c r="N982" s="2"/>
      <c r="O982" s="2"/>
      <c r="P982" s="2"/>
      <c r="Q982" s="2"/>
      <c r="R982" s="2"/>
      <c r="S982" s="2"/>
      <c r="T982" s="2"/>
      <c r="U982" s="2"/>
      <c r="V982" s="2"/>
      <c r="W982" s="2"/>
      <c r="X982" s="2"/>
    </row>
    <row r="983" spans="1:24" ht="18">
      <c r="A983" s="2"/>
      <c r="B983" s="2"/>
      <c r="C983" s="2"/>
      <c r="D983" s="2"/>
      <c r="E983" s="2"/>
      <c r="F983" s="2"/>
      <c r="G983" s="2"/>
      <c r="H983" s="2"/>
      <c r="I983" s="2"/>
      <c r="J983" s="2"/>
      <c r="K983" s="2"/>
      <c r="L983" s="2"/>
      <c r="M983" s="2"/>
      <c r="N983" s="2"/>
      <c r="O983" s="2"/>
      <c r="P983" s="2"/>
      <c r="Q983" s="2"/>
      <c r="R983" s="2"/>
      <c r="S983" s="2"/>
      <c r="T983" s="2"/>
      <c r="U983" s="2"/>
      <c r="V983" s="2"/>
      <c r="W983" s="2"/>
      <c r="X983" s="2"/>
    </row>
    <row r="984" spans="1:24" ht="18">
      <c r="A984" s="2"/>
      <c r="B984" s="2"/>
      <c r="C984" s="2"/>
      <c r="D984" s="2"/>
      <c r="E984" s="2"/>
      <c r="F984" s="2"/>
      <c r="G984" s="2"/>
      <c r="H984" s="2"/>
      <c r="I984" s="2"/>
      <c r="J984" s="2"/>
      <c r="K984" s="2"/>
      <c r="L984" s="2"/>
      <c r="M984" s="2"/>
      <c r="N984" s="2"/>
      <c r="O984" s="2"/>
      <c r="P984" s="2"/>
      <c r="Q984" s="2"/>
      <c r="R984" s="2"/>
      <c r="S984" s="2"/>
      <c r="T984" s="2"/>
      <c r="U984" s="2"/>
      <c r="V984" s="2"/>
      <c r="W984" s="2"/>
      <c r="X984" s="2"/>
    </row>
    <row r="985" spans="1:24" ht="18">
      <c r="A985" s="2"/>
      <c r="B985" s="2"/>
      <c r="C985" s="2"/>
      <c r="D985" s="2"/>
      <c r="E985" s="2"/>
      <c r="F985" s="2"/>
      <c r="G985" s="2"/>
      <c r="H985" s="2"/>
      <c r="I985" s="2"/>
      <c r="J985" s="2"/>
      <c r="K985" s="2"/>
      <c r="L985" s="2"/>
      <c r="M985" s="2"/>
      <c r="N985" s="2"/>
      <c r="O985" s="2"/>
      <c r="P985" s="2"/>
      <c r="Q985" s="2"/>
      <c r="R985" s="2"/>
      <c r="S985" s="2"/>
      <c r="T985" s="2"/>
      <c r="U985" s="2"/>
      <c r="V985" s="2"/>
      <c r="W985" s="2"/>
      <c r="X985" s="2"/>
    </row>
    <row r="986" spans="1:24" ht="18">
      <c r="A986" s="2"/>
      <c r="B986" s="2"/>
      <c r="C986" s="2"/>
      <c r="D986" s="2"/>
      <c r="E986" s="2"/>
      <c r="F986" s="2"/>
      <c r="G986" s="2"/>
      <c r="H986" s="2"/>
      <c r="I986" s="2"/>
      <c r="J986" s="2"/>
      <c r="K986" s="2"/>
      <c r="L986" s="2"/>
      <c r="M986" s="2"/>
      <c r="N986" s="2"/>
      <c r="O986" s="2"/>
      <c r="P986" s="2"/>
      <c r="Q986" s="2"/>
      <c r="R986" s="2"/>
      <c r="S986" s="2"/>
      <c r="T986" s="2"/>
      <c r="U986" s="2"/>
      <c r="V986" s="2"/>
      <c r="W986" s="2"/>
      <c r="X986" s="2"/>
    </row>
    <row r="987" spans="1:24" ht="18">
      <c r="A987" s="2"/>
      <c r="B987" s="2"/>
      <c r="C987" s="2"/>
      <c r="D987" s="2"/>
      <c r="E987" s="2"/>
      <c r="F987" s="2"/>
      <c r="G987" s="2"/>
      <c r="H987" s="2"/>
      <c r="I987" s="2"/>
      <c r="J987" s="2"/>
      <c r="K987" s="2"/>
      <c r="L987" s="2"/>
      <c r="M987" s="2"/>
      <c r="N987" s="2"/>
      <c r="O987" s="2"/>
      <c r="P987" s="2"/>
      <c r="Q987" s="2"/>
      <c r="R987" s="2"/>
      <c r="S987" s="2"/>
      <c r="T987" s="2"/>
      <c r="U987" s="2"/>
      <c r="V987" s="2"/>
      <c r="W987" s="2"/>
      <c r="X987" s="2"/>
    </row>
    <row r="988" spans="1:24" ht="18">
      <c r="A988" s="2"/>
      <c r="B988" s="2"/>
      <c r="C988" s="2"/>
      <c r="D988" s="2"/>
      <c r="E988" s="2"/>
      <c r="F988" s="2"/>
      <c r="G988" s="2"/>
      <c r="H988" s="2"/>
      <c r="I988" s="2"/>
      <c r="J988" s="2"/>
      <c r="K988" s="2"/>
      <c r="L988" s="2"/>
      <c r="M988" s="2"/>
      <c r="N988" s="2"/>
      <c r="O988" s="2"/>
      <c r="P988" s="2"/>
      <c r="Q988" s="2"/>
      <c r="R988" s="2"/>
      <c r="S988" s="2"/>
      <c r="T988" s="2"/>
      <c r="U988" s="2"/>
      <c r="V988" s="2"/>
      <c r="W988" s="2"/>
      <c r="X988" s="2"/>
    </row>
    <row r="989" spans="1:24" ht="18">
      <c r="A989" s="2"/>
      <c r="B989" s="2"/>
      <c r="C989" s="2"/>
      <c r="D989" s="2"/>
      <c r="E989" s="2"/>
      <c r="F989" s="2"/>
      <c r="G989" s="2"/>
      <c r="H989" s="2"/>
      <c r="I989" s="2"/>
      <c r="J989" s="2"/>
      <c r="K989" s="2"/>
      <c r="L989" s="2"/>
      <c r="M989" s="2"/>
      <c r="N989" s="2"/>
      <c r="O989" s="2"/>
      <c r="P989" s="2"/>
      <c r="Q989" s="2"/>
      <c r="R989" s="2"/>
      <c r="S989" s="2"/>
      <c r="T989" s="2"/>
      <c r="U989" s="2"/>
      <c r="V989" s="2"/>
      <c r="W989" s="2"/>
      <c r="X989" s="2"/>
    </row>
    <row r="990" spans="1:24" ht="18">
      <c r="A990" s="2"/>
      <c r="B990" s="2"/>
      <c r="C990" s="2"/>
      <c r="D990" s="2"/>
      <c r="E990" s="2"/>
      <c r="F990" s="2"/>
      <c r="G990" s="2"/>
      <c r="H990" s="2"/>
      <c r="I990" s="2"/>
      <c r="J990" s="2"/>
      <c r="K990" s="2"/>
      <c r="L990" s="2"/>
      <c r="M990" s="2"/>
      <c r="N990" s="2"/>
      <c r="O990" s="2"/>
      <c r="P990" s="2"/>
      <c r="Q990" s="2"/>
      <c r="R990" s="2"/>
      <c r="S990" s="2"/>
      <c r="T990" s="2"/>
      <c r="U990" s="2"/>
      <c r="V990" s="2"/>
      <c r="W990" s="2"/>
      <c r="X990" s="2"/>
    </row>
    <row r="991" spans="1:24" ht="18">
      <c r="A991" s="2"/>
      <c r="B991" s="2"/>
      <c r="C991" s="2"/>
      <c r="D991" s="2"/>
      <c r="E991" s="2"/>
      <c r="F991" s="2"/>
      <c r="G991" s="2"/>
      <c r="H991" s="2"/>
      <c r="I991" s="2"/>
      <c r="J991" s="2"/>
      <c r="K991" s="2"/>
      <c r="L991" s="2"/>
      <c r="M991" s="2"/>
      <c r="N991" s="2"/>
      <c r="O991" s="2"/>
      <c r="P991" s="2"/>
      <c r="Q991" s="2"/>
      <c r="R991" s="2"/>
      <c r="S991" s="2"/>
      <c r="T991" s="2"/>
      <c r="U991" s="2"/>
      <c r="V991" s="2"/>
      <c r="W991" s="2"/>
      <c r="X991" s="2"/>
    </row>
    <row r="992" spans="1:24" ht="18">
      <c r="A992" s="2"/>
      <c r="B992" s="2"/>
      <c r="C992" s="2"/>
      <c r="D992" s="2"/>
      <c r="E992" s="2"/>
      <c r="F992" s="2"/>
      <c r="G992" s="2"/>
      <c r="H992" s="2"/>
      <c r="I992" s="2"/>
      <c r="J992" s="2"/>
      <c r="K992" s="2"/>
      <c r="L992" s="2"/>
      <c r="M992" s="2"/>
      <c r="N992" s="2"/>
      <c r="O992" s="2"/>
      <c r="P992" s="2"/>
      <c r="Q992" s="2"/>
      <c r="R992" s="2"/>
      <c r="S992" s="2"/>
      <c r="T992" s="2"/>
      <c r="U992" s="2"/>
      <c r="V992" s="2"/>
      <c r="W992" s="2"/>
      <c r="X992" s="2"/>
    </row>
    <row r="993" spans="1:24" ht="18">
      <c r="A993" s="2"/>
      <c r="B993" s="2"/>
      <c r="C993" s="2"/>
      <c r="D993" s="2"/>
      <c r="E993" s="2"/>
      <c r="F993" s="2"/>
      <c r="G993" s="2"/>
      <c r="H993" s="2"/>
      <c r="I993" s="2"/>
      <c r="J993" s="2"/>
      <c r="K993" s="2"/>
      <c r="L993" s="2"/>
      <c r="M993" s="2"/>
      <c r="N993" s="2"/>
      <c r="O993" s="2"/>
      <c r="P993" s="2"/>
      <c r="Q993" s="2"/>
      <c r="R993" s="2"/>
      <c r="S993" s="2"/>
      <c r="T993" s="2"/>
      <c r="U993" s="2"/>
      <c r="V993" s="2"/>
      <c r="W993" s="2"/>
      <c r="X993" s="2"/>
    </row>
    <row r="994" spans="1:24" ht="18">
      <c r="A994" s="2"/>
      <c r="B994" s="2"/>
      <c r="C994" s="2"/>
      <c r="D994" s="2"/>
      <c r="E994" s="2"/>
      <c r="F994" s="2"/>
      <c r="G994" s="2"/>
      <c r="H994" s="2"/>
      <c r="I994" s="2"/>
      <c r="J994" s="2"/>
      <c r="K994" s="2"/>
      <c r="L994" s="2"/>
      <c r="M994" s="2"/>
      <c r="N994" s="2"/>
      <c r="O994" s="2"/>
      <c r="P994" s="2"/>
      <c r="Q994" s="2"/>
      <c r="R994" s="2"/>
      <c r="S994" s="2"/>
      <c r="T994" s="2"/>
      <c r="U994" s="2"/>
      <c r="V994" s="2"/>
      <c r="W994" s="2"/>
      <c r="X994" s="2"/>
    </row>
    <row r="995" spans="1:24" ht="18">
      <c r="A995" s="2"/>
      <c r="B995" s="2"/>
      <c r="C995" s="2"/>
      <c r="D995" s="2"/>
      <c r="E995" s="2"/>
      <c r="F995" s="2"/>
      <c r="G995" s="2"/>
      <c r="H995" s="2"/>
      <c r="I995" s="2"/>
      <c r="J995" s="2"/>
      <c r="K995" s="2"/>
      <c r="L995" s="2"/>
      <c r="M995" s="2"/>
      <c r="N995" s="2"/>
      <c r="O995" s="2"/>
      <c r="P995" s="2"/>
      <c r="Q995" s="2"/>
      <c r="R995" s="2"/>
      <c r="S995" s="2"/>
      <c r="T995" s="2"/>
      <c r="U995" s="2"/>
      <c r="V995" s="2"/>
      <c r="W995" s="2"/>
      <c r="X995" s="2"/>
    </row>
    <row r="996" spans="1:24" ht="18">
      <c r="A996" s="2"/>
      <c r="B996" s="2"/>
      <c r="C996" s="2"/>
      <c r="D996" s="2"/>
      <c r="E996" s="2"/>
      <c r="F996" s="2"/>
      <c r="G996" s="2"/>
      <c r="H996" s="2"/>
      <c r="I996" s="2"/>
      <c r="J996" s="2"/>
      <c r="K996" s="2"/>
      <c r="L996" s="2"/>
      <c r="M996" s="2"/>
      <c r="N996" s="2"/>
      <c r="O996" s="2"/>
      <c r="P996" s="2"/>
      <c r="Q996" s="2"/>
      <c r="R996" s="2"/>
      <c r="S996" s="2"/>
      <c r="T996" s="2"/>
      <c r="U996" s="2"/>
      <c r="V996" s="2"/>
      <c r="W996" s="2"/>
      <c r="X996" s="2"/>
    </row>
    <row r="997" spans="1:24" ht="18">
      <c r="A997" s="2"/>
      <c r="B997" s="2"/>
      <c r="C997" s="2"/>
      <c r="D997" s="2"/>
      <c r="E997" s="2"/>
      <c r="F997" s="2"/>
      <c r="G997" s="2"/>
      <c r="H997" s="2"/>
      <c r="I997" s="2"/>
      <c r="J997" s="2"/>
      <c r="K997" s="2"/>
      <c r="L997" s="2"/>
      <c r="M997" s="2"/>
      <c r="N997" s="2"/>
      <c r="O997" s="2"/>
      <c r="P997" s="2"/>
      <c r="Q997" s="2"/>
      <c r="R997" s="2"/>
      <c r="S997" s="2"/>
      <c r="T997" s="2"/>
      <c r="U997" s="2"/>
      <c r="V997" s="2"/>
      <c r="W997" s="2"/>
      <c r="X997" s="2"/>
    </row>
    <row r="998" spans="1:24" ht="18">
      <c r="A998" s="2"/>
      <c r="B998" s="2"/>
      <c r="C998" s="2"/>
      <c r="D998" s="2"/>
      <c r="E998" s="2"/>
      <c r="F998" s="2"/>
      <c r="G998" s="2"/>
      <c r="H998" s="2"/>
      <c r="I998" s="2"/>
      <c r="J998" s="2"/>
      <c r="K998" s="2"/>
      <c r="L998" s="2"/>
      <c r="M998" s="2"/>
      <c r="N998" s="2"/>
      <c r="O998" s="2"/>
      <c r="P998" s="2"/>
      <c r="Q998" s="2"/>
      <c r="R998" s="2"/>
      <c r="S998" s="2"/>
      <c r="T998" s="2"/>
      <c r="U998" s="2"/>
      <c r="V998" s="2"/>
      <c r="W998" s="2"/>
      <c r="X998" s="2"/>
    </row>
    <row r="999" spans="1:24" ht="18">
      <c r="A999" s="2"/>
      <c r="B999" s="2"/>
      <c r="C999" s="2"/>
      <c r="D999" s="2"/>
      <c r="E999" s="2"/>
      <c r="F999" s="2"/>
      <c r="G999" s="2"/>
      <c r="H999" s="2"/>
      <c r="I999" s="2"/>
      <c r="J999" s="2"/>
      <c r="K999" s="2"/>
      <c r="L999" s="2"/>
      <c r="M999" s="2"/>
      <c r="N999" s="2"/>
      <c r="O999" s="2"/>
      <c r="P999" s="2"/>
      <c r="Q999" s="2"/>
      <c r="R999" s="2"/>
      <c r="S999" s="2"/>
      <c r="T999" s="2"/>
      <c r="U999" s="2"/>
      <c r="V999" s="2"/>
      <c r="W999" s="2"/>
      <c r="X999" s="2"/>
    </row>
    <row r="1000" spans="1:24" ht="18">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row>
  </sheetData>
  <mergeCells count="4">
    <mergeCell ref="A2:F2"/>
    <mergeCell ref="A17:F17"/>
    <mergeCell ref="A32:F32"/>
    <mergeCell ref="H9:N9"/>
  </mergeCells>
  <hyperlinks>
    <hyperlink ref="A1" location="Index!A1" display="Index!A1"/>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A9999"/>
  </sheetPr>
  <dimension ref="A1:Y1000"/>
  <sheetViews>
    <sheetView workbookViewId="0"/>
  </sheetViews>
  <sheetFormatPr defaultColWidth="14.33203125" defaultRowHeight="14.25"/>
  <cols>
    <col min="1" max="1" width="60.1328125" bestFit="1" customWidth="1"/>
    <col min="2" max="2" width="23.796875" bestFit="1" customWidth="1"/>
    <col min="3" max="3" width="23.33203125" bestFit="1" customWidth="1"/>
    <col min="4" max="4" width="19.33203125" bestFit="1" customWidth="1"/>
    <col min="5" max="5" width="22.796875" bestFit="1" customWidth="1"/>
    <col min="6" max="6" width="20.33203125" customWidth="1"/>
    <col min="7" max="7" width="27.6640625" bestFit="1" customWidth="1"/>
    <col min="8" max="8" width="19.796875" bestFit="1" customWidth="1"/>
    <col min="9" max="12" width="10.6640625" bestFit="1" customWidth="1"/>
    <col min="13" max="15" width="8.33203125" customWidth="1"/>
    <col min="16" max="25" width="8.796875" customWidth="1"/>
  </cols>
  <sheetData>
    <row r="1" spans="1:25" ht="18">
      <c r="A1" s="765" t="s">
        <v>0</v>
      </c>
      <c r="B1" s="2"/>
      <c r="C1" s="2"/>
      <c r="D1" s="2"/>
      <c r="F1" s="2"/>
      <c r="G1" s="2"/>
      <c r="H1" s="2"/>
      <c r="I1" s="2"/>
      <c r="J1" s="2"/>
      <c r="K1" s="2"/>
      <c r="L1" s="2"/>
      <c r="M1" s="2"/>
      <c r="N1" s="2"/>
      <c r="O1" s="2"/>
      <c r="P1" s="2"/>
      <c r="Q1" s="2"/>
      <c r="R1" s="2"/>
      <c r="S1" s="2"/>
      <c r="T1" s="2"/>
      <c r="U1" s="2"/>
      <c r="V1" s="2"/>
      <c r="W1" s="2"/>
      <c r="X1" s="2"/>
      <c r="Y1" s="2"/>
    </row>
    <row r="2" spans="1:25" ht="18">
      <c r="A2" s="4" t="s">
        <v>4</v>
      </c>
      <c r="B2" s="5" t="s">
        <v>6</v>
      </c>
      <c r="C2" s="5" t="s">
        <v>9</v>
      </c>
      <c r="D2" s="5" t="s">
        <v>10</v>
      </c>
      <c r="E2" s="5" t="s">
        <v>11</v>
      </c>
      <c r="F2" s="2"/>
      <c r="G2" s="1311" t="s">
        <v>12</v>
      </c>
      <c r="H2" s="1305"/>
      <c r="I2" s="1306"/>
      <c r="J2" s="2"/>
      <c r="K2" s="2"/>
      <c r="L2" s="2"/>
      <c r="M2" s="2"/>
      <c r="N2" s="2"/>
      <c r="O2" s="2"/>
      <c r="P2" s="2"/>
      <c r="Q2" s="2"/>
      <c r="R2" s="2"/>
      <c r="S2" s="2"/>
      <c r="T2" s="2"/>
      <c r="U2" s="2"/>
      <c r="V2" s="2"/>
      <c r="W2" s="2"/>
      <c r="X2" s="2"/>
      <c r="Y2" s="2"/>
    </row>
    <row r="3" spans="1:25" ht="36">
      <c r="A3" s="7" t="s">
        <v>14</v>
      </c>
      <c r="B3" s="25">
        <f>ACV!F26/ACV!F28</f>
        <v>9.1457570972425531E-2</v>
      </c>
      <c r="C3" s="14">
        <f t="shared" ref="C3:C4" si="0">E3*(1-D3)</f>
        <v>50</v>
      </c>
      <c r="D3" s="25">
        <f t="shared" ref="D3:D4" si="1">I3</f>
        <v>0.5</v>
      </c>
      <c r="E3" s="18">
        <f t="shared" ref="E3:E4" si="2">I7</f>
        <v>100</v>
      </c>
      <c r="F3" s="2"/>
      <c r="G3" s="1308" t="s">
        <v>35</v>
      </c>
      <c r="H3" s="20" t="s">
        <v>36</v>
      </c>
      <c r="I3" s="21">
        <v>0.5</v>
      </c>
      <c r="J3" s="2"/>
      <c r="K3" s="2"/>
      <c r="L3" s="2"/>
      <c r="M3" s="2"/>
      <c r="N3" s="2"/>
      <c r="O3" s="2"/>
      <c r="P3" s="2"/>
      <c r="Q3" s="2"/>
      <c r="R3" s="2"/>
      <c r="S3" s="2"/>
      <c r="T3" s="2"/>
      <c r="U3" s="2"/>
      <c r="V3" s="2"/>
      <c r="W3" s="2"/>
      <c r="X3" s="2"/>
      <c r="Y3" s="2"/>
    </row>
    <row r="4" spans="1:25" ht="18">
      <c r="A4" s="7" t="s">
        <v>38</v>
      </c>
      <c r="B4" s="25">
        <f>ACV!F24/ACV!F28</f>
        <v>0.90854242902757432</v>
      </c>
      <c r="C4" s="14">
        <f t="shared" si="0"/>
        <v>65</v>
      </c>
      <c r="D4" s="25">
        <f t="shared" si="1"/>
        <v>0.35</v>
      </c>
      <c r="E4" s="18">
        <f t="shared" si="2"/>
        <v>100</v>
      </c>
      <c r="F4" s="2"/>
      <c r="G4" s="1309"/>
      <c r="H4" s="20" t="s">
        <v>41</v>
      </c>
      <c r="I4" s="21">
        <v>0.35</v>
      </c>
      <c r="J4" s="2"/>
      <c r="K4" s="2"/>
      <c r="L4" s="2"/>
      <c r="M4" s="2"/>
      <c r="N4" s="2"/>
      <c r="O4" s="2"/>
      <c r="P4" s="2"/>
      <c r="Q4" s="2"/>
      <c r="R4" s="2"/>
      <c r="S4" s="2"/>
      <c r="T4" s="2"/>
      <c r="U4" s="2"/>
      <c r="V4" s="2"/>
      <c r="W4" s="2"/>
      <c r="X4" s="2"/>
      <c r="Y4" s="2"/>
    </row>
    <row r="5" spans="1:25" ht="18">
      <c r="A5" s="7" t="s">
        <v>42</v>
      </c>
      <c r="B5" s="27">
        <v>0</v>
      </c>
      <c r="C5" s="27">
        <v>0</v>
      </c>
      <c r="D5" s="27">
        <v>0</v>
      </c>
      <c r="E5" s="27">
        <v>0</v>
      </c>
      <c r="F5" s="2"/>
      <c r="G5" s="1309"/>
      <c r="H5" s="20" t="s">
        <v>43</v>
      </c>
      <c r="I5" s="21">
        <v>0.45</v>
      </c>
      <c r="J5" s="2"/>
      <c r="K5" s="2"/>
      <c r="L5" s="2"/>
      <c r="M5" s="2"/>
      <c r="N5" s="2"/>
      <c r="O5" s="2"/>
      <c r="P5" s="2"/>
      <c r="Q5" s="2"/>
      <c r="R5" s="2"/>
      <c r="S5" s="2"/>
      <c r="T5" s="2"/>
      <c r="U5" s="2"/>
      <c r="V5" s="2"/>
      <c r="W5" s="2"/>
      <c r="X5" s="2"/>
      <c r="Y5" s="2"/>
    </row>
    <row r="6" spans="1:25" ht="18">
      <c r="A6" s="7" t="s">
        <v>44</v>
      </c>
      <c r="B6" s="27">
        <v>0</v>
      </c>
      <c r="C6" s="27">
        <v>0</v>
      </c>
      <c r="D6" s="27">
        <v>0</v>
      </c>
      <c r="E6" s="27">
        <v>0</v>
      </c>
      <c r="F6" s="2"/>
      <c r="G6" s="1310"/>
      <c r="H6" s="20" t="s">
        <v>47</v>
      </c>
      <c r="I6" s="21">
        <v>0.4</v>
      </c>
      <c r="J6" s="2"/>
      <c r="K6" s="2"/>
      <c r="L6" s="2"/>
      <c r="M6" s="2"/>
      <c r="N6" s="2"/>
      <c r="O6" s="2"/>
      <c r="P6" s="2"/>
      <c r="Q6" s="2"/>
      <c r="R6" s="2"/>
      <c r="S6" s="2"/>
      <c r="T6" s="2"/>
      <c r="U6" s="2"/>
      <c r="V6" s="2"/>
      <c r="W6" s="2"/>
      <c r="X6" s="2"/>
      <c r="Y6" s="2"/>
    </row>
    <row r="7" spans="1:25" ht="36">
      <c r="A7" s="7" t="s">
        <v>48</v>
      </c>
      <c r="B7" s="27"/>
      <c r="C7" s="30">
        <f>(C3*B3)+(C4*B4)</f>
        <v>63.628136435413609</v>
      </c>
      <c r="D7" s="27"/>
      <c r="E7" s="27">
        <v>0</v>
      </c>
      <c r="F7" s="2"/>
      <c r="G7" s="1308" t="s">
        <v>49</v>
      </c>
      <c r="H7" s="20" t="s">
        <v>36</v>
      </c>
      <c r="I7" s="1004">
        <v>100</v>
      </c>
      <c r="J7" s="2"/>
      <c r="K7" s="2"/>
      <c r="L7" s="2"/>
      <c r="M7" s="2"/>
      <c r="N7" s="2"/>
      <c r="O7" s="2"/>
      <c r="P7" s="2"/>
      <c r="Q7" s="2"/>
      <c r="R7" s="2"/>
      <c r="S7" s="2"/>
      <c r="T7" s="2"/>
      <c r="U7" s="2"/>
      <c r="V7" s="2"/>
      <c r="W7" s="2"/>
      <c r="X7" s="2"/>
      <c r="Y7" s="2"/>
    </row>
    <row r="8" spans="1:25" ht="18">
      <c r="A8" s="7" t="s">
        <v>51</v>
      </c>
      <c r="B8" s="27"/>
      <c r="C8" s="27"/>
      <c r="D8" s="27"/>
      <c r="E8" s="30">
        <f>(E3*B3)+(E4*B4)</f>
        <v>99.999999999999986</v>
      </c>
      <c r="F8" s="2"/>
      <c r="G8" s="1309"/>
      <c r="H8" s="20" t="s">
        <v>41</v>
      </c>
      <c r="I8" s="1004">
        <v>100</v>
      </c>
      <c r="J8" s="2"/>
      <c r="K8" s="2"/>
      <c r="L8" s="2"/>
      <c r="M8" s="2"/>
      <c r="N8" s="2"/>
      <c r="O8" s="2"/>
      <c r="P8" s="2"/>
      <c r="Q8" s="2"/>
      <c r="R8" s="2"/>
      <c r="S8" s="2"/>
      <c r="T8" s="2"/>
      <c r="U8" s="2"/>
      <c r="V8" s="2"/>
      <c r="W8" s="2"/>
      <c r="X8" s="2"/>
      <c r="Y8" s="2"/>
    </row>
    <row r="9" spans="1:25" ht="18">
      <c r="A9" s="31"/>
      <c r="B9" s="2"/>
      <c r="C9" s="2"/>
      <c r="D9" s="2"/>
      <c r="E9" s="2"/>
      <c r="F9" s="2"/>
      <c r="G9" s="1309"/>
      <c r="H9" s="20" t="s">
        <v>43</v>
      </c>
      <c r="I9" s="1004">
        <v>95</v>
      </c>
      <c r="J9" s="2"/>
      <c r="K9" s="2"/>
      <c r="L9" s="2"/>
      <c r="M9" s="2"/>
      <c r="N9" s="2"/>
      <c r="O9" s="2"/>
      <c r="P9" s="2"/>
      <c r="Q9" s="2"/>
      <c r="R9" s="2"/>
      <c r="S9" s="2"/>
      <c r="T9" s="2"/>
      <c r="U9" s="2"/>
      <c r="V9" s="2"/>
      <c r="W9" s="2"/>
      <c r="X9" s="2"/>
      <c r="Y9" s="2"/>
    </row>
    <row r="10" spans="1:25" ht="18">
      <c r="A10" s="31"/>
      <c r="B10" s="2"/>
      <c r="C10" s="2"/>
      <c r="D10" s="2"/>
      <c r="E10" s="2"/>
      <c r="F10" s="2"/>
      <c r="G10" s="1310"/>
      <c r="H10" s="20" t="s">
        <v>47</v>
      </c>
      <c r="I10" s="1004">
        <v>90</v>
      </c>
      <c r="J10" s="2"/>
      <c r="K10" s="2"/>
      <c r="L10" s="2"/>
      <c r="M10" s="2"/>
      <c r="N10" s="2"/>
      <c r="O10" s="2"/>
      <c r="P10" s="2"/>
      <c r="Q10" s="2"/>
      <c r="R10" s="2"/>
      <c r="S10" s="2"/>
      <c r="T10" s="2"/>
      <c r="U10" s="2"/>
      <c r="V10" s="2"/>
      <c r="W10" s="2"/>
      <c r="X10" s="2"/>
      <c r="Y10" s="2"/>
    </row>
    <row r="11" spans="1:25" ht="18">
      <c r="A11" s="4" t="s">
        <v>52</v>
      </c>
      <c r="B11" s="5" t="s">
        <v>6</v>
      </c>
      <c r="C11" s="5" t="s">
        <v>9</v>
      </c>
      <c r="D11" s="5" t="s">
        <v>10</v>
      </c>
      <c r="E11" s="5" t="s">
        <v>11</v>
      </c>
      <c r="F11" s="32"/>
      <c r="G11" s="2"/>
      <c r="H11" s="34"/>
      <c r="I11" s="32"/>
      <c r="J11" s="32"/>
      <c r="K11" s="32"/>
      <c r="L11" s="32"/>
      <c r="M11" s="2"/>
      <c r="N11" s="2"/>
      <c r="O11" s="2"/>
      <c r="P11" s="2"/>
      <c r="Q11" s="2"/>
      <c r="R11" s="2"/>
      <c r="S11" s="2"/>
      <c r="T11" s="2"/>
      <c r="U11" s="2"/>
      <c r="V11" s="2"/>
      <c r="W11" s="2"/>
      <c r="X11" s="2"/>
      <c r="Y11" s="2"/>
    </row>
    <row r="12" spans="1:25" ht="18">
      <c r="A12" s="7" t="s">
        <v>14</v>
      </c>
      <c r="B12" s="35">
        <f>ACV!G26/ACV!G28</f>
        <v>0.15037918388625696</v>
      </c>
      <c r="C12" s="36">
        <f t="shared" ref="C12:C13" si="3">E12*(1-D12)</f>
        <v>50</v>
      </c>
      <c r="D12" s="16">
        <f t="shared" ref="D12:D13" si="4">I3</f>
        <v>0.5</v>
      </c>
      <c r="E12" s="18">
        <f t="shared" ref="E12:E13" si="5">I7</f>
        <v>100</v>
      </c>
      <c r="F12" s="2"/>
      <c r="G12" s="1313" t="s">
        <v>57</v>
      </c>
      <c r="H12" s="1306"/>
      <c r="I12" s="2"/>
      <c r="J12" s="2"/>
      <c r="K12" s="2"/>
      <c r="L12" s="2"/>
      <c r="M12" s="40"/>
      <c r="N12" s="41"/>
      <c r="O12" s="41"/>
      <c r="P12" s="41"/>
      <c r="Q12" s="41"/>
      <c r="R12" s="2"/>
      <c r="S12" s="2"/>
      <c r="T12" s="2"/>
      <c r="U12" s="2"/>
      <c r="V12" s="2"/>
      <c r="W12" s="2"/>
      <c r="X12" s="2"/>
      <c r="Y12" s="2"/>
    </row>
    <row r="13" spans="1:25" ht="18">
      <c r="A13" s="7" t="s">
        <v>38</v>
      </c>
      <c r="B13" s="25">
        <f>ACV!G24/ACV!G28</f>
        <v>0.84962081611374307</v>
      </c>
      <c r="C13" s="36">
        <f t="shared" si="3"/>
        <v>65</v>
      </c>
      <c r="D13" s="16">
        <f t="shared" si="4"/>
        <v>0.35</v>
      </c>
      <c r="E13" s="18">
        <f t="shared" si="5"/>
        <v>100</v>
      </c>
      <c r="F13" s="2"/>
      <c r="G13" s="42" t="s">
        <v>4</v>
      </c>
      <c r="H13" s="44">
        <f>'BASES Model'!I11</f>
        <v>68212</v>
      </c>
      <c r="I13" s="2"/>
      <c r="J13" s="2"/>
      <c r="K13" s="2"/>
      <c r="L13" s="2"/>
      <c r="M13" s="2"/>
      <c r="N13" s="2"/>
      <c r="O13" s="2"/>
      <c r="P13" s="2"/>
      <c r="Q13" s="2"/>
      <c r="R13" s="2"/>
      <c r="S13" s="2"/>
      <c r="T13" s="2"/>
      <c r="U13" s="2"/>
      <c r="V13" s="2"/>
      <c r="W13" s="2"/>
      <c r="X13" s="2"/>
      <c r="Y13" s="2"/>
    </row>
    <row r="14" spans="1:25" ht="18">
      <c r="A14" s="7" t="s">
        <v>42</v>
      </c>
      <c r="B14" s="27"/>
      <c r="C14" s="27"/>
      <c r="D14" s="27"/>
      <c r="E14" s="27"/>
      <c r="F14" s="2"/>
      <c r="G14" s="42" t="s">
        <v>61</v>
      </c>
      <c r="H14" s="44">
        <f>'BASES Model'!J11</f>
        <v>91223</v>
      </c>
      <c r="I14" s="2"/>
      <c r="J14" s="2"/>
      <c r="K14" s="2"/>
      <c r="L14" s="2"/>
      <c r="M14" s="2"/>
      <c r="N14" s="2"/>
      <c r="O14" s="2"/>
      <c r="P14" s="2"/>
      <c r="Q14" s="2"/>
      <c r="R14" s="2"/>
      <c r="S14" s="2"/>
      <c r="T14" s="2"/>
      <c r="U14" s="2"/>
      <c r="V14" s="2"/>
      <c r="W14" s="2"/>
      <c r="X14" s="2"/>
      <c r="Y14" s="2"/>
    </row>
    <row r="15" spans="1:25" ht="18">
      <c r="A15" s="7" t="s">
        <v>44</v>
      </c>
      <c r="B15" s="27"/>
      <c r="C15" s="27"/>
      <c r="D15" s="27"/>
      <c r="E15" s="27"/>
      <c r="F15" s="2"/>
      <c r="G15" s="42" t="s">
        <v>63</v>
      </c>
      <c r="H15" s="44">
        <f>'BASES Model'!K11</f>
        <v>161606</v>
      </c>
      <c r="I15" s="47"/>
      <c r="J15" s="48"/>
      <c r="K15" s="48"/>
      <c r="L15" s="48"/>
      <c r="M15" s="2"/>
      <c r="N15" s="2"/>
      <c r="O15" s="2"/>
      <c r="P15" s="2"/>
      <c r="Q15" s="2"/>
      <c r="R15" s="2"/>
      <c r="S15" s="2"/>
      <c r="T15" s="2"/>
      <c r="U15" s="2"/>
      <c r="V15" s="2"/>
      <c r="W15" s="2"/>
      <c r="X15" s="2"/>
      <c r="Y15" s="2"/>
    </row>
    <row r="16" spans="1:25" ht="18">
      <c r="A16" s="7" t="s">
        <v>48</v>
      </c>
      <c r="B16" s="27"/>
      <c r="C16" s="30">
        <f>(C12*B12)+(C13*B13)</f>
        <v>62.744312241706147</v>
      </c>
      <c r="D16" s="27"/>
      <c r="E16" s="27"/>
      <c r="F16" s="2"/>
      <c r="G16" s="42" t="s">
        <v>65</v>
      </c>
      <c r="H16" s="44">
        <f>'BASES Model'!L11</f>
        <v>245757</v>
      </c>
      <c r="I16" s="2"/>
      <c r="J16" s="2"/>
      <c r="K16" s="2"/>
      <c r="L16" s="2"/>
      <c r="M16" s="2"/>
      <c r="N16" s="2"/>
      <c r="O16" s="2"/>
      <c r="P16" s="2"/>
      <c r="Q16" s="2"/>
      <c r="R16" s="2"/>
      <c r="S16" s="2"/>
      <c r="T16" s="2"/>
      <c r="U16" s="2"/>
      <c r="V16" s="2"/>
      <c r="W16" s="2"/>
      <c r="X16" s="2"/>
      <c r="Y16" s="2"/>
    </row>
    <row r="17" spans="1:25" ht="18">
      <c r="A17" s="7" t="s">
        <v>51</v>
      </c>
      <c r="B17" s="27"/>
      <c r="C17" s="27"/>
      <c r="D17" s="27"/>
      <c r="E17" s="30">
        <f>(E12*B12)+(E13*B13)</f>
        <v>100</v>
      </c>
      <c r="F17" s="2"/>
      <c r="G17" s="42" t="s">
        <v>67</v>
      </c>
      <c r="H17" s="44">
        <f>'BASES Model'!M11</f>
        <v>297058</v>
      </c>
      <c r="I17" s="2"/>
      <c r="J17" s="2"/>
      <c r="K17" s="2"/>
      <c r="L17" s="2"/>
      <c r="M17" s="2"/>
      <c r="N17" s="2"/>
      <c r="O17" s="2"/>
      <c r="P17" s="2"/>
      <c r="Q17" s="2"/>
      <c r="R17" s="2"/>
      <c r="S17" s="2"/>
      <c r="T17" s="2"/>
      <c r="U17" s="2"/>
      <c r="V17" s="2"/>
      <c r="W17" s="2"/>
      <c r="X17" s="2"/>
      <c r="Y17" s="2"/>
    </row>
    <row r="18" spans="1:25" ht="18">
      <c r="A18" s="31"/>
      <c r="B18" s="2"/>
      <c r="C18" s="2"/>
      <c r="D18" s="2"/>
      <c r="E18" s="2"/>
      <c r="F18" s="2"/>
      <c r="G18" s="2"/>
      <c r="H18" s="2"/>
      <c r="I18" s="2"/>
      <c r="J18" s="2"/>
      <c r="K18" s="2"/>
      <c r="L18" s="2"/>
      <c r="M18" s="2"/>
      <c r="N18" s="2"/>
      <c r="O18" s="2"/>
      <c r="P18" s="2"/>
      <c r="Q18" s="2"/>
      <c r="R18" s="2"/>
      <c r="S18" s="2"/>
      <c r="T18" s="2"/>
      <c r="U18" s="2"/>
      <c r="V18" s="2"/>
      <c r="W18" s="2"/>
      <c r="X18" s="2"/>
      <c r="Y18" s="2"/>
    </row>
    <row r="19" spans="1:25" ht="18">
      <c r="A19" s="31"/>
      <c r="B19" s="2"/>
      <c r="C19" s="2"/>
      <c r="D19" s="2"/>
      <c r="E19" s="2"/>
      <c r="F19" s="51"/>
      <c r="G19" s="51"/>
      <c r="H19" s="51"/>
      <c r="I19" s="51"/>
      <c r="J19" s="51"/>
      <c r="K19" s="51"/>
      <c r="L19" s="51"/>
      <c r="M19" s="2"/>
      <c r="N19" s="2"/>
      <c r="O19" s="2"/>
      <c r="P19" s="2"/>
      <c r="Q19" s="2"/>
      <c r="R19" s="2"/>
      <c r="S19" s="2"/>
      <c r="T19" s="2"/>
      <c r="U19" s="2"/>
      <c r="V19" s="2"/>
      <c r="W19" s="2"/>
      <c r="X19" s="2"/>
      <c r="Y19" s="2"/>
    </row>
    <row r="20" spans="1:25" ht="18">
      <c r="A20" s="4" t="s">
        <v>63</v>
      </c>
      <c r="B20" s="5" t="s">
        <v>6</v>
      </c>
      <c r="C20" s="5" t="s">
        <v>9</v>
      </c>
      <c r="D20" s="5" t="s">
        <v>10</v>
      </c>
      <c r="E20" s="5" t="s">
        <v>11</v>
      </c>
      <c r="F20" s="2"/>
      <c r="G20" s="1312" t="s">
        <v>69</v>
      </c>
      <c r="H20" s="1305"/>
      <c r="I20" s="1305"/>
      <c r="J20" s="1305"/>
      <c r="K20" s="1305"/>
      <c r="L20" s="1306"/>
      <c r="M20" s="2"/>
      <c r="N20" s="2"/>
      <c r="O20" s="2"/>
      <c r="P20" s="2"/>
      <c r="Q20" s="2"/>
      <c r="R20" s="2"/>
      <c r="S20" s="2"/>
      <c r="T20" s="2"/>
      <c r="U20" s="2"/>
      <c r="V20" s="2"/>
      <c r="W20" s="2"/>
      <c r="X20" s="2"/>
      <c r="Y20" s="2"/>
    </row>
    <row r="21" spans="1:25" ht="18">
      <c r="A21" s="7" t="s">
        <v>14</v>
      </c>
      <c r="B21" s="25">
        <f>ACV!H26/ACV!H28</f>
        <v>0.17274842174777713</v>
      </c>
      <c r="C21" s="14">
        <f t="shared" ref="C21:C23" si="6">E21*(1-D21)</f>
        <v>50</v>
      </c>
      <c r="D21" s="16">
        <f t="shared" ref="D21:D23" si="7">I3</f>
        <v>0.5</v>
      </c>
      <c r="E21" s="18">
        <f t="shared" ref="E21:E23" si="8">I7</f>
        <v>100</v>
      </c>
      <c r="F21" s="2"/>
      <c r="G21" s="7" t="s">
        <v>17</v>
      </c>
      <c r="H21" s="7" t="s">
        <v>4</v>
      </c>
      <c r="I21" s="56" t="s">
        <v>61</v>
      </c>
      <c r="J21" s="57" t="s">
        <v>63</v>
      </c>
      <c r="K21" s="57" t="s">
        <v>65</v>
      </c>
      <c r="L21" s="57" t="s">
        <v>67</v>
      </c>
      <c r="M21" s="2"/>
      <c r="N21" s="2"/>
      <c r="O21" s="2"/>
      <c r="P21" s="2"/>
      <c r="Q21" s="8"/>
      <c r="R21" s="2"/>
      <c r="S21" s="2"/>
      <c r="T21" s="2"/>
      <c r="U21" s="2"/>
      <c r="V21" s="2"/>
      <c r="W21" s="2"/>
      <c r="X21" s="2"/>
      <c r="Y21" s="2"/>
    </row>
    <row r="22" spans="1:25" ht="18">
      <c r="A22" s="7" t="s">
        <v>38</v>
      </c>
      <c r="B22" s="25">
        <f>ACV!H24/ACV!H28</f>
        <v>0.73400781321076036</v>
      </c>
      <c r="C22" s="14">
        <f t="shared" si="6"/>
        <v>65</v>
      </c>
      <c r="D22" s="16">
        <f t="shared" si="7"/>
        <v>0.35</v>
      </c>
      <c r="E22" s="18">
        <f t="shared" si="8"/>
        <v>100</v>
      </c>
      <c r="F22" s="2"/>
      <c r="G22" s="7" t="s">
        <v>69</v>
      </c>
      <c r="H22" s="61">
        <f>H13</f>
        <v>68212</v>
      </c>
      <c r="I22" s="61">
        <f>H14</f>
        <v>91223</v>
      </c>
      <c r="J22" s="61">
        <f>H15</f>
        <v>161606</v>
      </c>
      <c r="K22" s="61">
        <f>H16</f>
        <v>245757</v>
      </c>
      <c r="L22" s="61">
        <f>H17</f>
        <v>297058</v>
      </c>
      <c r="M22" s="2"/>
      <c r="N22" s="2"/>
      <c r="O22" s="2"/>
      <c r="P22" s="2"/>
      <c r="Q22" s="2"/>
      <c r="R22" s="2"/>
      <c r="S22" s="2"/>
      <c r="T22" s="2"/>
      <c r="U22" s="2"/>
      <c r="V22" s="2"/>
      <c r="W22" s="2"/>
      <c r="X22" s="2"/>
      <c r="Y22" s="2"/>
    </row>
    <row r="23" spans="1:25" ht="18">
      <c r="A23" s="7" t="s">
        <v>42</v>
      </c>
      <c r="B23" s="25">
        <f>ACV!H27/ACV!H28</f>
        <v>9.3243765041462437E-2</v>
      </c>
      <c r="C23" s="14">
        <f t="shared" si="6"/>
        <v>52.250000000000007</v>
      </c>
      <c r="D23" s="16">
        <f t="shared" si="7"/>
        <v>0.45</v>
      </c>
      <c r="E23" s="18">
        <f t="shared" si="8"/>
        <v>95</v>
      </c>
      <c r="F23" s="2"/>
      <c r="G23" s="7" t="s">
        <v>36</v>
      </c>
      <c r="H23" s="65">
        <f>ROUNDUP($H$22*B3,0)</f>
        <v>6239</v>
      </c>
      <c r="I23" s="61">
        <f>ROUND($I$22*B12,0)</f>
        <v>13718</v>
      </c>
      <c r="J23" s="61">
        <f>ROUND($J$22*B21,0)</f>
        <v>27917</v>
      </c>
      <c r="K23" s="61">
        <f>ROUNDUP($K$22*B30,0)</f>
        <v>29029</v>
      </c>
      <c r="L23" s="61">
        <f>ROUNDUP($L$22*B39,0)</f>
        <v>32402</v>
      </c>
      <c r="M23" s="2"/>
      <c r="N23" s="2"/>
      <c r="O23" s="2"/>
      <c r="P23" s="2"/>
      <c r="Q23" s="2"/>
      <c r="R23" s="2"/>
      <c r="S23" s="2"/>
      <c r="T23" s="2"/>
      <c r="U23" s="2"/>
      <c r="V23" s="2"/>
      <c r="W23" s="2"/>
      <c r="X23" s="2"/>
      <c r="Y23" s="2"/>
    </row>
    <row r="24" spans="1:25" ht="18">
      <c r="A24" s="7" t="s">
        <v>44</v>
      </c>
      <c r="B24" s="18"/>
      <c r="C24" s="18"/>
      <c r="D24" s="18"/>
      <c r="E24" s="18"/>
      <c r="F24" s="2"/>
      <c r="G24" s="66" t="s">
        <v>73</v>
      </c>
      <c r="H24" s="65">
        <f>(ROUNDDOWN($H$22*B4,0)/2)</f>
        <v>30986.5</v>
      </c>
      <c r="I24" s="61">
        <f>ROUND($I$22*B13,0)/2</f>
        <v>38752.5</v>
      </c>
      <c r="J24" s="61">
        <f>ROUND($J$22*B22,0)/2</f>
        <v>59310</v>
      </c>
      <c r="K24" s="61">
        <f>ROUNDUP($K$22*B31,0)/2</f>
        <v>60534.5</v>
      </c>
      <c r="L24" s="61">
        <f>ROUNDUP($L$22*B40,0)/2</f>
        <v>65792.5</v>
      </c>
      <c r="M24" s="2"/>
      <c r="N24" s="2"/>
      <c r="O24" s="2"/>
      <c r="P24" s="2"/>
      <c r="Q24" s="2"/>
      <c r="R24" s="2"/>
      <c r="S24" s="2"/>
      <c r="T24" s="2"/>
      <c r="U24" s="2"/>
      <c r="V24" s="2"/>
      <c r="W24" s="2"/>
      <c r="X24" s="2"/>
      <c r="Y24" s="2"/>
    </row>
    <row r="25" spans="1:25" ht="18">
      <c r="A25" s="7" t="s">
        <v>48</v>
      </c>
      <c r="B25" s="18"/>
      <c r="C25" s="30">
        <f>(C21*B21)+(C22*B22)+(C23*B23)</f>
        <v>61.219915669504694</v>
      </c>
      <c r="D25" s="18"/>
      <c r="E25" s="70"/>
      <c r="F25" s="2"/>
      <c r="G25" s="7" t="s">
        <v>74</v>
      </c>
      <c r="H25" s="65">
        <f>(ROUNDUP($H$22*B4,0)/2)</f>
        <v>30987</v>
      </c>
      <c r="I25" s="65">
        <f>ROUND($I$22*B13,0)/2</f>
        <v>38752.5</v>
      </c>
      <c r="J25" s="65">
        <f>ROUND($J$22*B22,0)/2</f>
        <v>59310</v>
      </c>
      <c r="K25" s="65">
        <f>ROUNDUP($K$22*B31,0)/2</f>
        <v>60534.5</v>
      </c>
      <c r="L25" s="65">
        <f>ROUNDUP($L$22*B40,0)/2</f>
        <v>65792.5</v>
      </c>
      <c r="M25" s="2"/>
      <c r="N25" s="2"/>
      <c r="O25" s="2"/>
      <c r="P25" s="2"/>
      <c r="Q25" s="2"/>
      <c r="R25" s="2"/>
      <c r="S25" s="2"/>
      <c r="T25" s="2"/>
      <c r="U25" s="2"/>
      <c r="V25" s="2"/>
      <c r="W25" s="2"/>
      <c r="X25" s="2"/>
      <c r="Y25" s="2"/>
    </row>
    <row r="26" spans="1:25" ht="18">
      <c r="A26" s="7" t="s">
        <v>51</v>
      </c>
      <c r="B26" s="14"/>
      <c r="C26" s="14"/>
      <c r="D26" s="14"/>
      <c r="E26" s="30">
        <f>(E21*B21)+(E22*B22)+(E23*B23)</f>
        <v>99.533781174792693</v>
      </c>
      <c r="F26" s="2"/>
      <c r="G26" s="7" t="s">
        <v>75</v>
      </c>
      <c r="H26" s="72" t="s">
        <v>76</v>
      </c>
      <c r="I26" s="72" t="s">
        <v>76</v>
      </c>
      <c r="J26" s="65">
        <f>ROUND($J$22*B23,0)</f>
        <v>15069</v>
      </c>
      <c r="K26" s="65">
        <f>ROUNDUP($K$22*B32,0)</f>
        <v>15380</v>
      </c>
      <c r="L26" s="65">
        <f t="shared" ref="L26:L27" si="9">ROUNDUP($L$22*B41,0)</f>
        <v>16716</v>
      </c>
      <c r="M26" s="2"/>
      <c r="N26" s="2"/>
      <c r="O26" s="2"/>
      <c r="P26" s="2"/>
      <c r="Q26" s="2"/>
      <c r="R26" s="2"/>
      <c r="S26" s="2"/>
      <c r="T26" s="2"/>
      <c r="U26" s="2"/>
      <c r="V26" s="2"/>
      <c r="W26" s="2"/>
      <c r="X26" s="2"/>
      <c r="Y26" s="2"/>
    </row>
    <row r="27" spans="1:25" ht="18">
      <c r="A27" s="31"/>
      <c r="B27" s="2"/>
      <c r="C27" s="2"/>
      <c r="D27" s="2"/>
      <c r="E27" s="2"/>
      <c r="F27" s="2"/>
      <c r="G27" s="74" t="s">
        <v>77</v>
      </c>
      <c r="H27" s="72" t="s">
        <v>76</v>
      </c>
      <c r="I27" s="72" t="s">
        <v>76</v>
      </c>
      <c r="J27" s="72" t="s">
        <v>76</v>
      </c>
      <c r="K27" s="65">
        <f>ROUNDUP(K$22*B33,0)</f>
        <v>80281</v>
      </c>
      <c r="L27" s="65">
        <f t="shared" si="9"/>
        <v>116357</v>
      </c>
      <c r="M27" s="2"/>
      <c r="N27" s="2"/>
      <c r="O27" s="2"/>
      <c r="P27" s="2"/>
      <c r="Q27" s="2"/>
      <c r="R27" s="2"/>
      <c r="S27" s="2"/>
      <c r="T27" s="2"/>
      <c r="U27" s="2"/>
      <c r="V27" s="2"/>
      <c r="W27" s="2"/>
      <c r="X27" s="2"/>
      <c r="Y27" s="2"/>
    </row>
    <row r="28" spans="1:25" ht="18">
      <c r="A28" s="31"/>
      <c r="B28" s="2"/>
      <c r="C28" s="2"/>
      <c r="D28" s="2"/>
      <c r="E28" s="2"/>
      <c r="F28" s="2"/>
      <c r="G28" s="2"/>
      <c r="H28" s="2"/>
      <c r="I28" s="2"/>
      <c r="J28" s="2"/>
      <c r="K28" s="2"/>
      <c r="L28" s="2"/>
      <c r="M28" s="2"/>
      <c r="N28" s="2"/>
      <c r="O28" s="2"/>
      <c r="P28" s="2"/>
      <c r="Q28" s="2"/>
      <c r="R28" s="2"/>
      <c r="S28" s="2"/>
      <c r="T28" s="2"/>
      <c r="U28" s="2"/>
      <c r="V28" s="2"/>
      <c r="W28" s="2"/>
      <c r="X28" s="2"/>
      <c r="Y28" s="2"/>
    </row>
    <row r="29" spans="1:25" ht="18">
      <c r="A29" s="4" t="s">
        <v>65</v>
      </c>
      <c r="B29" s="5" t="s">
        <v>6</v>
      </c>
      <c r="C29" s="5" t="s">
        <v>9</v>
      </c>
      <c r="D29" s="5" t="s">
        <v>10</v>
      </c>
      <c r="E29" s="5" t="s">
        <v>11</v>
      </c>
      <c r="F29" s="2"/>
      <c r="G29" s="2"/>
      <c r="H29" s="2"/>
      <c r="I29" s="2"/>
      <c r="J29" s="2"/>
      <c r="K29" s="2"/>
      <c r="L29" s="2"/>
      <c r="M29" s="2"/>
      <c r="N29" s="2"/>
      <c r="O29" s="2"/>
      <c r="P29" s="2"/>
      <c r="Q29" s="2"/>
      <c r="R29" s="2"/>
      <c r="S29" s="2"/>
      <c r="T29" s="2"/>
      <c r="U29" s="2"/>
      <c r="V29" s="2"/>
      <c r="W29" s="2"/>
      <c r="X29" s="2"/>
      <c r="Y29" s="2"/>
    </row>
    <row r="30" spans="1:25" ht="18">
      <c r="A30" s="7" t="s">
        <v>14</v>
      </c>
      <c r="B30" s="25">
        <f>ACV!I26/ACV!I28</f>
        <v>0.11811827730369913</v>
      </c>
      <c r="C30" s="14">
        <f t="shared" ref="C30:C33" si="10">E30*(1-D30)</f>
        <v>50</v>
      </c>
      <c r="D30" s="16">
        <f t="shared" ref="D30:D33" si="11">I3</f>
        <v>0.5</v>
      </c>
      <c r="E30" s="18">
        <f t="shared" ref="E30:E33" si="12">I7</f>
        <v>100</v>
      </c>
      <c r="F30" s="2"/>
      <c r="G30" s="2"/>
      <c r="H30" s="2"/>
      <c r="I30" s="2"/>
      <c r="J30" s="2"/>
      <c r="K30" s="2"/>
      <c r="L30" s="2"/>
      <c r="M30" s="2"/>
      <c r="N30" s="2"/>
      <c r="O30" s="2"/>
      <c r="P30" s="2"/>
      <c r="Q30" s="2"/>
      <c r="R30" s="2"/>
      <c r="S30" s="2"/>
      <c r="T30" s="2"/>
      <c r="U30" s="2"/>
      <c r="V30" s="2"/>
      <c r="W30" s="2"/>
      <c r="X30" s="2"/>
      <c r="Y30" s="2"/>
    </row>
    <row r="31" spans="1:25" ht="18">
      <c r="A31" s="7" t="s">
        <v>38</v>
      </c>
      <c r="B31" s="25">
        <f>ACV!I24/ACV!I28</f>
        <v>0.49263328217445063</v>
      </c>
      <c r="C31" s="14">
        <f t="shared" si="10"/>
        <v>65</v>
      </c>
      <c r="D31" s="16">
        <f t="shared" si="11"/>
        <v>0.35</v>
      </c>
      <c r="E31" s="18">
        <f t="shared" si="12"/>
        <v>100</v>
      </c>
      <c r="F31" s="2"/>
      <c r="G31" s="77"/>
      <c r="H31" s="2"/>
      <c r="I31" s="2"/>
      <c r="J31" s="2"/>
      <c r="K31" s="2"/>
      <c r="L31" s="2"/>
      <c r="M31" s="2"/>
      <c r="N31" s="2"/>
      <c r="O31" s="2"/>
      <c r="P31" s="2"/>
      <c r="Q31" s="2"/>
      <c r="R31" s="2"/>
      <c r="S31" s="2"/>
      <c r="T31" s="2"/>
      <c r="U31" s="2"/>
      <c r="V31" s="2"/>
      <c r="W31" s="2"/>
      <c r="X31" s="2"/>
      <c r="Y31" s="2"/>
    </row>
    <row r="32" spans="1:25" ht="18">
      <c r="A32" s="7" t="s">
        <v>42</v>
      </c>
      <c r="B32" s="25">
        <f>ACV!I27/ACV!I28</f>
        <v>6.2581053209428625E-2</v>
      </c>
      <c r="C32" s="14">
        <f t="shared" si="10"/>
        <v>52.250000000000007</v>
      </c>
      <c r="D32" s="16">
        <f t="shared" si="11"/>
        <v>0.45</v>
      </c>
      <c r="E32" s="18">
        <f t="shared" si="12"/>
        <v>95</v>
      </c>
      <c r="F32" s="2"/>
      <c r="G32" s="2"/>
      <c r="H32" s="2"/>
      <c r="I32" s="2"/>
      <c r="J32" s="2"/>
      <c r="K32" s="2"/>
      <c r="L32" s="2"/>
      <c r="M32" s="2"/>
      <c r="N32" s="2"/>
      <c r="O32" s="2"/>
      <c r="P32" s="2"/>
      <c r="Q32" s="2"/>
      <c r="R32" s="2"/>
      <c r="S32" s="2"/>
      <c r="T32" s="2"/>
      <c r="U32" s="2"/>
      <c r="V32" s="2"/>
      <c r="W32" s="2"/>
      <c r="X32" s="2"/>
      <c r="Y32" s="2"/>
    </row>
    <row r="33" spans="1:25" ht="18">
      <c r="A33" s="7" t="s">
        <v>44</v>
      </c>
      <c r="B33" s="25">
        <f>ACV!I25/ACV!I28</f>
        <v>0.32666738731242156</v>
      </c>
      <c r="C33" s="14">
        <f t="shared" si="10"/>
        <v>54</v>
      </c>
      <c r="D33" s="16">
        <f t="shared" si="11"/>
        <v>0.4</v>
      </c>
      <c r="E33" s="18">
        <f t="shared" si="12"/>
        <v>90</v>
      </c>
      <c r="F33" s="2"/>
      <c r="G33" s="2"/>
      <c r="H33" s="78"/>
      <c r="I33" s="2"/>
      <c r="J33" s="2"/>
      <c r="K33" s="2"/>
      <c r="L33" s="2"/>
      <c r="M33" s="2"/>
      <c r="N33" s="2"/>
      <c r="O33" s="2"/>
      <c r="P33" s="2"/>
      <c r="Q33" s="2"/>
      <c r="R33" s="2"/>
      <c r="S33" s="2"/>
      <c r="T33" s="2"/>
      <c r="U33" s="2"/>
      <c r="V33" s="2"/>
      <c r="W33" s="2"/>
      <c r="X33" s="2"/>
      <c r="Y33" s="2"/>
    </row>
    <row r="34" spans="1:25" ht="18">
      <c r="A34" s="7" t="s">
        <v>48</v>
      </c>
      <c r="B34" s="79"/>
      <c r="C34" s="30">
        <f>(C30*B30)+(C31*B31)+(C32*B32)+(B33*C33)</f>
        <v>58.836976151587656</v>
      </c>
      <c r="D34" s="79"/>
      <c r="E34" s="18"/>
      <c r="F34" s="2"/>
      <c r="G34" s="2"/>
      <c r="H34" s="2"/>
      <c r="I34" s="2"/>
      <c r="J34" s="2"/>
      <c r="K34" s="2"/>
      <c r="L34" s="2"/>
      <c r="M34" s="2"/>
      <c r="N34" s="2"/>
      <c r="O34" s="2"/>
      <c r="P34" s="2"/>
      <c r="Q34" s="2"/>
      <c r="R34" s="2"/>
      <c r="S34" s="2"/>
      <c r="T34" s="2"/>
      <c r="U34" s="2"/>
      <c r="V34" s="2"/>
      <c r="W34" s="2"/>
      <c r="X34" s="2"/>
      <c r="Y34" s="2"/>
    </row>
    <row r="35" spans="1:25" ht="18">
      <c r="A35" s="7" t="s">
        <v>51</v>
      </c>
      <c r="B35" s="25"/>
      <c r="C35" s="79"/>
      <c r="D35" s="79"/>
      <c r="E35" s="30">
        <f>(E30*B30)+(E31*B31)+(E32*B32)+(E33*B33)</f>
        <v>96.420420860828642</v>
      </c>
      <c r="F35" s="2"/>
      <c r="G35" s="2"/>
      <c r="H35" s="2"/>
      <c r="I35" s="2"/>
      <c r="J35" s="2"/>
      <c r="K35" s="2"/>
      <c r="L35" s="2"/>
      <c r="M35" s="2"/>
      <c r="N35" s="2"/>
      <c r="O35" s="2"/>
      <c r="P35" s="2"/>
      <c r="Q35" s="2"/>
      <c r="R35" s="2"/>
      <c r="S35" s="2"/>
      <c r="T35" s="2"/>
      <c r="U35" s="2"/>
      <c r="V35" s="2"/>
      <c r="W35" s="2"/>
      <c r="X35" s="2"/>
      <c r="Y35" s="2"/>
    </row>
    <row r="36" spans="1:25" ht="18">
      <c r="A36" s="31"/>
      <c r="B36" s="2"/>
      <c r="C36" s="2"/>
      <c r="D36" s="2"/>
      <c r="E36" s="2"/>
      <c r="F36" s="2"/>
      <c r="G36" s="2"/>
      <c r="H36" s="2"/>
      <c r="I36" s="2"/>
      <c r="J36" s="2"/>
      <c r="K36" s="2"/>
      <c r="L36" s="2"/>
      <c r="M36" s="2"/>
      <c r="N36" s="2"/>
      <c r="O36" s="2"/>
      <c r="P36" s="2"/>
      <c r="Q36" s="2"/>
      <c r="R36" s="2"/>
      <c r="S36" s="2"/>
      <c r="T36" s="2"/>
      <c r="U36" s="2"/>
      <c r="V36" s="2"/>
      <c r="W36" s="2"/>
      <c r="X36" s="2"/>
      <c r="Y36" s="2"/>
    </row>
    <row r="37" spans="1:25" ht="18">
      <c r="A37" s="2"/>
      <c r="B37" s="2"/>
      <c r="C37" s="2"/>
      <c r="D37" s="2"/>
      <c r="E37" s="2"/>
      <c r="F37" s="2"/>
      <c r="G37" s="2"/>
      <c r="H37" s="2"/>
      <c r="I37" s="2"/>
      <c r="J37" s="2"/>
      <c r="K37" s="2"/>
      <c r="L37" s="2"/>
      <c r="M37" s="2"/>
      <c r="N37" s="2"/>
      <c r="O37" s="2"/>
      <c r="P37" s="2"/>
      <c r="Q37" s="2"/>
      <c r="R37" s="2"/>
      <c r="S37" s="2"/>
      <c r="T37" s="2"/>
      <c r="U37" s="2"/>
      <c r="V37" s="2"/>
      <c r="W37" s="2"/>
      <c r="X37" s="2"/>
      <c r="Y37" s="2"/>
    </row>
    <row r="38" spans="1:25" ht="18">
      <c r="A38" s="4" t="s">
        <v>67</v>
      </c>
      <c r="B38" s="5" t="s">
        <v>6</v>
      </c>
      <c r="C38" s="5" t="s">
        <v>9</v>
      </c>
      <c r="D38" s="5" t="s">
        <v>10</v>
      </c>
      <c r="E38" s="5" t="s">
        <v>11</v>
      </c>
      <c r="F38" s="2"/>
      <c r="G38" s="2"/>
      <c r="H38" s="2"/>
      <c r="I38" s="2"/>
      <c r="J38" s="2"/>
      <c r="K38" s="2"/>
      <c r="L38" s="2"/>
      <c r="M38" s="2"/>
      <c r="N38" s="2"/>
      <c r="O38" s="2"/>
      <c r="P38" s="2"/>
      <c r="Q38" s="2"/>
      <c r="R38" s="2"/>
      <c r="S38" s="2"/>
      <c r="T38" s="2"/>
      <c r="U38" s="2"/>
      <c r="V38" s="2"/>
      <c r="W38" s="2"/>
      <c r="X38" s="2"/>
      <c r="Y38" s="2"/>
    </row>
    <row r="39" spans="1:25" ht="18">
      <c r="A39" s="7" t="s">
        <v>14</v>
      </c>
      <c r="B39" s="25">
        <f>ACV!J26/ACV!J28</f>
        <v>0.10907384842260406</v>
      </c>
      <c r="C39" s="14">
        <f t="shared" ref="C39:C42" si="13">E39*(1-D39)</f>
        <v>50</v>
      </c>
      <c r="D39" s="16">
        <f t="shared" ref="D39:D42" si="14">I3</f>
        <v>0.5</v>
      </c>
      <c r="E39" s="18">
        <f t="shared" ref="E39:E42" si="15">I7</f>
        <v>100</v>
      </c>
      <c r="F39" s="2"/>
      <c r="G39" s="2"/>
      <c r="H39" s="2"/>
      <c r="I39" s="2"/>
      <c r="J39" s="2"/>
      <c r="K39" s="2"/>
      <c r="L39" s="2"/>
      <c r="M39" s="2"/>
      <c r="N39" s="2"/>
      <c r="O39" s="2"/>
      <c r="P39" s="2"/>
      <c r="Q39" s="2"/>
      <c r="R39" s="2"/>
      <c r="S39" s="2"/>
      <c r="T39" s="2"/>
      <c r="U39" s="2"/>
      <c r="V39" s="2"/>
      <c r="W39" s="2"/>
      <c r="X39" s="2"/>
      <c r="Y39" s="2"/>
    </row>
    <row r="40" spans="1:25" ht="18">
      <c r="A40" s="7" t="s">
        <v>38</v>
      </c>
      <c r="B40" s="25">
        <f>ACV!J24/ACV!J28</f>
        <v>0.44295839522778213</v>
      </c>
      <c r="C40" s="14">
        <f t="shared" si="13"/>
        <v>65</v>
      </c>
      <c r="D40" s="16">
        <f t="shared" si="14"/>
        <v>0.35</v>
      </c>
      <c r="E40" s="18">
        <f t="shared" si="15"/>
        <v>100</v>
      </c>
      <c r="F40" s="2"/>
      <c r="G40" s="2"/>
      <c r="H40" s="2"/>
      <c r="I40" s="2"/>
      <c r="J40" s="2"/>
      <c r="K40" s="2"/>
      <c r="L40" s="2"/>
      <c r="M40" s="2"/>
      <c r="N40" s="2"/>
      <c r="O40" s="2"/>
      <c r="P40" s="2"/>
      <c r="Q40" s="2"/>
      <c r="R40" s="2"/>
      <c r="S40" s="2"/>
      <c r="T40" s="2"/>
      <c r="U40" s="2"/>
      <c r="V40" s="2"/>
      <c r="W40" s="2"/>
      <c r="X40" s="2"/>
      <c r="Y40" s="2"/>
    </row>
    <row r="41" spans="1:25" ht="18">
      <c r="A41" s="7" t="s">
        <v>42</v>
      </c>
      <c r="B41" s="25">
        <f>ACV!J27/ACV!J28</f>
        <v>5.627066603976727E-2</v>
      </c>
      <c r="C41" s="14">
        <f t="shared" si="13"/>
        <v>52.250000000000007</v>
      </c>
      <c r="D41" s="16">
        <f t="shared" si="14"/>
        <v>0.45</v>
      </c>
      <c r="E41" s="18">
        <f t="shared" si="15"/>
        <v>95</v>
      </c>
      <c r="F41" s="2"/>
      <c r="G41" s="2"/>
      <c r="H41" s="2"/>
      <c r="I41" s="2"/>
      <c r="J41" s="2"/>
      <c r="K41" s="2"/>
      <c r="L41" s="2"/>
      <c r="M41" s="2"/>
      <c r="N41" s="2"/>
      <c r="O41" s="2"/>
      <c r="P41" s="2"/>
      <c r="Q41" s="2"/>
      <c r="R41" s="2"/>
      <c r="S41" s="2"/>
      <c r="T41" s="2"/>
      <c r="U41" s="2"/>
      <c r="V41" s="2"/>
      <c r="W41" s="2"/>
      <c r="X41" s="2"/>
      <c r="Y41" s="2"/>
    </row>
    <row r="42" spans="1:25" ht="18">
      <c r="A42" s="7" t="s">
        <v>44</v>
      </c>
      <c r="B42" s="25">
        <f>ACV!J25/ACV!J28</f>
        <v>0.39169709030984645</v>
      </c>
      <c r="C42" s="14">
        <f t="shared" si="13"/>
        <v>54</v>
      </c>
      <c r="D42" s="16">
        <f t="shared" si="14"/>
        <v>0.4</v>
      </c>
      <c r="E42" s="18">
        <f t="shared" si="15"/>
        <v>90</v>
      </c>
      <c r="F42" s="2"/>
      <c r="G42" s="2"/>
      <c r="H42" s="2"/>
      <c r="I42" s="2"/>
      <c r="J42" s="2"/>
      <c r="K42" s="2"/>
      <c r="L42" s="2"/>
      <c r="M42" s="2"/>
      <c r="N42" s="2"/>
      <c r="O42" s="2"/>
      <c r="P42" s="2"/>
      <c r="Q42" s="2"/>
      <c r="R42" s="2"/>
      <c r="S42" s="2"/>
      <c r="T42" s="2"/>
      <c r="U42" s="2"/>
      <c r="V42" s="2"/>
      <c r="W42" s="2"/>
      <c r="X42" s="2"/>
      <c r="Y42" s="2"/>
    </row>
    <row r="43" spans="1:25" ht="18">
      <c r="A43" s="7" t="s">
        <v>48</v>
      </c>
      <c r="B43" s="79"/>
      <c r="C43" s="30">
        <f>(C39*B39)+(C40*B40)+(C41*B41)+(C42*B42)</f>
        <v>58.337773288245586</v>
      </c>
      <c r="D43" s="79"/>
      <c r="E43" s="14"/>
      <c r="F43" s="2"/>
      <c r="G43" s="2"/>
      <c r="H43" s="2"/>
      <c r="I43" s="2"/>
      <c r="J43" s="2"/>
      <c r="K43" s="2"/>
      <c r="L43" s="2"/>
      <c r="M43" s="2"/>
      <c r="N43" s="2"/>
      <c r="O43" s="2"/>
      <c r="P43" s="2"/>
      <c r="Q43" s="2"/>
      <c r="R43" s="2"/>
      <c r="S43" s="2"/>
      <c r="T43" s="2"/>
      <c r="U43" s="2"/>
      <c r="V43" s="2"/>
      <c r="W43" s="2"/>
      <c r="X43" s="2"/>
      <c r="Y43" s="2"/>
    </row>
    <row r="44" spans="1:25" ht="18">
      <c r="A44" s="7" t="s">
        <v>51</v>
      </c>
      <c r="B44" s="79"/>
      <c r="C44" s="79"/>
      <c r="D44" s="79"/>
      <c r="E44" s="30">
        <f>(E39*B39)+(E40*B40)+(E41*B41)+(E42*B42)</f>
        <v>95.801675766702687</v>
      </c>
      <c r="F44" s="2"/>
      <c r="G44" s="2"/>
      <c r="H44" s="2"/>
      <c r="I44" s="2"/>
      <c r="J44" s="2"/>
      <c r="K44" s="2"/>
      <c r="L44" s="2"/>
      <c r="M44" s="2"/>
      <c r="N44" s="2"/>
      <c r="O44" s="2"/>
      <c r="P44" s="2"/>
      <c r="Q44" s="2"/>
      <c r="R44" s="2"/>
      <c r="S44" s="2"/>
      <c r="T44" s="2"/>
      <c r="U44" s="2"/>
      <c r="V44" s="2"/>
      <c r="W44" s="2"/>
      <c r="X44" s="2"/>
      <c r="Y44" s="2"/>
    </row>
    <row r="45" spans="1:25" ht="18">
      <c r="A45" s="2"/>
      <c r="B45" s="2"/>
      <c r="C45" s="2"/>
      <c r="D45" s="2"/>
      <c r="E45" s="2"/>
      <c r="F45" s="2"/>
      <c r="G45" s="2"/>
      <c r="H45" s="2"/>
      <c r="I45" s="2"/>
      <c r="J45" s="2"/>
      <c r="K45" s="2"/>
      <c r="L45" s="2"/>
      <c r="M45" s="2"/>
      <c r="N45" s="2"/>
      <c r="O45" s="2"/>
      <c r="P45" s="2"/>
      <c r="Q45" s="2"/>
      <c r="R45" s="2"/>
      <c r="S45" s="2"/>
      <c r="T45" s="2"/>
      <c r="U45" s="2"/>
      <c r="V45" s="2"/>
      <c r="W45" s="2"/>
      <c r="X45" s="2"/>
      <c r="Y45" s="2"/>
    </row>
    <row r="46" spans="1:25" ht="18">
      <c r="A46" s="2"/>
      <c r="B46" s="2"/>
      <c r="C46" s="2"/>
      <c r="D46" s="2"/>
      <c r="E46" s="2"/>
      <c r="F46" s="2"/>
      <c r="G46" s="2"/>
      <c r="H46" s="2"/>
      <c r="I46" s="2"/>
      <c r="J46" s="2"/>
      <c r="K46" s="2"/>
      <c r="L46" s="2"/>
      <c r="M46" s="2"/>
      <c r="N46" s="2"/>
      <c r="O46" s="2"/>
      <c r="P46" s="2"/>
      <c r="Q46" s="2"/>
      <c r="R46" s="2"/>
      <c r="S46" s="2"/>
      <c r="T46" s="2"/>
      <c r="U46" s="2"/>
      <c r="V46" s="2"/>
      <c r="W46" s="2"/>
      <c r="X46" s="2"/>
      <c r="Y46" s="2"/>
    </row>
    <row r="47" spans="1:25" ht="18">
      <c r="A47" s="2"/>
      <c r="B47" s="2"/>
      <c r="C47" s="2"/>
      <c r="D47" s="2"/>
      <c r="E47" s="2"/>
      <c r="F47" s="2"/>
      <c r="G47" s="2"/>
      <c r="H47" s="2"/>
      <c r="I47" s="2"/>
      <c r="J47" s="2"/>
      <c r="K47" s="2"/>
      <c r="L47" s="2"/>
      <c r="M47" s="2"/>
      <c r="N47" s="2"/>
      <c r="O47" s="2"/>
      <c r="P47" s="2"/>
      <c r="Q47" s="2"/>
      <c r="R47" s="2"/>
      <c r="S47" s="2"/>
      <c r="T47" s="2"/>
      <c r="U47" s="2"/>
      <c r="V47" s="2"/>
      <c r="W47" s="2"/>
      <c r="X47" s="2"/>
      <c r="Y47" s="2"/>
    </row>
    <row r="48" spans="1:25" ht="18">
      <c r="A48" s="2"/>
      <c r="B48" s="2"/>
      <c r="C48" s="2"/>
      <c r="D48" s="2"/>
      <c r="E48" s="2"/>
      <c r="F48" s="2"/>
      <c r="G48" s="2"/>
      <c r="H48" s="2"/>
      <c r="I48" s="2"/>
      <c r="J48" s="2"/>
      <c r="K48" s="2"/>
      <c r="L48" s="2"/>
      <c r="M48" s="2"/>
      <c r="N48" s="2"/>
      <c r="O48" s="2"/>
      <c r="P48" s="2"/>
      <c r="Q48" s="2"/>
      <c r="R48" s="2"/>
      <c r="S48" s="2"/>
      <c r="T48" s="2"/>
      <c r="U48" s="2"/>
      <c r="V48" s="2"/>
      <c r="W48" s="2"/>
      <c r="X48" s="2"/>
      <c r="Y48" s="2"/>
    </row>
    <row r="49" spans="1:25" ht="18">
      <c r="A49" s="2"/>
      <c r="B49" s="2"/>
      <c r="C49" s="2"/>
      <c r="D49" s="2"/>
      <c r="E49" s="2"/>
      <c r="F49" s="2"/>
      <c r="G49" s="2"/>
      <c r="H49" s="2"/>
      <c r="I49" s="2"/>
      <c r="J49" s="2"/>
      <c r="K49" s="2"/>
      <c r="L49" s="2"/>
      <c r="M49" s="2"/>
      <c r="N49" s="2"/>
      <c r="O49" s="2"/>
      <c r="P49" s="2"/>
      <c r="Q49" s="2"/>
      <c r="R49" s="2"/>
      <c r="S49" s="2"/>
      <c r="T49" s="2"/>
      <c r="U49" s="2"/>
      <c r="V49" s="2"/>
      <c r="W49" s="2"/>
      <c r="X49" s="2"/>
      <c r="Y49" s="2"/>
    </row>
    <row r="50" spans="1:25" ht="18">
      <c r="A50" s="2"/>
      <c r="B50" s="2"/>
      <c r="C50" s="2"/>
      <c r="D50" s="2"/>
      <c r="E50" s="2"/>
      <c r="F50" s="2"/>
      <c r="G50" s="2"/>
      <c r="H50" s="2"/>
      <c r="I50" s="2"/>
      <c r="J50" s="2"/>
      <c r="K50" s="2"/>
      <c r="L50" s="2"/>
      <c r="M50" s="2"/>
      <c r="N50" s="2"/>
      <c r="O50" s="2"/>
      <c r="P50" s="2"/>
      <c r="Q50" s="2"/>
      <c r="R50" s="2"/>
      <c r="S50" s="2"/>
      <c r="T50" s="2"/>
      <c r="U50" s="2"/>
      <c r="V50" s="2"/>
      <c r="W50" s="2"/>
      <c r="X50" s="2"/>
      <c r="Y50" s="2"/>
    </row>
    <row r="51" spans="1:25" ht="18">
      <c r="A51" s="2"/>
      <c r="B51" s="2"/>
      <c r="C51" s="2"/>
      <c r="D51" s="2"/>
      <c r="E51" s="2"/>
      <c r="F51" s="2"/>
      <c r="G51" s="2"/>
      <c r="H51" s="2"/>
      <c r="I51" s="2"/>
      <c r="J51" s="2"/>
      <c r="K51" s="2"/>
      <c r="L51" s="2"/>
      <c r="M51" s="2"/>
      <c r="N51" s="2"/>
      <c r="O51" s="2"/>
      <c r="P51" s="2"/>
      <c r="Q51" s="2"/>
      <c r="R51" s="2"/>
      <c r="S51" s="2"/>
      <c r="T51" s="2"/>
      <c r="U51" s="2"/>
      <c r="V51" s="2"/>
      <c r="W51" s="2"/>
      <c r="X51" s="2"/>
      <c r="Y51" s="2"/>
    </row>
    <row r="52" spans="1:25" ht="18">
      <c r="A52" s="2"/>
      <c r="B52" s="2"/>
      <c r="C52" s="2"/>
      <c r="D52" s="2"/>
      <c r="E52" s="2"/>
      <c r="F52" s="2"/>
      <c r="G52" s="2"/>
      <c r="H52" s="2"/>
      <c r="I52" s="2"/>
      <c r="J52" s="2"/>
      <c r="K52" s="2"/>
      <c r="L52" s="2"/>
      <c r="M52" s="2"/>
      <c r="N52" s="2"/>
      <c r="O52" s="2"/>
      <c r="P52" s="2"/>
      <c r="Q52" s="2"/>
      <c r="R52" s="2"/>
      <c r="S52" s="2"/>
      <c r="T52" s="2"/>
      <c r="U52" s="2"/>
      <c r="V52" s="2"/>
      <c r="W52" s="2"/>
      <c r="X52" s="2"/>
      <c r="Y52" s="2"/>
    </row>
    <row r="53" spans="1:25" ht="18">
      <c r="A53" s="2"/>
      <c r="B53" s="2"/>
      <c r="C53" s="2"/>
      <c r="D53" s="2"/>
      <c r="E53" s="2"/>
      <c r="F53" s="2"/>
      <c r="G53" s="2"/>
      <c r="H53" s="2"/>
      <c r="I53" s="2"/>
      <c r="J53" s="2"/>
      <c r="K53" s="2"/>
      <c r="L53" s="2"/>
      <c r="M53" s="2"/>
      <c r="N53" s="2"/>
      <c r="O53" s="2"/>
      <c r="P53" s="2"/>
      <c r="Q53" s="2"/>
      <c r="R53" s="2"/>
      <c r="S53" s="2"/>
      <c r="T53" s="2"/>
      <c r="U53" s="2"/>
      <c r="V53" s="2"/>
      <c r="W53" s="2"/>
      <c r="X53" s="2"/>
      <c r="Y53" s="2"/>
    </row>
    <row r="54" spans="1:25" ht="18">
      <c r="A54" s="2"/>
      <c r="B54" s="2"/>
      <c r="C54" s="2"/>
      <c r="D54" s="2"/>
      <c r="E54" s="2"/>
      <c r="F54" s="2"/>
      <c r="G54" s="2"/>
      <c r="H54" s="2"/>
      <c r="I54" s="2"/>
      <c r="J54" s="2"/>
      <c r="K54" s="2"/>
      <c r="L54" s="2"/>
      <c r="M54" s="2"/>
      <c r="N54" s="2"/>
      <c r="O54" s="2"/>
      <c r="P54" s="2"/>
      <c r="Q54" s="2"/>
      <c r="R54" s="2"/>
      <c r="S54" s="2"/>
      <c r="T54" s="2"/>
      <c r="U54" s="2"/>
      <c r="V54" s="2"/>
      <c r="W54" s="2"/>
      <c r="X54" s="2"/>
      <c r="Y54" s="2"/>
    </row>
    <row r="55" spans="1:25" ht="18">
      <c r="A55" s="2"/>
      <c r="B55" s="2"/>
      <c r="C55" s="2"/>
      <c r="D55" s="2"/>
      <c r="E55" s="2"/>
      <c r="F55" s="2"/>
      <c r="G55" s="2"/>
      <c r="H55" s="2"/>
      <c r="I55" s="2"/>
      <c r="J55" s="2"/>
      <c r="K55" s="2"/>
      <c r="L55" s="2"/>
      <c r="M55" s="2"/>
      <c r="N55" s="2"/>
      <c r="O55" s="2"/>
      <c r="P55" s="2"/>
      <c r="Q55" s="2"/>
      <c r="R55" s="2"/>
      <c r="S55" s="2"/>
      <c r="T55" s="2"/>
      <c r="U55" s="2"/>
      <c r="V55" s="2"/>
      <c r="W55" s="2"/>
      <c r="X55" s="2"/>
      <c r="Y55" s="2"/>
    </row>
    <row r="56" spans="1:25" ht="18">
      <c r="A56" s="2"/>
      <c r="B56" s="2"/>
      <c r="C56" s="2"/>
      <c r="D56" s="2"/>
      <c r="E56" s="2"/>
      <c r="F56" s="2"/>
      <c r="G56" s="2"/>
      <c r="H56" s="2"/>
      <c r="I56" s="2"/>
      <c r="J56" s="2"/>
      <c r="K56" s="2"/>
      <c r="L56" s="2"/>
      <c r="M56" s="2"/>
      <c r="N56" s="2"/>
      <c r="O56" s="2"/>
      <c r="P56" s="2"/>
      <c r="Q56" s="2"/>
      <c r="R56" s="2"/>
      <c r="S56" s="2"/>
      <c r="T56" s="2"/>
      <c r="U56" s="2"/>
      <c r="V56" s="2"/>
      <c r="W56" s="2"/>
      <c r="X56" s="2"/>
      <c r="Y56" s="2"/>
    </row>
    <row r="57" spans="1:25" ht="18">
      <c r="A57" s="2"/>
      <c r="B57" s="2"/>
      <c r="C57" s="2"/>
      <c r="D57" s="2"/>
      <c r="E57" s="2"/>
      <c r="F57" s="2"/>
      <c r="G57" s="2"/>
      <c r="H57" s="2"/>
      <c r="I57" s="2"/>
      <c r="J57" s="2"/>
      <c r="K57" s="2"/>
      <c r="L57" s="2"/>
      <c r="M57" s="2"/>
      <c r="N57" s="2"/>
      <c r="O57" s="2"/>
      <c r="P57" s="2"/>
      <c r="Q57" s="2"/>
      <c r="R57" s="2"/>
      <c r="S57" s="2"/>
      <c r="T57" s="2"/>
      <c r="U57" s="2"/>
      <c r="V57" s="2"/>
      <c r="W57" s="2"/>
      <c r="X57" s="2"/>
      <c r="Y57" s="2"/>
    </row>
    <row r="58" spans="1:25" ht="18">
      <c r="A58" s="2"/>
      <c r="B58" s="2"/>
      <c r="C58" s="2"/>
      <c r="D58" s="2"/>
      <c r="E58" s="2"/>
      <c r="F58" s="2"/>
      <c r="G58" s="2"/>
      <c r="H58" s="2"/>
      <c r="I58" s="2"/>
      <c r="J58" s="2"/>
      <c r="K58" s="2"/>
      <c r="L58" s="2"/>
      <c r="M58" s="2"/>
      <c r="N58" s="2"/>
      <c r="O58" s="2"/>
      <c r="P58" s="2"/>
      <c r="Q58" s="2"/>
      <c r="R58" s="2"/>
      <c r="S58" s="2"/>
      <c r="T58" s="2"/>
      <c r="U58" s="2"/>
      <c r="V58" s="2"/>
      <c r="W58" s="2"/>
      <c r="X58" s="2"/>
      <c r="Y58" s="2"/>
    </row>
    <row r="59" spans="1:25" ht="18">
      <c r="A59" s="2"/>
      <c r="B59" s="2"/>
      <c r="C59" s="2"/>
      <c r="D59" s="2"/>
      <c r="E59" s="2"/>
      <c r="F59" s="2"/>
      <c r="G59" s="2"/>
      <c r="H59" s="2"/>
      <c r="I59" s="2"/>
      <c r="J59" s="2"/>
      <c r="K59" s="2"/>
      <c r="L59" s="2"/>
      <c r="M59" s="2"/>
      <c r="N59" s="2"/>
      <c r="O59" s="2"/>
      <c r="P59" s="2"/>
      <c r="Q59" s="2"/>
      <c r="R59" s="2"/>
      <c r="S59" s="2"/>
      <c r="T59" s="2"/>
      <c r="U59" s="2"/>
      <c r="V59" s="2"/>
      <c r="W59" s="2"/>
      <c r="X59" s="2"/>
      <c r="Y59" s="2"/>
    </row>
    <row r="60" spans="1:25" ht="18">
      <c r="A60" s="2"/>
      <c r="B60" s="2"/>
      <c r="C60" s="2"/>
      <c r="D60" s="2"/>
      <c r="E60" s="2"/>
      <c r="F60" s="2"/>
      <c r="G60" s="2"/>
      <c r="H60" s="2"/>
      <c r="I60" s="2"/>
      <c r="J60" s="2"/>
      <c r="K60" s="2"/>
      <c r="L60" s="2"/>
      <c r="M60" s="2"/>
      <c r="N60" s="2"/>
      <c r="O60" s="2"/>
      <c r="P60" s="2"/>
      <c r="Q60" s="2"/>
      <c r="R60" s="2"/>
      <c r="S60" s="2"/>
      <c r="T60" s="2"/>
      <c r="U60" s="2"/>
      <c r="V60" s="2"/>
      <c r="W60" s="2"/>
      <c r="X60" s="2"/>
      <c r="Y60" s="2"/>
    </row>
    <row r="61" spans="1:25" ht="18">
      <c r="A61" s="2"/>
      <c r="B61" s="2"/>
      <c r="C61" s="2"/>
      <c r="D61" s="2"/>
      <c r="E61" s="2"/>
      <c r="F61" s="2"/>
      <c r="G61" s="2"/>
      <c r="H61" s="2"/>
      <c r="I61" s="2"/>
      <c r="J61" s="2"/>
      <c r="K61" s="2"/>
      <c r="L61" s="2"/>
      <c r="M61" s="2"/>
      <c r="N61" s="2"/>
      <c r="O61" s="2"/>
      <c r="P61" s="2"/>
      <c r="Q61" s="2"/>
      <c r="R61" s="2"/>
      <c r="S61" s="2"/>
      <c r="T61" s="2"/>
      <c r="U61" s="2"/>
      <c r="V61" s="2"/>
      <c r="W61" s="2"/>
      <c r="X61" s="2"/>
      <c r="Y61" s="2"/>
    </row>
    <row r="62" spans="1:25" ht="18">
      <c r="A62" s="2"/>
      <c r="B62" s="2"/>
      <c r="C62" s="2"/>
      <c r="D62" s="2"/>
      <c r="E62" s="2"/>
      <c r="F62" s="2"/>
      <c r="G62" s="2"/>
      <c r="H62" s="2"/>
      <c r="I62" s="2"/>
      <c r="J62" s="2"/>
      <c r="K62" s="2"/>
      <c r="L62" s="2"/>
      <c r="M62" s="2"/>
      <c r="N62" s="2"/>
      <c r="O62" s="2"/>
      <c r="P62" s="2"/>
      <c r="Q62" s="2"/>
      <c r="R62" s="2"/>
      <c r="S62" s="2"/>
      <c r="T62" s="2"/>
      <c r="U62" s="2"/>
      <c r="V62" s="2"/>
      <c r="W62" s="2"/>
      <c r="X62" s="2"/>
      <c r="Y62" s="2"/>
    </row>
    <row r="63" spans="1:25" ht="18">
      <c r="A63" s="2"/>
      <c r="B63" s="2"/>
      <c r="C63" s="2"/>
      <c r="D63" s="2"/>
      <c r="E63" s="2"/>
      <c r="F63" s="2"/>
      <c r="G63" s="2"/>
      <c r="H63" s="2"/>
      <c r="I63" s="2"/>
      <c r="J63" s="2"/>
      <c r="K63" s="2"/>
      <c r="L63" s="2"/>
      <c r="M63" s="2"/>
      <c r="N63" s="2"/>
      <c r="O63" s="2"/>
      <c r="P63" s="2"/>
      <c r="Q63" s="2"/>
      <c r="R63" s="2"/>
      <c r="S63" s="2"/>
      <c r="T63" s="2"/>
      <c r="U63" s="2"/>
      <c r="V63" s="2"/>
      <c r="W63" s="2"/>
      <c r="X63" s="2"/>
      <c r="Y63" s="2"/>
    </row>
    <row r="64" spans="1:25" ht="18">
      <c r="A64" s="2"/>
      <c r="B64" s="2"/>
      <c r="C64" s="2"/>
      <c r="D64" s="2"/>
      <c r="E64" s="2"/>
      <c r="F64" s="2"/>
      <c r="G64" s="2"/>
      <c r="H64" s="2"/>
      <c r="I64" s="2"/>
      <c r="J64" s="2"/>
      <c r="K64" s="2"/>
      <c r="L64" s="2"/>
      <c r="M64" s="2"/>
      <c r="N64" s="2"/>
      <c r="O64" s="2"/>
      <c r="P64" s="2"/>
      <c r="Q64" s="2"/>
      <c r="R64" s="2"/>
      <c r="S64" s="2"/>
      <c r="T64" s="2"/>
      <c r="U64" s="2"/>
      <c r="V64" s="2"/>
      <c r="W64" s="2"/>
      <c r="X64" s="2"/>
      <c r="Y64" s="2"/>
    </row>
    <row r="65" spans="1:25" ht="18">
      <c r="A65" s="2"/>
      <c r="B65" s="2"/>
      <c r="C65" s="2"/>
      <c r="D65" s="2"/>
      <c r="E65" s="2"/>
      <c r="F65" s="2"/>
      <c r="G65" s="2"/>
      <c r="H65" s="2"/>
      <c r="I65" s="2"/>
      <c r="J65" s="2"/>
      <c r="K65" s="2"/>
      <c r="L65" s="2"/>
      <c r="M65" s="2"/>
      <c r="N65" s="2"/>
      <c r="O65" s="2"/>
      <c r="P65" s="2"/>
      <c r="Q65" s="2"/>
      <c r="R65" s="2"/>
      <c r="S65" s="2"/>
      <c r="T65" s="2"/>
      <c r="U65" s="2"/>
      <c r="V65" s="2"/>
      <c r="W65" s="2"/>
      <c r="X65" s="2"/>
      <c r="Y65" s="2"/>
    </row>
    <row r="66" spans="1:25" ht="18">
      <c r="A66" s="2"/>
      <c r="B66" s="2"/>
      <c r="C66" s="2"/>
      <c r="D66" s="2"/>
      <c r="E66" s="2"/>
      <c r="F66" s="2"/>
      <c r="G66" s="2"/>
      <c r="H66" s="2"/>
      <c r="I66" s="2"/>
      <c r="J66" s="2"/>
      <c r="K66" s="2"/>
      <c r="L66" s="2"/>
      <c r="M66" s="2"/>
      <c r="N66" s="2"/>
      <c r="O66" s="2"/>
      <c r="P66" s="2"/>
      <c r="Q66" s="2"/>
      <c r="R66" s="2"/>
      <c r="S66" s="2"/>
      <c r="T66" s="2"/>
      <c r="U66" s="2"/>
      <c r="V66" s="2"/>
      <c r="W66" s="2"/>
      <c r="X66" s="2"/>
      <c r="Y66" s="2"/>
    </row>
    <row r="67" spans="1:25" ht="18">
      <c r="A67" s="2"/>
      <c r="B67" s="2"/>
      <c r="C67" s="2"/>
      <c r="D67" s="2"/>
      <c r="E67" s="2"/>
      <c r="F67" s="2"/>
      <c r="G67" s="2"/>
      <c r="H67" s="2"/>
      <c r="I67" s="2"/>
      <c r="J67" s="2"/>
      <c r="K67" s="2"/>
      <c r="L67" s="2"/>
      <c r="M67" s="2"/>
      <c r="N67" s="2"/>
      <c r="O67" s="2"/>
      <c r="P67" s="2"/>
      <c r="Q67" s="2"/>
      <c r="R67" s="2"/>
      <c r="S67" s="2"/>
      <c r="T67" s="2"/>
      <c r="U67" s="2"/>
      <c r="V67" s="2"/>
      <c r="W67" s="2"/>
      <c r="X67" s="2"/>
      <c r="Y67" s="2"/>
    </row>
    <row r="68" spans="1:25" ht="18">
      <c r="A68" s="2"/>
      <c r="B68" s="2"/>
      <c r="C68" s="2"/>
      <c r="D68" s="2"/>
      <c r="E68" s="2"/>
      <c r="F68" s="2"/>
      <c r="G68" s="2"/>
      <c r="H68" s="2"/>
      <c r="I68" s="2"/>
      <c r="J68" s="2"/>
      <c r="K68" s="2"/>
      <c r="L68" s="2"/>
      <c r="M68" s="2"/>
      <c r="N68" s="2"/>
      <c r="O68" s="2"/>
      <c r="P68" s="2"/>
      <c r="Q68" s="2"/>
      <c r="R68" s="2"/>
      <c r="S68" s="2"/>
      <c r="T68" s="2"/>
      <c r="U68" s="2"/>
      <c r="V68" s="2"/>
      <c r="W68" s="2"/>
      <c r="X68" s="2"/>
      <c r="Y68" s="2"/>
    </row>
    <row r="69" spans="1:25" ht="18">
      <c r="A69" s="2"/>
      <c r="B69" s="2"/>
      <c r="C69" s="2"/>
      <c r="D69" s="2"/>
      <c r="E69" s="2"/>
      <c r="F69" s="2"/>
      <c r="G69" s="2"/>
      <c r="H69" s="2"/>
      <c r="I69" s="2"/>
      <c r="J69" s="2"/>
      <c r="K69" s="2"/>
      <c r="L69" s="2"/>
      <c r="M69" s="2"/>
      <c r="N69" s="2"/>
      <c r="O69" s="2"/>
      <c r="P69" s="2"/>
      <c r="Q69" s="2"/>
      <c r="R69" s="2"/>
      <c r="S69" s="2"/>
      <c r="T69" s="2"/>
      <c r="U69" s="2"/>
      <c r="V69" s="2"/>
      <c r="W69" s="2"/>
      <c r="X69" s="2"/>
      <c r="Y69" s="2"/>
    </row>
    <row r="70" spans="1:25" ht="18">
      <c r="A70" s="2"/>
      <c r="B70" s="2"/>
      <c r="C70" s="2"/>
      <c r="D70" s="2"/>
      <c r="E70" s="2"/>
      <c r="F70" s="2"/>
      <c r="G70" s="2"/>
      <c r="H70" s="2"/>
      <c r="I70" s="2"/>
      <c r="J70" s="2"/>
      <c r="K70" s="2"/>
      <c r="L70" s="2"/>
      <c r="M70" s="2"/>
      <c r="N70" s="2"/>
      <c r="O70" s="2"/>
      <c r="P70" s="2"/>
      <c r="Q70" s="2"/>
      <c r="R70" s="2"/>
      <c r="S70" s="2"/>
      <c r="T70" s="2"/>
      <c r="U70" s="2"/>
      <c r="V70" s="2"/>
      <c r="W70" s="2"/>
      <c r="X70" s="2"/>
      <c r="Y70" s="2"/>
    </row>
    <row r="71" spans="1:25" ht="18">
      <c r="A71" s="2"/>
      <c r="B71" s="2"/>
      <c r="C71" s="2"/>
      <c r="D71" s="2"/>
      <c r="E71" s="2"/>
      <c r="F71" s="2"/>
      <c r="G71" s="2"/>
      <c r="H71" s="2"/>
      <c r="I71" s="2"/>
      <c r="J71" s="2"/>
      <c r="K71" s="2"/>
      <c r="L71" s="2"/>
      <c r="M71" s="2"/>
      <c r="N71" s="2"/>
      <c r="O71" s="2"/>
      <c r="P71" s="2"/>
      <c r="Q71" s="2"/>
      <c r="R71" s="2"/>
      <c r="S71" s="2"/>
      <c r="T71" s="2"/>
      <c r="U71" s="2"/>
      <c r="V71" s="2"/>
      <c r="W71" s="2"/>
      <c r="X71" s="2"/>
      <c r="Y71" s="2"/>
    </row>
    <row r="72" spans="1:25" ht="18">
      <c r="A72" s="2"/>
      <c r="B72" s="2"/>
      <c r="C72" s="2"/>
      <c r="D72" s="2"/>
      <c r="E72" s="2"/>
      <c r="F72" s="2"/>
      <c r="G72" s="2"/>
      <c r="H72" s="2"/>
      <c r="I72" s="2"/>
      <c r="J72" s="2"/>
      <c r="K72" s="2"/>
      <c r="L72" s="2"/>
      <c r="M72" s="2"/>
      <c r="N72" s="2"/>
      <c r="O72" s="2"/>
      <c r="P72" s="2"/>
      <c r="Q72" s="2"/>
      <c r="R72" s="2"/>
      <c r="S72" s="2"/>
      <c r="T72" s="2"/>
      <c r="U72" s="2"/>
      <c r="V72" s="2"/>
      <c r="W72" s="2"/>
      <c r="X72" s="2"/>
      <c r="Y72" s="2"/>
    </row>
    <row r="73" spans="1:25" ht="18">
      <c r="A73" s="2"/>
      <c r="B73" s="2"/>
      <c r="C73" s="2"/>
      <c r="D73" s="2"/>
      <c r="E73" s="2"/>
      <c r="F73" s="2"/>
      <c r="G73" s="2"/>
      <c r="H73" s="2"/>
      <c r="I73" s="2"/>
      <c r="J73" s="2"/>
      <c r="K73" s="2"/>
      <c r="L73" s="2"/>
      <c r="M73" s="2"/>
      <c r="N73" s="2"/>
      <c r="O73" s="2"/>
      <c r="P73" s="2"/>
      <c r="Q73" s="2"/>
      <c r="R73" s="2"/>
      <c r="S73" s="2"/>
      <c r="T73" s="2"/>
      <c r="U73" s="2"/>
      <c r="V73" s="2"/>
      <c r="W73" s="2"/>
      <c r="X73" s="2"/>
      <c r="Y73" s="2"/>
    </row>
    <row r="74" spans="1:25" ht="18">
      <c r="A74" s="2"/>
      <c r="B74" s="2"/>
      <c r="C74" s="2"/>
      <c r="D74" s="2"/>
      <c r="E74" s="2"/>
      <c r="F74" s="2"/>
      <c r="G74" s="2"/>
      <c r="H74" s="2"/>
      <c r="I74" s="2"/>
      <c r="J74" s="2"/>
      <c r="K74" s="2"/>
      <c r="L74" s="2"/>
      <c r="M74" s="2"/>
      <c r="N74" s="2"/>
      <c r="O74" s="2"/>
      <c r="P74" s="2"/>
      <c r="Q74" s="2"/>
      <c r="R74" s="2"/>
      <c r="S74" s="2"/>
      <c r="T74" s="2"/>
      <c r="U74" s="2"/>
      <c r="V74" s="2"/>
      <c r="W74" s="2"/>
      <c r="X74" s="2"/>
      <c r="Y74" s="2"/>
    </row>
    <row r="75" spans="1:25" ht="18">
      <c r="A75" s="2"/>
      <c r="B75" s="2"/>
      <c r="C75" s="2"/>
      <c r="D75" s="2"/>
      <c r="E75" s="2"/>
      <c r="F75" s="2"/>
      <c r="G75" s="2"/>
      <c r="H75" s="2"/>
      <c r="I75" s="2"/>
      <c r="J75" s="2"/>
      <c r="K75" s="2"/>
      <c r="L75" s="2"/>
      <c r="M75" s="2"/>
      <c r="N75" s="2"/>
      <c r="O75" s="2"/>
      <c r="P75" s="2"/>
      <c r="Q75" s="2"/>
      <c r="R75" s="2"/>
      <c r="S75" s="2"/>
      <c r="T75" s="2"/>
      <c r="U75" s="2"/>
      <c r="V75" s="2"/>
      <c r="W75" s="2"/>
      <c r="X75" s="2"/>
      <c r="Y75" s="2"/>
    </row>
    <row r="76" spans="1:25" ht="18">
      <c r="A76" s="2"/>
      <c r="B76" s="2"/>
      <c r="C76" s="2"/>
      <c r="D76" s="2"/>
      <c r="E76" s="2"/>
      <c r="F76" s="2"/>
      <c r="G76" s="2"/>
      <c r="H76" s="2"/>
      <c r="I76" s="2"/>
      <c r="J76" s="2"/>
      <c r="K76" s="2"/>
      <c r="L76" s="2"/>
      <c r="M76" s="2"/>
      <c r="N76" s="2"/>
      <c r="O76" s="2"/>
      <c r="P76" s="2"/>
      <c r="Q76" s="2"/>
      <c r="R76" s="2"/>
      <c r="S76" s="2"/>
      <c r="T76" s="2"/>
      <c r="U76" s="2"/>
      <c r="V76" s="2"/>
      <c r="W76" s="2"/>
      <c r="X76" s="2"/>
      <c r="Y76" s="2"/>
    </row>
    <row r="77" spans="1:25" ht="18">
      <c r="A77" s="2"/>
      <c r="B77" s="2"/>
      <c r="C77" s="2"/>
      <c r="D77" s="2"/>
      <c r="E77" s="2"/>
      <c r="F77" s="2"/>
      <c r="G77" s="2"/>
      <c r="H77" s="2"/>
      <c r="I77" s="2"/>
      <c r="J77" s="2"/>
      <c r="K77" s="2"/>
      <c r="L77" s="2"/>
      <c r="M77" s="2"/>
      <c r="N77" s="2"/>
      <c r="O77" s="2"/>
      <c r="P77" s="2"/>
      <c r="Q77" s="2"/>
      <c r="R77" s="2"/>
      <c r="S77" s="2"/>
      <c r="T77" s="2"/>
      <c r="U77" s="2"/>
      <c r="V77" s="2"/>
      <c r="W77" s="2"/>
      <c r="X77" s="2"/>
      <c r="Y77" s="2"/>
    </row>
    <row r="78" spans="1:25" ht="18">
      <c r="A78" s="2"/>
      <c r="B78" s="2"/>
      <c r="C78" s="2"/>
      <c r="D78" s="2"/>
      <c r="E78" s="2"/>
      <c r="F78" s="2"/>
      <c r="G78" s="2"/>
      <c r="H78" s="2"/>
      <c r="I78" s="2"/>
      <c r="J78" s="2"/>
      <c r="K78" s="2"/>
      <c r="L78" s="2"/>
      <c r="M78" s="2"/>
      <c r="N78" s="2"/>
      <c r="O78" s="2"/>
      <c r="P78" s="2"/>
      <c r="Q78" s="2"/>
      <c r="R78" s="2"/>
      <c r="S78" s="2"/>
      <c r="T78" s="2"/>
      <c r="U78" s="2"/>
      <c r="V78" s="2"/>
      <c r="W78" s="2"/>
      <c r="X78" s="2"/>
      <c r="Y78" s="2"/>
    </row>
    <row r="79" spans="1:25" ht="18">
      <c r="A79" s="2"/>
      <c r="B79" s="2"/>
      <c r="C79" s="2"/>
      <c r="D79" s="2"/>
      <c r="E79" s="2"/>
      <c r="F79" s="2"/>
      <c r="G79" s="2"/>
      <c r="H79" s="2"/>
      <c r="I79" s="2"/>
      <c r="J79" s="2"/>
      <c r="K79" s="2"/>
      <c r="L79" s="2"/>
      <c r="M79" s="2"/>
      <c r="N79" s="2"/>
      <c r="O79" s="2"/>
      <c r="P79" s="2"/>
      <c r="Q79" s="2"/>
      <c r="R79" s="2"/>
      <c r="S79" s="2"/>
      <c r="T79" s="2"/>
      <c r="U79" s="2"/>
      <c r="V79" s="2"/>
      <c r="W79" s="2"/>
      <c r="X79" s="2"/>
      <c r="Y79" s="2"/>
    </row>
    <row r="80" spans="1:25" ht="18">
      <c r="A80" s="2"/>
      <c r="B80" s="2"/>
      <c r="C80" s="2"/>
      <c r="D80" s="2"/>
      <c r="E80" s="2"/>
      <c r="F80" s="2"/>
      <c r="G80" s="2"/>
      <c r="H80" s="2"/>
      <c r="I80" s="2"/>
      <c r="J80" s="2"/>
      <c r="K80" s="2"/>
      <c r="L80" s="2"/>
      <c r="M80" s="2"/>
      <c r="N80" s="2"/>
      <c r="O80" s="2"/>
      <c r="P80" s="2"/>
      <c r="Q80" s="2"/>
      <c r="R80" s="2"/>
      <c r="S80" s="2"/>
      <c r="T80" s="2"/>
      <c r="U80" s="2"/>
      <c r="V80" s="2"/>
      <c r="W80" s="2"/>
      <c r="X80" s="2"/>
      <c r="Y80" s="2"/>
    </row>
    <row r="81" spans="1:25" ht="18">
      <c r="A81" s="2"/>
      <c r="B81" s="2"/>
      <c r="C81" s="2"/>
      <c r="D81" s="2"/>
      <c r="E81" s="2"/>
      <c r="F81" s="2"/>
      <c r="G81" s="2"/>
      <c r="H81" s="2"/>
      <c r="I81" s="2"/>
      <c r="J81" s="2"/>
      <c r="K81" s="2"/>
      <c r="L81" s="2"/>
      <c r="M81" s="2"/>
      <c r="N81" s="2"/>
      <c r="O81" s="2"/>
      <c r="P81" s="2"/>
      <c r="Q81" s="2"/>
      <c r="R81" s="2"/>
      <c r="S81" s="2"/>
      <c r="T81" s="2"/>
      <c r="U81" s="2"/>
      <c r="V81" s="2"/>
      <c r="W81" s="2"/>
      <c r="X81" s="2"/>
      <c r="Y81" s="2"/>
    </row>
    <row r="82" spans="1:25" ht="18">
      <c r="A82" s="2"/>
      <c r="B82" s="2"/>
      <c r="C82" s="2"/>
      <c r="D82" s="2"/>
      <c r="E82" s="2"/>
      <c r="F82" s="2"/>
      <c r="G82" s="2"/>
      <c r="H82" s="2"/>
      <c r="I82" s="2"/>
      <c r="J82" s="2"/>
      <c r="K82" s="2"/>
      <c r="L82" s="2"/>
      <c r="M82" s="2"/>
      <c r="N82" s="2"/>
      <c r="O82" s="2"/>
      <c r="P82" s="2"/>
      <c r="Q82" s="2"/>
      <c r="R82" s="2"/>
      <c r="S82" s="2"/>
      <c r="T82" s="2"/>
      <c r="U82" s="2"/>
      <c r="V82" s="2"/>
      <c r="W82" s="2"/>
      <c r="X82" s="2"/>
      <c r="Y82" s="2"/>
    </row>
    <row r="83" spans="1:25" ht="18">
      <c r="A83" s="2"/>
      <c r="B83" s="2"/>
      <c r="C83" s="2"/>
      <c r="D83" s="2"/>
      <c r="E83" s="2"/>
      <c r="F83" s="2"/>
      <c r="G83" s="2"/>
      <c r="H83" s="2"/>
      <c r="I83" s="2"/>
      <c r="J83" s="2"/>
      <c r="K83" s="2"/>
      <c r="L83" s="2"/>
      <c r="M83" s="2"/>
      <c r="N83" s="2"/>
      <c r="O83" s="2"/>
      <c r="P83" s="2"/>
      <c r="Q83" s="2"/>
      <c r="R83" s="2"/>
      <c r="S83" s="2"/>
      <c r="T83" s="2"/>
      <c r="U83" s="2"/>
      <c r="V83" s="2"/>
      <c r="W83" s="2"/>
      <c r="X83" s="2"/>
      <c r="Y83" s="2"/>
    </row>
    <row r="84" spans="1:25" ht="18">
      <c r="A84" s="2"/>
      <c r="B84" s="2"/>
      <c r="C84" s="2"/>
      <c r="D84" s="2"/>
      <c r="E84" s="2"/>
      <c r="F84" s="2"/>
      <c r="G84" s="2"/>
      <c r="H84" s="2"/>
      <c r="I84" s="2"/>
      <c r="J84" s="2"/>
      <c r="K84" s="2"/>
      <c r="L84" s="2"/>
      <c r="M84" s="2"/>
      <c r="N84" s="2"/>
      <c r="O84" s="2"/>
      <c r="P84" s="2"/>
      <c r="Q84" s="2"/>
      <c r="R84" s="2"/>
      <c r="S84" s="2"/>
      <c r="T84" s="2"/>
      <c r="U84" s="2"/>
      <c r="V84" s="2"/>
      <c r="W84" s="2"/>
      <c r="X84" s="2"/>
      <c r="Y84" s="2"/>
    </row>
    <row r="85" spans="1:25" ht="18">
      <c r="A85" s="2"/>
      <c r="B85" s="2"/>
      <c r="C85" s="2"/>
      <c r="D85" s="2"/>
      <c r="E85" s="2"/>
      <c r="F85" s="2"/>
      <c r="G85" s="2"/>
      <c r="H85" s="2"/>
      <c r="I85" s="2"/>
      <c r="J85" s="2"/>
      <c r="K85" s="2"/>
      <c r="L85" s="2"/>
      <c r="M85" s="2"/>
      <c r="N85" s="2"/>
      <c r="O85" s="2"/>
      <c r="P85" s="2"/>
      <c r="Q85" s="2"/>
      <c r="R85" s="2"/>
      <c r="S85" s="2"/>
      <c r="T85" s="2"/>
      <c r="U85" s="2"/>
      <c r="V85" s="2"/>
      <c r="W85" s="2"/>
      <c r="X85" s="2"/>
      <c r="Y85" s="2"/>
    </row>
    <row r="86" spans="1:25" ht="18">
      <c r="A86" s="2"/>
      <c r="B86" s="2"/>
      <c r="C86" s="2"/>
      <c r="D86" s="2"/>
      <c r="E86" s="2"/>
      <c r="F86" s="2"/>
      <c r="G86" s="2"/>
      <c r="H86" s="2"/>
      <c r="I86" s="2"/>
      <c r="J86" s="2"/>
      <c r="K86" s="2"/>
      <c r="L86" s="2"/>
      <c r="M86" s="2"/>
      <c r="N86" s="2"/>
      <c r="O86" s="2"/>
      <c r="P86" s="2"/>
      <c r="Q86" s="2"/>
      <c r="R86" s="2"/>
      <c r="S86" s="2"/>
      <c r="T86" s="2"/>
      <c r="U86" s="2"/>
      <c r="V86" s="2"/>
      <c r="W86" s="2"/>
      <c r="X86" s="2"/>
      <c r="Y86" s="2"/>
    </row>
    <row r="87" spans="1:25" ht="18">
      <c r="A87" s="2"/>
      <c r="B87" s="2"/>
      <c r="C87" s="2"/>
      <c r="D87" s="2"/>
      <c r="E87" s="2"/>
      <c r="F87" s="2"/>
      <c r="G87" s="2"/>
      <c r="H87" s="2"/>
      <c r="I87" s="2"/>
      <c r="J87" s="2"/>
      <c r="K87" s="2"/>
      <c r="L87" s="2"/>
      <c r="M87" s="2"/>
      <c r="N87" s="2"/>
      <c r="O87" s="2"/>
      <c r="P87" s="2"/>
      <c r="Q87" s="2"/>
      <c r="R87" s="2"/>
      <c r="S87" s="2"/>
      <c r="T87" s="2"/>
      <c r="U87" s="2"/>
      <c r="V87" s="2"/>
      <c r="W87" s="2"/>
      <c r="X87" s="2"/>
      <c r="Y87" s="2"/>
    </row>
    <row r="88" spans="1:25" ht="18">
      <c r="A88" s="2"/>
      <c r="B88" s="2"/>
      <c r="C88" s="2"/>
      <c r="D88" s="2"/>
      <c r="E88" s="2"/>
      <c r="F88" s="2"/>
      <c r="G88" s="2"/>
      <c r="H88" s="2"/>
      <c r="I88" s="2"/>
      <c r="J88" s="2"/>
      <c r="K88" s="2"/>
      <c r="L88" s="2"/>
      <c r="M88" s="2"/>
      <c r="N88" s="2"/>
      <c r="O88" s="2"/>
      <c r="P88" s="2"/>
      <c r="Q88" s="2"/>
      <c r="R88" s="2"/>
      <c r="S88" s="2"/>
      <c r="T88" s="2"/>
      <c r="U88" s="2"/>
      <c r="V88" s="2"/>
      <c r="W88" s="2"/>
      <c r="X88" s="2"/>
      <c r="Y88" s="2"/>
    </row>
    <row r="89" spans="1:25" ht="18">
      <c r="A89" s="2"/>
      <c r="B89" s="2"/>
      <c r="C89" s="2"/>
      <c r="D89" s="2"/>
      <c r="E89" s="2"/>
      <c r="F89" s="2"/>
      <c r="G89" s="2"/>
      <c r="H89" s="2"/>
      <c r="I89" s="2"/>
      <c r="J89" s="2"/>
      <c r="K89" s="2"/>
      <c r="L89" s="2"/>
      <c r="M89" s="2"/>
      <c r="N89" s="2"/>
      <c r="O89" s="2"/>
      <c r="P89" s="2"/>
      <c r="Q89" s="2"/>
      <c r="R89" s="2"/>
      <c r="S89" s="2"/>
      <c r="T89" s="2"/>
      <c r="U89" s="2"/>
      <c r="V89" s="2"/>
      <c r="W89" s="2"/>
      <c r="X89" s="2"/>
      <c r="Y89" s="2"/>
    </row>
    <row r="90" spans="1:25" ht="18">
      <c r="A90" s="2"/>
      <c r="B90" s="2"/>
      <c r="C90" s="2"/>
      <c r="D90" s="2"/>
      <c r="E90" s="2"/>
      <c r="F90" s="2"/>
      <c r="G90" s="2"/>
      <c r="H90" s="2"/>
      <c r="I90" s="2"/>
      <c r="J90" s="2"/>
      <c r="K90" s="2"/>
      <c r="L90" s="2"/>
      <c r="M90" s="2"/>
      <c r="N90" s="2"/>
      <c r="O90" s="2"/>
      <c r="P90" s="2"/>
      <c r="Q90" s="2"/>
      <c r="R90" s="2"/>
      <c r="S90" s="2"/>
      <c r="T90" s="2"/>
      <c r="U90" s="2"/>
      <c r="V90" s="2"/>
      <c r="W90" s="2"/>
      <c r="X90" s="2"/>
      <c r="Y90" s="2"/>
    </row>
    <row r="91" spans="1:25" ht="18">
      <c r="A91" s="2"/>
      <c r="B91" s="2"/>
      <c r="C91" s="2"/>
      <c r="D91" s="2"/>
      <c r="E91" s="2"/>
      <c r="F91" s="2"/>
      <c r="G91" s="2"/>
      <c r="H91" s="2"/>
      <c r="I91" s="2"/>
      <c r="J91" s="2"/>
      <c r="K91" s="2"/>
      <c r="L91" s="2"/>
      <c r="M91" s="2"/>
      <c r="N91" s="2"/>
      <c r="O91" s="2"/>
      <c r="P91" s="2"/>
      <c r="Q91" s="2"/>
      <c r="R91" s="2"/>
      <c r="S91" s="2"/>
      <c r="T91" s="2"/>
      <c r="U91" s="2"/>
      <c r="V91" s="2"/>
      <c r="W91" s="2"/>
      <c r="X91" s="2"/>
      <c r="Y91" s="2"/>
    </row>
    <row r="92" spans="1:25" ht="18">
      <c r="A92" s="2"/>
      <c r="B92" s="2"/>
      <c r="C92" s="2"/>
      <c r="D92" s="2"/>
      <c r="E92" s="2"/>
      <c r="F92" s="2"/>
      <c r="G92" s="2"/>
      <c r="H92" s="2"/>
      <c r="I92" s="2"/>
      <c r="J92" s="2"/>
      <c r="K92" s="2"/>
      <c r="L92" s="2"/>
      <c r="M92" s="2"/>
      <c r="N92" s="2"/>
      <c r="O92" s="2"/>
      <c r="P92" s="2"/>
      <c r="Q92" s="2"/>
      <c r="R92" s="2"/>
      <c r="S92" s="2"/>
      <c r="T92" s="2"/>
      <c r="U92" s="2"/>
      <c r="V92" s="2"/>
      <c r="W92" s="2"/>
      <c r="X92" s="2"/>
      <c r="Y92" s="2"/>
    </row>
    <row r="93" spans="1:25" ht="18">
      <c r="A93" s="2"/>
      <c r="B93" s="2"/>
      <c r="C93" s="2"/>
      <c r="D93" s="2"/>
      <c r="E93" s="2"/>
      <c r="F93" s="2"/>
      <c r="G93" s="2"/>
      <c r="H93" s="2"/>
      <c r="I93" s="2"/>
      <c r="J93" s="2"/>
      <c r="K93" s="2"/>
      <c r="L93" s="2"/>
      <c r="M93" s="2"/>
      <c r="N93" s="2"/>
      <c r="O93" s="2"/>
      <c r="P93" s="2"/>
      <c r="Q93" s="2"/>
      <c r="R93" s="2"/>
      <c r="S93" s="2"/>
      <c r="T93" s="2"/>
      <c r="U93" s="2"/>
      <c r="V93" s="2"/>
      <c r="W93" s="2"/>
      <c r="X93" s="2"/>
      <c r="Y93" s="2"/>
    </row>
    <row r="94" spans="1:25" ht="18">
      <c r="A94" s="2"/>
      <c r="B94" s="2"/>
      <c r="C94" s="2"/>
      <c r="D94" s="2"/>
      <c r="E94" s="2"/>
      <c r="F94" s="2"/>
      <c r="G94" s="2"/>
      <c r="H94" s="2"/>
      <c r="I94" s="2"/>
      <c r="J94" s="2"/>
      <c r="K94" s="2"/>
      <c r="L94" s="2"/>
      <c r="M94" s="2"/>
      <c r="N94" s="2"/>
      <c r="O94" s="2"/>
      <c r="P94" s="2"/>
      <c r="Q94" s="2"/>
      <c r="R94" s="2"/>
      <c r="S94" s="2"/>
      <c r="T94" s="2"/>
      <c r="U94" s="2"/>
      <c r="V94" s="2"/>
      <c r="W94" s="2"/>
      <c r="X94" s="2"/>
      <c r="Y94" s="2"/>
    </row>
    <row r="95" spans="1:25" ht="18">
      <c r="A95" s="2"/>
      <c r="B95" s="2"/>
      <c r="C95" s="2"/>
      <c r="D95" s="2"/>
      <c r="E95" s="2"/>
      <c r="F95" s="2"/>
      <c r="G95" s="2"/>
      <c r="H95" s="2"/>
      <c r="I95" s="2"/>
      <c r="J95" s="2"/>
      <c r="K95" s="2"/>
      <c r="L95" s="2"/>
      <c r="M95" s="2"/>
      <c r="N95" s="2"/>
      <c r="O95" s="2"/>
      <c r="P95" s="2"/>
      <c r="Q95" s="2"/>
      <c r="R95" s="2"/>
      <c r="S95" s="2"/>
      <c r="T95" s="2"/>
      <c r="U95" s="2"/>
      <c r="V95" s="2"/>
      <c r="W95" s="2"/>
      <c r="X95" s="2"/>
      <c r="Y95" s="2"/>
    </row>
    <row r="96" spans="1:25" ht="18">
      <c r="A96" s="2"/>
      <c r="B96" s="2"/>
      <c r="C96" s="2"/>
      <c r="D96" s="2"/>
      <c r="E96" s="2"/>
      <c r="F96" s="2"/>
      <c r="G96" s="2"/>
      <c r="H96" s="2"/>
      <c r="I96" s="2"/>
      <c r="J96" s="2"/>
      <c r="K96" s="2"/>
      <c r="L96" s="2"/>
      <c r="M96" s="2"/>
      <c r="N96" s="2"/>
      <c r="O96" s="2"/>
      <c r="P96" s="2"/>
      <c r="Q96" s="2"/>
      <c r="R96" s="2"/>
      <c r="S96" s="2"/>
      <c r="T96" s="2"/>
      <c r="U96" s="2"/>
      <c r="V96" s="2"/>
      <c r="W96" s="2"/>
      <c r="X96" s="2"/>
      <c r="Y96" s="2"/>
    </row>
    <row r="97" spans="1:25" ht="18">
      <c r="A97" s="2"/>
      <c r="B97" s="2"/>
      <c r="C97" s="2"/>
      <c r="D97" s="2"/>
      <c r="E97" s="2"/>
      <c r="F97" s="2"/>
      <c r="G97" s="2"/>
      <c r="H97" s="2"/>
      <c r="I97" s="2"/>
      <c r="J97" s="2"/>
      <c r="K97" s="2"/>
      <c r="L97" s="2"/>
      <c r="M97" s="2"/>
      <c r="N97" s="2"/>
      <c r="O97" s="2"/>
      <c r="P97" s="2"/>
      <c r="Q97" s="2"/>
      <c r="R97" s="2"/>
      <c r="S97" s="2"/>
      <c r="T97" s="2"/>
      <c r="U97" s="2"/>
      <c r="V97" s="2"/>
      <c r="W97" s="2"/>
      <c r="X97" s="2"/>
      <c r="Y97" s="2"/>
    </row>
    <row r="98" spans="1:25" ht="18">
      <c r="A98" s="2"/>
      <c r="B98" s="2"/>
      <c r="C98" s="2"/>
      <c r="D98" s="2"/>
      <c r="E98" s="2"/>
      <c r="F98" s="2"/>
      <c r="G98" s="2"/>
      <c r="H98" s="2"/>
      <c r="I98" s="2"/>
      <c r="J98" s="2"/>
      <c r="K98" s="2"/>
      <c r="L98" s="2"/>
      <c r="M98" s="2"/>
      <c r="N98" s="2"/>
      <c r="O98" s="2"/>
      <c r="P98" s="2"/>
      <c r="Q98" s="2"/>
      <c r="R98" s="2"/>
      <c r="S98" s="2"/>
      <c r="T98" s="2"/>
      <c r="U98" s="2"/>
      <c r="V98" s="2"/>
      <c r="W98" s="2"/>
      <c r="X98" s="2"/>
      <c r="Y98" s="2"/>
    </row>
    <row r="99" spans="1:25" ht="18">
      <c r="A99" s="2"/>
      <c r="B99" s="2"/>
      <c r="C99" s="2"/>
      <c r="D99" s="2"/>
      <c r="E99" s="2"/>
      <c r="F99" s="2"/>
      <c r="G99" s="2"/>
      <c r="H99" s="2"/>
      <c r="I99" s="2"/>
      <c r="J99" s="2"/>
      <c r="K99" s="2"/>
      <c r="L99" s="2"/>
      <c r="M99" s="2"/>
      <c r="N99" s="2"/>
      <c r="O99" s="2"/>
      <c r="P99" s="2"/>
      <c r="Q99" s="2"/>
      <c r="R99" s="2"/>
      <c r="S99" s="2"/>
      <c r="T99" s="2"/>
      <c r="U99" s="2"/>
      <c r="V99" s="2"/>
      <c r="W99" s="2"/>
      <c r="X99" s="2"/>
      <c r="Y99" s="2"/>
    </row>
    <row r="100" spans="1:25" ht="18">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8">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8">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8">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8">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8">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8">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8">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8">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8">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8">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8">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8">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8">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8">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8">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8">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8">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8">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8">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8">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8">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8">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8">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8">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8">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8">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8">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8">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8">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8">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8">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8">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8">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8">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8">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8">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8">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8">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8">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8">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8">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8">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8">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8">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8">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8">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8">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8">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8">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8">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8">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8">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8">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8">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8">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8">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8">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8">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8">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8">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8">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8">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8">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8">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8">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8">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8">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8">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8">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8">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8">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8">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8">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8">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8">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8">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8">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8">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8">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8">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8">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8">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8">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8">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8">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8">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8">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8">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8">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8">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8">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8">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8">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8">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8">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8">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8">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8">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8">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8">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8">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8">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8">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8">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8">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8">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8">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8">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8">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8">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8">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8">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8">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8">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8">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8">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8">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8">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8">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8">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8">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8">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8">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8">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8">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8">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8">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8">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8">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8">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8">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8">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8">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8">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8">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8">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8">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8">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8">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8">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8">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8">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8">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8">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8">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8">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8">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8">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8">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8">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8">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8">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8">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8">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8">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8">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8">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8">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8">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8">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8">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8">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8">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8">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8">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8">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8">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8">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8">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8">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8">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8">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8">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8">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8">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8">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8">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8">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8">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8">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8">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8">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8">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8">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8">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8">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8">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8">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8">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8">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8">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8">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8">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8">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8">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8">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8">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8">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8">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8">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8">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8">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8">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8">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8">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8">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8">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8">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8">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8">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8">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8">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8">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8">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8">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8">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8">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8">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8">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8">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8">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8">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8">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8">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8">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8">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8">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8">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8">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8">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8">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8">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8">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8">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8">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8">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8">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8">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8">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8">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8">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8">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8">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8">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8">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8">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8">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8">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8">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8">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8">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8">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8">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8">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8">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8">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8">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8">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8">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8">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8">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8">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8">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8">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8">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8">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8">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8">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8">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8">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8">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8">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8">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8">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8">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8">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8">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8">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8">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8">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8">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8">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8">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8">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8">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8">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8">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8">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8">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8">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8">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8">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8">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8">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8">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8">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8">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8">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8">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8">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8">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8">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8">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8">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8">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8">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8">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8">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8">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8">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8">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8">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8">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8">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8">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8">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8">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8">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8">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8">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8">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8">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8">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8">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8">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8">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8">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8">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8">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8">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8">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8">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8">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8">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8">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8">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8">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8">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8">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8">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8">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8">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8">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8">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8">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8">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8">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8">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8">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8">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8">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8">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8">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8">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8">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8">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8">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8">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8">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8">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8">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8">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8">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8">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8">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8">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8">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8">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8">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8">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8">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8">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8">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8">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8">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8">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8">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8">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8">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8">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8">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8">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8">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8">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8">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8">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8">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8">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8">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8">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8">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8">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8">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8">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8">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8">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8">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8">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8">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8">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8">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8">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8">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8">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8">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8">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8">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8">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8">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8">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8">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8">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8">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8">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8">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8">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8">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8">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8">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8">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8">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8">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8">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8">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8">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8">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8">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8">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8">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8">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8">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8">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8">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8">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8">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8">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8">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8">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8">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8">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8">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8">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8">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8">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8">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8">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8">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8">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8">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8">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8">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8">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8">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8">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8">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8">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8">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8">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8">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8">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8">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8">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8">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8">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8">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8">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8">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8">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8">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8">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8">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8">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8">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8">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8">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8">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8">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8">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8">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8">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8">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8">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8">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8">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8">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8">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8">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8">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8">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8">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8">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8">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8">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8">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8">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8">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8">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8">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8">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8">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8">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8">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8">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8">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8">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8">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8">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8">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8">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8">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8">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8">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8">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8">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8">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8">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8">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8">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8">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8">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8">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8">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8">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8">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8">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8">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8">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8">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8">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8">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8">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8">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8">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8">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8">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8">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8">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8">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8">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8">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8">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8">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8">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8">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8">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8">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8">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8">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8">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8">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8">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8">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8">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8">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8">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8">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8">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8">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8">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8">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8">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8">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8">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8">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8">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8">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8">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8">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8">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8">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8">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8">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8">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8">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8">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8">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8">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8">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8">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8">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8">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8">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8">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8">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8">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8">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8">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8">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8">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8">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8">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8">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8">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8">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8">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8">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8">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8">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8">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8">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8">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8">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8">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8">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8">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8">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8">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8">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8">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8">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8">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8">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8">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8">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8">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8">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8">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8">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8">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8">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8">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8">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8">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8">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8">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8">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8">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8">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8">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8">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8">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8">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8">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8">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8">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8">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8">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8">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8">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8">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8">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8">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8">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8">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8">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8">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8">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8">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8">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8">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8">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8">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8">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8">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8">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8">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8">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8">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8">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8">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8">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8">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8">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8">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8">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8">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8">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8">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8">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8">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8">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8">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8">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8">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8">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8">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8">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8">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8">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8">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8">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8">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8">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8">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8">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8">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8">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8">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8">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8">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8">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8">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8">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8">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8">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8">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8">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8">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8">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8">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8">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8">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8">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8">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8">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8">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8">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8">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8">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8">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8">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8">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8">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8">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8">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8">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8">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8">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8">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8">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8">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8">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8">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8">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8">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8">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8">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8">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8">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8">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8">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8">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8">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8">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8">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8">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8">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8">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8">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8">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8">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8">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8">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8">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8">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8">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8">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8">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8">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8">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8">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8">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8">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8">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8">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8">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8">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8">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8">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8">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8">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8">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8">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8">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8">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8">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8">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8">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8">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8">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8">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8">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8">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8">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8">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8">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8">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8">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8">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8">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8">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8">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8">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8">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8">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8">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8">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8">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8">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8">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8">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8">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8">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8">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8">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8">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8">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8">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8">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8">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8">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8">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8">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8">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8">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8">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8">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8">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8">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8">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8">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8">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8">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8">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8">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8">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8">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8">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8">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8">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8">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8">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8">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8">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8">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8">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8">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8">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8">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8">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8">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8">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8">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8">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8">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8">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8">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8">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8">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8">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8">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8">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8">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8">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8">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8">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8">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8">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8">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8">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8">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8">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8">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8">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8">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8">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8">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8">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8">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8">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8">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8">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8">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8">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8">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8">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8">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8">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8">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8">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8">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8">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8">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8">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8">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8">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8">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8">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8">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8">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8">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8">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8">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8">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8">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8">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8">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8">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8">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8">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8">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8">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8">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8">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8">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8">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8">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8">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8">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8">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mergeCells count="5">
    <mergeCell ref="G3:G6"/>
    <mergeCell ref="G2:I2"/>
    <mergeCell ref="G7:G10"/>
    <mergeCell ref="G20:L20"/>
    <mergeCell ref="G12:H12"/>
  </mergeCells>
  <hyperlinks>
    <hyperlink ref="A1" location="Index!A1" display="Index!A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A9999"/>
  </sheetPr>
  <dimension ref="A1:AD1015"/>
  <sheetViews>
    <sheetView workbookViewId="0">
      <selection activeCell="J64" sqref="J64:J66"/>
    </sheetView>
  </sheetViews>
  <sheetFormatPr defaultColWidth="14.33203125" defaultRowHeight="14.25"/>
  <cols>
    <col min="1" max="1" width="37.1328125" bestFit="1" customWidth="1"/>
    <col min="2" max="2" width="15.33203125" bestFit="1" customWidth="1"/>
    <col min="3" max="3" width="19.33203125" bestFit="1" customWidth="1"/>
    <col min="4" max="4" width="13.33203125" bestFit="1" customWidth="1"/>
    <col min="5" max="5" width="14.6640625" bestFit="1" customWidth="1"/>
    <col min="6" max="6" width="12.6640625" bestFit="1" customWidth="1"/>
    <col min="7" max="7" width="6.6640625" bestFit="1" customWidth="1"/>
    <col min="8" max="8" width="14.6640625" bestFit="1" customWidth="1"/>
    <col min="9" max="10" width="15.33203125" bestFit="1" customWidth="1"/>
    <col min="11" max="11" width="5.33203125" bestFit="1" customWidth="1"/>
    <col min="12" max="12" width="23.796875" bestFit="1" customWidth="1"/>
    <col min="13" max="13" width="32.1328125" bestFit="1" customWidth="1"/>
    <col min="14" max="14" width="16.6640625" customWidth="1"/>
    <col min="15" max="15" width="15.6640625" customWidth="1"/>
    <col min="16" max="16" width="12.6640625" customWidth="1"/>
    <col min="17" max="30" width="8.796875" customWidth="1"/>
  </cols>
  <sheetData>
    <row r="1" spans="1:30" ht="15.75">
      <c r="A1" s="765" t="s">
        <v>0</v>
      </c>
      <c r="B1" s="80"/>
      <c r="C1" s="80"/>
      <c r="D1" s="80"/>
      <c r="E1" s="80"/>
      <c r="F1" s="80"/>
      <c r="G1" s="80"/>
      <c r="H1" s="80"/>
      <c r="I1" s="80"/>
      <c r="J1" s="80"/>
      <c r="K1" s="80"/>
      <c r="L1" s="80"/>
      <c r="M1" s="80"/>
      <c r="N1" s="80"/>
      <c r="O1" s="80"/>
      <c r="P1" s="80"/>
      <c r="Q1" s="80"/>
      <c r="R1" s="80"/>
      <c r="S1" s="80"/>
      <c r="T1" s="80"/>
      <c r="U1" s="80"/>
      <c r="V1" s="80"/>
      <c r="W1" s="80"/>
      <c r="X1" s="80"/>
      <c r="Y1" s="80"/>
      <c r="Z1" s="80"/>
      <c r="AA1" s="80"/>
      <c r="AB1" s="80"/>
      <c r="AC1" s="80"/>
      <c r="AD1" s="80"/>
    </row>
    <row r="2" spans="1:30" ht="15.75">
      <c r="A2" s="1314" t="s">
        <v>1</v>
      </c>
      <c r="B2" s="1305"/>
      <c r="C2" s="1305"/>
      <c r="D2" s="1305"/>
      <c r="E2" s="1305"/>
      <c r="F2" s="1306"/>
      <c r="G2" s="80"/>
      <c r="H2" s="80"/>
      <c r="I2" s="80"/>
      <c r="J2" s="80"/>
      <c r="K2" s="80"/>
      <c r="L2" s="80"/>
      <c r="M2" s="80"/>
      <c r="N2" s="80"/>
      <c r="O2" s="80"/>
      <c r="P2" s="80"/>
      <c r="Q2" s="80"/>
      <c r="R2" s="80"/>
      <c r="S2" s="80"/>
      <c r="T2" s="80"/>
      <c r="U2" s="80"/>
      <c r="V2" s="80"/>
      <c r="W2" s="80"/>
      <c r="X2" s="80"/>
      <c r="Y2" s="80"/>
      <c r="Z2" s="80"/>
      <c r="AA2" s="80"/>
      <c r="AB2" s="80"/>
      <c r="AC2" s="80"/>
      <c r="AD2" s="80"/>
    </row>
    <row r="3" spans="1:30" ht="15.75">
      <c r="A3" s="81" t="s">
        <v>80</v>
      </c>
      <c r="B3" s="1318" t="s">
        <v>81</v>
      </c>
      <c r="C3" s="1306"/>
      <c r="D3" s="81"/>
      <c r="E3" s="81"/>
      <c r="F3" s="81"/>
      <c r="G3" s="82"/>
      <c r="H3" s="83"/>
      <c r="I3" s="1316" t="s">
        <v>82</v>
      </c>
      <c r="J3" s="1306"/>
      <c r="K3" s="82"/>
      <c r="L3" s="82"/>
      <c r="M3" s="82"/>
      <c r="N3" s="80"/>
      <c r="O3" s="80"/>
      <c r="P3" s="80"/>
      <c r="Q3" s="80"/>
      <c r="R3" s="80"/>
      <c r="S3" s="80"/>
      <c r="T3" s="80"/>
      <c r="U3" s="80"/>
      <c r="V3" s="80"/>
      <c r="W3" s="80"/>
      <c r="X3" s="80"/>
      <c r="Y3" s="80"/>
      <c r="Z3" s="80"/>
      <c r="AA3" s="80"/>
      <c r="AB3" s="80"/>
      <c r="AC3" s="80"/>
      <c r="AD3" s="80"/>
    </row>
    <row r="4" spans="1:30" ht="15.75">
      <c r="A4" s="81" t="s">
        <v>83</v>
      </c>
      <c r="B4" s="84" t="s">
        <v>84</v>
      </c>
      <c r="C4" s="84" t="s">
        <v>85</v>
      </c>
      <c r="D4" s="84">
        <v>2</v>
      </c>
      <c r="E4" s="84">
        <v>3</v>
      </c>
      <c r="F4" s="81" t="s">
        <v>86</v>
      </c>
      <c r="G4" s="82"/>
      <c r="H4" s="83"/>
      <c r="I4" s="85" t="s">
        <v>87</v>
      </c>
      <c r="J4" s="85" t="s">
        <v>88</v>
      </c>
      <c r="K4" s="82"/>
      <c r="L4" s="82"/>
      <c r="M4" s="82"/>
      <c r="N4" s="80"/>
      <c r="O4" s="80"/>
      <c r="P4" s="80"/>
      <c r="Q4" s="80"/>
      <c r="R4" s="80"/>
      <c r="S4" s="80"/>
      <c r="T4" s="80"/>
      <c r="U4" s="80"/>
      <c r="V4" s="80"/>
      <c r="W4" s="80"/>
      <c r="X4" s="80"/>
      <c r="Y4" s="80"/>
      <c r="Z4" s="80"/>
      <c r="AA4" s="80"/>
      <c r="AB4" s="80"/>
      <c r="AC4" s="80"/>
      <c r="AD4" s="80"/>
    </row>
    <row r="5" spans="1:30" ht="15.75">
      <c r="A5" s="86" t="s">
        <v>89</v>
      </c>
      <c r="B5" s="87">
        <v>4</v>
      </c>
      <c r="C5" s="87">
        <v>5</v>
      </c>
      <c r="D5" s="87">
        <v>3</v>
      </c>
      <c r="E5" s="87">
        <v>1</v>
      </c>
      <c r="F5" s="87">
        <v>13</v>
      </c>
      <c r="G5" s="82"/>
      <c r="H5" s="82"/>
      <c r="I5" s="88">
        <v>4</v>
      </c>
      <c r="J5" s="88">
        <v>5</v>
      </c>
      <c r="K5" s="82"/>
      <c r="L5" s="82"/>
      <c r="M5" s="82"/>
      <c r="N5" s="80"/>
      <c r="O5" s="80"/>
      <c r="P5" s="80"/>
      <c r="Q5" s="80"/>
      <c r="R5" s="80"/>
      <c r="S5" s="80"/>
      <c r="T5" s="80"/>
      <c r="U5" s="80"/>
      <c r="V5" s="80"/>
      <c r="W5" s="80"/>
      <c r="X5" s="80"/>
      <c r="Y5" s="80"/>
      <c r="Z5" s="80"/>
      <c r="AA5" s="80"/>
      <c r="AB5" s="80"/>
      <c r="AC5" s="80"/>
      <c r="AD5" s="80"/>
    </row>
    <row r="6" spans="1:30" ht="15.75">
      <c r="A6" s="86" t="s">
        <v>90</v>
      </c>
      <c r="B6" s="87">
        <v>3</v>
      </c>
      <c r="C6" s="87">
        <v>18</v>
      </c>
      <c r="D6" s="87">
        <v>2</v>
      </c>
      <c r="E6" s="89"/>
      <c r="F6" s="87">
        <v>23</v>
      </c>
      <c r="G6" s="82"/>
      <c r="H6" s="82"/>
      <c r="I6" s="88">
        <v>3</v>
      </c>
      <c r="J6" s="88">
        <v>18</v>
      </c>
      <c r="K6" s="82"/>
      <c r="L6" s="82"/>
      <c r="M6" s="82"/>
      <c r="N6" s="80"/>
      <c r="O6" s="80"/>
      <c r="P6" s="80"/>
      <c r="Q6" s="80"/>
      <c r="R6" s="80"/>
      <c r="S6" s="80"/>
      <c r="T6" s="80"/>
      <c r="U6" s="80"/>
      <c r="V6" s="80"/>
      <c r="W6" s="80"/>
      <c r="X6" s="80"/>
      <c r="Y6" s="80"/>
      <c r="Z6" s="80"/>
      <c r="AA6" s="80"/>
      <c r="AB6" s="80"/>
      <c r="AC6" s="80"/>
      <c r="AD6" s="80"/>
    </row>
    <row r="7" spans="1:30" ht="15.75">
      <c r="A7" s="86" t="s">
        <v>91</v>
      </c>
      <c r="B7" s="87">
        <v>6</v>
      </c>
      <c r="C7" s="87">
        <v>7</v>
      </c>
      <c r="D7" s="89"/>
      <c r="E7" s="89"/>
      <c r="F7" s="87">
        <v>13</v>
      </c>
      <c r="G7" s="82"/>
      <c r="H7" s="82"/>
      <c r="I7" s="90">
        <v>6</v>
      </c>
      <c r="J7" s="90">
        <v>7</v>
      </c>
      <c r="K7" s="82"/>
      <c r="L7" s="82"/>
      <c r="M7" s="82"/>
      <c r="N7" s="80"/>
      <c r="O7" s="80"/>
      <c r="P7" s="80"/>
      <c r="Q7" s="80"/>
      <c r="R7" s="80"/>
      <c r="S7" s="80"/>
      <c r="T7" s="80"/>
      <c r="U7" s="80"/>
      <c r="V7" s="80"/>
      <c r="W7" s="80"/>
      <c r="X7" s="80"/>
      <c r="Y7" s="80"/>
      <c r="Z7" s="80"/>
      <c r="AA7" s="80"/>
      <c r="AB7" s="80"/>
      <c r="AC7" s="80"/>
      <c r="AD7" s="80"/>
    </row>
    <row r="8" spans="1:30" ht="15.75">
      <c r="A8" s="81" t="s">
        <v>86</v>
      </c>
      <c r="B8" s="84">
        <v>13</v>
      </c>
      <c r="C8" s="84">
        <v>30</v>
      </c>
      <c r="D8" s="84">
        <v>5</v>
      </c>
      <c r="E8" s="84">
        <v>1</v>
      </c>
      <c r="F8" s="84">
        <v>49</v>
      </c>
      <c r="G8" s="82"/>
      <c r="H8" s="91" t="s">
        <v>92</v>
      </c>
      <c r="I8" s="92">
        <v>13</v>
      </c>
      <c r="J8" s="92">
        <v>30</v>
      </c>
      <c r="K8" s="82"/>
      <c r="L8" s="93" t="s">
        <v>93</v>
      </c>
      <c r="M8" s="94" t="s">
        <v>94</v>
      </c>
      <c r="O8" s="80"/>
      <c r="P8" s="80"/>
      <c r="Q8" s="80"/>
      <c r="R8" s="80"/>
      <c r="S8" s="80"/>
      <c r="T8" s="80"/>
      <c r="U8" s="80"/>
      <c r="V8" s="80"/>
      <c r="W8" s="80"/>
      <c r="X8" s="80"/>
      <c r="Y8" s="80"/>
      <c r="Z8" s="80"/>
      <c r="AA8" s="80"/>
      <c r="AB8" s="80"/>
      <c r="AC8" s="80"/>
      <c r="AD8" s="80"/>
    </row>
    <row r="9" spans="1:30" ht="15.75">
      <c r="A9" s="82"/>
      <c r="B9" s="82"/>
      <c r="C9" s="82"/>
      <c r="D9" s="82"/>
      <c r="E9" s="82"/>
      <c r="F9" s="82"/>
      <c r="G9" s="82"/>
      <c r="H9" s="95"/>
      <c r="I9" s="82"/>
      <c r="J9" s="82"/>
      <c r="O9" s="80"/>
      <c r="P9" s="80"/>
      <c r="Q9" s="80"/>
      <c r="R9" s="80"/>
      <c r="S9" s="80"/>
      <c r="T9" s="80"/>
      <c r="U9" s="80"/>
      <c r="V9" s="80"/>
      <c r="W9" s="80"/>
      <c r="X9" s="80"/>
      <c r="Y9" s="80"/>
      <c r="Z9" s="80"/>
      <c r="AA9" s="80"/>
      <c r="AB9" s="80"/>
      <c r="AC9" s="80"/>
      <c r="AD9" s="80"/>
    </row>
    <row r="10" spans="1:30" ht="15.75">
      <c r="A10" s="96" t="s">
        <v>95</v>
      </c>
      <c r="B10" s="97">
        <v>49</v>
      </c>
      <c r="C10" s="82"/>
      <c r="D10" s="82"/>
      <c r="E10" s="82"/>
      <c r="H10" s="82"/>
      <c r="I10" s="82"/>
      <c r="J10" s="82"/>
      <c r="K10" s="82"/>
      <c r="P10" s="80"/>
      <c r="Q10" s="80"/>
      <c r="R10" s="80"/>
      <c r="S10" s="80"/>
      <c r="T10" s="80"/>
      <c r="U10" s="80"/>
      <c r="V10" s="80"/>
      <c r="W10" s="80"/>
      <c r="X10" s="80"/>
      <c r="Y10" s="80"/>
      <c r="Z10" s="80"/>
      <c r="AA10" s="80"/>
      <c r="AB10" s="80"/>
      <c r="AC10" s="80"/>
      <c r="AD10" s="80"/>
    </row>
    <row r="11" spans="1:30" ht="15.75">
      <c r="A11" s="96" t="s">
        <v>96</v>
      </c>
      <c r="B11" s="98">
        <v>2438453</v>
      </c>
      <c r="C11" s="82"/>
      <c r="D11" s="82"/>
      <c r="E11" s="82"/>
      <c r="H11" s="82"/>
      <c r="I11" s="82"/>
      <c r="J11" s="82"/>
      <c r="O11" s="80"/>
      <c r="P11" s="80"/>
      <c r="Q11" s="80"/>
      <c r="R11" s="80"/>
      <c r="S11" s="80"/>
      <c r="T11" s="80"/>
      <c r="U11" s="80"/>
      <c r="V11" s="80"/>
      <c r="W11" s="80"/>
      <c r="X11" s="80"/>
      <c r="Y11" s="80"/>
      <c r="Z11" s="80"/>
      <c r="AA11" s="80"/>
      <c r="AB11" s="80"/>
      <c r="AC11" s="80"/>
      <c r="AD11" s="80"/>
    </row>
    <row r="12" spans="1:30" ht="15.75">
      <c r="A12" s="99"/>
      <c r="B12" s="99"/>
      <c r="C12" s="99"/>
      <c r="D12" s="99"/>
      <c r="E12" s="99"/>
      <c r="F12" s="99"/>
      <c r="G12" s="99"/>
      <c r="H12" s="99"/>
      <c r="I12" s="99"/>
      <c r="J12" s="99"/>
      <c r="K12" s="82"/>
      <c r="L12" s="1317" t="s">
        <v>97</v>
      </c>
      <c r="M12" s="1306"/>
      <c r="N12" s="80"/>
      <c r="O12" s="80"/>
      <c r="P12" s="80"/>
      <c r="Q12" s="80"/>
      <c r="R12" s="80"/>
      <c r="S12" s="80"/>
      <c r="T12" s="80"/>
      <c r="U12" s="80"/>
      <c r="V12" s="80"/>
      <c r="W12" s="80"/>
      <c r="X12" s="80"/>
      <c r="Y12" s="80"/>
      <c r="Z12" s="80"/>
      <c r="AA12" s="80"/>
      <c r="AB12" s="80"/>
      <c r="AC12" s="80"/>
      <c r="AD12" s="80"/>
    </row>
    <row r="13" spans="1:30" ht="15.75">
      <c r="A13" s="96" t="s">
        <v>98</v>
      </c>
      <c r="B13" s="96" t="s">
        <v>99</v>
      </c>
      <c r="C13" s="96" t="s">
        <v>100</v>
      </c>
      <c r="D13" s="96" t="s">
        <v>101</v>
      </c>
      <c r="E13" s="96" t="s">
        <v>102</v>
      </c>
      <c r="F13" s="96" t="s">
        <v>103</v>
      </c>
      <c r="G13" s="96" t="s">
        <v>104</v>
      </c>
      <c r="H13" s="96" t="s">
        <v>105</v>
      </c>
      <c r="I13" s="96" t="s">
        <v>106</v>
      </c>
      <c r="J13" s="96" t="s">
        <v>107</v>
      </c>
      <c r="K13" s="95"/>
      <c r="L13" s="96" t="s">
        <v>98</v>
      </c>
      <c r="M13" s="96" t="s">
        <v>108</v>
      </c>
      <c r="N13" s="80"/>
      <c r="O13" s="80"/>
      <c r="P13" s="80"/>
      <c r="Q13" s="80"/>
      <c r="R13" s="80"/>
      <c r="S13" s="80"/>
      <c r="T13" s="80"/>
      <c r="U13" s="80"/>
      <c r="V13" s="80"/>
      <c r="W13" s="80"/>
      <c r="X13" s="80"/>
      <c r="Y13" s="80"/>
      <c r="Z13" s="80"/>
      <c r="AA13" s="80"/>
      <c r="AB13" s="80"/>
      <c r="AC13" s="80"/>
      <c r="AD13" s="80"/>
    </row>
    <row r="14" spans="1:30" ht="15.75">
      <c r="A14" s="1001">
        <v>87.5</v>
      </c>
      <c r="B14" s="100">
        <f t="shared" ref="B14:C14" si="0">I5/$B$10</f>
        <v>8.1632653061224483E-2</v>
      </c>
      <c r="C14" s="100">
        <f t="shared" si="0"/>
        <v>0.10204081632653061</v>
      </c>
      <c r="D14" s="100">
        <f t="shared" ref="D14:D16" si="1">B14*0.8</f>
        <v>6.5306122448979584E-2</v>
      </c>
      <c r="E14" s="100">
        <f t="shared" ref="E14:E16" si="2">C14*0.3</f>
        <v>3.0612244897959183E-2</v>
      </c>
      <c r="F14" s="100">
        <f t="shared" ref="F14:F15" si="3">SUM(D14:E14)</f>
        <v>9.591836734693876E-2</v>
      </c>
      <c r="G14" s="100">
        <v>2.41E-2</v>
      </c>
      <c r="H14" s="100">
        <f t="shared" ref="H14:H16" si="4">SUM($F14:F$16)+G14</f>
        <v>0.42001836734693876</v>
      </c>
      <c r="I14" s="1003">
        <f t="shared" ref="I14:I16" si="5">H14*$B$11</f>
        <v>1024195.0479122448</v>
      </c>
      <c r="J14" s="1001">
        <f t="shared" ref="J14:J16" si="6">I14*B14</f>
        <v>83607.75901324446</v>
      </c>
      <c r="K14" s="101"/>
      <c r="L14" s="1001">
        <v>87.5</v>
      </c>
      <c r="M14" s="100">
        <f t="shared" ref="M14:M16" si="7">H14</f>
        <v>0.42001836734693876</v>
      </c>
      <c r="N14" s="80"/>
      <c r="O14" s="80"/>
      <c r="P14" s="80"/>
      <c r="Q14" s="80"/>
      <c r="R14" s="80"/>
      <c r="S14" s="80"/>
      <c r="T14" s="80"/>
      <c r="U14" s="80"/>
      <c r="V14" s="80"/>
      <c r="W14" s="80"/>
      <c r="X14" s="80"/>
      <c r="Y14" s="80"/>
      <c r="Z14" s="80"/>
      <c r="AA14" s="80"/>
      <c r="AB14" s="80"/>
      <c r="AC14" s="80"/>
      <c r="AD14" s="80"/>
    </row>
    <row r="15" spans="1:30" ht="15.75">
      <c r="A15" s="1001">
        <v>102.5</v>
      </c>
      <c r="B15" s="100">
        <f t="shared" ref="B15:C15" si="8">I6/$B$10</f>
        <v>6.1224489795918366E-2</v>
      </c>
      <c r="C15" s="100">
        <f t="shared" si="8"/>
        <v>0.36734693877551022</v>
      </c>
      <c r="D15" s="100">
        <f t="shared" si="1"/>
        <v>4.8979591836734698E-2</v>
      </c>
      <c r="E15" s="100">
        <f t="shared" si="2"/>
        <v>0.11020408163265306</v>
      </c>
      <c r="F15" s="100">
        <f t="shared" si="3"/>
        <v>0.15918367346938778</v>
      </c>
      <c r="G15" s="100">
        <v>2.41E-2</v>
      </c>
      <c r="H15" s="100">
        <f t="shared" si="4"/>
        <v>0.32410000000000005</v>
      </c>
      <c r="I15" s="1003">
        <f t="shared" si="5"/>
        <v>790302.61730000016</v>
      </c>
      <c r="J15" s="1001">
        <f t="shared" si="6"/>
        <v>48385.874528571439</v>
      </c>
      <c r="K15" s="101"/>
      <c r="L15" s="1001">
        <v>102.5</v>
      </c>
      <c r="M15" s="100">
        <f t="shared" si="7"/>
        <v>0.32410000000000005</v>
      </c>
      <c r="N15" s="80"/>
      <c r="O15" s="80"/>
      <c r="P15" s="80"/>
      <c r="Q15" s="80"/>
      <c r="R15" s="80"/>
      <c r="S15" s="80"/>
      <c r="T15" s="80"/>
      <c r="U15" s="80"/>
      <c r="V15" s="80"/>
      <c r="W15" s="80"/>
      <c r="X15" s="80"/>
      <c r="Y15" s="80"/>
      <c r="Z15" s="80"/>
      <c r="AA15" s="80"/>
      <c r="AB15" s="80"/>
      <c r="AC15" s="80"/>
      <c r="AD15" s="80"/>
    </row>
    <row r="16" spans="1:30" ht="15.75">
      <c r="A16" s="1001">
        <v>117.5</v>
      </c>
      <c r="B16" s="100">
        <f t="shared" ref="B16:C16" si="9">I7/$B$10</f>
        <v>0.12244897959183673</v>
      </c>
      <c r="C16" s="100">
        <f t="shared" si="9"/>
        <v>0.14285714285714285</v>
      </c>
      <c r="D16" s="100">
        <f t="shared" si="1"/>
        <v>9.7959183673469397E-2</v>
      </c>
      <c r="E16" s="100">
        <f t="shared" si="2"/>
        <v>4.2857142857142851E-2</v>
      </c>
      <c r="F16" s="100">
        <f>SUM(D16:$E$16)</f>
        <v>0.14081632653061224</v>
      </c>
      <c r="G16" s="100">
        <v>2.41E-2</v>
      </c>
      <c r="H16" s="100">
        <f t="shared" si="4"/>
        <v>0.16491632653061225</v>
      </c>
      <c r="I16" s="1003">
        <f t="shared" si="5"/>
        <v>402140.71117755101</v>
      </c>
      <c r="J16" s="1001">
        <f t="shared" si="6"/>
        <v>49241.719736026651</v>
      </c>
      <c r="K16" s="101"/>
      <c r="L16" s="1001">
        <v>117.5</v>
      </c>
      <c r="M16" s="100">
        <f t="shared" si="7"/>
        <v>0.16491632653061225</v>
      </c>
      <c r="N16" s="80"/>
      <c r="O16" s="80"/>
      <c r="P16" s="80"/>
      <c r="Q16" s="80"/>
      <c r="R16" s="80"/>
      <c r="S16" s="80"/>
      <c r="T16" s="80"/>
      <c r="U16" s="80"/>
      <c r="V16" s="80"/>
      <c r="W16" s="80"/>
      <c r="X16" s="80"/>
      <c r="Y16" s="80"/>
      <c r="Z16" s="80"/>
      <c r="AA16" s="80"/>
      <c r="AB16" s="80"/>
      <c r="AC16" s="80"/>
      <c r="AD16" s="80"/>
    </row>
    <row r="17" spans="1:30" ht="15.75">
      <c r="A17" s="82"/>
      <c r="B17" s="102"/>
      <c r="C17" s="102"/>
      <c r="D17" s="102"/>
      <c r="E17" s="102"/>
      <c r="F17" s="102"/>
      <c r="G17" s="82"/>
      <c r="H17" s="82"/>
      <c r="I17" s="82"/>
      <c r="J17" s="82"/>
      <c r="K17" s="82"/>
      <c r="L17" s="82"/>
      <c r="M17" s="82"/>
      <c r="N17" s="80"/>
      <c r="O17" s="80"/>
      <c r="P17" s="80"/>
      <c r="Q17" s="80"/>
      <c r="R17" s="80"/>
      <c r="S17" s="80"/>
      <c r="T17" s="80"/>
      <c r="U17" s="80"/>
      <c r="V17" s="80"/>
      <c r="W17" s="80"/>
      <c r="X17" s="80"/>
      <c r="Y17" s="80"/>
      <c r="Z17" s="80"/>
      <c r="AA17" s="80"/>
      <c r="AB17" s="80"/>
      <c r="AC17" s="80"/>
      <c r="AD17" s="80"/>
    </row>
    <row r="18" spans="1:30" ht="15.75">
      <c r="A18" s="103" t="s">
        <v>109</v>
      </c>
      <c r="B18" s="104"/>
      <c r="C18" s="104"/>
      <c r="D18" s="104"/>
      <c r="E18" s="104"/>
      <c r="F18" s="105"/>
      <c r="G18" s="80"/>
      <c r="H18" s="80"/>
      <c r="I18" s="80"/>
      <c r="J18" s="80"/>
      <c r="K18" s="96" t="s">
        <v>17</v>
      </c>
      <c r="L18" s="96" t="s">
        <v>110</v>
      </c>
      <c r="M18" s="96" t="s">
        <v>111</v>
      </c>
      <c r="N18" s="80"/>
      <c r="O18" s="80"/>
      <c r="P18" s="80"/>
      <c r="Q18" s="80"/>
      <c r="R18" s="80"/>
      <c r="S18" s="80"/>
      <c r="T18" s="80"/>
      <c r="U18" s="80"/>
      <c r="V18" s="80"/>
      <c r="W18" s="80"/>
      <c r="X18" s="80"/>
      <c r="Y18" s="80"/>
      <c r="Z18" s="80"/>
      <c r="AA18" s="80"/>
      <c r="AB18" s="80"/>
      <c r="AC18" s="80"/>
      <c r="AD18" s="80"/>
    </row>
    <row r="19" spans="1:30" ht="15.75">
      <c r="A19" s="106"/>
      <c r="B19" s="103" t="s">
        <v>112</v>
      </c>
      <c r="C19" s="103" t="s">
        <v>113</v>
      </c>
      <c r="D19" s="103" t="s">
        <v>114</v>
      </c>
      <c r="E19" s="103" t="s">
        <v>115</v>
      </c>
      <c r="F19" s="107"/>
      <c r="G19" s="80"/>
      <c r="H19" s="80"/>
      <c r="I19" s="80"/>
      <c r="J19" s="80"/>
      <c r="K19" s="87">
        <v>1</v>
      </c>
      <c r="L19" s="1001">
        <f>'Avg. Weighted Manufacturer''s Pr'!E8</f>
        <v>99.999999999999986</v>
      </c>
      <c r="M19" s="100">
        <f t="shared" ref="M19:M23" si="10">-0.281 + 0.0203*L19 + -0.000141*L19^2</f>
        <v>0.33899999999999952</v>
      </c>
      <c r="N19" s="80"/>
      <c r="O19" s="80"/>
      <c r="P19" s="80"/>
      <c r="Q19" s="80"/>
      <c r="R19" s="80"/>
      <c r="S19" s="80"/>
      <c r="T19" s="80"/>
      <c r="U19" s="80"/>
      <c r="V19" s="80"/>
      <c r="W19" s="80"/>
      <c r="X19" s="80"/>
      <c r="Y19" s="80"/>
      <c r="Z19" s="80"/>
      <c r="AA19" s="80"/>
      <c r="AB19" s="80"/>
      <c r="AC19" s="80"/>
      <c r="AD19" s="80"/>
    </row>
    <row r="20" spans="1:30" ht="15.75">
      <c r="A20" s="108" t="s">
        <v>116</v>
      </c>
      <c r="B20" s="109">
        <v>19</v>
      </c>
      <c r="C20" s="110">
        <v>0.38779999999999998</v>
      </c>
      <c r="D20" s="110">
        <v>0.04</v>
      </c>
      <c r="E20" s="110">
        <v>1.55E-2</v>
      </c>
      <c r="F20" s="107"/>
      <c r="G20" s="80"/>
      <c r="H20" s="80"/>
      <c r="I20" s="80"/>
      <c r="J20" s="80"/>
      <c r="K20" s="87">
        <v>2</v>
      </c>
      <c r="L20" s="1001">
        <f>'Avg. Weighted Manufacturer''s Pr'!E17</f>
        <v>100</v>
      </c>
      <c r="M20" s="100">
        <f t="shared" si="10"/>
        <v>0.33899999999999952</v>
      </c>
      <c r="N20" s="80"/>
      <c r="O20" s="80"/>
      <c r="P20" s="80"/>
      <c r="Q20" s="80"/>
      <c r="R20" s="80"/>
      <c r="S20" s="80"/>
      <c r="T20" s="80"/>
      <c r="U20" s="80"/>
      <c r="V20" s="80"/>
      <c r="W20" s="80"/>
      <c r="X20" s="80"/>
      <c r="Y20" s="80"/>
      <c r="Z20" s="80"/>
      <c r="AA20" s="80"/>
      <c r="AB20" s="80"/>
      <c r="AC20" s="80"/>
      <c r="AD20" s="80"/>
    </row>
    <row r="21" spans="1:30" ht="15.75">
      <c r="A21" s="108" t="s">
        <v>117</v>
      </c>
      <c r="B21" s="109">
        <v>21</v>
      </c>
      <c r="C21" s="110">
        <v>0.42859999999999998</v>
      </c>
      <c r="D21" s="110">
        <v>0.02</v>
      </c>
      <c r="E21" s="110">
        <v>8.6E-3</v>
      </c>
      <c r="F21" s="107"/>
      <c r="G21" s="80"/>
      <c r="H21" s="80"/>
      <c r="I21" s="80"/>
      <c r="J21" s="80"/>
      <c r="K21" s="87">
        <v>3</v>
      </c>
      <c r="L21" s="1001">
        <f>'Avg. Weighted Manufacturer''s Pr'!E26</f>
        <v>99.533781174792693</v>
      </c>
      <c r="M21" s="100">
        <f t="shared" si="10"/>
        <v>0.34265248096012746</v>
      </c>
      <c r="N21" s="80"/>
      <c r="O21" s="80"/>
      <c r="P21" s="80"/>
      <c r="Q21" s="80"/>
      <c r="R21" s="80"/>
      <c r="S21" s="80"/>
      <c r="T21" s="80"/>
      <c r="U21" s="80"/>
      <c r="V21" s="80"/>
      <c r="W21" s="80"/>
      <c r="X21" s="80"/>
      <c r="Y21" s="80"/>
      <c r="Z21" s="80"/>
      <c r="AA21" s="80"/>
      <c r="AB21" s="80"/>
      <c r="AC21" s="80"/>
      <c r="AD21" s="80"/>
    </row>
    <row r="22" spans="1:30" ht="15.75">
      <c r="A22" s="108" t="s">
        <v>118</v>
      </c>
      <c r="B22" s="109">
        <v>9</v>
      </c>
      <c r="C22" s="110">
        <v>0.1837</v>
      </c>
      <c r="D22" s="110">
        <v>0</v>
      </c>
      <c r="E22" s="110">
        <v>0</v>
      </c>
      <c r="F22" s="107"/>
      <c r="G22" s="80"/>
      <c r="H22" s="80"/>
      <c r="I22" s="80"/>
      <c r="J22" s="80"/>
      <c r="K22" s="87">
        <v>4</v>
      </c>
      <c r="L22" s="1001">
        <f>'Avg. Weighted Manufacturer''s Pr'!E35</f>
        <v>96.420420860828642</v>
      </c>
      <c r="M22" s="100">
        <f t="shared" si="10"/>
        <v>0.36547198765873734</v>
      </c>
      <c r="N22" s="80"/>
      <c r="O22" s="80"/>
      <c r="P22" s="80"/>
      <c r="Q22" s="80"/>
      <c r="R22" s="80"/>
      <c r="S22" s="80"/>
      <c r="T22" s="80"/>
      <c r="U22" s="80"/>
      <c r="V22" s="80"/>
      <c r="W22" s="80"/>
      <c r="X22" s="80"/>
      <c r="Y22" s="80"/>
      <c r="Z22" s="80"/>
      <c r="AA22" s="80"/>
      <c r="AB22" s="80"/>
      <c r="AC22" s="80"/>
      <c r="AD22" s="80"/>
    </row>
    <row r="23" spans="1:30" ht="15.75">
      <c r="A23" s="111"/>
      <c r="B23" s="112"/>
      <c r="C23" s="112"/>
      <c r="D23" s="113" t="s">
        <v>92</v>
      </c>
      <c r="E23" s="114">
        <v>2.41E-2</v>
      </c>
      <c r="F23" s="107"/>
      <c r="G23" s="80"/>
      <c r="H23" s="80"/>
      <c r="I23" s="80"/>
      <c r="J23" s="80"/>
      <c r="K23" s="87">
        <v>5</v>
      </c>
      <c r="L23" s="1001">
        <f>'Avg. Weighted Manufacturer''s Pr'!E44</f>
        <v>95.801675766702687</v>
      </c>
      <c r="M23" s="100">
        <f t="shared" si="10"/>
        <v>0.36968150582517589</v>
      </c>
      <c r="N23" s="80"/>
      <c r="O23" s="80"/>
      <c r="P23" s="80"/>
      <c r="Q23" s="80"/>
      <c r="R23" s="80"/>
      <c r="S23" s="80"/>
      <c r="T23" s="80"/>
      <c r="U23" s="80"/>
      <c r="V23" s="80"/>
      <c r="W23" s="80"/>
      <c r="X23" s="80"/>
      <c r="Y23" s="80"/>
      <c r="Z23" s="80"/>
      <c r="AA23" s="80"/>
      <c r="AB23" s="80"/>
      <c r="AC23" s="80"/>
      <c r="AD23" s="80"/>
    </row>
    <row r="24" spans="1:30" ht="15.75">
      <c r="F24" s="107"/>
      <c r="G24" s="80"/>
      <c r="H24" s="80"/>
      <c r="I24" s="80"/>
      <c r="J24" s="80"/>
      <c r="K24" s="80"/>
      <c r="L24" s="80"/>
      <c r="M24" s="80"/>
      <c r="N24" s="80"/>
      <c r="O24" s="80"/>
      <c r="P24" s="80"/>
      <c r="Q24" s="80"/>
      <c r="R24" s="80"/>
      <c r="S24" s="80"/>
      <c r="T24" s="80"/>
      <c r="U24" s="80"/>
      <c r="V24" s="80"/>
      <c r="W24" s="80"/>
      <c r="X24" s="80"/>
      <c r="Y24" s="80"/>
      <c r="Z24" s="80"/>
      <c r="AA24" s="80"/>
      <c r="AB24" s="80"/>
      <c r="AC24" s="80"/>
      <c r="AD24" s="80"/>
    </row>
    <row r="25" spans="1:30" ht="15.75">
      <c r="A25" s="115"/>
      <c r="B25" s="116"/>
      <c r="C25" s="116"/>
      <c r="D25" s="116"/>
      <c r="E25" s="116"/>
      <c r="F25" s="116"/>
      <c r="G25" s="117"/>
      <c r="H25" s="117"/>
      <c r="I25" s="117"/>
      <c r="J25" s="117"/>
      <c r="K25" s="117"/>
      <c r="L25" s="117"/>
      <c r="M25" s="117"/>
      <c r="N25" s="117"/>
      <c r="O25" s="117"/>
      <c r="P25" s="117"/>
      <c r="Q25" s="117"/>
      <c r="R25" s="117"/>
      <c r="S25" s="117"/>
      <c r="T25" s="117"/>
      <c r="U25" s="117"/>
      <c r="V25" s="117"/>
      <c r="W25" s="117"/>
      <c r="X25" s="117"/>
      <c r="Y25" s="117"/>
      <c r="Z25" s="117"/>
      <c r="AA25" s="117"/>
      <c r="AB25" s="117"/>
      <c r="AC25" s="117"/>
      <c r="AD25" s="117"/>
    </row>
    <row r="26" spans="1:30" ht="15.75">
      <c r="A26" s="1314" t="s">
        <v>71</v>
      </c>
      <c r="B26" s="1305"/>
      <c r="C26" s="1305"/>
      <c r="D26" s="1305"/>
      <c r="E26" s="1305"/>
      <c r="F26" s="1306"/>
      <c r="G26" s="80"/>
      <c r="H26" s="80"/>
      <c r="I26" s="80"/>
      <c r="J26" s="80"/>
      <c r="K26" s="80"/>
      <c r="L26" s="80"/>
      <c r="M26" s="80"/>
      <c r="N26" s="80"/>
      <c r="O26" s="80"/>
      <c r="P26" s="80"/>
      <c r="Q26" s="80"/>
      <c r="R26" s="80"/>
      <c r="S26" s="80"/>
      <c r="T26" s="80"/>
      <c r="U26" s="80"/>
      <c r="V26" s="80"/>
      <c r="W26" s="80"/>
      <c r="X26" s="80"/>
      <c r="Y26" s="80"/>
      <c r="Z26" s="80"/>
      <c r="AA26" s="80"/>
      <c r="AB26" s="80"/>
      <c r="AC26" s="80"/>
      <c r="AD26" s="80"/>
    </row>
    <row r="27" spans="1:30" ht="15.75">
      <c r="A27" s="1315" t="s">
        <v>119</v>
      </c>
      <c r="B27" s="1306"/>
      <c r="C27" s="118"/>
      <c r="D27" s="118"/>
      <c r="E27" s="118"/>
      <c r="F27" s="118"/>
      <c r="G27" s="82"/>
      <c r="H27" s="82"/>
      <c r="I27" s="99"/>
      <c r="J27" s="99"/>
      <c r="K27" s="82"/>
      <c r="L27" s="82"/>
      <c r="M27" s="82"/>
      <c r="N27" s="80"/>
      <c r="O27" s="80"/>
      <c r="P27" s="80"/>
      <c r="Q27" s="80"/>
      <c r="R27" s="80"/>
      <c r="S27" s="80"/>
      <c r="T27" s="80"/>
      <c r="U27" s="80"/>
      <c r="V27" s="80"/>
      <c r="W27" s="80"/>
      <c r="X27" s="80"/>
      <c r="Y27" s="80"/>
      <c r="Z27" s="80"/>
      <c r="AA27" s="80"/>
      <c r="AB27" s="80"/>
      <c r="AC27" s="80"/>
      <c r="AD27" s="80"/>
    </row>
    <row r="28" spans="1:30" ht="15.75">
      <c r="A28" s="81" t="s">
        <v>80</v>
      </c>
      <c r="B28" s="1318" t="s">
        <v>81</v>
      </c>
      <c r="C28" s="1306"/>
      <c r="D28" s="81"/>
      <c r="E28" s="81"/>
      <c r="F28" s="81"/>
      <c r="G28" s="82"/>
      <c r="H28" s="83"/>
      <c r="I28" s="1319" t="s">
        <v>82</v>
      </c>
      <c r="J28" s="1320"/>
      <c r="K28" s="82"/>
      <c r="L28" s="82"/>
      <c r="M28" s="82"/>
      <c r="N28" s="80"/>
      <c r="O28" s="80"/>
      <c r="P28" s="80"/>
      <c r="Q28" s="80"/>
      <c r="R28" s="80"/>
      <c r="S28" s="80"/>
      <c r="T28" s="80"/>
      <c r="U28" s="80"/>
      <c r="V28" s="80"/>
      <c r="W28" s="80"/>
      <c r="X28" s="80"/>
      <c r="Y28" s="80"/>
      <c r="Z28" s="80"/>
      <c r="AA28" s="80"/>
      <c r="AB28" s="80"/>
      <c r="AC28" s="80"/>
      <c r="AD28" s="80"/>
    </row>
    <row r="29" spans="1:30" ht="15.75">
      <c r="A29" s="81" t="s">
        <v>83</v>
      </c>
      <c r="B29" s="84" t="s">
        <v>84</v>
      </c>
      <c r="C29" s="84" t="s">
        <v>85</v>
      </c>
      <c r="D29" s="84">
        <v>2</v>
      </c>
      <c r="E29" s="84">
        <v>3</v>
      </c>
      <c r="F29" s="81" t="s">
        <v>86</v>
      </c>
      <c r="G29" s="82"/>
      <c r="H29" s="83"/>
      <c r="I29" s="85" t="s">
        <v>87</v>
      </c>
      <c r="J29" s="85" t="s">
        <v>88</v>
      </c>
      <c r="K29" s="82"/>
      <c r="L29" s="82"/>
      <c r="O29" s="80"/>
      <c r="P29" s="80"/>
      <c r="Q29" s="80"/>
      <c r="R29" s="80"/>
      <c r="S29" s="80"/>
      <c r="T29" s="80"/>
      <c r="U29" s="80"/>
      <c r="V29" s="80"/>
      <c r="W29" s="80"/>
      <c r="X29" s="80"/>
      <c r="Y29" s="80"/>
      <c r="Z29" s="80"/>
      <c r="AA29" s="80"/>
      <c r="AB29" s="80"/>
      <c r="AC29" s="80"/>
      <c r="AD29" s="80"/>
    </row>
    <row r="30" spans="1:30" ht="15.75">
      <c r="A30" s="86" t="s">
        <v>89</v>
      </c>
      <c r="B30" s="87">
        <v>2</v>
      </c>
      <c r="C30" s="87">
        <v>3</v>
      </c>
      <c r="D30" s="87">
        <v>1</v>
      </c>
      <c r="E30" s="89"/>
      <c r="F30" s="87">
        <v>6</v>
      </c>
      <c r="G30" s="82"/>
      <c r="H30" s="82"/>
      <c r="I30" s="88">
        <v>2</v>
      </c>
      <c r="J30" s="88">
        <v>3</v>
      </c>
      <c r="K30" s="82"/>
      <c r="L30" s="82"/>
      <c r="M30" s="82"/>
      <c r="N30" s="80"/>
      <c r="O30" s="80"/>
      <c r="P30" s="80"/>
      <c r="Q30" s="80"/>
      <c r="R30" s="80"/>
      <c r="S30" s="80"/>
      <c r="T30" s="80"/>
      <c r="U30" s="80"/>
      <c r="V30" s="80"/>
      <c r="W30" s="80"/>
      <c r="X30" s="80"/>
      <c r="Y30" s="80"/>
      <c r="Z30" s="80"/>
      <c r="AA30" s="80"/>
      <c r="AB30" s="80"/>
      <c r="AC30" s="80"/>
      <c r="AD30" s="80"/>
    </row>
    <row r="31" spans="1:30" ht="15.75">
      <c r="A31" s="86" t="s">
        <v>90</v>
      </c>
      <c r="B31" s="87">
        <v>1</v>
      </c>
      <c r="C31" s="87">
        <v>7</v>
      </c>
      <c r="D31" s="87">
        <v>5</v>
      </c>
      <c r="E31" s="87">
        <v>3</v>
      </c>
      <c r="F31" s="87">
        <v>16</v>
      </c>
      <c r="G31" s="82"/>
      <c r="H31" s="82"/>
      <c r="I31" s="88">
        <v>1</v>
      </c>
      <c r="J31" s="88">
        <v>7</v>
      </c>
      <c r="K31" s="82"/>
      <c r="L31" s="82"/>
      <c r="M31" s="82"/>
      <c r="N31" s="80"/>
      <c r="O31" s="80"/>
      <c r="P31" s="80"/>
      <c r="Q31" s="80"/>
      <c r="R31" s="80"/>
      <c r="S31" s="80"/>
      <c r="T31" s="80"/>
      <c r="U31" s="80"/>
      <c r="V31" s="80"/>
      <c r="W31" s="80"/>
      <c r="X31" s="80"/>
      <c r="Y31" s="80"/>
      <c r="Z31" s="80"/>
      <c r="AA31" s="80"/>
      <c r="AB31" s="80"/>
      <c r="AC31" s="80"/>
      <c r="AD31" s="80"/>
    </row>
    <row r="32" spans="1:30" ht="15.75">
      <c r="A32" s="86" t="s">
        <v>91</v>
      </c>
      <c r="B32" s="89"/>
      <c r="C32" s="87">
        <v>6</v>
      </c>
      <c r="D32" s="87">
        <v>1</v>
      </c>
      <c r="E32" s="89"/>
      <c r="F32" s="87">
        <v>7</v>
      </c>
      <c r="G32" s="82"/>
      <c r="H32" s="82"/>
      <c r="I32" s="120"/>
      <c r="J32" s="90">
        <v>6</v>
      </c>
      <c r="K32" s="82"/>
      <c r="L32" s="82"/>
      <c r="M32" s="82"/>
      <c r="N32" s="80"/>
      <c r="O32" s="80"/>
      <c r="P32" s="80"/>
      <c r="Q32" s="80"/>
      <c r="R32" s="80"/>
      <c r="S32" s="80"/>
      <c r="T32" s="80"/>
      <c r="U32" s="80"/>
      <c r="V32" s="80"/>
      <c r="W32" s="80"/>
      <c r="X32" s="80"/>
      <c r="Y32" s="80"/>
      <c r="Z32" s="80"/>
      <c r="AA32" s="80"/>
      <c r="AB32" s="80"/>
      <c r="AC32" s="80"/>
      <c r="AD32" s="80"/>
    </row>
    <row r="33" spans="1:30" ht="15.75">
      <c r="A33" s="81" t="s">
        <v>86</v>
      </c>
      <c r="B33" s="84">
        <v>3</v>
      </c>
      <c r="C33" s="84">
        <v>16</v>
      </c>
      <c r="D33" s="84">
        <v>7</v>
      </c>
      <c r="E33" s="84">
        <v>3</v>
      </c>
      <c r="F33" s="84">
        <v>29</v>
      </c>
      <c r="G33" s="82"/>
      <c r="H33" s="91" t="s">
        <v>92</v>
      </c>
      <c r="I33" s="92">
        <v>3</v>
      </c>
      <c r="J33" s="92">
        <v>16</v>
      </c>
      <c r="K33" s="82"/>
      <c r="L33" s="94" t="s">
        <v>120</v>
      </c>
      <c r="M33" s="121" t="s">
        <v>121</v>
      </c>
      <c r="O33" s="80"/>
      <c r="P33" s="80"/>
      <c r="Q33" s="80"/>
      <c r="R33" s="80"/>
      <c r="S33" s="80"/>
      <c r="T33" s="80"/>
      <c r="U33" s="80"/>
      <c r="V33" s="80"/>
      <c r="W33" s="80"/>
      <c r="X33" s="80"/>
      <c r="Y33" s="80"/>
      <c r="Z33" s="80"/>
      <c r="AA33" s="80"/>
      <c r="AB33" s="80"/>
      <c r="AC33" s="80"/>
      <c r="AD33" s="80"/>
    </row>
    <row r="34" spans="1:30" ht="15.75">
      <c r="A34" s="82"/>
      <c r="B34" s="82"/>
      <c r="C34" s="82"/>
      <c r="D34" s="82"/>
      <c r="E34" s="82"/>
      <c r="F34" s="82"/>
      <c r="G34" s="82"/>
      <c r="H34" s="95"/>
      <c r="I34" s="82"/>
      <c r="J34" s="82"/>
      <c r="K34" s="82"/>
      <c r="L34" s="82"/>
      <c r="M34" s="82"/>
      <c r="N34" s="80"/>
      <c r="O34" s="80"/>
      <c r="P34" s="80"/>
      <c r="Q34" s="80"/>
      <c r="R34" s="80"/>
      <c r="S34" s="80"/>
      <c r="T34" s="80"/>
      <c r="U34" s="80"/>
      <c r="V34" s="80"/>
      <c r="W34" s="80"/>
      <c r="X34" s="80"/>
      <c r="Y34" s="80"/>
      <c r="Z34" s="80"/>
      <c r="AA34" s="80"/>
      <c r="AB34" s="80"/>
      <c r="AC34" s="80"/>
      <c r="AD34" s="80"/>
    </row>
    <row r="35" spans="1:30" ht="15.75">
      <c r="A35" s="96" t="s">
        <v>95</v>
      </c>
      <c r="B35" s="97">
        <v>29</v>
      </c>
      <c r="C35" s="82"/>
      <c r="D35" s="82"/>
      <c r="E35" s="82"/>
      <c r="H35" s="82"/>
      <c r="I35" s="82"/>
      <c r="J35" s="82"/>
      <c r="K35" s="82"/>
      <c r="L35" s="82"/>
      <c r="M35" s="82"/>
      <c r="N35" s="80"/>
      <c r="O35" s="80"/>
      <c r="P35" s="80"/>
      <c r="Q35" s="80"/>
      <c r="R35" s="80"/>
      <c r="S35" s="80"/>
      <c r="T35" s="80"/>
      <c r="U35" s="80"/>
      <c r="V35" s="80"/>
      <c r="W35" s="80"/>
      <c r="X35" s="80"/>
      <c r="Y35" s="80"/>
      <c r="Z35" s="80"/>
      <c r="AA35" s="80"/>
      <c r="AB35" s="80"/>
      <c r="AC35" s="80"/>
      <c r="AD35" s="80"/>
    </row>
    <row r="36" spans="1:30" ht="15.75">
      <c r="A36" s="96" t="s">
        <v>96</v>
      </c>
      <c r="B36" s="98">
        <v>6759463</v>
      </c>
      <c r="C36" s="82"/>
      <c r="D36" s="82"/>
      <c r="E36" s="82"/>
      <c r="H36" s="82"/>
      <c r="I36" s="82"/>
      <c r="J36" s="82"/>
      <c r="K36" s="82"/>
      <c r="L36" s="82"/>
      <c r="M36" s="82"/>
      <c r="N36" s="80"/>
      <c r="O36" s="80"/>
      <c r="P36" s="80"/>
      <c r="Q36" s="80"/>
      <c r="R36" s="80"/>
      <c r="S36" s="80"/>
      <c r="T36" s="80"/>
      <c r="U36" s="80"/>
      <c r="V36" s="80"/>
      <c r="W36" s="80"/>
      <c r="X36" s="80"/>
      <c r="Y36" s="80"/>
      <c r="Z36" s="80"/>
      <c r="AA36" s="80"/>
      <c r="AB36" s="80"/>
      <c r="AC36" s="80"/>
      <c r="AD36" s="80"/>
    </row>
    <row r="37" spans="1:30" ht="15.75">
      <c r="A37" s="99"/>
      <c r="B37" s="99"/>
      <c r="C37" s="99"/>
      <c r="D37" s="99"/>
      <c r="E37" s="99"/>
      <c r="F37" s="99"/>
      <c r="G37" s="99"/>
      <c r="H37" s="99"/>
      <c r="I37" s="99"/>
      <c r="J37" s="99"/>
      <c r="K37" s="82"/>
      <c r="L37" s="1314" t="s">
        <v>97</v>
      </c>
      <c r="M37" s="1306"/>
      <c r="N37" s="80"/>
      <c r="O37" s="80"/>
      <c r="P37" s="80"/>
      <c r="Q37" s="80"/>
      <c r="R37" s="80"/>
      <c r="S37" s="80"/>
      <c r="T37" s="80"/>
      <c r="U37" s="80"/>
      <c r="V37" s="80"/>
      <c r="W37" s="80"/>
      <c r="X37" s="80"/>
      <c r="Y37" s="80"/>
      <c r="Z37" s="80"/>
      <c r="AA37" s="80"/>
      <c r="AB37" s="80"/>
      <c r="AC37" s="80"/>
      <c r="AD37" s="80"/>
    </row>
    <row r="38" spans="1:30" ht="15.75">
      <c r="A38" s="96" t="s">
        <v>98</v>
      </c>
      <c r="B38" s="96" t="s">
        <v>99</v>
      </c>
      <c r="C38" s="96" t="s">
        <v>100</v>
      </c>
      <c r="D38" s="96" t="s">
        <v>101</v>
      </c>
      <c r="E38" s="96" t="s">
        <v>102</v>
      </c>
      <c r="F38" s="96" t="s">
        <v>103</v>
      </c>
      <c r="G38" s="96" t="s">
        <v>104</v>
      </c>
      <c r="H38" s="96" t="s">
        <v>105</v>
      </c>
      <c r="I38" s="96" t="s">
        <v>106</v>
      </c>
      <c r="J38" s="96" t="s">
        <v>107</v>
      </c>
      <c r="K38" s="95"/>
      <c r="L38" s="96" t="s">
        <v>98</v>
      </c>
      <c r="M38" s="96" t="s">
        <v>108</v>
      </c>
      <c r="N38" s="80"/>
      <c r="O38" s="80"/>
      <c r="P38" s="80"/>
      <c r="Q38" s="80"/>
      <c r="R38" s="80"/>
      <c r="S38" s="80"/>
      <c r="T38" s="80"/>
      <c r="U38" s="80"/>
      <c r="V38" s="80"/>
      <c r="W38" s="80"/>
      <c r="X38" s="80"/>
      <c r="Y38" s="80"/>
      <c r="Z38" s="80"/>
      <c r="AA38" s="80"/>
      <c r="AB38" s="80"/>
      <c r="AC38" s="80"/>
      <c r="AD38" s="80"/>
    </row>
    <row r="39" spans="1:30" ht="15.75">
      <c r="A39" s="1001">
        <v>87.5</v>
      </c>
      <c r="B39" s="100">
        <f t="shared" ref="B39:C39" si="11">I30/$B$10</f>
        <v>4.0816326530612242E-2</v>
      </c>
      <c r="C39" s="100">
        <f t="shared" si="11"/>
        <v>6.1224489795918366E-2</v>
      </c>
      <c r="D39" s="100">
        <f t="shared" ref="D39:D41" si="12">B39*0.8</f>
        <v>3.2653061224489792E-2</v>
      </c>
      <c r="E39" s="100">
        <f t="shared" ref="E39:E41" si="13">C39*0.3</f>
        <v>1.8367346938775508E-2</v>
      </c>
      <c r="F39" s="100">
        <f t="shared" ref="F39:F40" si="14">SUM(D39:E39)</f>
        <v>5.10204081632653E-2</v>
      </c>
      <c r="G39" s="100">
        <v>2.2100000000000002E-2</v>
      </c>
      <c r="H39" s="1002">
        <f t="shared" ref="H39:H41" si="15">SUM($F$16:F39)+G39</f>
        <v>58.213936734693881</v>
      </c>
      <c r="I39" s="1003">
        <f t="shared" ref="I39:I41" si="16">H39*$B$11</f>
        <v>141951948.67252451</v>
      </c>
      <c r="J39" s="1001">
        <f t="shared" ref="J39:J41" si="17">I39*B39</f>
        <v>5793957.0886744699</v>
      </c>
      <c r="K39" s="101"/>
      <c r="L39" s="1001">
        <v>87.5</v>
      </c>
      <c r="M39" s="100">
        <v>0.27039999999999997</v>
      </c>
      <c r="N39" s="80"/>
      <c r="O39" s="80"/>
      <c r="P39" s="80"/>
      <c r="Q39" s="80"/>
      <c r="R39" s="80"/>
      <c r="S39" s="80"/>
      <c r="T39" s="80"/>
      <c r="U39" s="80"/>
      <c r="V39" s="80"/>
      <c r="W39" s="80"/>
      <c r="X39" s="80"/>
      <c r="Y39" s="80"/>
      <c r="Z39" s="80"/>
      <c r="AA39" s="80"/>
      <c r="AB39" s="80"/>
      <c r="AC39" s="80"/>
      <c r="AD39" s="80"/>
    </row>
    <row r="40" spans="1:30" ht="15.75">
      <c r="A40" s="1001">
        <v>102.5</v>
      </c>
      <c r="B40" s="100">
        <f t="shared" ref="B40:C40" si="18">I31/$B$10</f>
        <v>2.0408163265306121E-2</v>
      </c>
      <c r="C40" s="100">
        <f t="shared" si="18"/>
        <v>0.14285714285714285</v>
      </c>
      <c r="D40" s="100">
        <f t="shared" si="12"/>
        <v>1.6326530612244896E-2</v>
      </c>
      <c r="E40" s="100">
        <f t="shared" si="13"/>
        <v>4.2857142857142851E-2</v>
      </c>
      <c r="F40" s="100">
        <f t="shared" si="14"/>
        <v>5.9183673469387743E-2</v>
      </c>
      <c r="G40" s="100">
        <v>2.2100000000000002E-2</v>
      </c>
      <c r="H40" s="1002">
        <f t="shared" si="15"/>
        <v>58.273120408163265</v>
      </c>
      <c r="I40" s="1003">
        <f t="shared" si="16"/>
        <v>142096265.27864695</v>
      </c>
      <c r="J40" s="1001">
        <f t="shared" si="17"/>
        <v>2899923.7811968764</v>
      </c>
      <c r="K40" s="101"/>
      <c r="L40" s="1001">
        <v>102.5</v>
      </c>
      <c r="M40" s="100">
        <v>0.1842</v>
      </c>
      <c r="N40" s="80"/>
      <c r="O40" s="80"/>
      <c r="P40" s="80"/>
      <c r="Q40" s="80"/>
      <c r="R40" s="80"/>
      <c r="S40" s="80"/>
      <c r="T40" s="80"/>
      <c r="U40" s="80"/>
      <c r="V40" s="80"/>
      <c r="W40" s="80"/>
      <c r="X40" s="80"/>
      <c r="Y40" s="80"/>
      <c r="Z40" s="80"/>
      <c r="AA40" s="80"/>
      <c r="AB40" s="80"/>
      <c r="AC40" s="80"/>
      <c r="AD40" s="80"/>
    </row>
    <row r="41" spans="1:30" ht="15.75">
      <c r="A41" s="1001">
        <v>117.5</v>
      </c>
      <c r="B41" s="100">
        <f t="shared" ref="B41:C41" si="19">I32/$B$10</f>
        <v>0</v>
      </c>
      <c r="C41" s="100">
        <f t="shared" si="19"/>
        <v>0.12244897959183673</v>
      </c>
      <c r="D41" s="100">
        <f t="shared" si="12"/>
        <v>0</v>
      </c>
      <c r="E41" s="100">
        <f t="shared" si="13"/>
        <v>3.6734693877551017E-2</v>
      </c>
      <c r="F41" s="100">
        <f>SUM(D$16:$E41)</f>
        <v>25.395955102040816</v>
      </c>
      <c r="G41" s="100">
        <v>2.2100000000000002E-2</v>
      </c>
      <c r="H41" s="1002">
        <f t="shared" si="15"/>
        <v>83.669075510204067</v>
      </c>
      <c r="I41" s="1003">
        <f t="shared" si="16"/>
        <v>204023108.18508363</v>
      </c>
      <c r="J41" s="1001">
        <f t="shared" si="17"/>
        <v>0</v>
      </c>
      <c r="K41" s="101"/>
      <c r="L41" s="1001">
        <v>117.5</v>
      </c>
      <c r="M41" s="100">
        <v>8.4199999999999997E-2</v>
      </c>
      <c r="N41" s="80"/>
      <c r="O41" s="80"/>
      <c r="P41" s="80"/>
      <c r="Q41" s="80"/>
      <c r="R41" s="80"/>
      <c r="S41" s="80"/>
      <c r="T41" s="80"/>
      <c r="U41" s="80"/>
      <c r="V41" s="80"/>
      <c r="W41" s="80"/>
      <c r="X41" s="80"/>
      <c r="Y41" s="80"/>
      <c r="Z41" s="80"/>
      <c r="AA41" s="80"/>
      <c r="AB41" s="80"/>
      <c r="AC41" s="80"/>
      <c r="AD41" s="80"/>
    </row>
    <row r="42" spans="1:30" ht="15.75">
      <c r="F42" s="122"/>
      <c r="G42" s="80"/>
      <c r="H42" s="80"/>
      <c r="I42" s="80"/>
      <c r="J42" s="80"/>
      <c r="K42" s="80"/>
      <c r="L42" s="80"/>
      <c r="M42" s="80"/>
      <c r="N42" s="80"/>
      <c r="O42" s="80"/>
      <c r="P42" s="80"/>
      <c r="Q42" s="80"/>
      <c r="R42" s="80"/>
      <c r="S42" s="80"/>
      <c r="T42" s="80"/>
      <c r="U42" s="80"/>
      <c r="V42" s="80"/>
      <c r="W42" s="80"/>
      <c r="X42" s="80"/>
      <c r="Y42" s="80"/>
      <c r="Z42" s="80"/>
      <c r="AA42" s="80"/>
      <c r="AB42" s="80"/>
      <c r="AC42" s="80"/>
      <c r="AD42" s="80"/>
    </row>
    <row r="43" spans="1:30" ht="15.75">
      <c r="A43" s="123"/>
      <c r="B43" s="123"/>
      <c r="C43" s="123"/>
      <c r="D43" s="123"/>
      <c r="E43" s="123"/>
      <c r="F43" s="122"/>
      <c r="G43" s="80"/>
      <c r="H43" s="80"/>
      <c r="I43" s="80"/>
      <c r="J43" s="80"/>
      <c r="K43" s="96" t="s">
        <v>17</v>
      </c>
      <c r="L43" s="96" t="s">
        <v>110</v>
      </c>
      <c r="M43" s="96" t="s">
        <v>111</v>
      </c>
      <c r="N43" s="80"/>
      <c r="O43" s="80"/>
      <c r="P43" s="80"/>
      <c r="Q43" s="80"/>
      <c r="R43" s="80"/>
      <c r="S43" s="80"/>
      <c r="T43" s="80"/>
      <c r="U43" s="80"/>
      <c r="V43" s="80"/>
      <c r="W43" s="80"/>
      <c r="X43" s="80"/>
      <c r="Y43" s="80"/>
      <c r="Z43" s="80"/>
      <c r="AA43" s="80"/>
      <c r="AB43" s="80"/>
      <c r="AC43" s="80"/>
      <c r="AD43" s="80"/>
    </row>
    <row r="44" spans="1:30" ht="15.75">
      <c r="A44" s="103" t="s">
        <v>109</v>
      </c>
      <c r="B44" s="106"/>
      <c r="C44" s="106"/>
      <c r="D44" s="106"/>
      <c r="E44" s="106"/>
      <c r="F44" s="122"/>
      <c r="G44" s="80"/>
      <c r="H44" s="80"/>
      <c r="I44" s="80"/>
      <c r="J44" s="80"/>
      <c r="K44" s="87">
        <v>1</v>
      </c>
      <c r="L44" s="1001">
        <f t="shared" ref="L44:L48" si="20">L19</f>
        <v>99.999999999999986</v>
      </c>
      <c r="M44" s="100">
        <f t="shared" ref="M44:M48" si="21">0.498 + 0.00008*L44 + -0.0000307*L44^2</f>
        <v>0.19900000000000012</v>
      </c>
      <c r="N44" s="80"/>
      <c r="O44" s="80"/>
      <c r="P44" s="80"/>
      <c r="Q44" s="80"/>
      <c r="R44" s="80"/>
      <c r="S44" s="80"/>
      <c r="T44" s="80"/>
      <c r="U44" s="80"/>
      <c r="V44" s="80"/>
      <c r="W44" s="80"/>
      <c r="X44" s="80"/>
      <c r="Y44" s="80"/>
      <c r="Z44" s="80"/>
      <c r="AA44" s="80"/>
      <c r="AB44" s="80"/>
      <c r="AC44" s="80"/>
      <c r="AD44" s="80"/>
    </row>
    <row r="45" spans="1:30" ht="15.75">
      <c r="A45" s="106"/>
      <c r="B45" s="103" t="s">
        <v>112</v>
      </c>
      <c r="C45" s="103" t="s">
        <v>113</v>
      </c>
      <c r="D45" s="103" t="s">
        <v>114</v>
      </c>
      <c r="E45" s="103" t="s">
        <v>115</v>
      </c>
      <c r="F45" s="122"/>
      <c r="G45" s="80"/>
      <c r="H45" s="80"/>
      <c r="I45" s="80"/>
      <c r="J45" s="80"/>
      <c r="K45" s="87">
        <v>2</v>
      </c>
      <c r="L45" s="1001">
        <f t="shared" si="20"/>
        <v>100</v>
      </c>
      <c r="M45" s="100">
        <f t="shared" si="21"/>
        <v>0.19900000000000001</v>
      </c>
      <c r="N45" s="80"/>
      <c r="O45" s="80"/>
      <c r="P45" s="80"/>
      <c r="Q45" s="80"/>
      <c r="R45" s="80"/>
      <c r="S45" s="80"/>
      <c r="T45" s="80"/>
      <c r="U45" s="80"/>
      <c r="V45" s="80"/>
      <c r="W45" s="80"/>
      <c r="X45" s="80"/>
      <c r="Y45" s="80"/>
      <c r="Z45" s="80"/>
      <c r="AA45" s="80"/>
      <c r="AB45" s="80"/>
      <c r="AC45" s="80"/>
      <c r="AD45" s="80"/>
    </row>
    <row r="46" spans="1:30" ht="15.75">
      <c r="A46" s="108" t="s">
        <v>116</v>
      </c>
      <c r="B46" s="109">
        <v>9</v>
      </c>
      <c r="C46" s="110">
        <v>0.31030000000000002</v>
      </c>
      <c r="D46" s="110">
        <v>0.04</v>
      </c>
      <c r="E46" s="110">
        <v>1.24E-2</v>
      </c>
      <c r="F46" s="122"/>
      <c r="G46" s="80"/>
      <c r="H46" s="80"/>
      <c r="I46" s="80"/>
      <c r="J46" s="80"/>
      <c r="K46" s="87">
        <v>3</v>
      </c>
      <c r="L46" s="1001">
        <f t="shared" si="20"/>
        <v>99.533781174792693</v>
      </c>
      <c r="M46" s="100">
        <f t="shared" si="21"/>
        <v>0.20181861312897192</v>
      </c>
      <c r="N46" s="80"/>
      <c r="O46" s="80"/>
      <c r="P46" s="80"/>
      <c r="Q46" s="80"/>
      <c r="R46" s="80"/>
      <c r="S46" s="80"/>
      <c r="T46" s="80"/>
      <c r="U46" s="80"/>
      <c r="V46" s="80"/>
      <c r="W46" s="80"/>
      <c r="X46" s="80"/>
      <c r="Y46" s="80"/>
      <c r="Z46" s="80"/>
      <c r="AA46" s="80"/>
      <c r="AB46" s="80"/>
      <c r="AC46" s="80"/>
      <c r="AD46" s="80"/>
    </row>
    <row r="47" spans="1:30" ht="15.75">
      <c r="A47" s="108" t="s">
        <v>117</v>
      </c>
      <c r="B47" s="109">
        <v>14</v>
      </c>
      <c r="C47" s="110">
        <v>0.48280000000000001</v>
      </c>
      <c r="D47" s="110">
        <v>0.02</v>
      </c>
      <c r="E47" s="110">
        <v>9.7000000000000003E-3</v>
      </c>
      <c r="F47" s="122"/>
      <c r="G47" s="80"/>
      <c r="H47" s="80"/>
      <c r="I47" s="80"/>
      <c r="J47" s="80"/>
      <c r="K47" s="87">
        <v>4</v>
      </c>
      <c r="L47" s="1001">
        <f t="shared" si="20"/>
        <v>96.420420860828642</v>
      </c>
      <c r="M47" s="100">
        <f t="shared" si="21"/>
        <v>0.22029887860820113</v>
      </c>
      <c r="N47" s="80"/>
      <c r="O47" s="80"/>
      <c r="P47" s="80"/>
      <c r="Q47" s="80"/>
      <c r="R47" s="80"/>
      <c r="S47" s="80"/>
      <c r="T47" s="80"/>
      <c r="U47" s="80"/>
      <c r="V47" s="80"/>
      <c r="W47" s="80"/>
      <c r="X47" s="80"/>
      <c r="Y47" s="80"/>
      <c r="Z47" s="80"/>
      <c r="AA47" s="80"/>
      <c r="AB47" s="80"/>
      <c r="AC47" s="80"/>
      <c r="AD47" s="80"/>
    </row>
    <row r="48" spans="1:30" ht="15.75">
      <c r="A48" s="108" t="s">
        <v>118</v>
      </c>
      <c r="B48" s="109">
        <v>6</v>
      </c>
      <c r="C48" s="110">
        <v>0.2069</v>
      </c>
      <c r="D48" s="110">
        <v>0</v>
      </c>
      <c r="E48" s="110">
        <v>0</v>
      </c>
      <c r="F48" s="122"/>
      <c r="G48" s="80"/>
      <c r="H48" s="80"/>
      <c r="I48" s="80"/>
      <c r="J48" s="80"/>
      <c r="K48" s="87">
        <v>5</v>
      </c>
      <c r="L48" s="1001">
        <f t="shared" si="20"/>
        <v>95.801675766702687</v>
      </c>
      <c r="M48" s="100">
        <f t="shared" si="21"/>
        <v>0.22390072891428747</v>
      </c>
      <c r="N48" s="80"/>
      <c r="O48" s="80"/>
      <c r="P48" s="80"/>
      <c r="Q48" s="80"/>
      <c r="R48" s="80"/>
      <c r="S48" s="80"/>
      <c r="T48" s="80"/>
      <c r="U48" s="80"/>
      <c r="V48" s="80"/>
      <c r="W48" s="80"/>
      <c r="X48" s="80"/>
      <c r="Y48" s="80"/>
      <c r="Z48" s="80"/>
      <c r="AA48" s="80"/>
      <c r="AB48" s="80"/>
      <c r="AC48" s="80"/>
      <c r="AD48" s="80"/>
    </row>
    <row r="49" spans="1:30" ht="15.75">
      <c r="A49" s="111"/>
      <c r="B49" s="111"/>
      <c r="C49" s="111"/>
      <c r="D49" s="113" t="s">
        <v>92</v>
      </c>
      <c r="E49" s="114">
        <v>2.2100000000000002E-2</v>
      </c>
      <c r="F49" s="123"/>
      <c r="G49" s="80"/>
      <c r="H49" s="80"/>
      <c r="I49" s="80"/>
      <c r="J49" s="80"/>
      <c r="K49" s="80"/>
      <c r="L49" s="80"/>
      <c r="M49" s="80"/>
      <c r="N49" s="80"/>
      <c r="O49" s="80"/>
      <c r="P49" s="80"/>
      <c r="Q49" s="80"/>
      <c r="R49" s="80"/>
      <c r="S49" s="80"/>
      <c r="T49" s="80"/>
      <c r="U49" s="80"/>
      <c r="V49" s="80"/>
      <c r="W49" s="80"/>
      <c r="X49" s="80"/>
      <c r="Y49" s="80"/>
      <c r="Z49" s="80"/>
      <c r="AA49" s="80"/>
      <c r="AB49" s="80"/>
      <c r="AC49" s="80"/>
      <c r="AD49" s="80"/>
    </row>
    <row r="50" spans="1:30" ht="15.75">
      <c r="A50" s="124"/>
      <c r="B50" s="124"/>
      <c r="C50" s="124"/>
      <c r="D50" s="125"/>
      <c r="E50" s="126"/>
      <c r="F50" s="127"/>
      <c r="G50" s="117"/>
      <c r="H50" s="117"/>
      <c r="I50" s="117"/>
      <c r="J50" s="117"/>
      <c r="K50" s="117"/>
      <c r="L50" s="117"/>
      <c r="M50" s="117"/>
      <c r="N50" s="117"/>
      <c r="O50" s="117"/>
      <c r="P50" s="117"/>
      <c r="Q50" s="117"/>
      <c r="R50" s="117"/>
      <c r="S50" s="117"/>
      <c r="T50" s="117"/>
      <c r="U50" s="117"/>
      <c r="V50" s="117"/>
      <c r="W50" s="117"/>
      <c r="X50" s="117"/>
      <c r="Y50" s="117"/>
      <c r="Z50" s="117"/>
      <c r="AA50" s="117"/>
      <c r="AB50" s="117"/>
      <c r="AC50" s="117"/>
      <c r="AD50" s="117"/>
    </row>
    <row r="51" spans="1:30" ht="15.75">
      <c r="A51" s="1314" t="s">
        <v>78</v>
      </c>
      <c r="B51" s="1305"/>
      <c r="C51" s="1305"/>
      <c r="D51" s="1305"/>
      <c r="E51" s="1305"/>
      <c r="F51" s="1306"/>
      <c r="G51" s="80"/>
      <c r="H51" s="80"/>
      <c r="I51" s="80"/>
      <c r="J51" s="80"/>
      <c r="K51" s="80"/>
      <c r="L51" s="80"/>
      <c r="M51" s="80"/>
      <c r="N51" s="80"/>
      <c r="O51" s="80"/>
      <c r="P51" s="80"/>
      <c r="Q51" s="80"/>
      <c r="R51" s="80"/>
      <c r="S51" s="80"/>
      <c r="T51" s="80"/>
      <c r="U51" s="80"/>
      <c r="V51" s="80"/>
      <c r="W51" s="80"/>
      <c r="X51" s="80"/>
      <c r="Y51" s="80"/>
      <c r="Z51" s="80"/>
      <c r="AA51" s="80"/>
      <c r="AB51" s="80"/>
      <c r="AC51" s="80"/>
      <c r="AD51" s="80"/>
    </row>
    <row r="52" spans="1:30" ht="15.75">
      <c r="A52" s="1318" t="s">
        <v>119</v>
      </c>
      <c r="B52" s="1306"/>
      <c r="C52" s="81"/>
      <c r="D52" s="81"/>
      <c r="E52" s="81"/>
      <c r="F52" s="81"/>
      <c r="G52" s="82"/>
      <c r="H52" s="82"/>
      <c r="I52" s="99"/>
      <c r="J52" s="99"/>
      <c r="K52" s="82"/>
      <c r="L52" s="82"/>
      <c r="M52" s="82"/>
      <c r="N52" s="80"/>
      <c r="O52" s="80"/>
      <c r="P52" s="80"/>
      <c r="Q52" s="80"/>
      <c r="R52" s="80"/>
      <c r="S52" s="80"/>
      <c r="T52" s="80"/>
      <c r="U52" s="80"/>
      <c r="V52" s="80"/>
      <c r="W52" s="80"/>
      <c r="X52" s="80"/>
      <c r="Y52" s="80"/>
      <c r="Z52" s="80"/>
      <c r="AA52" s="80"/>
      <c r="AB52" s="80"/>
      <c r="AC52" s="80"/>
      <c r="AD52" s="80"/>
    </row>
    <row r="53" spans="1:30" ht="15.75">
      <c r="A53" s="81" t="s">
        <v>80</v>
      </c>
      <c r="B53" s="1318" t="s">
        <v>81</v>
      </c>
      <c r="C53" s="1306"/>
      <c r="D53" s="81"/>
      <c r="E53" s="81"/>
      <c r="F53" s="81"/>
      <c r="G53" s="82"/>
      <c r="H53" s="83"/>
      <c r="I53" s="1319" t="s">
        <v>82</v>
      </c>
      <c r="J53" s="1320"/>
      <c r="K53" s="82"/>
      <c r="L53" s="82"/>
      <c r="M53" s="82"/>
      <c r="N53" s="80"/>
      <c r="O53" s="80"/>
      <c r="P53" s="80"/>
      <c r="Q53" s="80"/>
      <c r="R53" s="80"/>
      <c r="S53" s="80"/>
      <c r="T53" s="80"/>
      <c r="U53" s="80"/>
      <c r="V53" s="80"/>
      <c r="W53" s="80"/>
      <c r="X53" s="80"/>
      <c r="Y53" s="80"/>
      <c r="Z53" s="80"/>
      <c r="AA53" s="80"/>
      <c r="AB53" s="80"/>
      <c r="AC53" s="80"/>
      <c r="AD53" s="80"/>
    </row>
    <row r="54" spans="1:30" ht="15.75">
      <c r="A54" s="81" t="s">
        <v>83</v>
      </c>
      <c r="B54" s="84" t="s">
        <v>84</v>
      </c>
      <c r="C54" s="84" t="s">
        <v>85</v>
      </c>
      <c r="D54" s="84">
        <v>2</v>
      </c>
      <c r="E54" s="84">
        <v>3</v>
      </c>
      <c r="F54" s="81" t="s">
        <v>86</v>
      </c>
      <c r="G54" s="82"/>
      <c r="H54" s="83"/>
      <c r="I54" s="85" t="s">
        <v>87</v>
      </c>
      <c r="J54" s="85" t="s">
        <v>88</v>
      </c>
      <c r="K54" s="82"/>
      <c r="L54" s="82"/>
      <c r="M54" s="82"/>
      <c r="N54" s="80"/>
      <c r="O54" s="80"/>
      <c r="P54" s="80"/>
      <c r="Q54" s="80"/>
      <c r="R54" s="80"/>
      <c r="S54" s="80"/>
      <c r="T54" s="80"/>
      <c r="U54" s="80"/>
      <c r="V54" s="80"/>
      <c r="W54" s="80"/>
      <c r="X54" s="80"/>
      <c r="Y54" s="80"/>
      <c r="Z54" s="80"/>
      <c r="AA54" s="80"/>
      <c r="AB54" s="80"/>
      <c r="AC54" s="80"/>
      <c r="AD54" s="80"/>
    </row>
    <row r="55" spans="1:30" ht="15.75">
      <c r="A55" s="86" t="s">
        <v>89</v>
      </c>
      <c r="B55" s="87">
        <v>3</v>
      </c>
      <c r="C55" s="87">
        <v>9</v>
      </c>
      <c r="D55" s="87">
        <v>5</v>
      </c>
      <c r="E55" s="87">
        <v>3</v>
      </c>
      <c r="F55" s="87">
        <v>20</v>
      </c>
      <c r="G55" s="82"/>
      <c r="H55" s="82"/>
      <c r="I55" s="88">
        <v>3</v>
      </c>
      <c r="J55" s="88">
        <v>9</v>
      </c>
      <c r="K55" s="82"/>
      <c r="L55" s="82"/>
      <c r="M55" s="82"/>
      <c r="N55" s="80"/>
      <c r="O55" s="80"/>
      <c r="P55" s="80"/>
      <c r="Q55" s="80"/>
      <c r="R55" s="80"/>
      <c r="S55" s="80"/>
      <c r="T55" s="80"/>
      <c r="U55" s="80"/>
      <c r="V55" s="80"/>
      <c r="W55" s="80"/>
      <c r="X55" s="80"/>
      <c r="Y55" s="80"/>
      <c r="Z55" s="80"/>
      <c r="AA55" s="80"/>
      <c r="AB55" s="80"/>
      <c r="AC55" s="80"/>
      <c r="AD55" s="80"/>
    </row>
    <row r="56" spans="1:30" ht="15.75">
      <c r="A56" s="86" t="s">
        <v>90</v>
      </c>
      <c r="B56" s="87">
        <v>7</v>
      </c>
      <c r="C56" s="87">
        <v>19</v>
      </c>
      <c r="D56" s="87">
        <v>8</v>
      </c>
      <c r="E56" s="89"/>
      <c r="F56" s="87">
        <v>34</v>
      </c>
      <c r="G56" s="82"/>
      <c r="H56" s="82"/>
      <c r="I56" s="88">
        <v>7</v>
      </c>
      <c r="J56" s="88">
        <v>19</v>
      </c>
      <c r="K56" s="82"/>
      <c r="L56" s="82"/>
      <c r="M56" s="82"/>
      <c r="N56" s="80"/>
      <c r="O56" s="80"/>
      <c r="P56" s="80"/>
      <c r="Q56" s="80"/>
      <c r="R56" s="80"/>
      <c r="S56" s="80"/>
      <c r="T56" s="80"/>
      <c r="U56" s="80"/>
      <c r="V56" s="80"/>
      <c r="W56" s="80"/>
      <c r="X56" s="80"/>
      <c r="Y56" s="80"/>
      <c r="Z56" s="80"/>
      <c r="AA56" s="80"/>
      <c r="AB56" s="80"/>
      <c r="AC56" s="80"/>
      <c r="AD56" s="80"/>
    </row>
    <row r="57" spans="1:30" ht="15.75">
      <c r="A57" s="86" t="s">
        <v>91</v>
      </c>
      <c r="B57" s="87">
        <v>2</v>
      </c>
      <c r="C57" s="87">
        <v>7</v>
      </c>
      <c r="D57" s="87">
        <v>10</v>
      </c>
      <c r="E57" s="87">
        <v>1</v>
      </c>
      <c r="F57" s="87">
        <v>20</v>
      </c>
      <c r="G57" s="82"/>
      <c r="H57" s="82"/>
      <c r="I57" s="90">
        <v>2</v>
      </c>
      <c r="J57" s="90">
        <v>7</v>
      </c>
      <c r="K57" s="82"/>
      <c r="L57" s="82"/>
      <c r="M57" s="82"/>
      <c r="N57" s="80"/>
      <c r="O57" s="80"/>
      <c r="P57" s="80"/>
      <c r="Q57" s="80"/>
      <c r="R57" s="80"/>
      <c r="S57" s="80"/>
      <c r="T57" s="80"/>
      <c r="U57" s="80"/>
      <c r="V57" s="80"/>
      <c r="W57" s="80"/>
      <c r="X57" s="80"/>
      <c r="Y57" s="80"/>
      <c r="Z57" s="80"/>
      <c r="AA57" s="80"/>
      <c r="AB57" s="80"/>
      <c r="AC57" s="80"/>
      <c r="AD57" s="80"/>
    </row>
    <row r="58" spans="1:30" ht="15.75">
      <c r="A58" s="81" t="s">
        <v>86</v>
      </c>
      <c r="B58" s="84">
        <v>12</v>
      </c>
      <c r="C58" s="84">
        <v>35</v>
      </c>
      <c r="D58" s="84">
        <v>23</v>
      </c>
      <c r="E58" s="84">
        <v>4</v>
      </c>
      <c r="F58" s="84">
        <v>74</v>
      </c>
      <c r="G58" s="82"/>
      <c r="H58" s="91" t="s">
        <v>92</v>
      </c>
      <c r="I58" s="92">
        <v>12</v>
      </c>
      <c r="J58" s="92">
        <v>35</v>
      </c>
      <c r="K58" s="82"/>
      <c r="L58" s="121" t="s">
        <v>122</v>
      </c>
      <c r="M58" s="121" t="s">
        <v>123</v>
      </c>
      <c r="O58" s="80"/>
      <c r="P58" s="80"/>
      <c r="Q58" s="80"/>
      <c r="R58" s="80"/>
      <c r="S58" s="80"/>
      <c r="T58" s="80"/>
      <c r="U58" s="80"/>
      <c r="V58" s="80"/>
      <c r="W58" s="80"/>
      <c r="X58" s="80"/>
      <c r="Y58" s="80"/>
      <c r="Z58" s="80"/>
      <c r="AA58" s="80"/>
      <c r="AB58" s="80"/>
      <c r="AC58" s="80"/>
      <c r="AD58" s="80"/>
    </row>
    <row r="59" spans="1:30" ht="15.75">
      <c r="A59" s="82"/>
      <c r="B59" s="102"/>
      <c r="C59" s="102"/>
      <c r="D59" s="102"/>
      <c r="E59" s="102"/>
      <c r="F59" s="102"/>
      <c r="G59" s="82"/>
      <c r="H59" s="95"/>
      <c r="I59" s="82"/>
      <c r="J59" s="82"/>
      <c r="K59" s="82"/>
      <c r="L59" s="82"/>
      <c r="M59" s="82"/>
      <c r="N59" s="80"/>
      <c r="O59" s="80"/>
      <c r="P59" s="80"/>
      <c r="Q59" s="80"/>
      <c r="R59" s="80"/>
      <c r="S59" s="80"/>
      <c r="T59" s="80"/>
      <c r="U59" s="80"/>
      <c r="V59" s="80"/>
      <c r="W59" s="80"/>
      <c r="X59" s="80"/>
      <c r="Y59" s="80"/>
      <c r="Z59" s="80"/>
      <c r="AA59" s="80"/>
      <c r="AB59" s="80"/>
      <c r="AC59" s="80"/>
      <c r="AD59" s="80"/>
    </row>
    <row r="60" spans="1:30" ht="15.75">
      <c r="A60" s="128" t="s">
        <v>95</v>
      </c>
      <c r="B60" s="97">
        <v>74</v>
      </c>
      <c r="C60" s="102"/>
      <c r="D60" s="102"/>
      <c r="E60" s="102"/>
      <c r="H60" s="82"/>
      <c r="I60" s="82"/>
      <c r="J60" s="82"/>
      <c r="K60" s="82"/>
      <c r="L60" s="82"/>
      <c r="M60" s="82"/>
      <c r="N60" s="80"/>
      <c r="O60" s="80"/>
      <c r="P60" s="80"/>
      <c r="Q60" s="80"/>
      <c r="R60" s="80"/>
      <c r="S60" s="80"/>
      <c r="T60" s="80"/>
      <c r="U60" s="80"/>
      <c r="V60" s="80"/>
      <c r="W60" s="80"/>
      <c r="X60" s="80"/>
      <c r="Y60" s="80"/>
      <c r="Z60" s="80"/>
      <c r="AA60" s="80"/>
      <c r="AB60" s="80"/>
      <c r="AC60" s="80"/>
      <c r="AD60" s="80"/>
    </row>
    <row r="61" spans="1:30" ht="15.75">
      <c r="A61" s="96" t="s">
        <v>96</v>
      </c>
      <c r="B61" s="98">
        <v>28131584</v>
      </c>
      <c r="C61" s="82"/>
      <c r="D61" s="82"/>
      <c r="E61" s="82"/>
      <c r="H61" s="82"/>
      <c r="I61" s="82"/>
      <c r="J61" s="82"/>
      <c r="K61" s="82"/>
      <c r="L61" s="82"/>
      <c r="M61" s="82"/>
      <c r="N61" s="80"/>
      <c r="O61" s="80"/>
      <c r="P61" s="80"/>
      <c r="Q61" s="80"/>
      <c r="R61" s="80"/>
      <c r="S61" s="80"/>
      <c r="T61" s="80"/>
      <c r="U61" s="80"/>
      <c r="V61" s="80"/>
      <c r="W61" s="80"/>
      <c r="X61" s="80"/>
      <c r="Y61" s="80"/>
      <c r="Z61" s="80"/>
      <c r="AA61" s="80"/>
      <c r="AB61" s="80"/>
      <c r="AC61" s="80"/>
      <c r="AD61" s="80"/>
    </row>
    <row r="62" spans="1:30" ht="15.75">
      <c r="A62" s="99"/>
      <c r="B62" s="99"/>
      <c r="C62" s="99"/>
      <c r="D62" s="99"/>
      <c r="E62" s="99"/>
      <c r="F62" s="99"/>
      <c r="G62" s="99"/>
      <c r="H62" s="99"/>
      <c r="I62" s="99"/>
      <c r="J62" s="99"/>
      <c r="K62" s="82"/>
      <c r="L62" s="1314" t="s">
        <v>97</v>
      </c>
      <c r="M62" s="1306"/>
      <c r="N62" s="80"/>
      <c r="O62" s="80"/>
      <c r="P62" s="80"/>
      <c r="Q62" s="80"/>
      <c r="R62" s="80"/>
      <c r="S62" s="80"/>
      <c r="T62" s="80"/>
      <c r="U62" s="80"/>
      <c r="V62" s="80"/>
      <c r="W62" s="80"/>
      <c r="X62" s="80"/>
      <c r="Y62" s="80"/>
      <c r="Z62" s="80"/>
      <c r="AA62" s="80"/>
      <c r="AB62" s="80"/>
      <c r="AC62" s="80"/>
      <c r="AD62" s="80"/>
    </row>
    <row r="63" spans="1:30" ht="15.75">
      <c r="A63" s="96" t="s">
        <v>98</v>
      </c>
      <c r="B63" s="96" t="s">
        <v>99</v>
      </c>
      <c r="C63" s="96" t="s">
        <v>100</v>
      </c>
      <c r="D63" s="96" t="s">
        <v>101</v>
      </c>
      <c r="E63" s="96" t="s">
        <v>102</v>
      </c>
      <c r="F63" s="96" t="s">
        <v>103</v>
      </c>
      <c r="G63" s="96" t="s">
        <v>104</v>
      </c>
      <c r="H63" s="96" t="s">
        <v>105</v>
      </c>
      <c r="I63" s="96" t="s">
        <v>106</v>
      </c>
      <c r="J63" s="96" t="s">
        <v>107</v>
      </c>
      <c r="K63" s="95"/>
      <c r="L63" s="96" t="s">
        <v>98</v>
      </c>
      <c r="M63" s="96" t="s">
        <v>108</v>
      </c>
      <c r="N63" s="80"/>
      <c r="O63" s="80"/>
      <c r="P63" s="80"/>
      <c r="Q63" s="80"/>
      <c r="R63" s="80"/>
      <c r="S63" s="80"/>
      <c r="T63" s="80"/>
      <c r="U63" s="80"/>
      <c r="V63" s="80"/>
      <c r="W63" s="80"/>
      <c r="X63" s="80"/>
      <c r="Y63" s="80"/>
      <c r="Z63" s="80"/>
      <c r="AA63" s="80"/>
      <c r="AB63" s="80"/>
      <c r="AC63" s="80"/>
      <c r="AD63" s="80"/>
    </row>
    <row r="64" spans="1:30" ht="15.75">
      <c r="A64" s="1001">
        <v>87.5</v>
      </c>
      <c r="B64" s="100">
        <f t="shared" ref="B64:C64" si="22">I55/$B$10</f>
        <v>6.1224489795918366E-2</v>
      </c>
      <c r="C64" s="100">
        <f t="shared" si="22"/>
        <v>0.18367346938775511</v>
      </c>
      <c r="D64" s="100">
        <f t="shared" ref="D64:D66" si="23">B64*0.8</f>
        <v>4.8979591836734698E-2</v>
      </c>
      <c r="E64" s="100">
        <f t="shared" ref="E64:E66" si="24">C64*0.3</f>
        <v>5.5102040816326532E-2</v>
      </c>
      <c r="F64" s="100">
        <f t="shared" ref="F64:F65" si="25">SUM(D64:E64)</f>
        <v>0.10408163265306122</v>
      </c>
      <c r="G64" s="100">
        <v>2.41E-2</v>
      </c>
      <c r="H64" s="1002">
        <f t="shared" ref="H64:H66" si="26">SUM($F$16:F64)+G64</f>
        <v>231.77515714285713</v>
      </c>
      <c r="I64" s="1003">
        <f t="shared" ref="I64:I66" si="27">H64*$B$11</f>
        <v>565172827.26047134</v>
      </c>
      <c r="J64" s="1001">
        <f t="shared" ref="J64:J66" si="28">I64*B64</f>
        <v>34602417.995539062</v>
      </c>
      <c r="K64" s="101"/>
      <c r="L64" s="1001">
        <v>87.5</v>
      </c>
      <c r="M64" s="1002">
        <f t="shared" ref="M64:M66" si="29">H64</f>
        <v>231.77515714285713</v>
      </c>
      <c r="N64" s="80"/>
      <c r="O64" s="80"/>
      <c r="P64" s="80"/>
      <c r="Q64" s="80"/>
      <c r="R64" s="80"/>
      <c r="S64" s="80"/>
      <c r="T64" s="80"/>
      <c r="U64" s="80"/>
      <c r="V64" s="80"/>
      <c r="W64" s="80"/>
      <c r="X64" s="80"/>
      <c r="Y64" s="80"/>
      <c r="Z64" s="80"/>
      <c r="AA64" s="80"/>
      <c r="AB64" s="80"/>
      <c r="AC64" s="80"/>
      <c r="AD64" s="80"/>
    </row>
    <row r="65" spans="1:30" ht="15.75">
      <c r="A65" s="1001">
        <v>102.5</v>
      </c>
      <c r="B65" s="100">
        <f t="shared" ref="B65:C65" si="30">I56/$B$10</f>
        <v>0.14285714285714285</v>
      </c>
      <c r="C65" s="100">
        <f t="shared" si="30"/>
        <v>0.38775510204081631</v>
      </c>
      <c r="D65" s="100">
        <f t="shared" si="23"/>
        <v>0.11428571428571428</v>
      </c>
      <c r="E65" s="100">
        <f t="shared" si="24"/>
        <v>0.11632653061224489</v>
      </c>
      <c r="F65" s="100">
        <f t="shared" si="25"/>
        <v>0.23061224489795917</v>
      </c>
      <c r="G65" s="100">
        <v>2.41E-2</v>
      </c>
      <c r="H65" s="1002">
        <f t="shared" si="26"/>
        <v>232.00576938775509</v>
      </c>
      <c r="I65" s="1003">
        <f t="shared" si="27"/>
        <v>565735164.38087952</v>
      </c>
      <c r="J65" s="1001">
        <f t="shared" si="28"/>
        <v>80819309.197268501</v>
      </c>
      <c r="K65" s="101"/>
      <c r="L65" s="1001">
        <v>102.5</v>
      </c>
      <c r="M65" s="1002">
        <f t="shared" si="29"/>
        <v>232.00576938775509</v>
      </c>
      <c r="N65" s="80"/>
      <c r="O65" s="80"/>
      <c r="P65" s="80"/>
      <c r="Q65" s="80"/>
      <c r="R65" s="80"/>
      <c r="S65" s="80"/>
      <c r="T65" s="80"/>
      <c r="U65" s="80"/>
      <c r="V65" s="80"/>
      <c r="W65" s="80"/>
      <c r="X65" s="80"/>
      <c r="Y65" s="80"/>
      <c r="Z65" s="80"/>
      <c r="AA65" s="80"/>
      <c r="AB65" s="80"/>
      <c r="AC65" s="80"/>
      <c r="AD65" s="80"/>
    </row>
    <row r="66" spans="1:30" ht="15.75">
      <c r="A66" s="1001">
        <v>117.5</v>
      </c>
      <c r="B66" s="100">
        <f t="shared" ref="B66:C66" si="31">I57/$B$10</f>
        <v>4.0816326530612242E-2</v>
      </c>
      <c r="C66" s="100">
        <f t="shared" si="31"/>
        <v>0.14285714285714285</v>
      </c>
      <c r="D66" s="100">
        <f t="shared" si="23"/>
        <v>3.2653061224489792E-2</v>
      </c>
      <c r="E66" s="100">
        <f t="shared" si="24"/>
        <v>4.2857142857142851E-2</v>
      </c>
      <c r="F66" s="100">
        <f>SUM(D$16:$E66)</f>
        <v>84.910359183673464</v>
      </c>
      <c r="G66" s="100">
        <v>2.41E-2</v>
      </c>
      <c r="H66" s="1002">
        <f t="shared" si="26"/>
        <v>316.91612857142854</v>
      </c>
      <c r="I66" s="1003">
        <f t="shared" si="27"/>
        <v>772785084.4633857</v>
      </c>
      <c r="J66" s="1001">
        <f t="shared" si="28"/>
        <v>31542248.34544431</v>
      </c>
      <c r="K66" s="101"/>
      <c r="L66" s="1001">
        <v>117.5</v>
      </c>
      <c r="M66" s="1002">
        <f t="shared" si="29"/>
        <v>316.91612857142854</v>
      </c>
      <c r="N66" s="80"/>
      <c r="O66" s="80"/>
      <c r="P66" s="80"/>
      <c r="Q66" s="80"/>
      <c r="R66" s="80"/>
      <c r="S66" s="80"/>
      <c r="T66" s="80"/>
      <c r="U66" s="80"/>
      <c r="V66" s="80"/>
      <c r="W66" s="80"/>
      <c r="X66" s="80"/>
      <c r="Y66" s="80"/>
      <c r="Z66" s="80"/>
      <c r="AA66" s="80"/>
      <c r="AB66" s="80"/>
      <c r="AC66" s="80"/>
      <c r="AD66" s="80"/>
    </row>
    <row r="67" spans="1:30" ht="15.75">
      <c r="A67" s="82"/>
      <c r="B67" s="82"/>
      <c r="C67" s="82"/>
      <c r="D67" s="82"/>
      <c r="E67" s="82"/>
      <c r="F67" s="82"/>
      <c r="G67" s="82"/>
      <c r="H67" s="82"/>
      <c r="I67" s="82"/>
      <c r="J67" s="82"/>
      <c r="K67" s="82"/>
      <c r="L67" s="82"/>
      <c r="M67" s="82"/>
      <c r="N67" s="80"/>
      <c r="O67" s="80"/>
      <c r="P67" s="80"/>
      <c r="Q67" s="80"/>
      <c r="R67" s="80"/>
      <c r="S67" s="80"/>
      <c r="T67" s="80"/>
      <c r="U67" s="80"/>
      <c r="V67" s="80"/>
      <c r="W67" s="80"/>
      <c r="X67" s="80"/>
      <c r="Y67" s="80"/>
      <c r="Z67" s="80"/>
      <c r="AA67" s="80"/>
      <c r="AB67" s="80"/>
      <c r="AC67" s="80"/>
      <c r="AD67" s="80"/>
    </row>
    <row r="68" spans="1:30" ht="15.75">
      <c r="F68" s="80"/>
      <c r="G68" s="80"/>
      <c r="H68" s="80"/>
      <c r="I68" s="80"/>
      <c r="J68" s="80"/>
      <c r="K68" s="96" t="s">
        <v>17</v>
      </c>
      <c r="L68" s="96" t="s">
        <v>110</v>
      </c>
      <c r="M68" s="96" t="s">
        <v>111</v>
      </c>
      <c r="N68" s="80"/>
      <c r="O68" s="80"/>
      <c r="P68" s="80"/>
      <c r="Q68" s="80"/>
      <c r="R68" s="80"/>
      <c r="S68" s="80"/>
      <c r="T68" s="80"/>
      <c r="U68" s="80"/>
      <c r="V68" s="80"/>
      <c r="W68" s="80"/>
      <c r="X68" s="80"/>
      <c r="Y68" s="80"/>
      <c r="Z68" s="80"/>
      <c r="AA68" s="80"/>
      <c r="AB68" s="80"/>
      <c r="AC68" s="80"/>
      <c r="AD68" s="80"/>
    </row>
    <row r="69" spans="1:30" ht="15.75">
      <c r="A69" s="103" t="s">
        <v>109</v>
      </c>
      <c r="B69" s="106"/>
      <c r="C69" s="106"/>
      <c r="D69" s="106"/>
      <c r="E69" s="106"/>
      <c r="F69" s="80"/>
      <c r="G69" s="80"/>
      <c r="H69" s="80"/>
      <c r="I69" s="80"/>
      <c r="J69" s="80"/>
      <c r="K69" s="87">
        <v>1</v>
      </c>
      <c r="L69" s="1001">
        <f t="shared" ref="L69:L73" si="32">L44</f>
        <v>99.999999999999986</v>
      </c>
      <c r="M69" s="100">
        <f t="shared" ref="M69:M73" si="33">-0.972 + 0.0308*L69 + -0.000186*L69^2</f>
        <v>0.24800000000000044</v>
      </c>
      <c r="N69" s="80"/>
      <c r="O69" s="80"/>
      <c r="P69" s="80"/>
      <c r="Q69" s="80"/>
      <c r="R69" s="80"/>
      <c r="S69" s="80"/>
      <c r="T69" s="80"/>
      <c r="U69" s="80"/>
      <c r="V69" s="80"/>
      <c r="W69" s="80"/>
      <c r="X69" s="80"/>
      <c r="Y69" s="80"/>
      <c r="Z69" s="80"/>
      <c r="AA69" s="80"/>
      <c r="AB69" s="80"/>
      <c r="AC69" s="80"/>
      <c r="AD69" s="80"/>
    </row>
    <row r="70" spans="1:30" ht="15.75">
      <c r="A70" s="106"/>
      <c r="B70" s="103" t="s">
        <v>112</v>
      </c>
      <c r="C70" s="103" t="s">
        <v>113</v>
      </c>
      <c r="D70" s="103" t="s">
        <v>114</v>
      </c>
      <c r="E70" s="103" t="s">
        <v>115</v>
      </c>
      <c r="F70" s="80"/>
      <c r="G70" s="80"/>
      <c r="H70" s="80"/>
      <c r="I70" s="80"/>
      <c r="J70" s="80"/>
      <c r="K70" s="87">
        <v>2</v>
      </c>
      <c r="L70" s="1001">
        <f t="shared" si="32"/>
        <v>100</v>
      </c>
      <c r="M70" s="100">
        <f t="shared" si="33"/>
        <v>0.24800000000000022</v>
      </c>
      <c r="O70" s="80"/>
      <c r="P70" s="80"/>
      <c r="Q70" s="80"/>
      <c r="R70" s="80"/>
      <c r="S70" s="80"/>
      <c r="T70" s="80"/>
      <c r="U70" s="80"/>
      <c r="V70" s="80"/>
      <c r="W70" s="80"/>
      <c r="X70" s="80"/>
      <c r="Y70" s="80"/>
      <c r="Z70" s="80"/>
      <c r="AA70" s="80"/>
      <c r="AB70" s="80"/>
      <c r="AC70" s="80"/>
      <c r="AD70" s="80"/>
    </row>
    <row r="71" spans="1:30" ht="15.75">
      <c r="A71" s="108" t="s">
        <v>116</v>
      </c>
      <c r="B71" s="109">
        <v>29</v>
      </c>
      <c r="C71" s="110">
        <v>0.39190000000000003</v>
      </c>
      <c r="D71" s="129">
        <v>0.04</v>
      </c>
      <c r="E71" s="110">
        <v>1.5699999999999999E-2</v>
      </c>
      <c r="F71" s="80"/>
      <c r="G71" s="80"/>
      <c r="H71" s="80"/>
      <c r="I71" s="80"/>
      <c r="J71" s="80"/>
      <c r="K71" s="87">
        <v>3</v>
      </c>
      <c r="L71" s="1001">
        <f t="shared" si="32"/>
        <v>99.533781174792693</v>
      </c>
      <c r="M71" s="100">
        <f t="shared" si="33"/>
        <v>0.25094337152263302</v>
      </c>
      <c r="N71" s="80"/>
      <c r="O71" s="80"/>
      <c r="P71" s="80"/>
      <c r="Q71" s="80"/>
      <c r="R71" s="80"/>
      <c r="S71" s="80"/>
      <c r="T71" s="80"/>
      <c r="U71" s="80"/>
      <c r="V71" s="80"/>
      <c r="W71" s="80"/>
      <c r="X71" s="80"/>
      <c r="Y71" s="80"/>
      <c r="Z71" s="80"/>
      <c r="AA71" s="80"/>
      <c r="AB71" s="80"/>
      <c r="AC71" s="80"/>
      <c r="AD71" s="80"/>
    </row>
    <row r="72" spans="1:30" ht="15.75">
      <c r="A72" s="108" t="s">
        <v>117</v>
      </c>
      <c r="B72" s="109">
        <v>31</v>
      </c>
      <c r="C72" s="110">
        <v>0.41889999999999999</v>
      </c>
      <c r="D72" s="129">
        <v>0.02</v>
      </c>
      <c r="E72" s="110">
        <v>8.3999999999999995E-3</v>
      </c>
      <c r="F72" s="80"/>
      <c r="G72" s="80"/>
      <c r="H72" s="80"/>
      <c r="I72" s="80"/>
      <c r="J72" s="80"/>
      <c r="K72" s="87">
        <v>4</v>
      </c>
      <c r="L72" s="1001">
        <f t="shared" si="32"/>
        <v>96.420420860828642</v>
      </c>
      <c r="M72" s="100">
        <f t="shared" si="33"/>
        <v>0.26852601654336894</v>
      </c>
      <c r="N72" s="80"/>
      <c r="O72" s="80"/>
      <c r="P72" s="80"/>
      <c r="Q72" s="80"/>
      <c r="R72" s="80"/>
      <c r="S72" s="80"/>
      <c r="T72" s="80"/>
      <c r="U72" s="80"/>
      <c r="V72" s="80"/>
      <c r="W72" s="80"/>
      <c r="X72" s="80"/>
      <c r="Y72" s="80"/>
      <c r="Z72" s="80"/>
      <c r="AA72" s="80"/>
      <c r="AB72" s="80"/>
      <c r="AC72" s="80"/>
      <c r="AD72" s="80"/>
    </row>
    <row r="73" spans="1:30" ht="15.75">
      <c r="A73" s="108" t="s">
        <v>118</v>
      </c>
      <c r="B73" s="109">
        <v>14</v>
      </c>
      <c r="C73" s="110">
        <v>0.18920000000000001</v>
      </c>
      <c r="D73" s="109">
        <v>0</v>
      </c>
      <c r="E73" s="110">
        <v>0</v>
      </c>
      <c r="F73" s="80"/>
      <c r="G73" s="80"/>
      <c r="H73" s="80"/>
      <c r="I73" s="80"/>
      <c r="J73" s="80"/>
      <c r="K73" s="87">
        <v>5</v>
      </c>
      <c r="L73" s="1001">
        <f t="shared" si="32"/>
        <v>95.801675766702687</v>
      </c>
      <c r="M73" s="100">
        <f t="shared" si="33"/>
        <v>0.27159085278867501</v>
      </c>
      <c r="N73" s="80"/>
      <c r="O73" s="80"/>
      <c r="P73" s="80"/>
      <c r="Q73" s="80"/>
      <c r="R73" s="80"/>
      <c r="S73" s="80"/>
      <c r="T73" s="80"/>
      <c r="U73" s="80"/>
      <c r="V73" s="80"/>
      <c r="W73" s="80"/>
      <c r="X73" s="80"/>
      <c r="Y73" s="80"/>
      <c r="Z73" s="80"/>
      <c r="AA73" s="80"/>
      <c r="AB73" s="80"/>
      <c r="AC73" s="80"/>
      <c r="AD73" s="80"/>
    </row>
    <row r="74" spans="1:30" ht="15.75">
      <c r="A74" s="111"/>
      <c r="B74" s="111"/>
      <c r="C74" s="111"/>
      <c r="D74" s="113" t="s">
        <v>92</v>
      </c>
      <c r="E74" s="114">
        <v>2.41E-2</v>
      </c>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row>
    <row r="75" spans="1:30" ht="15.75">
      <c r="A75" s="135"/>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row>
    <row r="76" spans="1:30" ht="15.75">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row>
    <row r="77" spans="1:30" ht="15.75">
      <c r="A77" s="137"/>
      <c r="B77" s="139"/>
      <c r="C77" s="139"/>
      <c r="D77" s="139"/>
      <c r="E77" s="139"/>
      <c r="F77" s="139"/>
      <c r="G77" s="139"/>
      <c r="H77" s="80"/>
      <c r="I77" s="80"/>
      <c r="J77" s="80"/>
      <c r="K77" s="80"/>
      <c r="L77" s="80"/>
      <c r="M77" s="80"/>
      <c r="N77" s="80"/>
      <c r="O77" s="80"/>
      <c r="P77" s="80"/>
      <c r="Q77" s="80"/>
      <c r="R77" s="80"/>
      <c r="S77" s="80"/>
      <c r="T77" s="80"/>
      <c r="U77" s="80"/>
      <c r="V77" s="80"/>
      <c r="W77" s="80"/>
      <c r="X77" s="80"/>
      <c r="Y77" s="80"/>
      <c r="Z77" s="80"/>
      <c r="AA77" s="80"/>
      <c r="AB77" s="80"/>
      <c r="AC77" s="80"/>
      <c r="AD77" s="80"/>
    </row>
    <row r="78" spans="1:30" ht="15.75">
      <c r="A78" s="137"/>
      <c r="B78" s="139"/>
      <c r="C78" s="139"/>
      <c r="D78" s="139"/>
      <c r="E78" s="139"/>
      <c r="F78" s="139"/>
      <c r="G78" s="139"/>
      <c r="H78" s="80"/>
      <c r="I78" s="80"/>
      <c r="J78" s="80"/>
      <c r="K78" s="80"/>
      <c r="L78" s="80"/>
      <c r="M78" s="80"/>
      <c r="N78" s="80"/>
      <c r="O78" s="80"/>
      <c r="P78" s="80"/>
      <c r="Q78" s="80"/>
      <c r="R78" s="80"/>
      <c r="S78" s="80"/>
      <c r="T78" s="80"/>
      <c r="U78" s="80"/>
      <c r="V78" s="80"/>
      <c r="W78" s="80"/>
      <c r="X78" s="80"/>
      <c r="Y78" s="80"/>
      <c r="Z78" s="80"/>
      <c r="AA78" s="80"/>
      <c r="AB78" s="80"/>
      <c r="AC78" s="80"/>
      <c r="AD78" s="80"/>
    </row>
    <row r="79" spans="1:30" ht="15.75">
      <c r="A79" s="137"/>
      <c r="B79" s="139"/>
      <c r="C79" s="139"/>
      <c r="D79" s="139"/>
      <c r="E79" s="139"/>
      <c r="F79" s="139"/>
      <c r="G79" s="139"/>
      <c r="H79" s="80"/>
      <c r="I79" s="80"/>
      <c r="J79" s="80"/>
      <c r="K79" s="80"/>
      <c r="L79" s="80"/>
      <c r="M79" s="80"/>
      <c r="N79" s="80"/>
      <c r="O79" s="80"/>
      <c r="P79" s="80"/>
      <c r="Q79" s="80"/>
      <c r="R79" s="80"/>
      <c r="S79" s="80"/>
      <c r="T79" s="80"/>
      <c r="U79" s="80"/>
      <c r="V79" s="80"/>
      <c r="W79" s="80"/>
      <c r="X79" s="80"/>
      <c r="Y79" s="80"/>
      <c r="Z79" s="80"/>
      <c r="AA79" s="80"/>
      <c r="AB79" s="80"/>
      <c r="AC79" s="80"/>
      <c r="AD79" s="80"/>
    </row>
    <row r="80" spans="1:30" ht="15.75">
      <c r="A80" s="137"/>
      <c r="B80" s="139"/>
      <c r="C80" s="139"/>
      <c r="D80" s="139"/>
      <c r="E80" s="139"/>
      <c r="F80" s="139"/>
      <c r="G80" s="139"/>
      <c r="H80" s="80"/>
      <c r="I80" s="80"/>
      <c r="J80" s="80"/>
      <c r="K80" s="80"/>
      <c r="L80" s="80"/>
      <c r="M80" s="80"/>
      <c r="N80" s="80"/>
      <c r="O80" s="80"/>
      <c r="P80" s="80"/>
      <c r="Q80" s="80"/>
      <c r="R80" s="80"/>
      <c r="S80" s="80"/>
      <c r="T80" s="80"/>
      <c r="U80" s="80"/>
      <c r="V80" s="80"/>
      <c r="W80" s="80"/>
      <c r="X80" s="80"/>
      <c r="Y80" s="80"/>
      <c r="Z80" s="80"/>
      <c r="AA80" s="80"/>
      <c r="AB80" s="80"/>
      <c r="AC80" s="80"/>
      <c r="AD80" s="80"/>
    </row>
    <row r="81" spans="1:30" ht="15.75">
      <c r="A81" s="137"/>
      <c r="B81" s="139"/>
      <c r="C81" s="139"/>
      <c r="D81" s="139"/>
      <c r="E81" s="139"/>
      <c r="F81" s="139"/>
      <c r="G81" s="139"/>
      <c r="H81" s="80"/>
      <c r="I81" s="80"/>
      <c r="J81" s="80"/>
      <c r="K81" s="80"/>
      <c r="L81" s="80"/>
      <c r="M81" s="80"/>
      <c r="N81" s="80"/>
      <c r="O81" s="80"/>
      <c r="P81" s="80"/>
      <c r="Q81" s="80"/>
      <c r="R81" s="80"/>
      <c r="S81" s="80"/>
      <c r="T81" s="80"/>
      <c r="U81" s="80"/>
      <c r="V81" s="80"/>
      <c r="W81" s="80"/>
      <c r="X81" s="80"/>
      <c r="Y81" s="80"/>
      <c r="Z81" s="80"/>
      <c r="AA81" s="80"/>
      <c r="AB81" s="80"/>
      <c r="AC81" s="80"/>
      <c r="AD81" s="80"/>
    </row>
    <row r="82" spans="1:30" ht="15.75">
      <c r="A82" s="137"/>
      <c r="B82" s="139"/>
      <c r="C82" s="139"/>
      <c r="D82" s="139"/>
      <c r="E82" s="139"/>
      <c r="F82" s="139"/>
      <c r="G82" s="139"/>
      <c r="H82" s="80"/>
      <c r="I82" s="80"/>
      <c r="J82" s="80"/>
      <c r="K82" s="80"/>
      <c r="L82" s="80"/>
      <c r="M82" s="80"/>
      <c r="N82" s="80"/>
      <c r="O82" s="80"/>
      <c r="P82" s="80"/>
      <c r="Q82" s="80"/>
      <c r="R82" s="80"/>
      <c r="S82" s="80"/>
      <c r="T82" s="80"/>
      <c r="U82" s="80"/>
      <c r="V82" s="80"/>
      <c r="W82" s="80"/>
      <c r="X82" s="80"/>
      <c r="Y82" s="80"/>
      <c r="Z82" s="80"/>
      <c r="AA82" s="80"/>
      <c r="AB82" s="80"/>
      <c r="AC82" s="80"/>
      <c r="AD82" s="80"/>
    </row>
    <row r="83" spans="1:30" ht="15.75">
      <c r="A83" s="137"/>
      <c r="B83" s="139"/>
      <c r="C83" s="139"/>
      <c r="D83" s="139"/>
      <c r="E83" s="139"/>
      <c r="F83" s="139"/>
      <c r="G83" s="139"/>
      <c r="H83" s="80"/>
      <c r="I83" s="80"/>
      <c r="J83" s="80"/>
      <c r="K83" s="80"/>
      <c r="L83" s="80"/>
      <c r="M83" s="80"/>
      <c r="N83" s="80"/>
      <c r="O83" s="80"/>
      <c r="P83" s="80"/>
      <c r="Q83" s="80"/>
      <c r="R83" s="80"/>
      <c r="S83" s="80"/>
      <c r="T83" s="80"/>
      <c r="U83" s="80"/>
      <c r="V83" s="80"/>
      <c r="W83" s="80"/>
      <c r="X83" s="80"/>
      <c r="Y83" s="80"/>
      <c r="Z83" s="80"/>
      <c r="AA83" s="80"/>
      <c r="AB83" s="80"/>
      <c r="AC83" s="80"/>
      <c r="AD83" s="80"/>
    </row>
    <row r="84" spans="1:30" ht="15.75">
      <c r="A84" s="137"/>
      <c r="B84" s="139"/>
      <c r="C84" s="139"/>
      <c r="D84" s="139"/>
      <c r="E84" s="139"/>
      <c r="F84" s="139"/>
      <c r="G84" s="139"/>
      <c r="H84" s="80"/>
      <c r="I84" s="80"/>
      <c r="J84" s="80"/>
      <c r="K84" s="80"/>
      <c r="L84" s="80"/>
      <c r="M84" s="80"/>
      <c r="N84" s="80"/>
      <c r="O84" s="80"/>
      <c r="P84" s="80"/>
      <c r="Q84" s="80"/>
      <c r="R84" s="80"/>
      <c r="S84" s="80"/>
      <c r="T84" s="80"/>
      <c r="U84" s="80"/>
      <c r="V84" s="80"/>
      <c r="W84" s="80"/>
      <c r="X84" s="80"/>
      <c r="Y84" s="80"/>
      <c r="Z84" s="80"/>
      <c r="AA84" s="80"/>
      <c r="AB84" s="80"/>
      <c r="AC84" s="80"/>
      <c r="AD84" s="80"/>
    </row>
    <row r="85" spans="1:30" ht="15.75">
      <c r="A85" s="137"/>
      <c r="B85" s="139"/>
      <c r="C85" s="139"/>
      <c r="D85" s="139"/>
      <c r="E85" s="139"/>
      <c r="F85" s="139"/>
      <c r="G85" s="139"/>
      <c r="H85" s="80"/>
      <c r="I85" s="80"/>
      <c r="J85" s="80"/>
      <c r="K85" s="80"/>
      <c r="L85" s="80"/>
      <c r="M85" s="80"/>
      <c r="N85" s="80"/>
      <c r="O85" s="80"/>
      <c r="P85" s="80"/>
      <c r="Q85" s="80"/>
      <c r="R85" s="80"/>
      <c r="S85" s="80"/>
      <c r="T85" s="80"/>
      <c r="U85" s="80"/>
      <c r="V85" s="80"/>
      <c r="W85" s="80"/>
      <c r="X85" s="80"/>
      <c r="Y85" s="80"/>
      <c r="Z85" s="80"/>
      <c r="AA85" s="80"/>
      <c r="AB85" s="80"/>
      <c r="AC85" s="80"/>
      <c r="AD85" s="80"/>
    </row>
    <row r="86" spans="1:30" ht="15.75">
      <c r="A86" s="137"/>
      <c r="B86" s="139"/>
      <c r="C86" s="139"/>
      <c r="D86" s="139"/>
      <c r="E86" s="139"/>
      <c r="F86" s="139"/>
      <c r="G86" s="139"/>
      <c r="H86" s="80"/>
      <c r="I86" s="80"/>
      <c r="J86" s="80"/>
      <c r="K86" s="80"/>
      <c r="L86" s="80"/>
      <c r="M86" s="80"/>
      <c r="N86" s="80"/>
      <c r="O86" s="80"/>
      <c r="P86" s="80"/>
      <c r="Q86" s="80"/>
      <c r="R86" s="80"/>
      <c r="S86" s="80"/>
      <c r="T86" s="80"/>
      <c r="U86" s="80"/>
      <c r="V86" s="80"/>
      <c r="W86" s="80"/>
      <c r="X86" s="80"/>
      <c r="Y86" s="80"/>
      <c r="Z86" s="80"/>
      <c r="AA86" s="80"/>
      <c r="AB86" s="80"/>
      <c r="AC86" s="80"/>
      <c r="AD86" s="80"/>
    </row>
    <row r="87" spans="1:30" ht="15.75">
      <c r="A87" s="137"/>
      <c r="B87" s="139"/>
      <c r="C87" s="139"/>
      <c r="D87" s="139"/>
      <c r="E87" s="139"/>
      <c r="F87" s="139"/>
      <c r="G87" s="139"/>
      <c r="H87" s="80"/>
      <c r="I87" s="80"/>
      <c r="J87" s="80"/>
      <c r="K87" s="80"/>
      <c r="L87" s="80"/>
      <c r="M87" s="80"/>
      <c r="N87" s="80"/>
      <c r="O87" s="80"/>
      <c r="P87" s="80"/>
      <c r="Q87" s="80"/>
      <c r="R87" s="80"/>
      <c r="S87" s="80"/>
      <c r="T87" s="80"/>
      <c r="U87" s="80"/>
      <c r="V87" s="80"/>
      <c r="W87" s="80"/>
      <c r="X87" s="80"/>
      <c r="Y87" s="80"/>
      <c r="Z87" s="80"/>
      <c r="AA87" s="80"/>
      <c r="AB87" s="80"/>
      <c r="AC87" s="80"/>
      <c r="AD87" s="80"/>
    </row>
    <row r="88" spans="1:30" ht="15.75">
      <c r="A88" s="137"/>
      <c r="B88" s="139"/>
      <c r="C88" s="139"/>
      <c r="D88" s="139"/>
      <c r="E88" s="139"/>
      <c r="F88" s="139"/>
      <c r="G88" s="139"/>
      <c r="H88" s="139"/>
      <c r="I88" s="139"/>
      <c r="J88" s="139"/>
      <c r="K88" s="80"/>
      <c r="L88" s="80"/>
      <c r="M88" s="80"/>
      <c r="N88" s="80"/>
      <c r="O88" s="80"/>
      <c r="P88" s="80"/>
      <c r="Q88" s="80"/>
      <c r="R88" s="80"/>
      <c r="S88" s="80"/>
      <c r="T88" s="80"/>
      <c r="U88" s="80"/>
      <c r="V88" s="80"/>
      <c r="W88" s="80"/>
      <c r="X88" s="80"/>
      <c r="Y88" s="80"/>
      <c r="Z88" s="80"/>
      <c r="AA88" s="80"/>
      <c r="AB88" s="80"/>
      <c r="AC88" s="80"/>
      <c r="AD88" s="80"/>
    </row>
    <row r="89" spans="1:30" ht="15.75">
      <c r="A89" s="137"/>
      <c r="B89" s="139"/>
      <c r="C89" s="139"/>
      <c r="D89" s="139"/>
      <c r="E89" s="139"/>
      <c r="F89" s="139"/>
      <c r="G89" s="139"/>
      <c r="H89" s="139"/>
      <c r="I89" s="139"/>
      <c r="J89" s="139"/>
      <c r="K89" s="80"/>
      <c r="L89" s="80"/>
      <c r="M89" s="80"/>
      <c r="N89" s="80"/>
      <c r="O89" s="80"/>
      <c r="P89" s="80"/>
      <c r="Q89" s="80"/>
      <c r="R89" s="80"/>
      <c r="S89" s="80"/>
      <c r="T89" s="80"/>
      <c r="U89" s="80"/>
      <c r="V89" s="80"/>
      <c r="W89" s="80"/>
      <c r="X89" s="80"/>
      <c r="Y89" s="80"/>
      <c r="Z89" s="80"/>
      <c r="AA89" s="80"/>
      <c r="AB89" s="80"/>
      <c r="AC89" s="80"/>
      <c r="AD89" s="80"/>
    </row>
    <row r="90" spans="1:30" ht="15.75">
      <c r="A90" s="137"/>
      <c r="B90" s="139"/>
      <c r="C90" s="139"/>
      <c r="D90" s="139"/>
      <c r="E90" s="139"/>
      <c r="F90" s="139"/>
      <c r="G90" s="139"/>
      <c r="H90" s="139"/>
      <c r="I90" s="139"/>
      <c r="J90" s="139"/>
      <c r="K90" s="80"/>
      <c r="L90" s="80"/>
      <c r="M90" s="80"/>
      <c r="N90" s="80"/>
      <c r="O90" s="80"/>
      <c r="P90" s="80"/>
      <c r="Q90" s="80"/>
      <c r="R90" s="80"/>
      <c r="S90" s="80"/>
      <c r="T90" s="80"/>
      <c r="U90" s="80"/>
      <c r="V90" s="80"/>
      <c r="W90" s="80"/>
      <c r="X90" s="80"/>
      <c r="Y90" s="80"/>
      <c r="Z90" s="80"/>
      <c r="AA90" s="80"/>
      <c r="AB90" s="80"/>
      <c r="AC90" s="80"/>
      <c r="AD90" s="80"/>
    </row>
    <row r="91" spans="1:30" ht="15.75">
      <c r="A91" s="137"/>
      <c r="B91" s="139"/>
      <c r="C91" s="139"/>
      <c r="D91" s="139"/>
      <c r="E91" s="139"/>
      <c r="F91" s="139"/>
      <c r="G91" s="139"/>
      <c r="H91" s="139"/>
      <c r="I91" s="139"/>
      <c r="J91" s="139"/>
      <c r="K91" s="80"/>
      <c r="L91" s="80"/>
      <c r="M91" s="80"/>
      <c r="N91" s="80"/>
      <c r="O91" s="80"/>
      <c r="P91" s="80"/>
      <c r="Q91" s="80"/>
      <c r="R91" s="80"/>
      <c r="S91" s="80"/>
      <c r="T91" s="80"/>
      <c r="U91" s="80"/>
      <c r="V91" s="80"/>
      <c r="W91" s="80"/>
      <c r="X91" s="80"/>
      <c r="Y91" s="80"/>
      <c r="Z91" s="80"/>
      <c r="AA91" s="80"/>
      <c r="AB91" s="80"/>
      <c r="AC91" s="80"/>
      <c r="AD91" s="80"/>
    </row>
    <row r="92" spans="1:30" ht="15.75">
      <c r="A92" s="137"/>
      <c r="B92" s="139"/>
      <c r="C92" s="139"/>
      <c r="D92" s="139"/>
      <c r="E92" s="139"/>
      <c r="F92" s="139"/>
      <c r="G92" s="139"/>
      <c r="H92" s="139"/>
      <c r="I92" s="139"/>
      <c r="J92" s="139"/>
      <c r="K92" s="80"/>
      <c r="L92" s="80"/>
      <c r="M92" s="80"/>
      <c r="N92" s="80"/>
      <c r="O92" s="80"/>
      <c r="P92" s="80"/>
      <c r="Q92" s="80"/>
      <c r="R92" s="80"/>
      <c r="S92" s="80"/>
      <c r="T92" s="80"/>
      <c r="U92" s="80"/>
      <c r="V92" s="80"/>
      <c r="W92" s="80"/>
      <c r="X92" s="80"/>
      <c r="Y92" s="80"/>
      <c r="Z92" s="80"/>
      <c r="AA92" s="80"/>
      <c r="AB92" s="80"/>
      <c r="AC92" s="80"/>
      <c r="AD92" s="80"/>
    </row>
    <row r="93" spans="1:30" ht="15.75">
      <c r="A93" s="137"/>
      <c r="B93" s="139"/>
      <c r="C93" s="139"/>
      <c r="D93" s="139"/>
      <c r="E93" s="139"/>
      <c r="F93" s="139"/>
      <c r="G93" s="139"/>
      <c r="H93" s="139"/>
      <c r="I93" s="139"/>
      <c r="J93" s="139"/>
      <c r="K93" s="80"/>
      <c r="L93" s="80"/>
      <c r="M93" s="80"/>
      <c r="N93" s="80"/>
      <c r="O93" s="80"/>
      <c r="P93" s="80"/>
      <c r="Q93" s="80"/>
      <c r="R93" s="80"/>
      <c r="S93" s="80"/>
      <c r="T93" s="80"/>
      <c r="U93" s="80"/>
      <c r="V93" s="80"/>
      <c r="W93" s="80"/>
      <c r="X93" s="80"/>
      <c r="Y93" s="80"/>
      <c r="Z93" s="80"/>
      <c r="AA93" s="80"/>
      <c r="AB93" s="80"/>
      <c r="AC93" s="80"/>
      <c r="AD93" s="80"/>
    </row>
    <row r="94" spans="1:30" ht="15.75">
      <c r="A94" s="137"/>
      <c r="B94" s="139"/>
      <c r="C94" s="139"/>
      <c r="D94" s="139"/>
      <c r="E94" s="139"/>
      <c r="F94" s="139"/>
      <c r="G94" s="139"/>
      <c r="H94" s="139"/>
      <c r="I94" s="139"/>
      <c r="J94" s="139"/>
      <c r="K94" s="80"/>
      <c r="L94" s="80"/>
      <c r="M94" s="80"/>
      <c r="N94" s="80"/>
      <c r="O94" s="80"/>
      <c r="P94" s="80"/>
      <c r="Q94" s="80"/>
      <c r="R94" s="80"/>
      <c r="S94" s="80"/>
      <c r="T94" s="80"/>
      <c r="U94" s="80"/>
      <c r="V94" s="80"/>
      <c r="W94" s="80"/>
      <c r="X94" s="80"/>
      <c r="Y94" s="80"/>
      <c r="Z94" s="80"/>
      <c r="AA94" s="80"/>
      <c r="AB94" s="80"/>
      <c r="AC94" s="80"/>
      <c r="AD94" s="80"/>
    </row>
    <row r="95" spans="1:30" ht="15.75">
      <c r="A95" s="137"/>
      <c r="B95" s="139"/>
      <c r="C95" s="139"/>
      <c r="D95" s="139"/>
      <c r="E95" s="139"/>
      <c r="F95" s="139"/>
      <c r="G95" s="139"/>
      <c r="H95" s="139"/>
      <c r="I95" s="139"/>
      <c r="J95" s="139"/>
      <c r="K95" s="80"/>
      <c r="L95" s="80"/>
      <c r="M95" s="80"/>
      <c r="N95" s="80"/>
      <c r="O95" s="80"/>
      <c r="P95" s="80"/>
      <c r="Q95" s="80"/>
      <c r="R95" s="80"/>
      <c r="S95" s="80"/>
      <c r="T95" s="80"/>
      <c r="U95" s="80"/>
      <c r="V95" s="80"/>
      <c r="W95" s="80"/>
      <c r="X95" s="80"/>
      <c r="Y95" s="80"/>
      <c r="Z95" s="80"/>
      <c r="AA95" s="80"/>
      <c r="AB95" s="80"/>
      <c r="AC95" s="80"/>
      <c r="AD95" s="80"/>
    </row>
    <row r="96" spans="1:30" ht="15.75">
      <c r="A96" s="137"/>
      <c r="B96" s="139"/>
      <c r="C96" s="139"/>
      <c r="D96" s="139"/>
      <c r="E96" s="139"/>
      <c r="F96" s="139"/>
      <c r="G96" s="139"/>
      <c r="H96" s="139"/>
      <c r="I96" s="139"/>
      <c r="J96" s="139"/>
      <c r="K96" s="80"/>
      <c r="L96" s="80"/>
      <c r="M96" s="80"/>
      <c r="N96" s="80"/>
      <c r="O96" s="80"/>
      <c r="P96" s="80"/>
      <c r="Q96" s="80"/>
      <c r="R96" s="80"/>
      <c r="S96" s="80"/>
      <c r="T96" s="80"/>
      <c r="U96" s="80"/>
      <c r="V96" s="80"/>
      <c r="W96" s="80"/>
      <c r="X96" s="80"/>
      <c r="Y96" s="80"/>
      <c r="Z96" s="80"/>
      <c r="AA96" s="80"/>
      <c r="AB96" s="80"/>
      <c r="AC96" s="80"/>
      <c r="AD96" s="80"/>
    </row>
    <row r="97" spans="1:30" ht="15.75">
      <c r="A97" s="137"/>
      <c r="B97" s="139"/>
      <c r="C97" s="139"/>
      <c r="D97" s="139"/>
      <c r="E97" s="139"/>
      <c r="F97" s="139"/>
      <c r="G97" s="139"/>
      <c r="H97" s="139"/>
      <c r="I97" s="139"/>
      <c r="J97" s="139"/>
      <c r="K97" s="80"/>
      <c r="L97" s="80"/>
      <c r="M97" s="80"/>
      <c r="N97" s="80"/>
      <c r="O97" s="80"/>
      <c r="P97" s="80"/>
      <c r="Q97" s="80"/>
      <c r="R97" s="80"/>
      <c r="S97" s="80"/>
      <c r="T97" s="80"/>
      <c r="U97" s="80"/>
      <c r="V97" s="80"/>
      <c r="W97" s="80"/>
      <c r="X97" s="80"/>
      <c r="Y97" s="80"/>
      <c r="Z97" s="80"/>
      <c r="AA97" s="80"/>
      <c r="AB97" s="80"/>
      <c r="AC97" s="80"/>
      <c r="AD97" s="80"/>
    </row>
    <row r="98" spans="1:30" ht="15.75">
      <c r="A98" s="137"/>
      <c r="B98" s="139"/>
      <c r="C98" s="139"/>
      <c r="D98" s="139"/>
      <c r="E98" s="139"/>
      <c r="F98" s="139"/>
      <c r="G98" s="139"/>
      <c r="H98" s="139"/>
      <c r="I98" s="139"/>
      <c r="J98" s="139"/>
      <c r="K98" s="80"/>
      <c r="L98" s="80"/>
      <c r="M98" s="80"/>
      <c r="N98" s="80"/>
      <c r="O98" s="80"/>
      <c r="P98" s="80"/>
      <c r="Q98" s="80"/>
      <c r="R98" s="80"/>
      <c r="S98" s="80"/>
      <c r="T98" s="80"/>
      <c r="U98" s="80"/>
      <c r="V98" s="80"/>
      <c r="W98" s="80"/>
      <c r="X98" s="80"/>
      <c r="Y98" s="80"/>
      <c r="Z98" s="80"/>
      <c r="AA98" s="80"/>
      <c r="AB98" s="80"/>
      <c r="AC98" s="80"/>
      <c r="AD98" s="80"/>
    </row>
    <row r="99" spans="1:30" ht="15.75">
      <c r="A99" s="137"/>
      <c r="B99" s="139"/>
      <c r="C99" s="139"/>
      <c r="D99" s="139"/>
      <c r="E99" s="139"/>
      <c r="F99" s="139"/>
      <c r="G99" s="139"/>
      <c r="H99" s="139"/>
      <c r="I99" s="139"/>
      <c r="J99" s="139"/>
      <c r="K99" s="80"/>
      <c r="L99" s="80"/>
      <c r="M99" s="80"/>
      <c r="N99" s="80"/>
      <c r="O99" s="80"/>
      <c r="P99" s="80"/>
      <c r="Q99" s="80"/>
      <c r="R99" s="80"/>
      <c r="S99" s="80"/>
      <c r="T99" s="80"/>
      <c r="U99" s="80"/>
      <c r="V99" s="80"/>
      <c r="W99" s="80"/>
      <c r="X99" s="80"/>
      <c r="Y99" s="80"/>
      <c r="Z99" s="80"/>
      <c r="AA99" s="80"/>
      <c r="AB99" s="80"/>
      <c r="AC99" s="80"/>
      <c r="AD99" s="80"/>
    </row>
    <row r="100" spans="1:30" ht="15.75">
      <c r="A100" s="137"/>
      <c r="B100" s="139"/>
      <c r="C100" s="139"/>
      <c r="D100" s="139"/>
      <c r="E100" s="139"/>
      <c r="F100" s="139"/>
      <c r="G100" s="139"/>
      <c r="H100" s="139"/>
      <c r="I100" s="139"/>
      <c r="J100" s="139"/>
      <c r="K100" s="80"/>
      <c r="L100" s="80"/>
      <c r="M100" s="80"/>
      <c r="N100" s="80"/>
      <c r="O100" s="80"/>
      <c r="P100" s="80"/>
      <c r="Q100" s="80"/>
      <c r="R100" s="80"/>
      <c r="S100" s="80"/>
      <c r="T100" s="80"/>
      <c r="U100" s="80"/>
      <c r="V100" s="80"/>
      <c r="W100" s="80"/>
      <c r="X100" s="80"/>
      <c r="Y100" s="80"/>
      <c r="Z100" s="80"/>
      <c r="AA100" s="80"/>
      <c r="AB100" s="80"/>
      <c r="AC100" s="80"/>
      <c r="AD100" s="80"/>
    </row>
    <row r="101" spans="1:30" ht="15.75">
      <c r="A101" s="137"/>
      <c r="B101" s="139"/>
      <c r="C101" s="139"/>
      <c r="D101" s="139"/>
      <c r="E101" s="139"/>
      <c r="F101" s="139"/>
      <c r="G101" s="139"/>
      <c r="H101" s="139"/>
      <c r="I101" s="139"/>
      <c r="J101" s="139"/>
      <c r="K101" s="80"/>
      <c r="L101" s="80"/>
      <c r="M101" s="80"/>
      <c r="N101" s="80"/>
      <c r="O101" s="80"/>
      <c r="P101" s="80"/>
      <c r="Q101" s="80"/>
      <c r="R101" s="80"/>
      <c r="S101" s="80"/>
      <c r="T101" s="80"/>
      <c r="U101" s="80"/>
      <c r="V101" s="80"/>
      <c r="W101" s="80"/>
      <c r="X101" s="80"/>
      <c r="Y101" s="80"/>
      <c r="Z101" s="80"/>
      <c r="AA101" s="80"/>
      <c r="AB101" s="80"/>
      <c r="AC101" s="80"/>
      <c r="AD101" s="80"/>
    </row>
    <row r="102" spans="1:30" ht="15.75">
      <c r="A102" s="137"/>
      <c r="B102" s="139"/>
      <c r="C102" s="139"/>
      <c r="D102" s="139"/>
      <c r="E102" s="139"/>
      <c r="F102" s="139"/>
      <c r="G102" s="139"/>
      <c r="H102" s="139"/>
      <c r="I102" s="139"/>
      <c r="J102" s="139"/>
      <c r="K102" s="80"/>
      <c r="L102" s="80"/>
      <c r="M102" s="80"/>
      <c r="N102" s="80"/>
      <c r="O102" s="80"/>
      <c r="P102" s="80"/>
      <c r="Q102" s="80"/>
      <c r="R102" s="80"/>
      <c r="S102" s="80"/>
      <c r="T102" s="80"/>
      <c r="U102" s="80"/>
      <c r="V102" s="80"/>
      <c r="W102" s="80"/>
      <c r="X102" s="80"/>
      <c r="Y102" s="80"/>
      <c r="Z102" s="80"/>
      <c r="AA102" s="80"/>
      <c r="AB102" s="80"/>
      <c r="AC102" s="80"/>
      <c r="AD102" s="80"/>
    </row>
    <row r="103" spans="1:30" ht="15.75">
      <c r="A103" s="137"/>
      <c r="B103" s="139"/>
      <c r="C103" s="139"/>
      <c r="D103" s="139"/>
      <c r="E103" s="139"/>
      <c r="F103" s="139"/>
      <c r="G103" s="139"/>
      <c r="H103" s="139"/>
      <c r="I103" s="139"/>
      <c r="J103" s="139"/>
      <c r="K103" s="80"/>
      <c r="L103" s="80"/>
      <c r="M103" s="80"/>
      <c r="N103" s="80"/>
      <c r="O103" s="80"/>
      <c r="P103" s="80"/>
      <c r="Q103" s="80"/>
      <c r="R103" s="80"/>
      <c r="S103" s="80"/>
      <c r="T103" s="80"/>
      <c r="U103" s="80"/>
      <c r="V103" s="80"/>
      <c r="W103" s="80"/>
      <c r="X103" s="80"/>
      <c r="Y103" s="80"/>
      <c r="Z103" s="80"/>
      <c r="AA103" s="80"/>
      <c r="AB103" s="80"/>
      <c r="AC103" s="80"/>
      <c r="AD103" s="80"/>
    </row>
    <row r="104" spans="1:30" ht="15.75">
      <c r="A104" s="137"/>
      <c r="B104" s="139"/>
      <c r="C104" s="139"/>
      <c r="D104" s="139"/>
      <c r="E104" s="139"/>
      <c r="F104" s="139"/>
      <c r="G104" s="139"/>
      <c r="H104" s="139"/>
      <c r="I104" s="139"/>
      <c r="J104" s="139"/>
      <c r="K104" s="80"/>
      <c r="L104" s="80"/>
      <c r="M104" s="80"/>
      <c r="N104" s="80"/>
      <c r="O104" s="80"/>
      <c r="P104" s="80"/>
      <c r="Q104" s="80"/>
      <c r="R104" s="80"/>
      <c r="S104" s="80"/>
      <c r="T104" s="80"/>
      <c r="U104" s="80"/>
      <c r="V104" s="80"/>
      <c r="W104" s="80"/>
      <c r="X104" s="80"/>
      <c r="Y104" s="80"/>
      <c r="Z104" s="80"/>
      <c r="AA104" s="80"/>
      <c r="AB104" s="80"/>
      <c r="AC104" s="80"/>
      <c r="AD104" s="80"/>
    </row>
    <row r="105" spans="1:30" ht="15.75">
      <c r="A105" s="80"/>
      <c r="B105" s="80"/>
      <c r="C105" s="80"/>
      <c r="D105" s="80"/>
      <c r="E105" s="80"/>
      <c r="F105" s="80"/>
      <c r="G105" s="80"/>
      <c r="H105" s="139"/>
      <c r="I105" s="139"/>
      <c r="J105" s="139"/>
      <c r="K105" s="80"/>
      <c r="L105" s="80"/>
      <c r="M105" s="80"/>
      <c r="N105" s="80"/>
      <c r="O105" s="80"/>
      <c r="P105" s="80"/>
      <c r="Q105" s="80"/>
      <c r="R105" s="80"/>
      <c r="S105" s="80"/>
      <c r="T105" s="80"/>
      <c r="U105" s="80"/>
      <c r="V105" s="80"/>
      <c r="W105" s="80"/>
      <c r="X105" s="80"/>
      <c r="Y105" s="80"/>
      <c r="Z105" s="80"/>
      <c r="AA105" s="80"/>
      <c r="AB105" s="80"/>
      <c r="AC105" s="80"/>
      <c r="AD105" s="80"/>
    </row>
    <row r="106" spans="1:30" ht="15.75">
      <c r="A106" s="80"/>
      <c r="B106" s="80"/>
      <c r="C106" s="80"/>
      <c r="D106" s="80"/>
      <c r="E106" s="80"/>
      <c r="F106" s="80"/>
      <c r="G106" s="80"/>
      <c r="H106" s="139"/>
      <c r="I106" s="139"/>
      <c r="J106" s="139"/>
      <c r="K106" s="80"/>
      <c r="L106" s="80"/>
      <c r="M106" s="80"/>
      <c r="N106" s="80"/>
      <c r="O106" s="80"/>
      <c r="P106" s="80"/>
      <c r="Q106" s="80"/>
      <c r="R106" s="80"/>
      <c r="S106" s="80"/>
      <c r="T106" s="80"/>
      <c r="U106" s="80"/>
      <c r="V106" s="80"/>
      <c r="W106" s="80"/>
      <c r="X106" s="80"/>
      <c r="Y106" s="80"/>
      <c r="Z106" s="80"/>
      <c r="AA106" s="80"/>
      <c r="AB106" s="80"/>
      <c r="AC106" s="80"/>
      <c r="AD106" s="80"/>
    </row>
    <row r="107" spans="1:30" ht="15.75">
      <c r="A107" s="80"/>
      <c r="B107" s="80"/>
      <c r="C107" s="80"/>
      <c r="D107" s="80"/>
      <c r="E107" s="80"/>
      <c r="F107" s="80"/>
      <c r="G107" s="80"/>
      <c r="H107" s="139"/>
      <c r="I107" s="139"/>
      <c r="J107" s="139"/>
      <c r="K107" s="80"/>
      <c r="L107" s="80"/>
      <c r="M107" s="80"/>
      <c r="N107" s="80"/>
      <c r="O107" s="80"/>
      <c r="P107" s="80"/>
      <c r="Q107" s="80"/>
      <c r="R107" s="80"/>
      <c r="S107" s="80"/>
      <c r="T107" s="80"/>
      <c r="U107" s="80"/>
      <c r="V107" s="80"/>
      <c r="W107" s="80"/>
      <c r="X107" s="80"/>
      <c r="Y107" s="80"/>
      <c r="Z107" s="80"/>
      <c r="AA107" s="80"/>
      <c r="AB107" s="80"/>
      <c r="AC107" s="80"/>
      <c r="AD107" s="80"/>
    </row>
    <row r="108" spans="1:30" ht="15.75">
      <c r="A108" s="80"/>
      <c r="B108" s="80"/>
      <c r="C108" s="80"/>
      <c r="D108" s="80"/>
      <c r="E108" s="80"/>
      <c r="F108" s="80"/>
      <c r="G108" s="80"/>
      <c r="H108" s="139"/>
      <c r="I108" s="139"/>
      <c r="J108" s="139"/>
      <c r="K108" s="80"/>
      <c r="L108" s="80"/>
      <c r="M108" s="80"/>
      <c r="N108" s="80"/>
      <c r="O108" s="80"/>
      <c r="P108" s="80"/>
      <c r="Q108" s="80"/>
      <c r="R108" s="80"/>
      <c r="S108" s="80"/>
      <c r="T108" s="80"/>
      <c r="U108" s="80"/>
      <c r="V108" s="80"/>
      <c r="W108" s="80"/>
      <c r="X108" s="80"/>
      <c r="Y108" s="80"/>
      <c r="Z108" s="80"/>
      <c r="AA108" s="80"/>
      <c r="AB108" s="80"/>
      <c r="AC108" s="80"/>
      <c r="AD108" s="80"/>
    </row>
    <row r="109" spans="1:30" ht="15.75">
      <c r="A109" s="137"/>
      <c r="B109" s="139"/>
      <c r="C109" s="139"/>
      <c r="D109" s="139"/>
      <c r="E109" s="139"/>
      <c r="F109" s="139"/>
      <c r="G109" s="139"/>
      <c r="H109" s="139"/>
      <c r="I109" s="139"/>
      <c r="J109" s="139"/>
      <c r="K109" s="80"/>
      <c r="L109" s="80"/>
      <c r="M109" s="80"/>
      <c r="N109" s="80"/>
      <c r="O109" s="80"/>
      <c r="P109" s="80"/>
      <c r="Q109" s="80"/>
      <c r="R109" s="80"/>
      <c r="S109" s="80"/>
      <c r="T109" s="80"/>
      <c r="U109" s="80"/>
      <c r="V109" s="80"/>
      <c r="W109" s="80"/>
      <c r="X109" s="80"/>
      <c r="Y109" s="80"/>
      <c r="Z109" s="80"/>
      <c r="AA109" s="80"/>
      <c r="AB109" s="80"/>
      <c r="AC109" s="80"/>
      <c r="AD109" s="80"/>
    </row>
    <row r="110" spans="1:30" ht="15.75">
      <c r="A110" s="137"/>
      <c r="B110" s="139"/>
      <c r="C110" s="139"/>
      <c r="D110" s="139"/>
      <c r="E110" s="139"/>
      <c r="F110" s="139"/>
      <c r="G110" s="139"/>
      <c r="H110" s="139"/>
      <c r="I110" s="139"/>
      <c r="J110" s="139"/>
      <c r="K110" s="80"/>
      <c r="L110" s="80"/>
      <c r="M110" s="80"/>
      <c r="N110" s="80"/>
      <c r="O110" s="80"/>
      <c r="P110" s="80"/>
      <c r="Q110" s="80"/>
      <c r="R110" s="80"/>
      <c r="S110" s="80"/>
      <c r="T110" s="80"/>
      <c r="U110" s="80"/>
      <c r="V110" s="80"/>
      <c r="W110" s="80"/>
      <c r="X110" s="80"/>
      <c r="Y110" s="80"/>
      <c r="Z110" s="80"/>
      <c r="AA110" s="80"/>
      <c r="AB110" s="80"/>
      <c r="AC110" s="80"/>
      <c r="AD110" s="80"/>
    </row>
    <row r="111" spans="1:30" ht="15.75">
      <c r="A111" s="137"/>
      <c r="B111" s="139"/>
      <c r="C111" s="139"/>
      <c r="D111" s="139"/>
      <c r="E111" s="139"/>
      <c r="F111" s="139"/>
      <c r="G111" s="139"/>
      <c r="H111" s="139"/>
      <c r="I111" s="139"/>
      <c r="J111" s="139"/>
      <c r="K111" s="80"/>
      <c r="L111" s="80"/>
      <c r="M111" s="80"/>
      <c r="N111" s="80"/>
      <c r="O111" s="80"/>
      <c r="P111" s="80"/>
      <c r="Q111" s="80"/>
      <c r="R111" s="80"/>
      <c r="S111" s="80"/>
      <c r="T111" s="80"/>
      <c r="U111" s="80"/>
      <c r="V111" s="80"/>
      <c r="W111" s="80"/>
      <c r="X111" s="80"/>
      <c r="Y111" s="80"/>
      <c r="Z111" s="80"/>
      <c r="AA111" s="80"/>
      <c r="AB111" s="80"/>
      <c r="AC111" s="80"/>
      <c r="AD111" s="80"/>
    </row>
    <row r="112" spans="1:30" ht="15.75">
      <c r="A112" s="137"/>
      <c r="B112" s="139"/>
      <c r="C112" s="139"/>
      <c r="D112" s="139"/>
      <c r="E112" s="139"/>
      <c r="F112" s="139"/>
      <c r="G112" s="139"/>
      <c r="H112" s="139"/>
      <c r="I112" s="139"/>
      <c r="J112" s="139"/>
      <c r="K112" s="80"/>
      <c r="L112" s="80"/>
      <c r="M112" s="80"/>
      <c r="N112" s="80"/>
      <c r="O112" s="80"/>
      <c r="P112" s="80"/>
      <c r="Q112" s="80"/>
      <c r="R112" s="80"/>
      <c r="S112" s="80"/>
      <c r="T112" s="80"/>
      <c r="U112" s="80"/>
      <c r="V112" s="80"/>
      <c r="W112" s="80"/>
      <c r="X112" s="80"/>
      <c r="Y112" s="80"/>
      <c r="Z112" s="80"/>
      <c r="AA112" s="80"/>
      <c r="AB112" s="80"/>
      <c r="AC112" s="80"/>
      <c r="AD112" s="80"/>
    </row>
    <row r="113" spans="1:30" ht="15.75">
      <c r="A113" s="137"/>
      <c r="B113" s="139"/>
      <c r="C113" s="139"/>
      <c r="D113" s="139"/>
      <c r="E113" s="139"/>
      <c r="F113" s="139"/>
      <c r="G113" s="139"/>
      <c r="H113" s="139"/>
      <c r="I113" s="139"/>
      <c r="J113" s="139"/>
      <c r="K113" s="80"/>
      <c r="L113" s="80"/>
      <c r="M113" s="80"/>
      <c r="N113" s="80"/>
      <c r="O113" s="80"/>
      <c r="P113" s="80"/>
      <c r="Q113" s="80"/>
      <c r="R113" s="80"/>
      <c r="S113" s="80"/>
      <c r="T113" s="80"/>
      <c r="U113" s="80"/>
      <c r="V113" s="80"/>
      <c r="W113" s="80"/>
      <c r="X113" s="80"/>
      <c r="Y113" s="80"/>
      <c r="Z113" s="80"/>
      <c r="AA113" s="80"/>
      <c r="AB113" s="80"/>
      <c r="AC113" s="80"/>
      <c r="AD113" s="80"/>
    </row>
    <row r="114" spans="1:30" ht="15.75">
      <c r="A114" s="137"/>
      <c r="B114" s="139"/>
      <c r="C114" s="139"/>
      <c r="D114" s="139"/>
      <c r="E114" s="139"/>
      <c r="F114" s="139"/>
      <c r="G114" s="139"/>
      <c r="H114" s="139"/>
      <c r="I114" s="139"/>
      <c r="J114" s="139"/>
      <c r="K114" s="80"/>
      <c r="L114" s="80"/>
      <c r="M114" s="80"/>
      <c r="N114" s="80"/>
      <c r="O114" s="80"/>
      <c r="P114" s="80"/>
      <c r="Q114" s="80"/>
      <c r="R114" s="80"/>
      <c r="S114" s="80"/>
      <c r="T114" s="80"/>
      <c r="U114" s="80"/>
      <c r="V114" s="80"/>
      <c r="W114" s="80"/>
      <c r="X114" s="80"/>
      <c r="Y114" s="80"/>
      <c r="Z114" s="80"/>
      <c r="AA114" s="80"/>
      <c r="AB114" s="80"/>
      <c r="AC114" s="80"/>
      <c r="AD114" s="80"/>
    </row>
    <row r="115" spans="1:30" ht="15.75">
      <c r="A115" s="137"/>
      <c r="B115" s="139"/>
      <c r="C115" s="139"/>
      <c r="D115" s="139"/>
      <c r="E115" s="139"/>
      <c r="F115" s="139"/>
      <c r="G115" s="139"/>
      <c r="H115" s="139"/>
      <c r="I115" s="139"/>
      <c r="J115" s="139"/>
      <c r="K115" s="80"/>
      <c r="L115" s="80"/>
      <c r="M115" s="80"/>
      <c r="N115" s="80"/>
      <c r="O115" s="80"/>
      <c r="P115" s="80"/>
      <c r="Q115" s="80"/>
      <c r="R115" s="80"/>
      <c r="S115" s="80"/>
      <c r="T115" s="80"/>
      <c r="U115" s="80"/>
      <c r="V115" s="80"/>
      <c r="W115" s="80"/>
      <c r="X115" s="80"/>
      <c r="Y115" s="80"/>
      <c r="Z115" s="80"/>
      <c r="AA115" s="80"/>
      <c r="AB115" s="80"/>
      <c r="AC115" s="80"/>
      <c r="AD115" s="80"/>
    </row>
    <row r="116" spans="1:30" ht="15.75">
      <c r="A116" s="137"/>
      <c r="B116" s="139"/>
      <c r="C116" s="139"/>
      <c r="D116" s="139"/>
      <c r="E116" s="139"/>
      <c r="F116" s="139"/>
      <c r="G116" s="139"/>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row>
    <row r="117" spans="1:30" ht="15.75">
      <c r="A117" s="137"/>
      <c r="B117" s="139"/>
      <c r="C117" s="139"/>
      <c r="D117" s="139"/>
      <c r="E117" s="139"/>
      <c r="F117" s="139"/>
      <c r="G117" s="139"/>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row>
    <row r="118" spans="1:30" ht="15.75">
      <c r="A118" s="137"/>
      <c r="B118" s="139"/>
      <c r="C118" s="139"/>
      <c r="D118" s="139"/>
      <c r="E118" s="139"/>
      <c r="F118" s="139"/>
      <c r="G118" s="139"/>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row>
    <row r="119" spans="1:30" ht="15.75">
      <c r="A119" s="137"/>
      <c r="B119" s="139"/>
      <c r="C119" s="139"/>
      <c r="D119" s="139"/>
      <c r="E119" s="139"/>
      <c r="F119" s="139"/>
      <c r="G119" s="139"/>
      <c r="H119" s="80"/>
      <c r="I119" s="80"/>
      <c r="J119" s="80"/>
      <c r="K119" s="80"/>
      <c r="L119" s="80"/>
      <c r="M119" s="80"/>
      <c r="N119" s="80"/>
      <c r="O119" s="80"/>
      <c r="P119" s="80"/>
      <c r="Q119" s="80"/>
      <c r="R119" s="80"/>
      <c r="S119" s="80"/>
      <c r="T119" s="80"/>
      <c r="U119" s="80"/>
      <c r="V119" s="80"/>
      <c r="W119" s="80"/>
      <c r="X119" s="80"/>
      <c r="Y119" s="80"/>
      <c r="Z119" s="80"/>
      <c r="AA119" s="80"/>
      <c r="AB119" s="80"/>
      <c r="AC119" s="80"/>
      <c r="AD119" s="80"/>
    </row>
    <row r="120" spans="1:30" ht="15.75">
      <c r="A120" s="137"/>
      <c r="B120" s="139"/>
      <c r="C120" s="139"/>
      <c r="D120" s="139"/>
      <c r="E120" s="139"/>
      <c r="F120" s="139"/>
      <c r="G120" s="139"/>
      <c r="H120" s="139"/>
      <c r="I120" s="139"/>
      <c r="J120" s="139"/>
      <c r="K120" s="139"/>
      <c r="L120" s="139"/>
      <c r="M120" s="139"/>
      <c r="N120" s="139"/>
      <c r="O120" s="139"/>
      <c r="P120" s="139"/>
      <c r="Q120" s="139"/>
      <c r="R120" s="139"/>
      <c r="S120" s="139"/>
      <c r="T120" s="139"/>
      <c r="U120" s="80"/>
      <c r="V120" s="80"/>
      <c r="W120" s="80"/>
      <c r="X120" s="80"/>
      <c r="Y120" s="80"/>
      <c r="Z120" s="80"/>
      <c r="AA120" s="80"/>
      <c r="AB120" s="80"/>
      <c r="AC120" s="80"/>
      <c r="AD120" s="80"/>
    </row>
    <row r="121" spans="1:30" ht="15.75">
      <c r="A121" s="137"/>
      <c r="B121" s="139"/>
      <c r="C121" s="139"/>
      <c r="D121" s="139"/>
      <c r="E121" s="139"/>
      <c r="F121" s="139"/>
      <c r="G121" s="139"/>
      <c r="H121" s="139"/>
      <c r="I121" s="139"/>
      <c r="J121" s="139"/>
      <c r="K121" s="139"/>
      <c r="L121" s="139"/>
      <c r="M121" s="139"/>
      <c r="N121" s="139"/>
      <c r="O121" s="139"/>
      <c r="P121" s="139"/>
      <c r="Q121" s="139"/>
      <c r="R121" s="139"/>
      <c r="S121" s="139"/>
      <c r="T121" s="139"/>
      <c r="U121" s="80"/>
      <c r="V121" s="80"/>
      <c r="W121" s="80"/>
      <c r="X121" s="80"/>
      <c r="Y121" s="80"/>
      <c r="Z121" s="80"/>
      <c r="AA121" s="80"/>
      <c r="AB121" s="80"/>
      <c r="AC121" s="80"/>
      <c r="AD121" s="80"/>
    </row>
    <row r="122" spans="1:30" ht="15.75">
      <c r="A122" s="137"/>
      <c r="B122" s="139"/>
      <c r="C122" s="139"/>
      <c r="D122" s="139"/>
      <c r="E122" s="139"/>
      <c r="F122" s="139"/>
      <c r="G122" s="139"/>
      <c r="H122" s="139"/>
      <c r="I122" s="139"/>
      <c r="J122" s="139"/>
      <c r="K122" s="139"/>
      <c r="L122" s="139"/>
      <c r="M122" s="139"/>
      <c r="N122" s="139"/>
      <c r="O122" s="139"/>
      <c r="P122" s="139"/>
      <c r="Q122" s="139"/>
      <c r="R122" s="139"/>
      <c r="S122" s="139"/>
      <c r="T122" s="139"/>
      <c r="U122" s="80"/>
      <c r="V122" s="80"/>
      <c r="W122" s="80"/>
      <c r="X122" s="80"/>
      <c r="Y122" s="80"/>
      <c r="Z122" s="80"/>
      <c r="AA122" s="80"/>
      <c r="AB122" s="80"/>
      <c r="AC122" s="80"/>
      <c r="AD122" s="80"/>
    </row>
    <row r="123" spans="1:30" ht="15.75">
      <c r="A123" s="137"/>
      <c r="B123" s="139"/>
      <c r="C123" s="139"/>
      <c r="D123" s="139"/>
      <c r="E123" s="139"/>
      <c r="F123" s="139"/>
      <c r="G123" s="139"/>
      <c r="H123" s="139"/>
      <c r="I123" s="139"/>
      <c r="J123" s="139"/>
      <c r="K123" s="139"/>
      <c r="L123" s="139"/>
      <c r="M123" s="139"/>
      <c r="N123" s="139"/>
      <c r="O123" s="139"/>
      <c r="P123" s="139"/>
      <c r="Q123" s="139"/>
      <c r="R123" s="139"/>
      <c r="S123" s="139"/>
      <c r="T123" s="139"/>
      <c r="U123" s="80"/>
      <c r="V123" s="80"/>
      <c r="W123" s="80"/>
      <c r="X123" s="80"/>
      <c r="Y123" s="80"/>
      <c r="Z123" s="80"/>
      <c r="AA123" s="80"/>
      <c r="AB123" s="80"/>
      <c r="AC123" s="80"/>
      <c r="AD123" s="80"/>
    </row>
    <row r="124" spans="1:30" ht="15.75">
      <c r="A124" s="137"/>
      <c r="B124" s="139"/>
      <c r="C124" s="139"/>
      <c r="D124" s="139"/>
      <c r="E124" s="139"/>
      <c r="F124" s="139"/>
      <c r="G124" s="139"/>
      <c r="H124" s="139"/>
      <c r="I124" s="139"/>
      <c r="J124" s="139"/>
      <c r="K124" s="139"/>
      <c r="L124" s="139"/>
      <c r="M124" s="139"/>
      <c r="N124" s="139"/>
      <c r="O124" s="139"/>
      <c r="P124" s="139"/>
      <c r="Q124" s="139"/>
      <c r="R124" s="139"/>
      <c r="S124" s="139"/>
      <c r="T124" s="139"/>
      <c r="U124" s="80"/>
      <c r="V124" s="80"/>
      <c r="W124" s="80"/>
      <c r="X124" s="80"/>
      <c r="Y124" s="80"/>
      <c r="Z124" s="80"/>
      <c r="AA124" s="80"/>
      <c r="AB124" s="80"/>
      <c r="AC124" s="80"/>
      <c r="AD124" s="80"/>
    </row>
    <row r="125" spans="1:30" ht="15.75">
      <c r="A125" s="137"/>
      <c r="B125" s="139"/>
      <c r="C125" s="139"/>
      <c r="D125" s="139"/>
      <c r="E125" s="139"/>
      <c r="F125" s="139"/>
      <c r="G125" s="139"/>
      <c r="H125" s="139"/>
      <c r="I125" s="139"/>
      <c r="J125" s="139"/>
      <c r="K125" s="139"/>
      <c r="L125" s="139"/>
      <c r="M125" s="139"/>
      <c r="N125" s="139"/>
      <c r="O125" s="139"/>
      <c r="P125" s="139"/>
      <c r="Q125" s="139"/>
      <c r="R125" s="139"/>
      <c r="S125" s="139"/>
      <c r="T125" s="139"/>
      <c r="U125" s="80"/>
      <c r="V125" s="80"/>
      <c r="W125" s="80"/>
      <c r="X125" s="80"/>
      <c r="Y125" s="80"/>
      <c r="Z125" s="80"/>
      <c r="AA125" s="80"/>
      <c r="AB125" s="80"/>
      <c r="AC125" s="80"/>
      <c r="AD125" s="80"/>
    </row>
    <row r="126" spans="1:30" ht="15.75">
      <c r="A126" s="137"/>
      <c r="B126" s="139"/>
      <c r="C126" s="139"/>
      <c r="D126" s="139"/>
      <c r="E126" s="139"/>
      <c r="F126" s="139"/>
      <c r="G126" s="139"/>
      <c r="H126" s="139"/>
      <c r="I126" s="139"/>
      <c r="J126" s="139"/>
      <c r="K126" s="139"/>
      <c r="L126" s="139"/>
      <c r="M126" s="139"/>
      <c r="N126" s="139"/>
      <c r="O126" s="139"/>
      <c r="P126" s="139"/>
      <c r="Q126" s="139"/>
      <c r="R126" s="139"/>
      <c r="S126" s="139"/>
      <c r="T126" s="139"/>
      <c r="U126" s="80"/>
      <c r="V126" s="80"/>
      <c r="W126" s="80"/>
      <c r="X126" s="80"/>
      <c r="Y126" s="80"/>
      <c r="Z126" s="80"/>
      <c r="AA126" s="80"/>
      <c r="AB126" s="80"/>
      <c r="AC126" s="80"/>
      <c r="AD126" s="80"/>
    </row>
    <row r="127" spans="1:30" ht="15.75">
      <c r="A127" s="137"/>
      <c r="B127" s="139"/>
      <c r="C127" s="139"/>
      <c r="D127" s="139"/>
      <c r="E127" s="139"/>
      <c r="F127" s="139"/>
      <c r="G127" s="139"/>
      <c r="H127" s="139"/>
      <c r="I127" s="139"/>
      <c r="J127" s="139"/>
      <c r="K127" s="139"/>
      <c r="L127" s="139"/>
      <c r="M127" s="139"/>
      <c r="N127" s="139"/>
      <c r="O127" s="139"/>
      <c r="P127" s="139"/>
      <c r="Q127" s="139"/>
      <c r="R127" s="139"/>
      <c r="S127" s="139"/>
      <c r="T127" s="139"/>
      <c r="U127" s="80"/>
      <c r="V127" s="80"/>
      <c r="W127" s="80"/>
      <c r="X127" s="80"/>
      <c r="Y127" s="80"/>
      <c r="Z127" s="80"/>
      <c r="AA127" s="80"/>
      <c r="AB127" s="80"/>
      <c r="AC127" s="80"/>
      <c r="AD127" s="80"/>
    </row>
    <row r="128" spans="1:30" ht="15.75">
      <c r="A128" s="137"/>
      <c r="B128" s="139"/>
      <c r="C128" s="139"/>
      <c r="D128" s="139"/>
      <c r="E128" s="139"/>
      <c r="F128" s="139"/>
      <c r="G128" s="139"/>
      <c r="H128" s="139"/>
      <c r="I128" s="139"/>
      <c r="J128" s="139"/>
      <c r="K128" s="139"/>
      <c r="L128" s="139"/>
      <c r="M128" s="139"/>
      <c r="N128" s="139"/>
      <c r="O128" s="139"/>
      <c r="P128" s="139"/>
      <c r="Q128" s="139"/>
      <c r="R128" s="139"/>
      <c r="S128" s="139"/>
      <c r="T128" s="139"/>
      <c r="U128" s="80"/>
      <c r="V128" s="80"/>
      <c r="W128" s="80"/>
      <c r="X128" s="80"/>
      <c r="Y128" s="80"/>
      <c r="Z128" s="80"/>
      <c r="AA128" s="80"/>
      <c r="AB128" s="80"/>
      <c r="AC128" s="80"/>
      <c r="AD128" s="80"/>
    </row>
    <row r="129" spans="1:30" ht="15.75">
      <c r="A129" s="137"/>
      <c r="B129" s="139"/>
      <c r="C129" s="139"/>
      <c r="D129" s="139"/>
      <c r="E129" s="139"/>
      <c r="F129" s="139"/>
      <c r="G129" s="139"/>
      <c r="H129" s="139"/>
      <c r="I129" s="139"/>
      <c r="J129" s="139"/>
      <c r="K129" s="139"/>
      <c r="L129" s="139"/>
      <c r="M129" s="139"/>
      <c r="N129" s="139"/>
      <c r="O129" s="139"/>
      <c r="P129" s="139"/>
      <c r="Q129" s="139"/>
      <c r="R129" s="139"/>
      <c r="S129" s="139"/>
      <c r="T129" s="139"/>
      <c r="U129" s="80"/>
      <c r="V129" s="80"/>
      <c r="W129" s="80"/>
      <c r="X129" s="80"/>
      <c r="Y129" s="80"/>
      <c r="Z129" s="80"/>
      <c r="AA129" s="80"/>
      <c r="AB129" s="80"/>
      <c r="AC129" s="80"/>
      <c r="AD129" s="80"/>
    </row>
    <row r="130" spans="1:30" ht="15.75">
      <c r="A130" s="137"/>
      <c r="B130" s="139"/>
      <c r="C130" s="139"/>
      <c r="D130" s="139"/>
      <c r="E130" s="139"/>
      <c r="F130" s="139"/>
      <c r="G130" s="139"/>
      <c r="H130" s="139"/>
      <c r="I130" s="139"/>
      <c r="J130" s="139"/>
      <c r="K130" s="139"/>
      <c r="L130" s="139"/>
      <c r="M130" s="139"/>
      <c r="N130" s="139"/>
      <c r="O130" s="139"/>
      <c r="P130" s="139"/>
      <c r="Q130" s="139"/>
      <c r="R130" s="139"/>
      <c r="S130" s="139"/>
      <c r="T130" s="139"/>
      <c r="U130" s="80"/>
      <c r="V130" s="80"/>
      <c r="W130" s="80"/>
      <c r="X130" s="80"/>
      <c r="Y130" s="80"/>
      <c r="Z130" s="80"/>
      <c r="AA130" s="80"/>
      <c r="AB130" s="80"/>
      <c r="AC130" s="80"/>
      <c r="AD130" s="80"/>
    </row>
    <row r="131" spans="1:30" ht="15.75">
      <c r="A131" s="137"/>
      <c r="B131" s="139"/>
      <c r="C131" s="139"/>
      <c r="D131" s="139"/>
      <c r="E131" s="139"/>
      <c r="F131" s="139"/>
      <c r="G131" s="139"/>
      <c r="H131" s="139"/>
      <c r="I131" s="139"/>
      <c r="J131" s="139"/>
      <c r="K131" s="139"/>
      <c r="L131" s="139"/>
      <c r="M131" s="139"/>
      <c r="N131" s="139"/>
      <c r="O131" s="139"/>
      <c r="P131" s="139"/>
      <c r="Q131" s="139"/>
      <c r="R131" s="139"/>
      <c r="S131" s="139"/>
      <c r="T131" s="139"/>
      <c r="U131" s="80"/>
      <c r="V131" s="80"/>
      <c r="W131" s="80"/>
      <c r="X131" s="80"/>
      <c r="Y131" s="80"/>
      <c r="Z131" s="80"/>
      <c r="AA131" s="80"/>
      <c r="AB131" s="80"/>
      <c r="AC131" s="80"/>
      <c r="AD131" s="80"/>
    </row>
    <row r="132" spans="1:30" ht="15.75">
      <c r="A132" s="137"/>
      <c r="B132" s="139"/>
      <c r="C132" s="139"/>
      <c r="D132" s="139"/>
      <c r="E132" s="139"/>
      <c r="F132" s="139"/>
      <c r="G132" s="139"/>
      <c r="H132" s="139"/>
      <c r="I132" s="139"/>
      <c r="J132" s="139"/>
      <c r="K132" s="139"/>
      <c r="L132" s="139"/>
      <c r="M132" s="139"/>
      <c r="N132" s="139"/>
      <c r="O132" s="139"/>
      <c r="P132" s="139"/>
      <c r="Q132" s="139"/>
      <c r="R132" s="139"/>
      <c r="S132" s="139"/>
      <c r="T132" s="139"/>
      <c r="U132" s="80"/>
      <c r="V132" s="80"/>
      <c r="W132" s="80"/>
      <c r="X132" s="80"/>
      <c r="Y132" s="80"/>
      <c r="Z132" s="80"/>
      <c r="AA132" s="80"/>
      <c r="AB132" s="80"/>
      <c r="AC132" s="80"/>
      <c r="AD132" s="80"/>
    </row>
    <row r="133" spans="1:30" ht="15.75">
      <c r="A133" s="137"/>
      <c r="B133" s="139"/>
      <c r="C133" s="139"/>
      <c r="D133" s="139"/>
      <c r="E133" s="139"/>
      <c r="F133" s="139"/>
      <c r="G133" s="139"/>
      <c r="H133" s="139"/>
      <c r="I133" s="139"/>
      <c r="J133" s="139"/>
      <c r="K133" s="139"/>
      <c r="L133" s="139"/>
      <c r="M133" s="139"/>
      <c r="N133" s="139"/>
      <c r="O133" s="139"/>
      <c r="P133" s="139"/>
      <c r="Q133" s="139"/>
      <c r="R133" s="139"/>
      <c r="S133" s="139"/>
      <c r="T133" s="139"/>
      <c r="U133" s="80"/>
      <c r="V133" s="80"/>
      <c r="W133" s="80"/>
      <c r="X133" s="80"/>
      <c r="Y133" s="80"/>
      <c r="Z133" s="80"/>
      <c r="AA133" s="80"/>
      <c r="AB133" s="80"/>
      <c r="AC133" s="80"/>
      <c r="AD133" s="80"/>
    </row>
    <row r="134" spans="1:30" ht="15.75">
      <c r="A134" s="137"/>
      <c r="B134" s="139"/>
      <c r="C134" s="139"/>
      <c r="D134" s="139"/>
      <c r="E134" s="139"/>
      <c r="F134" s="139"/>
      <c r="G134" s="139"/>
      <c r="H134" s="139"/>
      <c r="I134" s="139"/>
      <c r="J134" s="139"/>
      <c r="K134" s="139"/>
      <c r="L134" s="139"/>
      <c r="M134" s="139"/>
      <c r="N134" s="139"/>
      <c r="O134" s="139"/>
      <c r="P134" s="139"/>
      <c r="Q134" s="139"/>
      <c r="R134" s="139"/>
      <c r="S134" s="139"/>
      <c r="T134" s="139"/>
      <c r="U134" s="80"/>
      <c r="V134" s="80"/>
      <c r="W134" s="80"/>
      <c r="X134" s="80"/>
      <c r="Y134" s="80"/>
      <c r="Z134" s="80"/>
      <c r="AA134" s="80"/>
      <c r="AB134" s="80"/>
      <c r="AC134" s="80"/>
      <c r="AD134" s="80"/>
    </row>
    <row r="135" spans="1:30" ht="15.75">
      <c r="A135" s="137"/>
      <c r="B135" s="139"/>
      <c r="C135" s="139"/>
      <c r="D135" s="139"/>
      <c r="E135" s="139"/>
      <c r="F135" s="139"/>
      <c r="G135" s="139"/>
      <c r="H135" s="139"/>
      <c r="I135" s="139"/>
      <c r="J135" s="139"/>
      <c r="K135" s="139"/>
      <c r="L135" s="139"/>
      <c r="M135" s="139"/>
      <c r="N135" s="139"/>
      <c r="O135" s="139"/>
      <c r="P135" s="139"/>
      <c r="Q135" s="139"/>
      <c r="R135" s="139"/>
      <c r="S135" s="139"/>
      <c r="T135" s="139"/>
      <c r="U135" s="80"/>
      <c r="V135" s="80"/>
      <c r="W135" s="80"/>
      <c r="X135" s="80"/>
      <c r="Y135" s="80"/>
      <c r="Z135" s="80"/>
      <c r="AA135" s="80"/>
      <c r="AB135" s="80"/>
      <c r="AC135" s="80"/>
      <c r="AD135" s="80"/>
    </row>
    <row r="136" spans="1:30" ht="15.75">
      <c r="A136" s="137"/>
      <c r="B136" s="139"/>
      <c r="C136" s="139"/>
      <c r="D136" s="139"/>
      <c r="E136" s="139"/>
      <c r="F136" s="139"/>
      <c r="G136" s="139"/>
      <c r="H136" s="139"/>
      <c r="I136" s="139"/>
      <c r="J136" s="139"/>
      <c r="K136" s="139"/>
      <c r="L136" s="139"/>
      <c r="M136" s="139"/>
      <c r="N136" s="139"/>
      <c r="O136" s="139"/>
      <c r="P136" s="139"/>
      <c r="Q136" s="139"/>
      <c r="R136" s="139"/>
      <c r="S136" s="139"/>
      <c r="T136" s="139"/>
      <c r="U136" s="80"/>
      <c r="V136" s="80"/>
      <c r="W136" s="80"/>
      <c r="X136" s="80"/>
      <c r="Y136" s="80"/>
      <c r="Z136" s="80"/>
      <c r="AA136" s="80"/>
      <c r="AB136" s="80"/>
      <c r="AC136" s="80"/>
      <c r="AD136" s="80"/>
    </row>
    <row r="137" spans="1:30" ht="15.75">
      <c r="A137" s="80"/>
      <c r="B137" s="80"/>
      <c r="C137" s="80"/>
      <c r="D137" s="80"/>
      <c r="E137" s="80"/>
      <c r="F137" s="80"/>
      <c r="G137" s="80"/>
      <c r="H137" s="139"/>
      <c r="I137" s="139"/>
      <c r="J137" s="139"/>
      <c r="K137" s="139"/>
      <c r="L137" s="139"/>
      <c r="M137" s="139"/>
      <c r="N137" s="139"/>
      <c r="O137" s="139"/>
      <c r="P137" s="139"/>
      <c r="Q137" s="139"/>
      <c r="R137" s="139"/>
      <c r="S137" s="139"/>
      <c r="T137" s="139"/>
      <c r="U137" s="80"/>
      <c r="V137" s="80"/>
      <c r="W137" s="80"/>
      <c r="X137" s="80"/>
      <c r="Y137" s="80"/>
      <c r="Z137" s="80"/>
      <c r="AA137" s="80"/>
      <c r="AB137" s="80"/>
      <c r="AC137" s="80"/>
      <c r="AD137" s="80"/>
    </row>
    <row r="138" spans="1:30" ht="15.75">
      <c r="A138" s="80"/>
      <c r="B138" s="80"/>
      <c r="C138" s="80"/>
      <c r="D138" s="80"/>
      <c r="E138" s="80"/>
      <c r="F138" s="80"/>
      <c r="G138" s="80"/>
      <c r="H138" s="139"/>
      <c r="I138" s="139"/>
      <c r="J138" s="139"/>
      <c r="K138" s="139"/>
      <c r="L138" s="139"/>
      <c r="M138" s="139"/>
      <c r="N138" s="139"/>
      <c r="O138" s="139"/>
      <c r="P138" s="139"/>
      <c r="Q138" s="139"/>
      <c r="R138" s="139"/>
      <c r="S138" s="139"/>
      <c r="T138" s="139"/>
      <c r="U138" s="80"/>
      <c r="V138" s="80"/>
      <c r="W138" s="80"/>
      <c r="X138" s="80"/>
      <c r="Y138" s="80"/>
      <c r="Z138" s="80"/>
      <c r="AA138" s="80"/>
      <c r="AB138" s="80"/>
      <c r="AC138" s="80"/>
      <c r="AD138" s="80"/>
    </row>
    <row r="139" spans="1:30" ht="15.75">
      <c r="A139" s="80"/>
      <c r="B139" s="80"/>
      <c r="C139" s="80"/>
      <c r="D139" s="80"/>
      <c r="E139" s="80"/>
      <c r="F139" s="80"/>
      <c r="G139" s="80"/>
      <c r="H139" s="139"/>
      <c r="I139" s="139"/>
      <c r="J139" s="139"/>
      <c r="K139" s="139"/>
      <c r="L139" s="139"/>
      <c r="M139" s="139"/>
      <c r="N139" s="139"/>
      <c r="O139" s="139"/>
      <c r="P139" s="139"/>
      <c r="Q139" s="139"/>
      <c r="R139" s="139"/>
      <c r="S139" s="139"/>
      <c r="T139" s="139"/>
      <c r="U139" s="80"/>
      <c r="V139" s="80"/>
      <c r="W139" s="80"/>
      <c r="X139" s="80"/>
      <c r="Y139" s="80"/>
      <c r="Z139" s="80"/>
      <c r="AA139" s="80"/>
      <c r="AB139" s="80"/>
      <c r="AC139" s="80"/>
      <c r="AD139" s="80"/>
    </row>
    <row r="140" spans="1:30" ht="15.75">
      <c r="A140" s="80"/>
      <c r="B140" s="80"/>
      <c r="C140" s="80"/>
      <c r="D140" s="80"/>
      <c r="E140" s="80"/>
      <c r="F140" s="80"/>
      <c r="G140" s="80"/>
      <c r="H140" s="139"/>
      <c r="I140" s="139"/>
      <c r="J140" s="139"/>
      <c r="K140" s="139"/>
      <c r="L140" s="139"/>
      <c r="M140" s="139"/>
      <c r="N140" s="139"/>
      <c r="O140" s="139"/>
      <c r="P140" s="139"/>
      <c r="Q140" s="139"/>
      <c r="R140" s="139"/>
      <c r="S140" s="139"/>
      <c r="T140" s="139"/>
      <c r="U140" s="80"/>
      <c r="V140" s="80"/>
      <c r="W140" s="80"/>
      <c r="X140" s="80"/>
      <c r="Y140" s="80"/>
      <c r="Z140" s="80"/>
      <c r="AA140" s="80"/>
      <c r="AB140" s="80"/>
      <c r="AC140" s="80"/>
      <c r="AD140" s="80"/>
    </row>
    <row r="141" spans="1:30" ht="15.75">
      <c r="A141" s="137"/>
      <c r="B141" s="139"/>
      <c r="C141" s="139"/>
      <c r="D141" s="139"/>
      <c r="E141" s="139"/>
      <c r="F141" s="139"/>
      <c r="G141" s="139"/>
      <c r="H141" s="139"/>
      <c r="I141" s="139"/>
      <c r="J141" s="139"/>
      <c r="K141" s="139"/>
      <c r="L141" s="139"/>
      <c r="M141" s="139"/>
      <c r="N141" s="139"/>
      <c r="O141" s="139"/>
      <c r="P141" s="139"/>
      <c r="Q141" s="139"/>
      <c r="R141" s="139"/>
      <c r="S141" s="139"/>
      <c r="T141" s="139"/>
      <c r="U141" s="80"/>
      <c r="V141" s="80"/>
      <c r="W141" s="80"/>
      <c r="X141" s="80"/>
      <c r="Y141" s="80"/>
      <c r="Z141" s="80"/>
      <c r="AA141" s="80"/>
      <c r="AB141" s="80"/>
      <c r="AC141" s="80"/>
      <c r="AD141" s="80"/>
    </row>
    <row r="142" spans="1:30" ht="15.75">
      <c r="A142" s="137"/>
      <c r="B142" s="139"/>
      <c r="C142" s="139"/>
      <c r="D142" s="139"/>
      <c r="E142" s="139"/>
      <c r="F142" s="139"/>
      <c r="G142" s="139"/>
      <c r="H142" s="139"/>
      <c r="I142" s="139"/>
      <c r="J142" s="139"/>
      <c r="K142" s="139"/>
      <c r="L142" s="139"/>
      <c r="M142" s="139"/>
      <c r="N142" s="139"/>
      <c r="O142" s="139"/>
      <c r="P142" s="139"/>
      <c r="Q142" s="139"/>
      <c r="R142" s="139"/>
      <c r="S142" s="139"/>
      <c r="T142" s="139"/>
      <c r="U142" s="80"/>
      <c r="V142" s="80"/>
      <c r="W142" s="80"/>
      <c r="X142" s="80"/>
      <c r="Y142" s="80"/>
      <c r="Z142" s="80"/>
      <c r="AA142" s="80"/>
      <c r="AB142" s="80"/>
      <c r="AC142" s="80"/>
      <c r="AD142" s="80"/>
    </row>
    <row r="143" spans="1:30" ht="15.75">
      <c r="A143" s="137"/>
      <c r="B143" s="139"/>
      <c r="C143" s="139"/>
      <c r="D143" s="139"/>
      <c r="E143" s="139"/>
      <c r="F143" s="139"/>
      <c r="G143" s="139"/>
      <c r="H143" s="139"/>
      <c r="I143" s="139"/>
      <c r="J143" s="139"/>
      <c r="K143" s="139"/>
      <c r="L143" s="139"/>
      <c r="M143" s="139"/>
      <c r="N143" s="139"/>
      <c r="O143" s="139"/>
      <c r="P143" s="139"/>
      <c r="Q143" s="139"/>
      <c r="R143" s="139"/>
      <c r="S143" s="139"/>
      <c r="T143" s="139"/>
      <c r="U143" s="80"/>
      <c r="V143" s="80"/>
      <c r="W143" s="80"/>
      <c r="X143" s="80"/>
      <c r="Y143" s="80"/>
      <c r="Z143" s="80"/>
      <c r="AA143" s="80"/>
      <c r="AB143" s="80"/>
      <c r="AC143" s="80"/>
      <c r="AD143" s="80"/>
    </row>
    <row r="144" spans="1:30" ht="15.75">
      <c r="A144" s="137"/>
      <c r="B144" s="139"/>
      <c r="C144" s="139"/>
      <c r="D144" s="139"/>
      <c r="E144" s="139"/>
      <c r="F144" s="139"/>
      <c r="G144" s="139"/>
      <c r="H144" s="139"/>
      <c r="I144" s="139"/>
      <c r="J144" s="139"/>
      <c r="K144" s="139"/>
      <c r="L144" s="139"/>
      <c r="M144" s="139"/>
      <c r="N144" s="139"/>
      <c r="O144" s="139"/>
      <c r="P144" s="139"/>
      <c r="Q144" s="139"/>
      <c r="R144" s="139"/>
      <c r="S144" s="139"/>
      <c r="T144" s="139"/>
      <c r="U144" s="80"/>
      <c r="V144" s="80"/>
      <c r="W144" s="80"/>
      <c r="X144" s="80"/>
      <c r="Y144" s="80"/>
      <c r="Z144" s="80"/>
      <c r="AA144" s="80"/>
      <c r="AB144" s="80"/>
      <c r="AC144" s="80"/>
      <c r="AD144" s="80"/>
    </row>
    <row r="145" spans="1:30" ht="15.75">
      <c r="A145" s="137"/>
      <c r="B145" s="139"/>
      <c r="C145" s="139"/>
      <c r="D145" s="139"/>
      <c r="E145" s="139"/>
      <c r="F145" s="139"/>
      <c r="G145" s="139"/>
      <c r="H145" s="139"/>
      <c r="I145" s="139"/>
      <c r="J145" s="139"/>
      <c r="K145" s="139"/>
      <c r="L145" s="139"/>
      <c r="M145" s="139"/>
      <c r="N145" s="139"/>
      <c r="O145" s="139"/>
      <c r="P145" s="139"/>
      <c r="Q145" s="139"/>
      <c r="R145" s="139"/>
      <c r="S145" s="139"/>
      <c r="T145" s="139"/>
      <c r="U145" s="80"/>
      <c r="V145" s="80"/>
      <c r="W145" s="80"/>
      <c r="X145" s="80"/>
      <c r="Y145" s="80"/>
      <c r="Z145" s="80"/>
      <c r="AA145" s="80"/>
      <c r="AB145" s="80"/>
      <c r="AC145" s="80"/>
      <c r="AD145" s="80"/>
    </row>
    <row r="146" spans="1:30" ht="15.75">
      <c r="A146" s="137"/>
      <c r="B146" s="139"/>
      <c r="C146" s="139"/>
      <c r="D146" s="139"/>
      <c r="E146" s="139"/>
      <c r="F146" s="139"/>
      <c r="G146" s="139"/>
      <c r="H146" s="139"/>
      <c r="I146" s="139"/>
      <c r="J146" s="139"/>
      <c r="K146" s="139"/>
      <c r="L146" s="139"/>
      <c r="M146" s="139"/>
      <c r="N146" s="139"/>
      <c r="O146" s="139"/>
      <c r="P146" s="139"/>
      <c r="Q146" s="139"/>
      <c r="R146" s="139"/>
      <c r="S146" s="139"/>
      <c r="T146" s="139"/>
      <c r="U146" s="80"/>
      <c r="V146" s="80"/>
      <c r="W146" s="80"/>
      <c r="X146" s="80"/>
      <c r="Y146" s="80"/>
      <c r="Z146" s="80"/>
      <c r="AA146" s="80"/>
      <c r="AB146" s="80"/>
      <c r="AC146" s="80"/>
      <c r="AD146" s="80"/>
    </row>
    <row r="147" spans="1:30" ht="15.75">
      <c r="A147" s="137"/>
      <c r="B147" s="139"/>
      <c r="C147" s="139"/>
      <c r="D147" s="139"/>
      <c r="E147" s="139"/>
      <c r="F147" s="139"/>
      <c r="G147" s="139"/>
      <c r="H147" s="139"/>
      <c r="I147" s="139"/>
      <c r="J147" s="139"/>
      <c r="K147" s="139"/>
      <c r="L147" s="139"/>
      <c r="M147" s="139"/>
      <c r="N147" s="139"/>
      <c r="O147" s="139"/>
      <c r="P147" s="139"/>
      <c r="Q147" s="139"/>
      <c r="R147" s="139"/>
      <c r="S147" s="139"/>
      <c r="T147" s="139"/>
      <c r="U147" s="80"/>
      <c r="V147" s="80"/>
      <c r="W147" s="80"/>
      <c r="X147" s="80"/>
      <c r="Y147" s="80"/>
      <c r="Z147" s="80"/>
      <c r="AA147" s="80"/>
      <c r="AB147" s="80"/>
      <c r="AC147" s="80"/>
      <c r="AD147" s="80"/>
    </row>
    <row r="148" spans="1:30" ht="15.75">
      <c r="A148" s="137"/>
      <c r="B148" s="139"/>
      <c r="C148" s="139"/>
      <c r="D148" s="139"/>
      <c r="E148" s="139"/>
      <c r="F148" s="139"/>
      <c r="G148" s="139"/>
      <c r="H148" s="80"/>
      <c r="I148" s="80"/>
      <c r="J148" s="80"/>
      <c r="K148" s="80"/>
      <c r="L148" s="80"/>
      <c r="M148" s="80"/>
      <c r="N148" s="80"/>
      <c r="O148" s="80"/>
      <c r="P148" s="80"/>
      <c r="Q148" s="80"/>
      <c r="R148" s="80"/>
      <c r="S148" s="80"/>
      <c r="T148" s="80"/>
      <c r="U148" s="80"/>
      <c r="V148" s="80"/>
      <c r="W148" s="80"/>
      <c r="X148" s="80"/>
      <c r="Y148" s="80"/>
      <c r="Z148" s="80"/>
      <c r="AA148" s="80"/>
      <c r="AB148" s="80"/>
      <c r="AC148" s="80"/>
      <c r="AD148" s="80"/>
    </row>
    <row r="149" spans="1:30" ht="15.75">
      <c r="A149" s="137"/>
      <c r="B149" s="139"/>
      <c r="C149" s="139"/>
      <c r="D149" s="139"/>
      <c r="E149" s="139"/>
      <c r="F149" s="139"/>
      <c r="G149" s="139"/>
      <c r="H149" s="80"/>
      <c r="I149" s="80"/>
      <c r="J149" s="80"/>
      <c r="K149" s="80"/>
      <c r="L149" s="80"/>
      <c r="M149" s="80"/>
      <c r="N149" s="80"/>
      <c r="O149" s="80"/>
      <c r="P149" s="80"/>
      <c r="Q149" s="80"/>
      <c r="R149" s="80"/>
      <c r="S149" s="80"/>
      <c r="T149" s="80"/>
      <c r="U149" s="80"/>
      <c r="V149" s="80"/>
      <c r="W149" s="80"/>
      <c r="X149" s="80"/>
      <c r="Y149" s="80"/>
      <c r="Z149" s="80"/>
      <c r="AA149" s="80"/>
      <c r="AB149" s="80"/>
      <c r="AC149" s="80"/>
      <c r="AD149" s="80"/>
    </row>
    <row r="150" spans="1:30" ht="15.75">
      <c r="A150" s="137"/>
      <c r="B150" s="139"/>
      <c r="C150" s="139"/>
      <c r="D150" s="139"/>
      <c r="E150" s="139"/>
      <c r="F150" s="139"/>
      <c r="G150" s="139"/>
      <c r="H150" s="80"/>
      <c r="I150" s="80"/>
      <c r="J150" s="80"/>
      <c r="K150" s="80"/>
      <c r="L150" s="80"/>
      <c r="M150" s="80"/>
      <c r="N150" s="80"/>
      <c r="O150" s="80"/>
      <c r="P150" s="80"/>
      <c r="Q150" s="80"/>
      <c r="R150" s="80"/>
      <c r="S150" s="80"/>
      <c r="T150" s="80"/>
      <c r="U150" s="80"/>
      <c r="V150" s="80"/>
      <c r="W150" s="80"/>
      <c r="X150" s="80"/>
      <c r="Y150" s="80"/>
      <c r="Z150" s="80"/>
      <c r="AA150" s="80"/>
      <c r="AB150" s="80"/>
      <c r="AC150" s="80"/>
      <c r="AD150" s="80"/>
    </row>
    <row r="151" spans="1:30" ht="15.75">
      <c r="A151" s="137"/>
      <c r="B151" s="139"/>
      <c r="C151" s="139"/>
      <c r="D151" s="139"/>
      <c r="E151" s="139"/>
      <c r="F151" s="139"/>
      <c r="G151" s="139"/>
      <c r="H151" s="80"/>
      <c r="I151" s="80"/>
      <c r="J151" s="80"/>
      <c r="K151" s="80"/>
      <c r="L151" s="80"/>
      <c r="M151" s="80"/>
      <c r="N151" s="80"/>
      <c r="O151" s="80"/>
      <c r="P151" s="80"/>
      <c r="Q151" s="80"/>
      <c r="R151" s="80"/>
      <c r="S151" s="80"/>
      <c r="T151" s="80"/>
      <c r="U151" s="80"/>
      <c r="V151" s="80"/>
      <c r="W151" s="80"/>
      <c r="X151" s="80"/>
      <c r="Y151" s="80"/>
      <c r="Z151" s="80"/>
      <c r="AA151" s="80"/>
      <c r="AB151" s="80"/>
      <c r="AC151" s="80"/>
      <c r="AD151" s="80"/>
    </row>
    <row r="152" spans="1:30" ht="15.75">
      <c r="A152" s="137"/>
      <c r="B152" s="139"/>
      <c r="C152" s="139"/>
      <c r="D152" s="139"/>
      <c r="E152" s="139"/>
      <c r="F152" s="139"/>
      <c r="G152" s="139"/>
      <c r="H152" s="139"/>
      <c r="I152" s="139"/>
      <c r="J152" s="139"/>
      <c r="K152" s="80"/>
      <c r="L152" s="80"/>
      <c r="M152" s="80"/>
      <c r="N152" s="80"/>
      <c r="O152" s="80"/>
      <c r="P152" s="80"/>
      <c r="Q152" s="80"/>
      <c r="R152" s="80"/>
      <c r="S152" s="80"/>
      <c r="T152" s="80"/>
      <c r="U152" s="80"/>
      <c r="V152" s="80"/>
      <c r="W152" s="80"/>
      <c r="X152" s="80"/>
      <c r="Y152" s="80"/>
      <c r="Z152" s="80"/>
      <c r="AA152" s="80"/>
      <c r="AB152" s="80"/>
      <c r="AC152" s="80"/>
      <c r="AD152" s="80"/>
    </row>
    <row r="153" spans="1:30" ht="15.75">
      <c r="A153" s="137"/>
      <c r="B153" s="139"/>
      <c r="C153" s="139"/>
      <c r="D153" s="139"/>
      <c r="E153" s="139"/>
      <c r="F153" s="139"/>
      <c r="G153" s="139"/>
      <c r="H153" s="139"/>
      <c r="I153" s="139"/>
      <c r="J153" s="139"/>
      <c r="K153" s="80"/>
      <c r="L153" s="80"/>
      <c r="M153" s="80"/>
      <c r="N153" s="80"/>
      <c r="O153" s="80"/>
      <c r="P153" s="80"/>
      <c r="Q153" s="80"/>
      <c r="R153" s="80"/>
      <c r="S153" s="80"/>
      <c r="T153" s="80"/>
      <c r="U153" s="80"/>
      <c r="V153" s="80"/>
      <c r="W153" s="80"/>
      <c r="X153" s="80"/>
      <c r="Y153" s="80"/>
      <c r="Z153" s="80"/>
      <c r="AA153" s="80"/>
      <c r="AB153" s="80"/>
      <c r="AC153" s="80"/>
      <c r="AD153" s="80"/>
    </row>
    <row r="154" spans="1:30" ht="15.75">
      <c r="A154" s="137"/>
      <c r="B154" s="139"/>
      <c r="C154" s="139"/>
      <c r="D154" s="139"/>
      <c r="E154" s="139"/>
      <c r="F154" s="139"/>
      <c r="G154" s="139"/>
      <c r="H154" s="139"/>
      <c r="I154" s="139"/>
      <c r="J154" s="139"/>
      <c r="K154" s="80"/>
      <c r="L154" s="80"/>
      <c r="M154" s="80"/>
      <c r="N154" s="80"/>
      <c r="O154" s="80"/>
      <c r="P154" s="80"/>
      <c r="Q154" s="80"/>
      <c r="R154" s="80"/>
      <c r="S154" s="80"/>
      <c r="T154" s="80"/>
      <c r="U154" s="80"/>
      <c r="V154" s="80"/>
      <c r="W154" s="80"/>
      <c r="X154" s="80"/>
      <c r="Y154" s="80"/>
      <c r="Z154" s="80"/>
      <c r="AA154" s="80"/>
      <c r="AB154" s="80"/>
      <c r="AC154" s="80"/>
      <c r="AD154" s="80"/>
    </row>
    <row r="155" spans="1:30" ht="15.75">
      <c r="A155" s="137"/>
      <c r="B155" s="139"/>
      <c r="C155" s="139"/>
      <c r="D155" s="139"/>
      <c r="E155" s="139"/>
      <c r="F155" s="139"/>
      <c r="G155" s="139"/>
      <c r="H155" s="139"/>
      <c r="I155" s="139"/>
      <c r="J155" s="139"/>
      <c r="K155" s="80"/>
      <c r="L155" s="80"/>
      <c r="M155" s="80"/>
      <c r="N155" s="80"/>
      <c r="O155" s="80"/>
      <c r="P155" s="80"/>
      <c r="Q155" s="80"/>
      <c r="R155" s="80"/>
      <c r="S155" s="80"/>
      <c r="T155" s="80"/>
      <c r="U155" s="80"/>
      <c r="V155" s="80"/>
      <c r="W155" s="80"/>
      <c r="X155" s="80"/>
      <c r="Y155" s="80"/>
      <c r="Z155" s="80"/>
      <c r="AA155" s="80"/>
      <c r="AB155" s="80"/>
      <c r="AC155" s="80"/>
      <c r="AD155" s="80"/>
    </row>
    <row r="156" spans="1:30" ht="15.75">
      <c r="A156" s="137"/>
      <c r="B156" s="139"/>
      <c r="C156" s="139"/>
      <c r="D156" s="139"/>
      <c r="E156" s="139"/>
      <c r="F156" s="139"/>
      <c r="G156" s="139"/>
      <c r="H156" s="139"/>
      <c r="I156" s="139"/>
      <c r="J156" s="139"/>
      <c r="K156" s="80"/>
      <c r="L156" s="80"/>
      <c r="M156" s="80"/>
      <c r="N156" s="80"/>
      <c r="O156" s="80"/>
      <c r="P156" s="80"/>
      <c r="Q156" s="80"/>
      <c r="R156" s="80"/>
      <c r="S156" s="80"/>
      <c r="T156" s="80"/>
      <c r="U156" s="80"/>
      <c r="V156" s="80"/>
      <c r="W156" s="80"/>
      <c r="X156" s="80"/>
      <c r="Y156" s="80"/>
      <c r="Z156" s="80"/>
      <c r="AA156" s="80"/>
      <c r="AB156" s="80"/>
      <c r="AC156" s="80"/>
      <c r="AD156" s="80"/>
    </row>
    <row r="157" spans="1:30" ht="15.75">
      <c r="A157" s="137"/>
      <c r="B157" s="139"/>
      <c r="C157" s="139"/>
      <c r="D157" s="139"/>
      <c r="E157" s="139"/>
      <c r="F157" s="139"/>
      <c r="G157" s="139"/>
      <c r="H157" s="139"/>
      <c r="I157" s="139"/>
      <c r="J157" s="139"/>
      <c r="K157" s="80"/>
      <c r="L157" s="80"/>
      <c r="M157" s="80"/>
      <c r="N157" s="80"/>
      <c r="O157" s="80"/>
      <c r="P157" s="80"/>
      <c r="Q157" s="80"/>
      <c r="R157" s="80"/>
      <c r="S157" s="80"/>
      <c r="T157" s="80"/>
      <c r="U157" s="80"/>
      <c r="V157" s="80"/>
      <c r="W157" s="80"/>
      <c r="X157" s="80"/>
      <c r="Y157" s="80"/>
      <c r="Z157" s="80"/>
      <c r="AA157" s="80"/>
      <c r="AB157" s="80"/>
      <c r="AC157" s="80"/>
      <c r="AD157" s="80"/>
    </row>
    <row r="158" spans="1:30" ht="15.75">
      <c r="A158" s="137"/>
      <c r="B158" s="139"/>
      <c r="C158" s="139"/>
      <c r="D158" s="139"/>
      <c r="E158" s="139"/>
      <c r="F158" s="139"/>
      <c r="G158" s="139"/>
      <c r="H158" s="139"/>
      <c r="I158" s="139"/>
      <c r="J158" s="139"/>
      <c r="K158" s="80"/>
      <c r="L158" s="80"/>
      <c r="M158" s="80"/>
      <c r="N158" s="80"/>
      <c r="O158" s="80"/>
      <c r="P158" s="80"/>
      <c r="Q158" s="80"/>
      <c r="R158" s="80"/>
      <c r="S158" s="80"/>
      <c r="T158" s="80"/>
      <c r="U158" s="80"/>
      <c r="V158" s="80"/>
      <c r="W158" s="80"/>
      <c r="X158" s="80"/>
      <c r="Y158" s="80"/>
      <c r="Z158" s="80"/>
      <c r="AA158" s="80"/>
      <c r="AB158" s="80"/>
      <c r="AC158" s="80"/>
      <c r="AD158" s="80"/>
    </row>
    <row r="159" spans="1:30" ht="15.75">
      <c r="A159" s="137"/>
      <c r="B159" s="139"/>
      <c r="C159" s="139"/>
      <c r="D159" s="139"/>
      <c r="E159" s="139"/>
      <c r="F159" s="139"/>
      <c r="G159" s="139"/>
      <c r="H159" s="139"/>
      <c r="I159" s="139"/>
      <c r="J159" s="139"/>
      <c r="K159" s="80"/>
      <c r="L159" s="80"/>
      <c r="M159" s="80"/>
      <c r="N159" s="80"/>
      <c r="O159" s="80"/>
      <c r="P159" s="80"/>
      <c r="Q159" s="80"/>
      <c r="R159" s="80"/>
      <c r="S159" s="80"/>
      <c r="T159" s="80"/>
      <c r="U159" s="80"/>
      <c r="V159" s="80"/>
      <c r="W159" s="80"/>
      <c r="X159" s="80"/>
      <c r="Y159" s="80"/>
      <c r="Z159" s="80"/>
      <c r="AA159" s="80"/>
      <c r="AB159" s="80"/>
      <c r="AC159" s="80"/>
      <c r="AD159" s="80"/>
    </row>
    <row r="160" spans="1:30" ht="15.75">
      <c r="A160" s="137"/>
      <c r="B160" s="139"/>
      <c r="C160" s="139"/>
      <c r="D160" s="139"/>
      <c r="E160" s="139"/>
      <c r="F160" s="139"/>
      <c r="G160" s="139"/>
      <c r="H160" s="139"/>
      <c r="I160" s="139"/>
      <c r="J160" s="139"/>
      <c r="K160" s="80"/>
      <c r="L160" s="80"/>
      <c r="M160" s="80"/>
      <c r="N160" s="80"/>
      <c r="O160" s="80"/>
      <c r="P160" s="80"/>
      <c r="Q160" s="80"/>
      <c r="R160" s="80"/>
      <c r="S160" s="80"/>
      <c r="T160" s="80"/>
      <c r="U160" s="80"/>
      <c r="V160" s="80"/>
      <c r="W160" s="80"/>
      <c r="X160" s="80"/>
      <c r="Y160" s="80"/>
      <c r="Z160" s="80"/>
      <c r="AA160" s="80"/>
      <c r="AB160" s="80"/>
      <c r="AC160" s="80"/>
      <c r="AD160" s="80"/>
    </row>
    <row r="161" spans="1:30" ht="15.75">
      <c r="A161" s="137"/>
      <c r="B161" s="139"/>
      <c r="C161" s="139"/>
      <c r="D161" s="139"/>
      <c r="E161" s="139"/>
      <c r="F161" s="139"/>
      <c r="G161" s="139"/>
      <c r="H161" s="139"/>
      <c r="I161" s="139"/>
      <c r="J161" s="139"/>
      <c r="K161" s="80"/>
      <c r="L161" s="80"/>
      <c r="M161" s="80"/>
      <c r="N161" s="80"/>
      <c r="O161" s="80"/>
      <c r="P161" s="80"/>
      <c r="Q161" s="80"/>
      <c r="R161" s="80"/>
      <c r="S161" s="80"/>
      <c r="T161" s="80"/>
      <c r="U161" s="80"/>
      <c r="V161" s="80"/>
      <c r="W161" s="80"/>
      <c r="X161" s="80"/>
      <c r="Y161" s="80"/>
      <c r="Z161" s="80"/>
      <c r="AA161" s="80"/>
      <c r="AB161" s="80"/>
      <c r="AC161" s="80"/>
      <c r="AD161" s="80"/>
    </row>
    <row r="162" spans="1:30" ht="15.75">
      <c r="A162" s="137"/>
      <c r="B162" s="139"/>
      <c r="C162" s="139"/>
      <c r="D162" s="139"/>
      <c r="E162" s="139"/>
      <c r="F162" s="139"/>
      <c r="G162" s="139"/>
      <c r="H162" s="139"/>
      <c r="I162" s="139"/>
      <c r="J162" s="139"/>
      <c r="K162" s="80"/>
      <c r="L162" s="80"/>
      <c r="M162" s="80"/>
      <c r="N162" s="80"/>
      <c r="O162" s="80"/>
      <c r="P162" s="80"/>
      <c r="Q162" s="80"/>
      <c r="R162" s="80"/>
      <c r="S162" s="80"/>
      <c r="T162" s="80"/>
      <c r="U162" s="80"/>
      <c r="V162" s="80"/>
      <c r="W162" s="80"/>
      <c r="X162" s="80"/>
      <c r="Y162" s="80"/>
      <c r="Z162" s="80"/>
      <c r="AA162" s="80"/>
      <c r="AB162" s="80"/>
      <c r="AC162" s="80"/>
      <c r="AD162" s="80"/>
    </row>
    <row r="163" spans="1:30" ht="15.75">
      <c r="A163" s="137"/>
      <c r="B163" s="139"/>
      <c r="C163" s="139"/>
      <c r="D163" s="139"/>
      <c r="E163" s="139"/>
      <c r="F163" s="139"/>
      <c r="G163" s="139"/>
      <c r="H163" s="139"/>
      <c r="I163" s="139"/>
      <c r="J163" s="139"/>
      <c r="K163" s="80"/>
      <c r="L163" s="80"/>
      <c r="M163" s="80"/>
      <c r="N163" s="80"/>
      <c r="O163" s="80"/>
      <c r="P163" s="80"/>
      <c r="Q163" s="80"/>
      <c r="R163" s="80"/>
      <c r="S163" s="80"/>
      <c r="T163" s="80"/>
      <c r="U163" s="80"/>
      <c r="V163" s="80"/>
      <c r="W163" s="80"/>
      <c r="X163" s="80"/>
      <c r="Y163" s="80"/>
      <c r="Z163" s="80"/>
      <c r="AA163" s="80"/>
      <c r="AB163" s="80"/>
      <c r="AC163" s="80"/>
      <c r="AD163" s="80"/>
    </row>
    <row r="164" spans="1:30" ht="15.75">
      <c r="A164" s="137"/>
      <c r="B164" s="139"/>
      <c r="C164" s="139"/>
      <c r="D164" s="139"/>
      <c r="E164" s="139"/>
      <c r="F164" s="139"/>
      <c r="G164" s="139"/>
      <c r="H164" s="139"/>
      <c r="I164" s="139"/>
      <c r="J164" s="139"/>
      <c r="K164" s="80"/>
      <c r="L164" s="80"/>
      <c r="M164" s="80"/>
      <c r="N164" s="80"/>
      <c r="O164" s="80"/>
      <c r="P164" s="80"/>
      <c r="Q164" s="80"/>
      <c r="R164" s="80"/>
      <c r="S164" s="80"/>
      <c r="T164" s="80"/>
      <c r="U164" s="80"/>
      <c r="V164" s="80"/>
      <c r="W164" s="80"/>
      <c r="X164" s="80"/>
      <c r="Y164" s="80"/>
      <c r="Z164" s="80"/>
      <c r="AA164" s="80"/>
      <c r="AB164" s="80"/>
      <c r="AC164" s="80"/>
      <c r="AD164" s="80"/>
    </row>
    <row r="165" spans="1:30" ht="15.75">
      <c r="A165" s="137"/>
      <c r="B165" s="139"/>
      <c r="C165" s="139"/>
      <c r="D165" s="139"/>
      <c r="E165" s="139"/>
      <c r="F165" s="139"/>
      <c r="G165" s="139"/>
      <c r="H165" s="139"/>
      <c r="I165" s="139"/>
      <c r="J165" s="139"/>
      <c r="K165" s="80"/>
      <c r="L165" s="80"/>
      <c r="M165" s="80"/>
      <c r="N165" s="80"/>
      <c r="O165" s="80"/>
      <c r="P165" s="80"/>
      <c r="Q165" s="80"/>
      <c r="R165" s="80"/>
      <c r="S165" s="80"/>
      <c r="T165" s="80"/>
      <c r="U165" s="80"/>
      <c r="V165" s="80"/>
      <c r="W165" s="80"/>
      <c r="X165" s="80"/>
      <c r="Y165" s="80"/>
      <c r="Z165" s="80"/>
      <c r="AA165" s="80"/>
      <c r="AB165" s="80"/>
      <c r="AC165" s="80"/>
      <c r="AD165" s="80"/>
    </row>
    <row r="166" spans="1:30" ht="15.75">
      <c r="A166" s="137"/>
      <c r="B166" s="139"/>
      <c r="C166" s="139"/>
      <c r="D166" s="139"/>
      <c r="E166" s="139"/>
      <c r="F166" s="139"/>
      <c r="G166" s="139"/>
      <c r="H166" s="139"/>
      <c r="I166" s="139"/>
      <c r="J166" s="139"/>
      <c r="K166" s="80"/>
      <c r="L166" s="80"/>
      <c r="M166" s="80"/>
      <c r="N166" s="80"/>
      <c r="O166" s="80"/>
      <c r="P166" s="80"/>
      <c r="Q166" s="80"/>
      <c r="R166" s="80"/>
      <c r="S166" s="80"/>
      <c r="T166" s="80"/>
      <c r="U166" s="80"/>
      <c r="V166" s="80"/>
      <c r="W166" s="80"/>
      <c r="X166" s="80"/>
      <c r="Y166" s="80"/>
      <c r="Z166" s="80"/>
      <c r="AA166" s="80"/>
      <c r="AB166" s="80"/>
      <c r="AC166" s="80"/>
      <c r="AD166" s="80"/>
    </row>
    <row r="167" spans="1:30" ht="15.75">
      <c r="A167" s="137"/>
      <c r="B167" s="139"/>
      <c r="C167" s="139"/>
      <c r="D167" s="139"/>
      <c r="E167" s="139"/>
      <c r="F167" s="139"/>
      <c r="G167" s="139"/>
      <c r="H167" s="139"/>
      <c r="I167" s="139"/>
      <c r="J167" s="139"/>
      <c r="K167" s="80"/>
      <c r="L167" s="80"/>
      <c r="M167" s="80"/>
      <c r="N167" s="80"/>
      <c r="O167" s="80"/>
      <c r="P167" s="80"/>
      <c r="Q167" s="80"/>
      <c r="R167" s="80"/>
      <c r="S167" s="80"/>
      <c r="T167" s="80"/>
      <c r="U167" s="80"/>
      <c r="V167" s="80"/>
      <c r="W167" s="80"/>
      <c r="X167" s="80"/>
      <c r="Y167" s="80"/>
      <c r="Z167" s="80"/>
      <c r="AA167" s="80"/>
      <c r="AB167" s="80"/>
      <c r="AC167" s="80"/>
      <c r="AD167" s="80"/>
    </row>
    <row r="168" spans="1:30" ht="15.75">
      <c r="A168" s="137"/>
      <c r="B168" s="139"/>
      <c r="C168" s="139"/>
      <c r="D168" s="139"/>
      <c r="E168" s="139"/>
      <c r="F168" s="139"/>
      <c r="G168" s="139"/>
      <c r="H168" s="139"/>
      <c r="I168" s="139"/>
      <c r="J168" s="139"/>
      <c r="K168" s="80"/>
      <c r="L168" s="80"/>
      <c r="M168" s="80"/>
      <c r="N168" s="80"/>
      <c r="O168" s="80"/>
      <c r="P168" s="80"/>
      <c r="Q168" s="80"/>
      <c r="R168" s="80"/>
      <c r="S168" s="80"/>
      <c r="T168" s="80"/>
      <c r="U168" s="80"/>
      <c r="V168" s="80"/>
      <c r="W168" s="80"/>
      <c r="X168" s="80"/>
      <c r="Y168" s="80"/>
      <c r="Z168" s="80"/>
      <c r="AA168" s="80"/>
      <c r="AB168" s="80"/>
      <c r="AC168" s="80"/>
      <c r="AD168" s="80"/>
    </row>
    <row r="169" spans="1:30" ht="15.75">
      <c r="A169" s="80"/>
      <c r="B169" s="80"/>
      <c r="C169" s="80"/>
      <c r="D169" s="80"/>
      <c r="E169" s="80"/>
      <c r="F169" s="80"/>
      <c r="G169" s="80"/>
      <c r="H169" s="139"/>
      <c r="I169" s="139"/>
      <c r="J169" s="139"/>
      <c r="K169" s="80"/>
      <c r="L169" s="80"/>
      <c r="M169" s="80"/>
      <c r="N169" s="80"/>
      <c r="O169" s="80"/>
      <c r="P169" s="80"/>
      <c r="Q169" s="80"/>
      <c r="R169" s="80"/>
      <c r="S169" s="80"/>
      <c r="T169" s="80"/>
      <c r="U169" s="80"/>
      <c r="V169" s="80"/>
      <c r="W169" s="80"/>
      <c r="X169" s="80"/>
      <c r="Y169" s="80"/>
      <c r="Z169" s="80"/>
      <c r="AA169" s="80"/>
      <c r="AB169" s="80"/>
      <c r="AC169" s="80"/>
      <c r="AD169" s="80"/>
    </row>
    <row r="170" spans="1:30" ht="15.75">
      <c r="A170" s="80"/>
      <c r="B170" s="80"/>
      <c r="C170" s="80"/>
      <c r="D170" s="80"/>
      <c r="E170" s="80"/>
      <c r="F170" s="80"/>
      <c r="G170" s="80"/>
      <c r="H170" s="139"/>
      <c r="I170" s="139"/>
      <c r="J170" s="139"/>
      <c r="K170" s="80"/>
      <c r="L170" s="80"/>
      <c r="M170" s="80"/>
      <c r="N170" s="80"/>
      <c r="O170" s="80"/>
      <c r="P170" s="80"/>
      <c r="Q170" s="80"/>
      <c r="R170" s="80"/>
      <c r="S170" s="80"/>
      <c r="T170" s="80"/>
      <c r="U170" s="80"/>
      <c r="V170" s="80"/>
      <c r="W170" s="80"/>
      <c r="X170" s="80"/>
      <c r="Y170" s="80"/>
      <c r="Z170" s="80"/>
      <c r="AA170" s="80"/>
      <c r="AB170" s="80"/>
      <c r="AC170" s="80"/>
      <c r="AD170" s="80"/>
    </row>
    <row r="171" spans="1:30" ht="15.75">
      <c r="A171" s="80"/>
      <c r="B171" s="80"/>
      <c r="C171" s="80"/>
      <c r="D171" s="80"/>
      <c r="E171" s="80"/>
      <c r="F171" s="80"/>
      <c r="G171" s="80"/>
      <c r="H171" s="139"/>
      <c r="I171" s="139"/>
      <c r="J171" s="139"/>
      <c r="K171" s="80"/>
      <c r="L171" s="80"/>
      <c r="M171" s="80"/>
      <c r="N171" s="80"/>
      <c r="O171" s="80"/>
      <c r="P171" s="80"/>
      <c r="Q171" s="80"/>
      <c r="R171" s="80"/>
      <c r="S171" s="80"/>
      <c r="T171" s="80"/>
      <c r="U171" s="80"/>
      <c r="V171" s="80"/>
      <c r="W171" s="80"/>
      <c r="X171" s="80"/>
      <c r="Y171" s="80"/>
      <c r="Z171" s="80"/>
      <c r="AA171" s="80"/>
      <c r="AB171" s="80"/>
      <c r="AC171" s="80"/>
      <c r="AD171" s="80"/>
    </row>
    <row r="172" spans="1:30" ht="15.75">
      <c r="A172" s="139"/>
      <c r="B172" s="139"/>
      <c r="C172" s="80"/>
      <c r="D172" s="80"/>
      <c r="E172" s="80"/>
      <c r="F172" s="80"/>
      <c r="G172" s="80"/>
      <c r="H172" s="139"/>
      <c r="I172" s="139"/>
      <c r="J172" s="139"/>
      <c r="K172" s="80"/>
      <c r="L172" s="80"/>
      <c r="M172" s="80"/>
      <c r="N172" s="80"/>
      <c r="O172" s="80"/>
      <c r="P172" s="80"/>
      <c r="Q172" s="80"/>
      <c r="R172" s="80"/>
      <c r="S172" s="80"/>
      <c r="T172" s="80"/>
      <c r="U172" s="80"/>
      <c r="V172" s="80"/>
      <c r="W172" s="80"/>
      <c r="X172" s="80"/>
      <c r="Y172" s="80"/>
      <c r="Z172" s="80"/>
      <c r="AA172" s="80"/>
      <c r="AB172" s="80"/>
      <c r="AC172" s="80"/>
      <c r="AD172" s="80"/>
    </row>
    <row r="173" spans="1:30" ht="15.75">
      <c r="A173" s="139"/>
      <c r="B173" s="80"/>
      <c r="C173" s="80"/>
      <c r="D173" s="80"/>
      <c r="E173" s="80"/>
      <c r="F173" s="80"/>
      <c r="G173" s="80"/>
      <c r="H173" s="139"/>
      <c r="I173" s="139"/>
      <c r="J173" s="139"/>
      <c r="K173" s="80"/>
      <c r="L173" s="80"/>
      <c r="M173" s="80"/>
      <c r="N173" s="80"/>
      <c r="O173" s="80"/>
      <c r="P173" s="80"/>
      <c r="Q173" s="80"/>
      <c r="R173" s="80"/>
      <c r="S173" s="80"/>
      <c r="T173" s="80"/>
      <c r="U173" s="80"/>
      <c r="V173" s="80"/>
      <c r="W173" s="80"/>
      <c r="X173" s="80"/>
      <c r="Y173" s="80"/>
      <c r="Z173" s="80"/>
      <c r="AA173" s="80"/>
      <c r="AB173" s="80"/>
      <c r="AC173" s="80"/>
      <c r="AD173" s="80"/>
    </row>
    <row r="174" spans="1:30" ht="15.75">
      <c r="A174" s="137"/>
      <c r="B174" s="139"/>
      <c r="C174" s="139"/>
      <c r="D174" s="139"/>
      <c r="E174" s="139"/>
      <c r="F174" s="139"/>
      <c r="G174" s="139"/>
      <c r="H174" s="139"/>
      <c r="I174" s="139"/>
      <c r="J174" s="139"/>
      <c r="K174" s="80"/>
      <c r="L174" s="80"/>
      <c r="M174" s="80"/>
      <c r="N174" s="80"/>
      <c r="O174" s="80"/>
      <c r="P174" s="80"/>
      <c r="Q174" s="80"/>
      <c r="R174" s="80"/>
      <c r="S174" s="80"/>
      <c r="T174" s="80"/>
      <c r="U174" s="80"/>
      <c r="V174" s="80"/>
      <c r="W174" s="80"/>
      <c r="X174" s="80"/>
      <c r="Y174" s="80"/>
      <c r="Z174" s="80"/>
      <c r="AA174" s="80"/>
      <c r="AB174" s="80"/>
      <c r="AC174" s="80"/>
      <c r="AD174" s="80"/>
    </row>
    <row r="175" spans="1:30" ht="15.75">
      <c r="A175" s="137"/>
      <c r="B175" s="139"/>
      <c r="C175" s="139"/>
      <c r="D175" s="139"/>
      <c r="E175" s="139"/>
      <c r="F175" s="139"/>
      <c r="G175" s="139"/>
      <c r="H175" s="139"/>
      <c r="I175" s="139"/>
      <c r="J175" s="139"/>
      <c r="K175" s="80"/>
      <c r="L175" s="80"/>
      <c r="M175" s="80"/>
      <c r="N175" s="80"/>
      <c r="O175" s="80"/>
      <c r="P175" s="80"/>
      <c r="Q175" s="80"/>
      <c r="R175" s="80"/>
      <c r="S175" s="80"/>
      <c r="T175" s="80"/>
      <c r="U175" s="80"/>
      <c r="V175" s="80"/>
      <c r="W175" s="80"/>
      <c r="X175" s="80"/>
      <c r="Y175" s="80"/>
      <c r="Z175" s="80"/>
      <c r="AA175" s="80"/>
      <c r="AB175" s="80"/>
      <c r="AC175" s="80"/>
      <c r="AD175" s="80"/>
    </row>
    <row r="176" spans="1:30" ht="15.75">
      <c r="A176" s="137"/>
      <c r="B176" s="139"/>
      <c r="C176" s="139"/>
      <c r="D176" s="139"/>
      <c r="E176" s="139"/>
      <c r="F176" s="139"/>
      <c r="G176" s="139"/>
      <c r="H176" s="139"/>
      <c r="I176" s="139"/>
      <c r="J176" s="139"/>
      <c r="K176" s="80"/>
      <c r="L176" s="80"/>
      <c r="M176" s="80"/>
      <c r="N176" s="80"/>
      <c r="O176" s="80"/>
      <c r="P176" s="80"/>
      <c r="Q176" s="80"/>
      <c r="R176" s="80"/>
      <c r="S176" s="80"/>
      <c r="T176" s="80"/>
      <c r="U176" s="80"/>
      <c r="V176" s="80"/>
      <c r="W176" s="80"/>
      <c r="X176" s="80"/>
      <c r="Y176" s="80"/>
      <c r="Z176" s="80"/>
      <c r="AA176" s="80"/>
      <c r="AB176" s="80"/>
      <c r="AC176" s="80"/>
      <c r="AD176" s="80"/>
    </row>
    <row r="177" spans="1:30" ht="15.75">
      <c r="A177" s="137"/>
      <c r="B177" s="139"/>
      <c r="C177" s="139"/>
      <c r="D177" s="139"/>
      <c r="E177" s="139"/>
      <c r="F177" s="139"/>
      <c r="G177" s="139"/>
      <c r="H177" s="139"/>
      <c r="I177" s="139"/>
      <c r="J177" s="139"/>
      <c r="K177" s="80"/>
      <c r="L177" s="80"/>
      <c r="M177" s="80"/>
      <c r="N177" s="80"/>
      <c r="O177" s="80"/>
      <c r="P177" s="80"/>
      <c r="Q177" s="80"/>
      <c r="R177" s="80"/>
      <c r="S177" s="80"/>
      <c r="T177" s="80"/>
      <c r="U177" s="80"/>
      <c r="V177" s="80"/>
      <c r="W177" s="80"/>
      <c r="X177" s="80"/>
      <c r="Y177" s="80"/>
      <c r="Z177" s="80"/>
      <c r="AA177" s="80"/>
      <c r="AB177" s="80"/>
      <c r="AC177" s="80"/>
      <c r="AD177" s="80"/>
    </row>
    <row r="178" spans="1:30" ht="15.75">
      <c r="A178" s="137"/>
      <c r="B178" s="139"/>
      <c r="C178" s="139"/>
      <c r="D178" s="139"/>
      <c r="E178" s="139"/>
      <c r="F178" s="139"/>
      <c r="G178" s="139"/>
      <c r="H178" s="139"/>
      <c r="I178" s="139"/>
      <c r="J178" s="139"/>
      <c r="K178" s="80"/>
      <c r="L178" s="80"/>
      <c r="M178" s="80"/>
      <c r="N178" s="80"/>
      <c r="O178" s="80"/>
      <c r="P178" s="80"/>
      <c r="Q178" s="80"/>
      <c r="R178" s="80"/>
      <c r="S178" s="80"/>
      <c r="T178" s="80"/>
      <c r="U178" s="80"/>
      <c r="V178" s="80"/>
      <c r="W178" s="80"/>
      <c r="X178" s="80"/>
      <c r="Y178" s="80"/>
      <c r="Z178" s="80"/>
      <c r="AA178" s="80"/>
      <c r="AB178" s="80"/>
      <c r="AC178" s="80"/>
      <c r="AD178" s="80"/>
    </row>
    <row r="179" spans="1:30" ht="15.75">
      <c r="A179" s="137"/>
      <c r="B179" s="139"/>
      <c r="C179" s="139"/>
      <c r="D179" s="139"/>
      <c r="E179" s="139"/>
      <c r="F179" s="139"/>
      <c r="G179" s="139"/>
      <c r="H179" s="139"/>
      <c r="I179" s="139"/>
      <c r="J179" s="139"/>
      <c r="K179" s="80"/>
      <c r="L179" s="80"/>
      <c r="M179" s="80"/>
      <c r="N179" s="80"/>
      <c r="O179" s="80"/>
      <c r="P179" s="80"/>
      <c r="Q179" s="80"/>
      <c r="R179" s="80"/>
      <c r="S179" s="80"/>
      <c r="T179" s="80"/>
      <c r="U179" s="80"/>
      <c r="V179" s="80"/>
      <c r="W179" s="80"/>
      <c r="X179" s="80"/>
      <c r="Y179" s="80"/>
      <c r="Z179" s="80"/>
      <c r="AA179" s="80"/>
      <c r="AB179" s="80"/>
      <c r="AC179" s="80"/>
      <c r="AD179" s="80"/>
    </row>
    <row r="180" spans="1:30" ht="15.75">
      <c r="A180" s="137"/>
      <c r="B180" s="139"/>
      <c r="C180" s="139"/>
      <c r="D180" s="139"/>
      <c r="E180" s="139"/>
      <c r="F180" s="139"/>
      <c r="G180" s="139"/>
      <c r="H180" s="80"/>
      <c r="I180" s="80"/>
      <c r="J180" s="80"/>
      <c r="K180" s="80"/>
      <c r="L180" s="80"/>
      <c r="M180" s="80"/>
      <c r="N180" s="80"/>
      <c r="O180" s="80"/>
      <c r="P180" s="80"/>
      <c r="Q180" s="80"/>
      <c r="R180" s="80"/>
      <c r="S180" s="80"/>
      <c r="T180" s="80"/>
      <c r="U180" s="80"/>
      <c r="V180" s="80"/>
      <c r="W180" s="80"/>
      <c r="X180" s="80"/>
      <c r="Y180" s="80"/>
      <c r="Z180" s="80"/>
      <c r="AA180" s="80"/>
      <c r="AB180" s="80"/>
      <c r="AC180" s="80"/>
      <c r="AD180" s="80"/>
    </row>
    <row r="181" spans="1:30" ht="15.75">
      <c r="A181" s="137"/>
      <c r="B181" s="139"/>
      <c r="C181" s="139"/>
      <c r="D181" s="139"/>
      <c r="E181" s="139"/>
      <c r="F181" s="139"/>
      <c r="G181" s="139"/>
      <c r="H181" s="80"/>
      <c r="I181" s="80"/>
      <c r="J181" s="80"/>
      <c r="K181" s="80"/>
      <c r="L181" s="80"/>
      <c r="M181" s="80"/>
      <c r="N181" s="80"/>
      <c r="O181" s="80"/>
      <c r="P181" s="80"/>
      <c r="Q181" s="80"/>
      <c r="R181" s="80"/>
      <c r="S181" s="80"/>
      <c r="T181" s="80"/>
      <c r="U181" s="80"/>
      <c r="V181" s="80"/>
      <c r="W181" s="80"/>
      <c r="X181" s="80"/>
      <c r="Y181" s="80"/>
      <c r="Z181" s="80"/>
      <c r="AA181" s="80"/>
      <c r="AB181" s="80"/>
      <c r="AC181" s="80"/>
      <c r="AD181" s="80"/>
    </row>
    <row r="182" spans="1:30" ht="15.75">
      <c r="A182" s="137"/>
      <c r="B182" s="139"/>
      <c r="C182" s="139"/>
      <c r="D182" s="139"/>
      <c r="E182" s="139"/>
      <c r="F182" s="139"/>
      <c r="G182" s="139"/>
      <c r="H182" s="80"/>
      <c r="I182" s="80"/>
      <c r="J182" s="80"/>
      <c r="K182" s="80"/>
      <c r="L182" s="80"/>
      <c r="M182" s="80"/>
      <c r="N182" s="80"/>
      <c r="O182" s="80"/>
      <c r="P182" s="80"/>
      <c r="Q182" s="80"/>
      <c r="R182" s="80"/>
      <c r="S182" s="80"/>
      <c r="T182" s="80"/>
      <c r="U182" s="80"/>
      <c r="V182" s="80"/>
      <c r="W182" s="80"/>
      <c r="X182" s="80"/>
      <c r="Y182" s="80"/>
      <c r="Z182" s="80"/>
      <c r="AA182" s="80"/>
      <c r="AB182" s="80"/>
      <c r="AC182" s="80"/>
      <c r="AD182" s="80"/>
    </row>
    <row r="183" spans="1:30" ht="15.75">
      <c r="A183" s="137"/>
      <c r="B183" s="139"/>
      <c r="C183" s="139"/>
      <c r="D183" s="139"/>
      <c r="E183" s="139"/>
      <c r="F183" s="139"/>
      <c r="G183" s="139"/>
      <c r="H183" s="80"/>
      <c r="I183" s="80"/>
      <c r="J183" s="80"/>
      <c r="K183" s="80"/>
      <c r="L183" s="80"/>
      <c r="M183" s="80"/>
      <c r="N183" s="80"/>
      <c r="O183" s="80"/>
      <c r="P183" s="80"/>
      <c r="Q183" s="80"/>
      <c r="R183" s="80"/>
      <c r="S183" s="80"/>
      <c r="T183" s="80"/>
      <c r="U183" s="80"/>
      <c r="V183" s="80"/>
      <c r="W183" s="80"/>
      <c r="X183" s="80"/>
      <c r="Y183" s="80"/>
      <c r="Z183" s="80"/>
      <c r="AA183" s="80"/>
      <c r="AB183" s="80"/>
      <c r="AC183" s="80"/>
      <c r="AD183" s="80"/>
    </row>
    <row r="184" spans="1:30" ht="15.75">
      <c r="A184" s="137"/>
      <c r="B184" s="139"/>
      <c r="C184" s="139"/>
      <c r="D184" s="139"/>
      <c r="E184" s="139"/>
      <c r="F184" s="139"/>
      <c r="G184" s="139"/>
      <c r="H184" s="80"/>
      <c r="I184" s="80"/>
      <c r="J184" s="80"/>
      <c r="K184" s="80"/>
      <c r="L184" s="80"/>
      <c r="M184" s="80"/>
      <c r="N184" s="80"/>
      <c r="O184" s="80"/>
      <c r="P184" s="80"/>
      <c r="Q184" s="80"/>
      <c r="R184" s="80"/>
      <c r="S184" s="80"/>
      <c r="T184" s="80"/>
      <c r="U184" s="80"/>
      <c r="V184" s="80"/>
      <c r="W184" s="80"/>
      <c r="X184" s="80"/>
      <c r="Y184" s="80"/>
      <c r="Z184" s="80"/>
      <c r="AA184" s="80"/>
      <c r="AB184" s="80"/>
      <c r="AC184" s="80"/>
      <c r="AD184" s="80"/>
    </row>
    <row r="185" spans="1:30" ht="15.75">
      <c r="A185" s="137"/>
      <c r="B185" s="139"/>
      <c r="C185" s="139"/>
      <c r="D185" s="139"/>
      <c r="E185" s="139"/>
      <c r="F185" s="139"/>
      <c r="G185" s="139"/>
      <c r="H185" s="80"/>
      <c r="I185" s="80"/>
      <c r="J185" s="80"/>
      <c r="K185" s="80"/>
      <c r="L185" s="80"/>
      <c r="M185" s="80"/>
      <c r="N185" s="80"/>
      <c r="O185" s="80"/>
      <c r="P185" s="80"/>
      <c r="Q185" s="80"/>
      <c r="R185" s="80"/>
      <c r="S185" s="80"/>
      <c r="T185" s="80"/>
      <c r="U185" s="80"/>
      <c r="V185" s="80"/>
      <c r="W185" s="80"/>
      <c r="X185" s="80"/>
      <c r="Y185" s="80"/>
      <c r="Z185" s="80"/>
      <c r="AA185" s="80"/>
      <c r="AB185" s="80"/>
      <c r="AC185" s="80"/>
      <c r="AD185" s="80"/>
    </row>
    <row r="186" spans="1:30" ht="15.75">
      <c r="A186" s="137"/>
      <c r="B186" s="139"/>
      <c r="C186" s="139"/>
      <c r="D186" s="139"/>
      <c r="E186" s="139"/>
      <c r="F186" s="139"/>
      <c r="G186" s="139"/>
      <c r="H186" s="80"/>
      <c r="I186" s="80"/>
      <c r="J186" s="80"/>
      <c r="K186" s="80"/>
      <c r="L186" s="80"/>
      <c r="M186" s="80"/>
      <c r="N186" s="80"/>
      <c r="O186" s="80"/>
      <c r="P186" s="80"/>
      <c r="Q186" s="80"/>
      <c r="R186" s="80"/>
      <c r="S186" s="80"/>
      <c r="T186" s="80"/>
      <c r="U186" s="80"/>
      <c r="V186" s="80"/>
      <c r="W186" s="80"/>
      <c r="X186" s="80"/>
      <c r="Y186" s="80"/>
      <c r="Z186" s="80"/>
      <c r="AA186" s="80"/>
      <c r="AB186" s="80"/>
      <c r="AC186" s="80"/>
      <c r="AD186" s="80"/>
    </row>
    <row r="187" spans="1:30" ht="15.75">
      <c r="A187" s="137"/>
      <c r="B187" s="139"/>
      <c r="C187" s="139"/>
      <c r="D187" s="139"/>
      <c r="E187" s="139"/>
      <c r="F187" s="139"/>
      <c r="G187" s="139"/>
      <c r="H187" s="80"/>
      <c r="I187" s="80"/>
      <c r="J187" s="80"/>
      <c r="K187" s="80"/>
      <c r="L187" s="80"/>
      <c r="M187" s="80"/>
      <c r="N187" s="80"/>
      <c r="O187" s="80"/>
      <c r="P187" s="80"/>
      <c r="Q187" s="80"/>
      <c r="R187" s="80"/>
      <c r="S187" s="80"/>
      <c r="T187" s="80"/>
      <c r="U187" s="80"/>
      <c r="V187" s="80"/>
      <c r="W187" s="80"/>
      <c r="X187" s="80"/>
      <c r="Y187" s="80"/>
      <c r="Z187" s="80"/>
      <c r="AA187" s="80"/>
      <c r="AB187" s="80"/>
      <c r="AC187" s="80"/>
      <c r="AD187" s="80"/>
    </row>
    <row r="188" spans="1:30" ht="15.75">
      <c r="A188" s="137"/>
      <c r="B188" s="139"/>
      <c r="C188" s="139"/>
      <c r="D188" s="139"/>
      <c r="E188" s="139"/>
      <c r="F188" s="139"/>
      <c r="G188" s="139"/>
      <c r="H188" s="80"/>
      <c r="I188" s="80"/>
      <c r="J188" s="80"/>
      <c r="K188" s="80"/>
      <c r="L188" s="80"/>
      <c r="M188" s="80"/>
      <c r="N188" s="80"/>
      <c r="O188" s="80"/>
      <c r="P188" s="80"/>
      <c r="Q188" s="80"/>
      <c r="R188" s="80"/>
      <c r="S188" s="80"/>
      <c r="T188" s="80"/>
      <c r="U188" s="80"/>
      <c r="V188" s="80"/>
      <c r="W188" s="80"/>
      <c r="X188" s="80"/>
      <c r="Y188" s="80"/>
      <c r="Z188" s="80"/>
      <c r="AA188" s="80"/>
      <c r="AB188" s="80"/>
      <c r="AC188" s="80"/>
      <c r="AD188" s="80"/>
    </row>
    <row r="189" spans="1:30" ht="15.75">
      <c r="A189" s="137"/>
      <c r="B189" s="139"/>
      <c r="C189" s="139"/>
      <c r="D189" s="139"/>
      <c r="E189" s="139"/>
      <c r="F189" s="139"/>
      <c r="G189" s="139"/>
      <c r="H189" s="80"/>
      <c r="I189" s="80"/>
      <c r="J189" s="80"/>
      <c r="K189" s="80"/>
      <c r="L189" s="80"/>
      <c r="M189" s="80"/>
      <c r="N189" s="80"/>
      <c r="O189" s="80"/>
      <c r="P189" s="80"/>
      <c r="Q189" s="80"/>
      <c r="R189" s="80"/>
      <c r="S189" s="80"/>
      <c r="T189" s="80"/>
      <c r="U189" s="80"/>
      <c r="V189" s="80"/>
      <c r="W189" s="80"/>
      <c r="X189" s="80"/>
      <c r="Y189" s="80"/>
      <c r="Z189" s="80"/>
      <c r="AA189" s="80"/>
      <c r="AB189" s="80"/>
      <c r="AC189" s="80"/>
      <c r="AD189" s="80"/>
    </row>
    <row r="190" spans="1:30" ht="15.75">
      <c r="A190" s="137"/>
      <c r="B190" s="139"/>
      <c r="C190" s="139"/>
      <c r="D190" s="139"/>
      <c r="E190" s="139"/>
      <c r="F190" s="139"/>
      <c r="G190" s="139"/>
      <c r="H190" s="80"/>
      <c r="I190" s="80"/>
      <c r="J190" s="80"/>
      <c r="K190" s="80"/>
      <c r="L190" s="80"/>
      <c r="M190" s="80"/>
      <c r="N190" s="80"/>
      <c r="O190" s="80"/>
      <c r="P190" s="80"/>
      <c r="Q190" s="80"/>
      <c r="R190" s="80"/>
      <c r="S190" s="80"/>
      <c r="T190" s="80"/>
      <c r="U190" s="80"/>
      <c r="V190" s="80"/>
      <c r="W190" s="80"/>
      <c r="X190" s="80"/>
      <c r="Y190" s="80"/>
      <c r="Z190" s="80"/>
      <c r="AA190" s="80"/>
      <c r="AB190" s="80"/>
      <c r="AC190" s="80"/>
      <c r="AD190" s="80"/>
    </row>
    <row r="191" spans="1:30" ht="15.75">
      <c r="A191" s="137"/>
      <c r="B191" s="139"/>
      <c r="C191" s="139"/>
      <c r="D191" s="139"/>
      <c r="E191" s="139"/>
      <c r="F191" s="139"/>
      <c r="G191" s="139"/>
      <c r="H191" s="80"/>
      <c r="I191" s="80"/>
      <c r="J191" s="80"/>
      <c r="K191" s="80"/>
      <c r="L191" s="80"/>
      <c r="M191" s="80"/>
      <c r="N191" s="80"/>
      <c r="O191" s="80"/>
      <c r="P191" s="80"/>
      <c r="Q191" s="80"/>
      <c r="R191" s="80"/>
      <c r="S191" s="80"/>
      <c r="T191" s="80"/>
      <c r="U191" s="80"/>
      <c r="V191" s="80"/>
      <c r="W191" s="80"/>
      <c r="X191" s="80"/>
      <c r="Y191" s="80"/>
      <c r="Z191" s="80"/>
      <c r="AA191" s="80"/>
      <c r="AB191" s="80"/>
      <c r="AC191" s="80"/>
      <c r="AD191" s="80"/>
    </row>
    <row r="192" spans="1:30" ht="15.75">
      <c r="A192" s="137"/>
      <c r="B192" s="139"/>
      <c r="C192" s="139"/>
      <c r="D192" s="139"/>
      <c r="E192" s="139"/>
      <c r="F192" s="139"/>
      <c r="G192" s="139"/>
      <c r="H192" s="80"/>
      <c r="I192" s="80"/>
      <c r="J192" s="80"/>
      <c r="K192" s="80"/>
      <c r="L192" s="80"/>
      <c r="M192" s="80"/>
      <c r="N192" s="80"/>
      <c r="O192" s="80"/>
      <c r="P192" s="80"/>
      <c r="Q192" s="80"/>
      <c r="R192" s="80"/>
      <c r="S192" s="80"/>
      <c r="T192" s="80"/>
      <c r="U192" s="80"/>
      <c r="V192" s="80"/>
      <c r="W192" s="80"/>
      <c r="X192" s="80"/>
      <c r="Y192" s="80"/>
      <c r="Z192" s="80"/>
      <c r="AA192" s="80"/>
      <c r="AB192" s="80"/>
      <c r="AC192" s="80"/>
      <c r="AD192" s="80"/>
    </row>
    <row r="193" spans="1:30" ht="15.75">
      <c r="A193" s="137"/>
      <c r="B193" s="139"/>
      <c r="C193" s="139"/>
      <c r="D193" s="139"/>
      <c r="E193" s="139"/>
      <c r="F193" s="139"/>
      <c r="G193" s="139"/>
      <c r="H193" s="80"/>
      <c r="I193" s="80"/>
      <c r="J193" s="80"/>
      <c r="K193" s="80"/>
      <c r="L193" s="80"/>
      <c r="M193" s="80"/>
      <c r="N193" s="80"/>
      <c r="O193" s="80"/>
      <c r="P193" s="80"/>
      <c r="Q193" s="80"/>
      <c r="R193" s="80"/>
      <c r="S193" s="80"/>
      <c r="T193" s="80"/>
      <c r="U193" s="80"/>
      <c r="V193" s="80"/>
      <c r="W193" s="80"/>
      <c r="X193" s="80"/>
      <c r="Y193" s="80"/>
      <c r="Z193" s="80"/>
      <c r="AA193" s="80"/>
      <c r="AB193" s="80"/>
      <c r="AC193" s="80"/>
      <c r="AD193" s="80"/>
    </row>
    <row r="194" spans="1:30" ht="15.75">
      <c r="A194" s="137"/>
      <c r="B194" s="139"/>
      <c r="C194" s="139"/>
      <c r="D194" s="139"/>
      <c r="E194" s="139"/>
      <c r="F194" s="139"/>
      <c r="G194" s="139"/>
      <c r="H194" s="80"/>
      <c r="I194" s="80"/>
      <c r="J194" s="80"/>
      <c r="K194" s="80"/>
      <c r="L194" s="80"/>
      <c r="M194" s="80"/>
      <c r="N194" s="80"/>
      <c r="O194" s="80"/>
      <c r="P194" s="80"/>
      <c r="Q194" s="80"/>
      <c r="R194" s="80"/>
      <c r="S194" s="80"/>
      <c r="T194" s="80"/>
      <c r="U194" s="80"/>
      <c r="V194" s="80"/>
      <c r="W194" s="80"/>
      <c r="X194" s="80"/>
      <c r="Y194" s="80"/>
      <c r="Z194" s="80"/>
      <c r="AA194" s="80"/>
      <c r="AB194" s="80"/>
      <c r="AC194" s="80"/>
      <c r="AD194" s="80"/>
    </row>
    <row r="195" spans="1:30" ht="15.75">
      <c r="A195" s="137"/>
      <c r="B195" s="139"/>
      <c r="C195" s="139"/>
      <c r="D195" s="139"/>
      <c r="E195" s="139"/>
      <c r="F195" s="139"/>
      <c r="G195" s="139"/>
      <c r="H195" s="80"/>
      <c r="I195" s="80"/>
      <c r="J195" s="80"/>
      <c r="K195" s="80"/>
      <c r="L195" s="80"/>
      <c r="M195" s="80"/>
      <c r="N195" s="80"/>
      <c r="O195" s="80"/>
      <c r="P195" s="80"/>
      <c r="Q195" s="80"/>
      <c r="R195" s="80"/>
      <c r="S195" s="80"/>
      <c r="T195" s="80"/>
      <c r="U195" s="80"/>
      <c r="V195" s="80"/>
      <c r="W195" s="80"/>
      <c r="X195" s="80"/>
      <c r="Y195" s="80"/>
      <c r="Z195" s="80"/>
      <c r="AA195" s="80"/>
      <c r="AB195" s="80"/>
      <c r="AC195" s="80"/>
      <c r="AD195" s="80"/>
    </row>
    <row r="196" spans="1:30" ht="15.75">
      <c r="A196" s="137"/>
      <c r="B196" s="139"/>
      <c r="C196" s="139"/>
      <c r="D196" s="139"/>
      <c r="E196" s="139"/>
      <c r="F196" s="139"/>
      <c r="G196" s="139"/>
      <c r="H196" s="80"/>
      <c r="I196" s="80"/>
      <c r="J196" s="80"/>
      <c r="K196" s="80"/>
      <c r="L196" s="80"/>
      <c r="M196" s="80"/>
      <c r="N196" s="80"/>
      <c r="O196" s="80"/>
      <c r="P196" s="80"/>
      <c r="Q196" s="80"/>
      <c r="R196" s="80"/>
      <c r="S196" s="80"/>
      <c r="T196" s="80"/>
      <c r="U196" s="80"/>
      <c r="V196" s="80"/>
      <c r="W196" s="80"/>
      <c r="X196" s="80"/>
      <c r="Y196" s="80"/>
      <c r="Z196" s="80"/>
      <c r="AA196" s="80"/>
      <c r="AB196" s="80"/>
      <c r="AC196" s="80"/>
      <c r="AD196" s="80"/>
    </row>
    <row r="197" spans="1:30" ht="15.75">
      <c r="A197" s="137"/>
      <c r="B197" s="139"/>
      <c r="C197" s="139"/>
      <c r="D197" s="139"/>
      <c r="E197" s="139"/>
      <c r="F197" s="139"/>
      <c r="G197" s="139"/>
      <c r="H197" s="80"/>
      <c r="I197" s="80"/>
      <c r="J197" s="80"/>
      <c r="K197" s="80"/>
      <c r="L197" s="80"/>
      <c r="M197" s="80"/>
      <c r="N197" s="80"/>
      <c r="O197" s="80"/>
      <c r="P197" s="80"/>
      <c r="Q197" s="80"/>
      <c r="R197" s="80"/>
      <c r="S197" s="80"/>
      <c r="T197" s="80"/>
      <c r="U197" s="80"/>
      <c r="V197" s="80"/>
      <c r="W197" s="80"/>
      <c r="X197" s="80"/>
      <c r="Y197" s="80"/>
      <c r="Z197" s="80"/>
      <c r="AA197" s="80"/>
      <c r="AB197" s="80"/>
      <c r="AC197" s="80"/>
      <c r="AD197" s="80"/>
    </row>
    <row r="198" spans="1:30" ht="15.75">
      <c r="A198" s="137"/>
      <c r="B198" s="139"/>
      <c r="C198" s="139"/>
      <c r="D198" s="139"/>
      <c r="E198" s="139"/>
      <c r="F198" s="139"/>
      <c r="G198" s="139"/>
      <c r="H198" s="80"/>
      <c r="I198" s="80"/>
      <c r="J198" s="80"/>
      <c r="K198" s="80"/>
      <c r="L198" s="80"/>
      <c r="M198" s="80"/>
      <c r="N198" s="80"/>
      <c r="O198" s="80"/>
      <c r="P198" s="80"/>
      <c r="Q198" s="80"/>
      <c r="R198" s="80"/>
      <c r="S198" s="80"/>
      <c r="T198" s="80"/>
      <c r="U198" s="80"/>
      <c r="V198" s="80"/>
      <c r="W198" s="80"/>
      <c r="X198" s="80"/>
      <c r="Y198" s="80"/>
      <c r="Z198" s="80"/>
      <c r="AA198" s="80"/>
      <c r="AB198" s="80"/>
      <c r="AC198" s="80"/>
      <c r="AD198" s="80"/>
    </row>
    <row r="199" spans="1:30" ht="15.75">
      <c r="A199" s="137"/>
      <c r="B199" s="139"/>
      <c r="C199" s="139"/>
      <c r="D199" s="139"/>
      <c r="E199" s="139"/>
      <c r="F199" s="139"/>
      <c r="G199" s="139"/>
      <c r="H199" s="80"/>
      <c r="I199" s="80"/>
      <c r="J199" s="80"/>
      <c r="K199" s="80"/>
      <c r="L199" s="80"/>
      <c r="M199" s="80"/>
      <c r="N199" s="80"/>
      <c r="O199" s="80"/>
      <c r="P199" s="80"/>
      <c r="Q199" s="80"/>
      <c r="R199" s="80"/>
      <c r="S199" s="80"/>
      <c r="T199" s="80"/>
      <c r="U199" s="80"/>
      <c r="V199" s="80"/>
      <c r="W199" s="80"/>
      <c r="X199" s="80"/>
      <c r="Y199" s="80"/>
      <c r="Z199" s="80"/>
      <c r="AA199" s="80"/>
      <c r="AB199" s="80"/>
      <c r="AC199" s="80"/>
      <c r="AD199" s="80"/>
    </row>
    <row r="200" spans="1:30" ht="15.75">
      <c r="A200" s="137"/>
      <c r="B200" s="139"/>
      <c r="C200" s="139"/>
      <c r="D200" s="139"/>
      <c r="E200" s="139"/>
      <c r="F200" s="139"/>
      <c r="G200" s="139"/>
      <c r="H200" s="80"/>
      <c r="I200" s="80"/>
      <c r="J200" s="80"/>
      <c r="K200" s="80"/>
      <c r="L200" s="80"/>
      <c r="M200" s="80"/>
      <c r="N200" s="80"/>
      <c r="O200" s="80"/>
      <c r="P200" s="80"/>
      <c r="Q200" s="80"/>
      <c r="R200" s="80"/>
      <c r="S200" s="80"/>
      <c r="T200" s="80"/>
      <c r="U200" s="80"/>
      <c r="V200" s="80"/>
      <c r="W200" s="80"/>
      <c r="X200" s="80"/>
      <c r="Y200" s="80"/>
      <c r="Z200" s="80"/>
      <c r="AA200" s="80"/>
      <c r="AB200" s="80"/>
      <c r="AC200" s="80"/>
      <c r="AD200" s="80"/>
    </row>
    <row r="201" spans="1:30" ht="15.75">
      <c r="A201" s="137"/>
      <c r="B201" s="139"/>
      <c r="C201" s="139"/>
      <c r="D201" s="139"/>
      <c r="E201" s="139"/>
      <c r="F201" s="139"/>
      <c r="G201" s="139"/>
      <c r="H201" s="80"/>
      <c r="I201" s="80"/>
      <c r="J201" s="80"/>
      <c r="K201" s="80"/>
      <c r="L201" s="80"/>
      <c r="M201" s="80"/>
      <c r="N201" s="80"/>
      <c r="O201" s="80"/>
      <c r="P201" s="80"/>
      <c r="Q201" s="80"/>
      <c r="R201" s="80"/>
      <c r="S201" s="80"/>
      <c r="T201" s="80"/>
      <c r="U201" s="80"/>
      <c r="V201" s="80"/>
      <c r="W201" s="80"/>
      <c r="X201" s="80"/>
      <c r="Y201" s="80"/>
      <c r="Z201" s="80"/>
      <c r="AA201" s="80"/>
      <c r="AB201" s="80"/>
      <c r="AC201" s="80"/>
      <c r="AD201" s="80"/>
    </row>
    <row r="202" spans="1:30" ht="15.75">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c r="AC202" s="80"/>
      <c r="AD202" s="80"/>
    </row>
    <row r="203" spans="1:30" ht="15.75">
      <c r="A203" s="137"/>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c r="AC203" s="80"/>
      <c r="AD203" s="80"/>
    </row>
    <row r="204" spans="1:30" ht="15.75">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c r="AC204" s="80"/>
      <c r="AD204" s="80"/>
    </row>
    <row r="205" spans="1:30" ht="15.75">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c r="AC205" s="80"/>
      <c r="AD205" s="80"/>
    </row>
    <row r="206" spans="1:30" ht="15.75">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c r="AC206" s="80"/>
      <c r="AD206" s="80"/>
    </row>
    <row r="207" spans="1:30" ht="15.75">
      <c r="A207" s="137"/>
      <c r="B207" s="139"/>
      <c r="C207" s="139"/>
      <c r="D207" s="139"/>
      <c r="E207" s="139"/>
      <c r="F207" s="139"/>
      <c r="G207" s="139"/>
      <c r="H207" s="80"/>
      <c r="I207" s="80"/>
      <c r="J207" s="80"/>
      <c r="K207" s="80"/>
      <c r="L207" s="80"/>
      <c r="M207" s="80"/>
      <c r="N207" s="80"/>
      <c r="O207" s="80"/>
      <c r="P207" s="80"/>
      <c r="Q207" s="80"/>
      <c r="R207" s="80"/>
      <c r="S207" s="80"/>
      <c r="T207" s="80"/>
      <c r="U207" s="80"/>
      <c r="V207" s="80"/>
      <c r="W207" s="80"/>
      <c r="X207" s="80"/>
      <c r="Y207" s="80"/>
      <c r="Z207" s="80"/>
      <c r="AA207" s="80"/>
      <c r="AB207" s="80"/>
      <c r="AC207" s="80"/>
      <c r="AD207" s="80"/>
    </row>
    <row r="208" spans="1:30" ht="15.75">
      <c r="A208" s="137"/>
      <c r="B208" s="139"/>
      <c r="C208" s="139"/>
      <c r="D208" s="139"/>
      <c r="E208" s="139"/>
      <c r="F208" s="139"/>
      <c r="G208" s="139"/>
      <c r="H208" s="80"/>
      <c r="I208" s="80"/>
      <c r="J208" s="80"/>
      <c r="K208" s="80"/>
      <c r="L208" s="80"/>
      <c r="M208" s="80"/>
      <c r="N208" s="80"/>
      <c r="O208" s="80"/>
      <c r="P208" s="80"/>
      <c r="Q208" s="80"/>
      <c r="R208" s="80"/>
      <c r="S208" s="80"/>
      <c r="T208" s="80"/>
      <c r="U208" s="80"/>
      <c r="V208" s="80"/>
      <c r="W208" s="80"/>
      <c r="X208" s="80"/>
      <c r="Y208" s="80"/>
      <c r="Z208" s="80"/>
      <c r="AA208" s="80"/>
      <c r="AB208" s="80"/>
      <c r="AC208" s="80"/>
      <c r="AD208" s="80"/>
    </row>
    <row r="209" spans="1:30" ht="15.75">
      <c r="A209" s="137"/>
      <c r="B209" s="139"/>
      <c r="C209" s="139"/>
      <c r="D209" s="139"/>
      <c r="E209" s="139"/>
      <c r="F209" s="139"/>
      <c r="G209" s="139"/>
      <c r="H209" s="80"/>
      <c r="I209" s="80"/>
      <c r="J209" s="80"/>
      <c r="K209" s="80"/>
      <c r="L209" s="80"/>
      <c r="M209" s="80"/>
      <c r="N209" s="80"/>
      <c r="O209" s="80"/>
      <c r="P209" s="80"/>
      <c r="Q209" s="80"/>
      <c r="R209" s="80"/>
      <c r="S209" s="80"/>
      <c r="T209" s="80"/>
      <c r="U209" s="80"/>
      <c r="V209" s="80"/>
      <c r="W209" s="80"/>
      <c r="X209" s="80"/>
      <c r="Y209" s="80"/>
      <c r="Z209" s="80"/>
      <c r="AA209" s="80"/>
      <c r="AB209" s="80"/>
      <c r="AC209" s="80"/>
      <c r="AD209" s="80"/>
    </row>
    <row r="210" spans="1:30" ht="15.75">
      <c r="A210" s="137"/>
      <c r="B210" s="139"/>
      <c r="C210" s="139"/>
      <c r="D210" s="139"/>
      <c r="E210" s="139"/>
      <c r="F210" s="139"/>
      <c r="G210" s="139"/>
      <c r="H210" s="80"/>
      <c r="I210" s="80"/>
      <c r="J210" s="80"/>
      <c r="K210" s="80"/>
      <c r="L210" s="80"/>
      <c r="M210" s="80"/>
      <c r="N210" s="80"/>
      <c r="O210" s="80"/>
      <c r="P210" s="80"/>
      <c r="Q210" s="80"/>
      <c r="R210" s="80"/>
      <c r="S210" s="80"/>
      <c r="T210" s="80"/>
      <c r="U210" s="80"/>
      <c r="V210" s="80"/>
      <c r="W210" s="80"/>
      <c r="X210" s="80"/>
      <c r="Y210" s="80"/>
      <c r="Z210" s="80"/>
      <c r="AA210" s="80"/>
      <c r="AB210" s="80"/>
      <c r="AC210" s="80"/>
      <c r="AD210" s="80"/>
    </row>
    <row r="211" spans="1:30" ht="15.75">
      <c r="A211" s="137"/>
      <c r="B211" s="139"/>
      <c r="C211" s="139"/>
      <c r="D211" s="139"/>
      <c r="E211" s="139"/>
      <c r="F211" s="139"/>
      <c r="G211" s="139"/>
      <c r="H211" s="80"/>
      <c r="I211" s="80"/>
      <c r="J211" s="80"/>
      <c r="K211" s="80"/>
      <c r="L211" s="80"/>
      <c r="M211" s="80"/>
      <c r="N211" s="80"/>
      <c r="O211" s="80"/>
      <c r="P211" s="80"/>
      <c r="Q211" s="80"/>
      <c r="R211" s="80"/>
      <c r="S211" s="80"/>
      <c r="T211" s="80"/>
      <c r="U211" s="80"/>
      <c r="V211" s="80"/>
      <c r="W211" s="80"/>
      <c r="X211" s="80"/>
      <c r="Y211" s="80"/>
      <c r="Z211" s="80"/>
      <c r="AA211" s="80"/>
      <c r="AB211" s="80"/>
      <c r="AC211" s="80"/>
      <c r="AD211" s="80"/>
    </row>
    <row r="212" spans="1:30" ht="15.75">
      <c r="A212" s="137"/>
      <c r="B212" s="139"/>
      <c r="C212" s="139"/>
      <c r="D212" s="139"/>
      <c r="E212" s="139"/>
      <c r="F212" s="139"/>
      <c r="G212" s="139"/>
      <c r="H212" s="80"/>
      <c r="I212" s="80"/>
      <c r="J212" s="80"/>
      <c r="K212" s="80"/>
      <c r="L212" s="80"/>
      <c r="M212" s="80"/>
      <c r="N212" s="80"/>
      <c r="O212" s="80"/>
      <c r="P212" s="80"/>
      <c r="Q212" s="80"/>
      <c r="R212" s="80"/>
      <c r="S212" s="80"/>
      <c r="T212" s="80"/>
      <c r="U212" s="80"/>
      <c r="V212" s="80"/>
      <c r="W212" s="80"/>
      <c r="X212" s="80"/>
      <c r="Y212" s="80"/>
      <c r="Z212" s="80"/>
      <c r="AA212" s="80"/>
      <c r="AB212" s="80"/>
      <c r="AC212" s="80"/>
      <c r="AD212" s="80"/>
    </row>
    <row r="213" spans="1:30" ht="15.75">
      <c r="A213" s="137"/>
      <c r="B213" s="139"/>
      <c r="C213" s="139"/>
      <c r="D213" s="139"/>
      <c r="E213" s="139"/>
      <c r="F213" s="139"/>
      <c r="G213" s="139"/>
      <c r="H213" s="80"/>
      <c r="I213" s="80"/>
      <c r="J213" s="80"/>
      <c r="K213" s="80"/>
      <c r="L213" s="80"/>
      <c r="M213" s="80"/>
      <c r="N213" s="80"/>
      <c r="O213" s="80"/>
      <c r="P213" s="80"/>
      <c r="Q213" s="80"/>
      <c r="R213" s="80"/>
      <c r="S213" s="80"/>
      <c r="T213" s="80"/>
      <c r="U213" s="80"/>
      <c r="V213" s="80"/>
      <c r="W213" s="80"/>
      <c r="X213" s="80"/>
      <c r="Y213" s="80"/>
      <c r="Z213" s="80"/>
      <c r="AA213" s="80"/>
      <c r="AB213" s="80"/>
      <c r="AC213" s="80"/>
      <c r="AD213" s="80"/>
    </row>
    <row r="214" spans="1:30" ht="15.75">
      <c r="A214" s="137"/>
      <c r="B214" s="139"/>
      <c r="C214" s="139"/>
      <c r="D214" s="139"/>
      <c r="E214" s="139"/>
      <c r="F214" s="139"/>
      <c r="G214" s="139"/>
      <c r="H214" s="80"/>
      <c r="I214" s="80"/>
      <c r="J214" s="80"/>
      <c r="K214" s="80"/>
      <c r="L214" s="80"/>
      <c r="M214" s="80"/>
      <c r="N214" s="80"/>
      <c r="O214" s="80"/>
      <c r="P214" s="80"/>
      <c r="Q214" s="80"/>
      <c r="R214" s="80"/>
      <c r="S214" s="80"/>
      <c r="T214" s="80"/>
      <c r="U214" s="80"/>
      <c r="V214" s="80"/>
      <c r="W214" s="80"/>
      <c r="X214" s="80"/>
      <c r="Y214" s="80"/>
      <c r="Z214" s="80"/>
      <c r="AA214" s="80"/>
      <c r="AB214" s="80"/>
      <c r="AC214" s="80"/>
      <c r="AD214" s="80"/>
    </row>
    <row r="215" spans="1:30" ht="15.75">
      <c r="A215" s="137"/>
      <c r="B215" s="139"/>
      <c r="C215" s="139"/>
      <c r="D215" s="139"/>
      <c r="E215" s="139"/>
      <c r="F215" s="139"/>
      <c r="G215" s="139"/>
      <c r="H215" s="80"/>
      <c r="I215" s="80"/>
      <c r="J215" s="80"/>
      <c r="K215" s="80"/>
      <c r="L215" s="80"/>
      <c r="M215" s="80"/>
      <c r="N215" s="80"/>
      <c r="O215" s="80"/>
      <c r="P215" s="80"/>
      <c r="Q215" s="80"/>
      <c r="R215" s="80"/>
      <c r="S215" s="80"/>
      <c r="T215" s="80"/>
      <c r="U215" s="80"/>
      <c r="V215" s="80"/>
      <c r="W215" s="80"/>
      <c r="X215" s="80"/>
      <c r="Y215" s="80"/>
      <c r="Z215" s="80"/>
      <c r="AA215" s="80"/>
      <c r="AB215" s="80"/>
      <c r="AC215" s="80"/>
      <c r="AD215" s="80"/>
    </row>
    <row r="216" spans="1:30" ht="15.75">
      <c r="A216" s="137"/>
      <c r="B216" s="139"/>
      <c r="C216" s="139"/>
      <c r="D216" s="139"/>
      <c r="E216" s="139"/>
      <c r="F216" s="139"/>
      <c r="G216" s="139"/>
      <c r="H216" s="80"/>
      <c r="I216" s="80"/>
      <c r="J216" s="80"/>
      <c r="K216" s="80"/>
      <c r="L216" s="80"/>
      <c r="M216" s="80"/>
      <c r="N216" s="80"/>
      <c r="O216" s="80"/>
      <c r="P216" s="80"/>
      <c r="Q216" s="80"/>
      <c r="R216" s="80"/>
      <c r="S216" s="80"/>
      <c r="T216" s="80"/>
      <c r="U216" s="80"/>
      <c r="V216" s="80"/>
      <c r="W216" s="80"/>
      <c r="X216" s="80"/>
      <c r="Y216" s="80"/>
      <c r="Z216" s="80"/>
      <c r="AA216" s="80"/>
      <c r="AB216" s="80"/>
      <c r="AC216" s="80"/>
      <c r="AD216" s="80"/>
    </row>
    <row r="217" spans="1:30" ht="15.75">
      <c r="A217" s="137"/>
      <c r="B217" s="139"/>
      <c r="C217" s="139"/>
      <c r="D217" s="139"/>
      <c r="E217" s="139"/>
      <c r="F217" s="139"/>
      <c r="G217" s="139"/>
      <c r="H217" s="80"/>
      <c r="I217" s="80"/>
      <c r="J217" s="80"/>
      <c r="K217" s="80"/>
      <c r="L217" s="80"/>
      <c r="M217" s="80"/>
      <c r="N217" s="80"/>
      <c r="O217" s="80"/>
      <c r="P217" s="80"/>
      <c r="Q217" s="80"/>
      <c r="R217" s="80"/>
      <c r="S217" s="80"/>
      <c r="T217" s="80"/>
      <c r="U217" s="80"/>
      <c r="V217" s="80"/>
      <c r="W217" s="80"/>
      <c r="X217" s="80"/>
      <c r="Y217" s="80"/>
      <c r="Z217" s="80"/>
      <c r="AA217" s="80"/>
      <c r="AB217" s="80"/>
      <c r="AC217" s="80"/>
      <c r="AD217" s="80"/>
    </row>
    <row r="218" spans="1:30" ht="15.75">
      <c r="A218" s="137"/>
      <c r="B218" s="139"/>
      <c r="C218" s="139"/>
      <c r="D218" s="139"/>
      <c r="E218" s="139"/>
      <c r="F218" s="139"/>
      <c r="G218" s="139"/>
      <c r="H218" s="80"/>
      <c r="I218" s="80"/>
      <c r="J218" s="80"/>
      <c r="K218" s="80"/>
      <c r="L218" s="80"/>
      <c r="M218" s="80"/>
      <c r="N218" s="80"/>
      <c r="O218" s="80"/>
      <c r="P218" s="80"/>
      <c r="Q218" s="80"/>
      <c r="R218" s="80"/>
      <c r="S218" s="80"/>
      <c r="T218" s="80"/>
      <c r="U218" s="80"/>
      <c r="V218" s="80"/>
      <c r="W218" s="80"/>
      <c r="X218" s="80"/>
      <c r="Y218" s="80"/>
      <c r="Z218" s="80"/>
      <c r="AA218" s="80"/>
      <c r="AB218" s="80"/>
      <c r="AC218" s="80"/>
      <c r="AD218" s="80"/>
    </row>
    <row r="219" spans="1:30" ht="15.75">
      <c r="A219" s="137"/>
      <c r="B219" s="139"/>
      <c r="C219" s="139"/>
      <c r="D219" s="139"/>
      <c r="E219" s="139"/>
      <c r="F219" s="139"/>
      <c r="G219" s="139"/>
      <c r="H219" s="80"/>
      <c r="I219" s="80"/>
      <c r="J219" s="80"/>
      <c r="K219" s="80"/>
      <c r="L219" s="80"/>
      <c r="M219" s="80"/>
      <c r="N219" s="80"/>
      <c r="O219" s="80"/>
      <c r="P219" s="80"/>
      <c r="Q219" s="80"/>
      <c r="R219" s="80"/>
      <c r="S219" s="80"/>
      <c r="T219" s="80"/>
      <c r="U219" s="80"/>
      <c r="V219" s="80"/>
      <c r="W219" s="80"/>
      <c r="X219" s="80"/>
      <c r="Y219" s="80"/>
      <c r="Z219" s="80"/>
      <c r="AA219" s="80"/>
      <c r="AB219" s="80"/>
      <c r="AC219" s="80"/>
      <c r="AD219" s="80"/>
    </row>
    <row r="220" spans="1:30" ht="15.75">
      <c r="A220" s="137"/>
      <c r="B220" s="139"/>
      <c r="C220" s="139"/>
      <c r="D220" s="139"/>
      <c r="E220" s="139"/>
      <c r="F220" s="139"/>
      <c r="G220" s="139"/>
      <c r="H220" s="80"/>
      <c r="I220" s="80"/>
      <c r="J220" s="80"/>
      <c r="K220" s="80"/>
      <c r="L220" s="80"/>
      <c r="M220" s="80"/>
      <c r="N220" s="80"/>
      <c r="O220" s="80"/>
      <c r="P220" s="80"/>
      <c r="Q220" s="80"/>
      <c r="R220" s="80"/>
      <c r="S220" s="80"/>
      <c r="T220" s="80"/>
      <c r="U220" s="80"/>
      <c r="V220" s="80"/>
      <c r="W220" s="80"/>
      <c r="X220" s="80"/>
      <c r="Y220" s="80"/>
      <c r="Z220" s="80"/>
      <c r="AA220" s="80"/>
      <c r="AB220" s="80"/>
      <c r="AC220" s="80"/>
      <c r="AD220" s="80"/>
    </row>
    <row r="221" spans="1:30" ht="15.75">
      <c r="A221" s="137"/>
      <c r="B221" s="139"/>
      <c r="C221" s="139"/>
      <c r="D221" s="139"/>
      <c r="E221" s="139"/>
      <c r="F221" s="139"/>
      <c r="G221" s="139"/>
      <c r="H221" s="80"/>
      <c r="I221" s="80"/>
      <c r="J221" s="80"/>
      <c r="K221" s="80"/>
      <c r="L221" s="80"/>
      <c r="M221" s="80"/>
      <c r="N221" s="80"/>
      <c r="O221" s="80"/>
      <c r="P221" s="80"/>
      <c r="Q221" s="80"/>
      <c r="R221" s="80"/>
      <c r="S221" s="80"/>
      <c r="T221" s="80"/>
      <c r="U221" s="80"/>
      <c r="V221" s="80"/>
      <c r="W221" s="80"/>
      <c r="X221" s="80"/>
      <c r="Y221" s="80"/>
      <c r="Z221" s="80"/>
      <c r="AA221" s="80"/>
      <c r="AB221" s="80"/>
      <c r="AC221" s="80"/>
      <c r="AD221" s="80"/>
    </row>
    <row r="222" spans="1:30" ht="15.75">
      <c r="A222" s="137"/>
      <c r="B222" s="139"/>
      <c r="C222" s="139"/>
      <c r="D222" s="139"/>
      <c r="E222" s="139"/>
      <c r="F222" s="139"/>
      <c r="G222" s="139"/>
      <c r="H222" s="80"/>
      <c r="I222" s="80"/>
      <c r="J222" s="80"/>
      <c r="K222" s="80"/>
      <c r="L222" s="80"/>
      <c r="M222" s="80"/>
      <c r="N222" s="80"/>
      <c r="O222" s="80"/>
      <c r="P222" s="80"/>
      <c r="Q222" s="80"/>
      <c r="R222" s="80"/>
      <c r="S222" s="80"/>
      <c r="T222" s="80"/>
      <c r="U222" s="80"/>
      <c r="V222" s="80"/>
      <c r="W222" s="80"/>
      <c r="X222" s="80"/>
      <c r="Y222" s="80"/>
      <c r="Z222" s="80"/>
      <c r="AA222" s="80"/>
      <c r="AB222" s="80"/>
      <c r="AC222" s="80"/>
      <c r="AD222" s="80"/>
    </row>
    <row r="223" spans="1:30" ht="15.75">
      <c r="A223" s="137"/>
      <c r="B223" s="139"/>
      <c r="C223" s="139"/>
      <c r="D223" s="139"/>
      <c r="E223" s="139"/>
      <c r="F223" s="139"/>
      <c r="G223" s="139"/>
      <c r="H223" s="80"/>
      <c r="I223" s="80"/>
      <c r="J223" s="80"/>
      <c r="K223" s="80"/>
      <c r="L223" s="80"/>
      <c r="M223" s="80"/>
      <c r="N223" s="80"/>
      <c r="O223" s="80"/>
      <c r="P223" s="80"/>
      <c r="Q223" s="80"/>
      <c r="R223" s="80"/>
      <c r="S223" s="80"/>
      <c r="T223" s="80"/>
      <c r="U223" s="80"/>
      <c r="V223" s="80"/>
      <c r="W223" s="80"/>
      <c r="X223" s="80"/>
      <c r="Y223" s="80"/>
      <c r="Z223" s="80"/>
      <c r="AA223" s="80"/>
      <c r="AB223" s="80"/>
      <c r="AC223" s="80"/>
      <c r="AD223" s="80"/>
    </row>
    <row r="224" spans="1:30" ht="15.75">
      <c r="A224" s="137"/>
      <c r="B224" s="139"/>
      <c r="C224" s="139"/>
      <c r="D224" s="139"/>
      <c r="E224" s="139"/>
      <c r="F224" s="139"/>
      <c r="G224" s="139"/>
      <c r="H224" s="80"/>
      <c r="I224" s="80"/>
      <c r="J224" s="80"/>
      <c r="K224" s="80"/>
      <c r="L224" s="80"/>
      <c r="M224" s="80"/>
      <c r="N224" s="80"/>
      <c r="O224" s="80"/>
      <c r="P224" s="80"/>
      <c r="Q224" s="80"/>
      <c r="R224" s="80"/>
      <c r="S224" s="80"/>
      <c r="T224" s="80"/>
      <c r="U224" s="80"/>
      <c r="V224" s="80"/>
      <c r="W224" s="80"/>
      <c r="X224" s="80"/>
      <c r="Y224" s="80"/>
      <c r="Z224" s="80"/>
      <c r="AA224" s="80"/>
      <c r="AB224" s="80"/>
      <c r="AC224" s="80"/>
      <c r="AD224" s="80"/>
    </row>
    <row r="225" spans="1:30" ht="15.75">
      <c r="A225" s="137"/>
      <c r="B225" s="139"/>
      <c r="C225" s="139"/>
      <c r="D225" s="139"/>
      <c r="E225" s="139"/>
      <c r="F225" s="139"/>
      <c r="G225" s="139"/>
      <c r="H225" s="80"/>
      <c r="I225" s="80"/>
      <c r="J225" s="80"/>
      <c r="K225" s="80"/>
      <c r="L225" s="80"/>
      <c r="M225" s="80"/>
      <c r="N225" s="80"/>
      <c r="O225" s="80"/>
      <c r="P225" s="80"/>
      <c r="Q225" s="80"/>
      <c r="R225" s="80"/>
      <c r="S225" s="80"/>
      <c r="T225" s="80"/>
      <c r="U225" s="80"/>
      <c r="V225" s="80"/>
      <c r="W225" s="80"/>
      <c r="X225" s="80"/>
      <c r="Y225" s="80"/>
      <c r="Z225" s="80"/>
      <c r="AA225" s="80"/>
      <c r="AB225" s="80"/>
      <c r="AC225" s="80"/>
      <c r="AD225" s="80"/>
    </row>
    <row r="226" spans="1:30" ht="15.75">
      <c r="A226" s="137"/>
      <c r="B226" s="139"/>
      <c r="C226" s="139"/>
      <c r="D226" s="139"/>
      <c r="E226" s="139"/>
      <c r="F226" s="139"/>
      <c r="G226" s="139"/>
      <c r="H226" s="80"/>
      <c r="I226" s="80"/>
      <c r="J226" s="80"/>
      <c r="K226" s="80"/>
      <c r="L226" s="80"/>
      <c r="M226" s="80"/>
      <c r="N226" s="80"/>
      <c r="O226" s="80"/>
      <c r="P226" s="80"/>
      <c r="Q226" s="80"/>
      <c r="R226" s="80"/>
      <c r="S226" s="80"/>
      <c r="T226" s="80"/>
      <c r="U226" s="80"/>
      <c r="V226" s="80"/>
      <c r="W226" s="80"/>
      <c r="X226" s="80"/>
      <c r="Y226" s="80"/>
      <c r="Z226" s="80"/>
      <c r="AA226" s="80"/>
      <c r="AB226" s="80"/>
      <c r="AC226" s="80"/>
      <c r="AD226" s="80"/>
    </row>
    <row r="227" spans="1:30" ht="15.75">
      <c r="A227" s="137"/>
      <c r="B227" s="139"/>
      <c r="C227" s="139"/>
      <c r="D227" s="139"/>
      <c r="E227" s="139"/>
      <c r="F227" s="139"/>
      <c r="G227" s="139"/>
      <c r="H227" s="80"/>
      <c r="I227" s="80"/>
      <c r="J227" s="80"/>
      <c r="K227" s="80"/>
      <c r="L227" s="80"/>
      <c r="M227" s="80"/>
      <c r="N227" s="80"/>
      <c r="O227" s="80"/>
      <c r="P227" s="80"/>
      <c r="Q227" s="80"/>
      <c r="R227" s="80"/>
      <c r="S227" s="80"/>
      <c r="T227" s="80"/>
      <c r="U227" s="80"/>
      <c r="V227" s="80"/>
      <c r="W227" s="80"/>
      <c r="X227" s="80"/>
      <c r="Y227" s="80"/>
      <c r="Z227" s="80"/>
      <c r="AA227" s="80"/>
      <c r="AB227" s="80"/>
      <c r="AC227" s="80"/>
      <c r="AD227" s="80"/>
    </row>
    <row r="228" spans="1:30" ht="15.75">
      <c r="A228" s="137"/>
      <c r="B228" s="139"/>
      <c r="C228" s="139"/>
      <c r="D228" s="139"/>
      <c r="E228" s="139"/>
      <c r="F228" s="139"/>
      <c r="G228" s="139"/>
      <c r="H228" s="80"/>
      <c r="I228" s="80"/>
      <c r="J228" s="80"/>
      <c r="K228" s="80"/>
      <c r="L228" s="80"/>
      <c r="M228" s="80"/>
      <c r="N228" s="80"/>
      <c r="O228" s="80"/>
      <c r="P228" s="80"/>
      <c r="Q228" s="80"/>
      <c r="R228" s="80"/>
      <c r="S228" s="80"/>
      <c r="T228" s="80"/>
      <c r="U228" s="80"/>
      <c r="V228" s="80"/>
      <c r="W228" s="80"/>
      <c r="X228" s="80"/>
      <c r="Y228" s="80"/>
      <c r="Z228" s="80"/>
      <c r="AA228" s="80"/>
      <c r="AB228" s="80"/>
      <c r="AC228" s="80"/>
      <c r="AD228" s="80"/>
    </row>
    <row r="229" spans="1:30" ht="15.75">
      <c r="A229" s="137"/>
      <c r="B229" s="139"/>
      <c r="C229" s="139"/>
      <c r="D229" s="139"/>
      <c r="E229" s="139"/>
      <c r="F229" s="139"/>
      <c r="G229" s="139"/>
      <c r="H229" s="80"/>
      <c r="I229" s="80"/>
      <c r="J229" s="80"/>
      <c r="K229" s="80"/>
      <c r="L229" s="80"/>
      <c r="M229" s="80"/>
      <c r="N229" s="80"/>
      <c r="O229" s="80"/>
      <c r="P229" s="80"/>
      <c r="Q229" s="80"/>
      <c r="R229" s="80"/>
      <c r="S229" s="80"/>
      <c r="T229" s="80"/>
      <c r="U229" s="80"/>
      <c r="V229" s="80"/>
      <c r="W229" s="80"/>
      <c r="X229" s="80"/>
      <c r="Y229" s="80"/>
      <c r="Z229" s="80"/>
      <c r="AA229" s="80"/>
      <c r="AB229" s="80"/>
      <c r="AC229" s="80"/>
      <c r="AD229" s="80"/>
    </row>
    <row r="230" spans="1:30" ht="15.75">
      <c r="A230" s="137"/>
      <c r="B230" s="139"/>
      <c r="C230" s="139"/>
      <c r="D230" s="139"/>
      <c r="E230" s="139"/>
      <c r="F230" s="139"/>
      <c r="G230" s="139"/>
      <c r="H230" s="80"/>
      <c r="I230" s="80"/>
      <c r="J230" s="80"/>
      <c r="K230" s="80"/>
      <c r="L230" s="80"/>
      <c r="M230" s="80"/>
      <c r="N230" s="80"/>
      <c r="O230" s="80"/>
      <c r="P230" s="80"/>
      <c r="Q230" s="80"/>
      <c r="R230" s="80"/>
      <c r="S230" s="80"/>
      <c r="T230" s="80"/>
      <c r="U230" s="80"/>
      <c r="V230" s="80"/>
      <c r="W230" s="80"/>
      <c r="X230" s="80"/>
      <c r="Y230" s="80"/>
      <c r="Z230" s="80"/>
      <c r="AA230" s="80"/>
      <c r="AB230" s="80"/>
      <c r="AC230" s="80"/>
      <c r="AD230" s="80"/>
    </row>
    <row r="231" spans="1:30" ht="15.75">
      <c r="A231" s="137"/>
      <c r="B231" s="139"/>
      <c r="C231" s="139"/>
      <c r="D231" s="139"/>
      <c r="E231" s="139"/>
      <c r="F231" s="139"/>
      <c r="G231" s="139"/>
      <c r="H231" s="80"/>
      <c r="I231" s="80"/>
      <c r="J231" s="80"/>
      <c r="K231" s="80"/>
      <c r="L231" s="80"/>
      <c r="M231" s="80"/>
      <c r="N231" s="80"/>
      <c r="O231" s="80"/>
      <c r="P231" s="80"/>
      <c r="Q231" s="80"/>
      <c r="R231" s="80"/>
      <c r="S231" s="80"/>
      <c r="T231" s="80"/>
      <c r="U231" s="80"/>
      <c r="V231" s="80"/>
      <c r="W231" s="80"/>
      <c r="X231" s="80"/>
      <c r="Y231" s="80"/>
      <c r="Z231" s="80"/>
      <c r="AA231" s="80"/>
      <c r="AB231" s="80"/>
      <c r="AC231" s="80"/>
      <c r="AD231" s="80"/>
    </row>
    <row r="232" spans="1:30" ht="15.75">
      <c r="A232" s="137"/>
      <c r="B232" s="139"/>
      <c r="C232" s="139"/>
      <c r="D232" s="139"/>
      <c r="E232" s="139"/>
      <c r="F232" s="139"/>
      <c r="G232" s="139"/>
      <c r="H232" s="80"/>
      <c r="I232" s="80"/>
      <c r="J232" s="80"/>
      <c r="K232" s="80"/>
      <c r="L232" s="80"/>
      <c r="M232" s="80"/>
      <c r="N232" s="80"/>
      <c r="O232" s="80"/>
      <c r="P232" s="80"/>
      <c r="Q232" s="80"/>
      <c r="R232" s="80"/>
      <c r="S232" s="80"/>
      <c r="T232" s="80"/>
      <c r="U232" s="80"/>
      <c r="V232" s="80"/>
      <c r="W232" s="80"/>
      <c r="X232" s="80"/>
      <c r="Y232" s="80"/>
      <c r="Z232" s="80"/>
      <c r="AA232" s="80"/>
      <c r="AB232" s="80"/>
      <c r="AC232" s="80"/>
      <c r="AD232" s="80"/>
    </row>
    <row r="233" spans="1:30" ht="15.75">
      <c r="A233" s="137"/>
      <c r="B233" s="139"/>
      <c r="C233" s="139"/>
      <c r="D233" s="139"/>
      <c r="E233" s="139"/>
      <c r="F233" s="139"/>
      <c r="G233" s="139"/>
      <c r="H233" s="80"/>
      <c r="I233" s="80"/>
      <c r="J233" s="80"/>
      <c r="K233" s="80"/>
      <c r="L233" s="80"/>
      <c r="M233" s="80"/>
      <c r="N233" s="80"/>
      <c r="O233" s="80"/>
      <c r="P233" s="80"/>
      <c r="Q233" s="80"/>
      <c r="R233" s="80"/>
      <c r="S233" s="80"/>
      <c r="T233" s="80"/>
      <c r="U233" s="80"/>
      <c r="V233" s="80"/>
      <c r="W233" s="80"/>
      <c r="X233" s="80"/>
      <c r="Y233" s="80"/>
      <c r="Z233" s="80"/>
      <c r="AA233" s="80"/>
      <c r="AB233" s="80"/>
      <c r="AC233" s="80"/>
      <c r="AD233" s="80"/>
    </row>
    <row r="234" spans="1:30" ht="15.75">
      <c r="A234" s="137"/>
      <c r="B234" s="139"/>
      <c r="C234" s="139"/>
      <c r="D234" s="139"/>
      <c r="E234" s="139"/>
      <c r="F234" s="139"/>
      <c r="G234" s="139"/>
      <c r="H234" s="80"/>
      <c r="I234" s="80"/>
      <c r="J234" s="80"/>
      <c r="K234" s="80"/>
      <c r="L234" s="80"/>
      <c r="M234" s="80"/>
      <c r="N234" s="80"/>
      <c r="O234" s="80"/>
      <c r="P234" s="80"/>
      <c r="Q234" s="80"/>
      <c r="R234" s="80"/>
      <c r="S234" s="80"/>
      <c r="T234" s="80"/>
      <c r="U234" s="80"/>
      <c r="V234" s="80"/>
      <c r="W234" s="80"/>
      <c r="X234" s="80"/>
      <c r="Y234" s="80"/>
      <c r="Z234" s="80"/>
      <c r="AA234" s="80"/>
      <c r="AB234" s="80"/>
      <c r="AC234" s="80"/>
      <c r="AD234" s="80"/>
    </row>
    <row r="235" spans="1:30" ht="15.75">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c r="AB235" s="80"/>
      <c r="AC235" s="80"/>
      <c r="AD235" s="80"/>
    </row>
    <row r="236" spans="1:30" ht="15.75">
      <c r="A236" s="137"/>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c r="AB236" s="80"/>
      <c r="AC236" s="80"/>
      <c r="AD236" s="80"/>
    </row>
    <row r="237" spans="1:30" ht="15.75">
      <c r="A237" s="139"/>
      <c r="B237" s="139"/>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c r="AB237" s="80"/>
      <c r="AC237" s="80"/>
      <c r="AD237" s="80"/>
    </row>
    <row r="238" spans="1:30" ht="15.75">
      <c r="A238" s="139"/>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c r="AC238" s="80"/>
      <c r="AD238" s="80"/>
    </row>
    <row r="239" spans="1:30" ht="15.75">
      <c r="A239" s="137"/>
      <c r="B239" s="139"/>
      <c r="C239" s="139"/>
      <c r="D239" s="139"/>
      <c r="E239" s="139"/>
      <c r="F239" s="80"/>
      <c r="G239" s="80"/>
      <c r="H239" s="80"/>
      <c r="I239" s="80"/>
      <c r="J239" s="80"/>
      <c r="K239" s="80"/>
      <c r="L239" s="80"/>
      <c r="M239" s="80"/>
      <c r="N239" s="80"/>
      <c r="O239" s="80"/>
      <c r="P239" s="80"/>
      <c r="Q239" s="80"/>
      <c r="R239" s="80"/>
      <c r="S239" s="80"/>
      <c r="T239" s="80"/>
      <c r="U239" s="80"/>
      <c r="V239" s="80"/>
      <c r="W239" s="80"/>
      <c r="X239" s="80"/>
      <c r="Y239" s="80"/>
      <c r="Z239" s="80"/>
      <c r="AA239" s="80"/>
      <c r="AB239" s="80"/>
      <c r="AC239" s="80"/>
      <c r="AD239" s="80"/>
    </row>
    <row r="240" spans="1:30" ht="15.75">
      <c r="A240" s="137"/>
      <c r="B240" s="139"/>
      <c r="C240" s="139"/>
      <c r="D240" s="139"/>
      <c r="E240" s="139"/>
      <c r="F240" s="80"/>
      <c r="G240" s="80"/>
      <c r="H240" s="80"/>
      <c r="I240" s="80"/>
      <c r="J240" s="80"/>
      <c r="K240" s="80"/>
      <c r="L240" s="80"/>
      <c r="M240" s="80"/>
      <c r="N240" s="80"/>
      <c r="O240" s="80"/>
      <c r="P240" s="80"/>
      <c r="Q240" s="80"/>
      <c r="R240" s="80"/>
      <c r="S240" s="80"/>
      <c r="T240" s="80"/>
      <c r="U240" s="80"/>
      <c r="V240" s="80"/>
      <c r="W240" s="80"/>
      <c r="X240" s="80"/>
      <c r="Y240" s="80"/>
      <c r="Z240" s="80"/>
      <c r="AA240" s="80"/>
      <c r="AB240" s="80"/>
      <c r="AC240" s="80"/>
      <c r="AD240" s="80"/>
    </row>
    <row r="241" spans="1:30" ht="15.75">
      <c r="A241" s="137"/>
      <c r="B241" s="139"/>
      <c r="C241" s="139"/>
      <c r="D241" s="139"/>
      <c r="E241" s="139"/>
      <c r="F241" s="80"/>
      <c r="G241" s="80"/>
      <c r="H241" s="80"/>
      <c r="I241" s="80"/>
      <c r="J241" s="80"/>
      <c r="K241" s="80"/>
      <c r="L241" s="80"/>
      <c r="M241" s="80"/>
      <c r="N241" s="80"/>
      <c r="O241" s="80"/>
      <c r="P241" s="80"/>
      <c r="Q241" s="80"/>
      <c r="R241" s="80"/>
      <c r="S241" s="80"/>
      <c r="T241" s="80"/>
      <c r="U241" s="80"/>
      <c r="V241" s="80"/>
      <c r="W241" s="80"/>
      <c r="X241" s="80"/>
      <c r="Y241" s="80"/>
      <c r="Z241" s="80"/>
      <c r="AA241" s="80"/>
      <c r="AB241" s="80"/>
      <c r="AC241" s="80"/>
      <c r="AD241" s="80"/>
    </row>
    <row r="242" spans="1:30" ht="15.75">
      <c r="A242" s="137"/>
      <c r="B242" s="139"/>
      <c r="C242" s="139"/>
      <c r="D242" s="139"/>
      <c r="E242" s="139"/>
      <c r="F242" s="80"/>
      <c r="G242" s="80"/>
      <c r="H242" s="80"/>
      <c r="I242" s="80"/>
      <c r="J242" s="80"/>
      <c r="K242" s="80"/>
      <c r="L242" s="80"/>
      <c r="M242" s="80"/>
      <c r="N242" s="80"/>
      <c r="O242" s="80"/>
      <c r="P242" s="80"/>
      <c r="Q242" s="80"/>
      <c r="R242" s="80"/>
      <c r="S242" s="80"/>
      <c r="T242" s="80"/>
      <c r="U242" s="80"/>
      <c r="V242" s="80"/>
      <c r="W242" s="80"/>
      <c r="X242" s="80"/>
      <c r="Y242" s="80"/>
      <c r="Z242" s="80"/>
      <c r="AA242" s="80"/>
      <c r="AB242" s="80"/>
      <c r="AC242" s="80"/>
      <c r="AD242" s="80"/>
    </row>
    <row r="243" spans="1:30" ht="15.75">
      <c r="A243" s="137"/>
      <c r="B243" s="139"/>
      <c r="C243" s="139"/>
      <c r="D243" s="139"/>
      <c r="E243" s="139"/>
      <c r="F243" s="80"/>
      <c r="G243" s="80"/>
      <c r="H243" s="80"/>
      <c r="I243" s="80"/>
      <c r="J243" s="80"/>
      <c r="K243" s="80"/>
      <c r="L243" s="80"/>
      <c r="M243" s="80"/>
      <c r="N243" s="80"/>
      <c r="O243" s="80"/>
      <c r="P243" s="80"/>
      <c r="Q243" s="80"/>
      <c r="R243" s="80"/>
      <c r="S243" s="80"/>
      <c r="T243" s="80"/>
      <c r="U243" s="80"/>
      <c r="V243" s="80"/>
      <c r="W243" s="80"/>
      <c r="X243" s="80"/>
      <c r="Y243" s="80"/>
      <c r="Z243" s="80"/>
      <c r="AA243" s="80"/>
      <c r="AB243" s="80"/>
      <c r="AC243" s="80"/>
      <c r="AD243" s="80"/>
    </row>
    <row r="244" spans="1:30" ht="15.75">
      <c r="A244" s="137"/>
      <c r="B244" s="139"/>
      <c r="C244" s="139"/>
      <c r="D244" s="139"/>
      <c r="E244" s="139"/>
      <c r="F244" s="80"/>
      <c r="G244" s="80"/>
      <c r="H244" s="80"/>
      <c r="I244" s="80"/>
      <c r="J244" s="80"/>
      <c r="K244" s="80"/>
      <c r="L244" s="80"/>
      <c r="M244" s="80"/>
      <c r="N244" s="80"/>
      <c r="O244" s="80"/>
      <c r="P244" s="80"/>
      <c r="Q244" s="80"/>
      <c r="R244" s="80"/>
      <c r="S244" s="80"/>
      <c r="T244" s="80"/>
      <c r="U244" s="80"/>
      <c r="V244" s="80"/>
      <c r="W244" s="80"/>
      <c r="X244" s="80"/>
      <c r="Y244" s="80"/>
      <c r="Z244" s="80"/>
      <c r="AA244" s="80"/>
      <c r="AB244" s="80"/>
      <c r="AC244" s="80"/>
      <c r="AD244" s="80"/>
    </row>
    <row r="245" spans="1:30" ht="15.75">
      <c r="A245" s="137"/>
      <c r="B245" s="139"/>
      <c r="C245" s="139"/>
      <c r="D245" s="139"/>
      <c r="E245" s="139"/>
      <c r="F245" s="80"/>
      <c r="G245" s="80"/>
      <c r="H245" s="80"/>
      <c r="I245" s="80"/>
      <c r="J245" s="80"/>
      <c r="K245" s="80"/>
      <c r="L245" s="80"/>
      <c r="M245" s="80"/>
      <c r="N245" s="80"/>
      <c r="O245" s="80"/>
      <c r="P245" s="80"/>
      <c r="Q245" s="80"/>
      <c r="R245" s="80"/>
      <c r="S245" s="80"/>
      <c r="T245" s="80"/>
      <c r="U245" s="80"/>
      <c r="V245" s="80"/>
      <c r="W245" s="80"/>
      <c r="X245" s="80"/>
      <c r="Y245" s="80"/>
      <c r="Z245" s="80"/>
      <c r="AA245" s="80"/>
      <c r="AB245" s="80"/>
      <c r="AC245" s="80"/>
      <c r="AD245" s="80"/>
    </row>
    <row r="246" spans="1:30" ht="15.75">
      <c r="A246" s="137"/>
      <c r="B246" s="139"/>
      <c r="C246" s="139"/>
      <c r="D246" s="139"/>
      <c r="E246" s="139"/>
      <c r="F246" s="80"/>
      <c r="G246" s="80"/>
      <c r="H246" s="80"/>
      <c r="I246" s="80"/>
      <c r="J246" s="80"/>
      <c r="K246" s="80"/>
      <c r="L246" s="80"/>
      <c r="M246" s="80"/>
      <c r="N246" s="80"/>
      <c r="O246" s="80"/>
      <c r="P246" s="80"/>
      <c r="Q246" s="80"/>
      <c r="R246" s="80"/>
      <c r="S246" s="80"/>
      <c r="T246" s="80"/>
      <c r="U246" s="80"/>
      <c r="V246" s="80"/>
      <c r="W246" s="80"/>
      <c r="X246" s="80"/>
      <c r="Y246" s="80"/>
      <c r="Z246" s="80"/>
      <c r="AA246" s="80"/>
      <c r="AB246" s="80"/>
      <c r="AC246" s="80"/>
      <c r="AD246" s="80"/>
    </row>
    <row r="247" spans="1:30" ht="15.75">
      <c r="A247" s="137"/>
      <c r="B247" s="139"/>
      <c r="C247" s="139"/>
      <c r="D247" s="139"/>
      <c r="E247" s="139"/>
      <c r="F247" s="80"/>
      <c r="G247" s="80"/>
      <c r="H247" s="80"/>
      <c r="I247" s="80"/>
      <c r="J247" s="80"/>
      <c r="K247" s="80"/>
      <c r="L247" s="80"/>
      <c r="M247" s="80"/>
      <c r="N247" s="80"/>
      <c r="O247" s="80"/>
      <c r="P247" s="80"/>
      <c r="Q247" s="80"/>
      <c r="R247" s="80"/>
      <c r="S247" s="80"/>
      <c r="T247" s="80"/>
      <c r="U247" s="80"/>
      <c r="V247" s="80"/>
      <c r="W247" s="80"/>
      <c r="X247" s="80"/>
      <c r="Y247" s="80"/>
      <c r="Z247" s="80"/>
      <c r="AA247" s="80"/>
      <c r="AB247" s="80"/>
      <c r="AC247" s="80"/>
      <c r="AD247" s="80"/>
    </row>
    <row r="248" spans="1:30" ht="15.75">
      <c r="A248" s="137"/>
      <c r="B248" s="139"/>
      <c r="C248" s="139"/>
      <c r="D248" s="139"/>
      <c r="E248" s="139"/>
      <c r="F248" s="80"/>
      <c r="G248" s="80"/>
      <c r="H248" s="80"/>
      <c r="I248" s="80"/>
      <c r="J248" s="80"/>
      <c r="K248" s="80"/>
      <c r="L248" s="80"/>
      <c r="M248" s="80"/>
      <c r="N248" s="80"/>
      <c r="O248" s="80"/>
      <c r="P248" s="80"/>
      <c r="Q248" s="80"/>
      <c r="R248" s="80"/>
      <c r="S248" s="80"/>
      <c r="T248" s="80"/>
      <c r="U248" s="80"/>
      <c r="V248" s="80"/>
      <c r="W248" s="80"/>
      <c r="X248" s="80"/>
      <c r="Y248" s="80"/>
      <c r="Z248" s="80"/>
      <c r="AA248" s="80"/>
      <c r="AB248" s="80"/>
      <c r="AC248" s="80"/>
      <c r="AD248" s="80"/>
    </row>
    <row r="249" spans="1:30" ht="15.75">
      <c r="A249" s="137"/>
      <c r="B249" s="187"/>
      <c r="C249" s="187"/>
      <c r="D249" s="80"/>
      <c r="E249" s="80"/>
      <c r="F249" s="80"/>
      <c r="G249" s="80"/>
      <c r="H249" s="80"/>
      <c r="I249" s="80"/>
      <c r="J249" s="80"/>
      <c r="K249" s="80"/>
      <c r="L249" s="80"/>
      <c r="M249" s="80"/>
      <c r="N249" s="80"/>
      <c r="O249" s="80"/>
      <c r="P249" s="80"/>
      <c r="Q249" s="80"/>
      <c r="R249" s="80"/>
      <c r="S249" s="80"/>
      <c r="T249" s="80"/>
      <c r="U249" s="80"/>
      <c r="V249" s="80"/>
      <c r="W249" s="80"/>
      <c r="X249" s="80"/>
      <c r="Y249" s="80"/>
      <c r="Z249" s="80"/>
      <c r="AA249" s="80"/>
      <c r="AB249" s="80"/>
      <c r="AC249" s="80"/>
      <c r="AD249" s="80"/>
    </row>
    <row r="250" spans="1:30" ht="15.75">
      <c r="A250" s="137"/>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c r="AB250" s="80"/>
      <c r="AC250" s="80"/>
      <c r="AD250" s="80"/>
    </row>
    <row r="251" spans="1:30" ht="15.75">
      <c r="A251" s="137"/>
      <c r="B251" s="19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c r="AB251" s="80"/>
      <c r="AC251" s="80"/>
      <c r="AD251" s="80"/>
    </row>
    <row r="252" spans="1:30" ht="15.75">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c r="AB252" s="80"/>
      <c r="AC252" s="80"/>
      <c r="AD252" s="80"/>
    </row>
    <row r="253" spans="1:30" ht="15.75">
      <c r="A253" s="139"/>
      <c r="B253" s="139"/>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c r="AB253" s="80"/>
      <c r="AC253" s="80"/>
      <c r="AD253" s="80"/>
    </row>
    <row r="254" spans="1:30" ht="15.75">
      <c r="A254" s="139"/>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c r="AB254" s="80"/>
      <c r="AC254" s="80"/>
      <c r="AD254" s="80"/>
    </row>
    <row r="255" spans="1:30" ht="15.75">
      <c r="A255" s="137"/>
      <c r="B255" s="139"/>
      <c r="C255" s="139"/>
      <c r="D255" s="139"/>
      <c r="E255" s="139"/>
      <c r="F255" s="80"/>
      <c r="G255" s="80"/>
      <c r="H255" s="80"/>
      <c r="I255" s="80"/>
      <c r="J255" s="80"/>
      <c r="K255" s="80"/>
      <c r="L255" s="80"/>
      <c r="M255" s="80"/>
      <c r="N255" s="80"/>
      <c r="O255" s="80"/>
      <c r="P255" s="80"/>
      <c r="Q255" s="80"/>
      <c r="R255" s="80"/>
      <c r="S255" s="80"/>
      <c r="T255" s="80"/>
      <c r="U255" s="80"/>
      <c r="V255" s="80"/>
      <c r="W255" s="80"/>
      <c r="X255" s="80"/>
      <c r="Y255" s="80"/>
      <c r="Z255" s="80"/>
      <c r="AA255" s="80"/>
      <c r="AB255" s="80"/>
      <c r="AC255" s="80"/>
      <c r="AD255" s="80"/>
    </row>
    <row r="256" spans="1:30" ht="15.75">
      <c r="A256" s="137"/>
      <c r="B256" s="139"/>
      <c r="C256" s="139"/>
      <c r="D256" s="139"/>
      <c r="E256" s="139"/>
      <c r="F256" s="80"/>
      <c r="G256" s="80"/>
      <c r="H256" s="80"/>
      <c r="I256" s="80"/>
      <c r="J256" s="80"/>
      <c r="K256" s="80"/>
      <c r="L256" s="80"/>
      <c r="M256" s="80"/>
      <c r="N256" s="80"/>
      <c r="O256" s="80"/>
      <c r="P256" s="80"/>
      <c r="Q256" s="80"/>
      <c r="R256" s="80"/>
      <c r="S256" s="80"/>
      <c r="T256" s="80"/>
      <c r="U256" s="80"/>
      <c r="V256" s="80"/>
      <c r="W256" s="80"/>
      <c r="X256" s="80"/>
      <c r="Y256" s="80"/>
      <c r="Z256" s="80"/>
      <c r="AA256" s="80"/>
      <c r="AB256" s="80"/>
      <c r="AC256" s="80"/>
      <c r="AD256" s="80"/>
    </row>
    <row r="257" spans="1:30" ht="15.75">
      <c r="A257" s="137"/>
      <c r="B257" s="139"/>
      <c r="C257" s="139"/>
      <c r="D257" s="139"/>
      <c r="E257" s="139"/>
      <c r="F257" s="80"/>
      <c r="G257" s="80"/>
      <c r="H257" s="80"/>
      <c r="I257" s="80"/>
      <c r="J257" s="80"/>
      <c r="K257" s="80"/>
      <c r="L257" s="80"/>
      <c r="M257" s="80"/>
      <c r="N257" s="80"/>
      <c r="O257" s="80"/>
      <c r="P257" s="80"/>
      <c r="Q257" s="80"/>
      <c r="R257" s="80"/>
      <c r="S257" s="80"/>
      <c r="T257" s="80"/>
      <c r="U257" s="80"/>
      <c r="V257" s="80"/>
      <c r="W257" s="80"/>
      <c r="X257" s="80"/>
      <c r="Y257" s="80"/>
      <c r="Z257" s="80"/>
      <c r="AA257" s="80"/>
      <c r="AB257" s="80"/>
      <c r="AC257" s="80"/>
      <c r="AD257" s="80"/>
    </row>
    <row r="258" spans="1:30" ht="15.75">
      <c r="A258" s="137"/>
      <c r="B258" s="139"/>
      <c r="C258" s="139"/>
      <c r="D258" s="139"/>
      <c r="E258" s="139"/>
      <c r="F258" s="80"/>
      <c r="G258" s="80"/>
      <c r="H258" s="80"/>
      <c r="I258" s="80"/>
      <c r="J258" s="80"/>
      <c r="K258" s="80"/>
      <c r="L258" s="80"/>
      <c r="M258" s="80"/>
      <c r="N258" s="80"/>
      <c r="O258" s="80"/>
      <c r="P258" s="80"/>
      <c r="Q258" s="80"/>
      <c r="R258" s="80"/>
      <c r="S258" s="80"/>
      <c r="T258" s="80"/>
      <c r="U258" s="80"/>
      <c r="V258" s="80"/>
      <c r="W258" s="80"/>
      <c r="X258" s="80"/>
      <c r="Y258" s="80"/>
      <c r="Z258" s="80"/>
      <c r="AA258" s="80"/>
      <c r="AB258" s="80"/>
      <c r="AC258" s="80"/>
      <c r="AD258" s="80"/>
    </row>
    <row r="259" spans="1:30" ht="15.75">
      <c r="A259" s="137"/>
      <c r="B259" s="139"/>
      <c r="C259" s="139"/>
      <c r="D259" s="139"/>
      <c r="E259" s="139"/>
      <c r="F259" s="80"/>
      <c r="G259" s="80"/>
      <c r="H259" s="80"/>
      <c r="I259" s="80"/>
      <c r="J259" s="80"/>
      <c r="K259" s="80"/>
      <c r="L259" s="80"/>
      <c r="M259" s="80"/>
      <c r="N259" s="80"/>
      <c r="O259" s="80"/>
      <c r="P259" s="80"/>
      <c r="Q259" s="80"/>
      <c r="R259" s="80"/>
      <c r="S259" s="80"/>
      <c r="T259" s="80"/>
      <c r="U259" s="80"/>
      <c r="V259" s="80"/>
      <c r="W259" s="80"/>
      <c r="X259" s="80"/>
      <c r="Y259" s="80"/>
      <c r="Z259" s="80"/>
      <c r="AA259" s="80"/>
      <c r="AB259" s="80"/>
      <c r="AC259" s="80"/>
      <c r="AD259" s="80"/>
    </row>
    <row r="260" spans="1:30" ht="15.75">
      <c r="A260" s="137"/>
      <c r="B260" s="139"/>
      <c r="C260" s="139"/>
      <c r="D260" s="139"/>
      <c r="E260" s="139"/>
      <c r="F260" s="80"/>
      <c r="G260" s="80"/>
      <c r="H260" s="80"/>
      <c r="I260" s="80"/>
      <c r="J260" s="80"/>
      <c r="K260" s="80"/>
      <c r="L260" s="80"/>
      <c r="M260" s="80"/>
      <c r="N260" s="80"/>
      <c r="O260" s="80"/>
      <c r="P260" s="80"/>
      <c r="Q260" s="80"/>
      <c r="R260" s="80"/>
      <c r="S260" s="80"/>
      <c r="T260" s="80"/>
      <c r="U260" s="80"/>
      <c r="V260" s="80"/>
      <c r="W260" s="80"/>
      <c r="X260" s="80"/>
      <c r="Y260" s="80"/>
      <c r="Z260" s="80"/>
      <c r="AA260" s="80"/>
      <c r="AB260" s="80"/>
      <c r="AC260" s="80"/>
      <c r="AD260" s="80"/>
    </row>
    <row r="261" spans="1:30" ht="15.75">
      <c r="A261" s="137"/>
      <c r="B261" s="139"/>
      <c r="C261" s="139"/>
      <c r="D261" s="139"/>
      <c r="E261" s="139"/>
      <c r="F261" s="80"/>
      <c r="G261" s="80"/>
      <c r="H261" s="80"/>
      <c r="I261" s="80"/>
      <c r="J261" s="80"/>
      <c r="K261" s="80"/>
      <c r="L261" s="80"/>
      <c r="M261" s="80"/>
      <c r="N261" s="80"/>
      <c r="O261" s="80"/>
      <c r="P261" s="80"/>
      <c r="Q261" s="80"/>
      <c r="R261" s="80"/>
      <c r="S261" s="80"/>
      <c r="T261" s="80"/>
      <c r="U261" s="80"/>
      <c r="V261" s="80"/>
      <c r="W261" s="80"/>
      <c r="X261" s="80"/>
      <c r="Y261" s="80"/>
      <c r="Z261" s="80"/>
      <c r="AA261" s="80"/>
      <c r="AB261" s="80"/>
      <c r="AC261" s="80"/>
      <c r="AD261" s="80"/>
    </row>
    <row r="262" spans="1:30" ht="15.75">
      <c r="A262" s="137"/>
      <c r="B262" s="139"/>
      <c r="C262" s="139"/>
      <c r="D262" s="139"/>
      <c r="E262" s="139"/>
      <c r="F262" s="80"/>
      <c r="G262" s="80"/>
      <c r="H262" s="80"/>
      <c r="I262" s="80"/>
      <c r="J262" s="80"/>
      <c r="K262" s="80"/>
      <c r="L262" s="80"/>
      <c r="M262" s="80"/>
      <c r="N262" s="80"/>
      <c r="O262" s="80"/>
      <c r="P262" s="80"/>
      <c r="Q262" s="80"/>
      <c r="R262" s="80"/>
      <c r="S262" s="80"/>
      <c r="T262" s="80"/>
      <c r="U262" s="80"/>
      <c r="V262" s="80"/>
      <c r="W262" s="80"/>
      <c r="X262" s="80"/>
      <c r="Y262" s="80"/>
      <c r="Z262" s="80"/>
      <c r="AA262" s="80"/>
      <c r="AB262" s="80"/>
      <c r="AC262" s="80"/>
      <c r="AD262" s="80"/>
    </row>
    <row r="263" spans="1:30" ht="15.75">
      <c r="A263" s="137"/>
      <c r="B263" s="139"/>
      <c r="C263" s="139"/>
      <c r="D263" s="139"/>
      <c r="E263" s="139"/>
      <c r="F263" s="80"/>
      <c r="G263" s="80"/>
      <c r="H263" s="80"/>
      <c r="I263" s="80"/>
      <c r="J263" s="80"/>
      <c r="K263" s="80"/>
      <c r="L263" s="80"/>
      <c r="M263" s="80"/>
      <c r="N263" s="80"/>
      <c r="O263" s="80"/>
      <c r="P263" s="80"/>
      <c r="Q263" s="80"/>
      <c r="R263" s="80"/>
      <c r="S263" s="80"/>
      <c r="T263" s="80"/>
      <c r="U263" s="80"/>
      <c r="V263" s="80"/>
      <c r="W263" s="80"/>
      <c r="X263" s="80"/>
      <c r="Y263" s="80"/>
      <c r="Z263" s="80"/>
      <c r="AA263" s="80"/>
      <c r="AB263" s="80"/>
      <c r="AC263" s="80"/>
      <c r="AD263" s="80"/>
    </row>
    <row r="264" spans="1:30" ht="15.75">
      <c r="A264" s="137"/>
      <c r="B264" s="139"/>
      <c r="C264" s="139"/>
      <c r="D264" s="139"/>
      <c r="E264" s="139"/>
      <c r="F264" s="80"/>
      <c r="G264" s="80"/>
      <c r="H264" s="80"/>
      <c r="I264" s="80"/>
      <c r="J264" s="80"/>
      <c r="K264" s="80"/>
      <c r="L264" s="80"/>
      <c r="M264" s="80"/>
      <c r="N264" s="80"/>
      <c r="O264" s="80"/>
      <c r="P264" s="80"/>
      <c r="Q264" s="80"/>
      <c r="R264" s="80"/>
      <c r="S264" s="80"/>
      <c r="T264" s="80"/>
      <c r="U264" s="80"/>
      <c r="V264" s="80"/>
      <c r="W264" s="80"/>
      <c r="X264" s="80"/>
      <c r="Y264" s="80"/>
      <c r="Z264" s="80"/>
      <c r="AA264" s="80"/>
      <c r="AB264" s="80"/>
      <c r="AC264" s="80"/>
      <c r="AD264" s="80"/>
    </row>
    <row r="265" spans="1:30" ht="15.75">
      <c r="A265" s="137"/>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c r="AB265" s="80"/>
      <c r="AC265" s="80"/>
      <c r="AD265" s="80"/>
    </row>
    <row r="266" spans="1:30" ht="15.75">
      <c r="A266" s="137"/>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c r="AB266" s="80"/>
      <c r="AC266" s="80"/>
      <c r="AD266" s="80"/>
    </row>
    <row r="267" spans="1:30" ht="15.75">
      <c r="A267" s="80"/>
      <c r="B267" s="199"/>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c r="AB267" s="80"/>
      <c r="AC267" s="80"/>
      <c r="AD267" s="80"/>
    </row>
    <row r="268" spans="1:30" ht="15.75">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c r="AB268" s="80"/>
      <c r="AC268" s="80"/>
      <c r="AD268" s="80"/>
    </row>
    <row r="269" spans="1:30" ht="15.75">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c r="AB269" s="80"/>
      <c r="AC269" s="80"/>
      <c r="AD269" s="80"/>
    </row>
    <row r="270" spans="1:30" ht="15.75">
      <c r="A270" s="139"/>
      <c r="B270" s="139"/>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c r="AB270" s="80"/>
      <c r="AC270" s="80"/>
      <c r="AD270" s="80"/>
    </row>
    <row r="271" spans="1:30" ht="15.75">
      <c r="A271" s="139"/>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c r="AA271" s="80"/>
      <c r="AB271" s="80"/>
      <c r="AC271" s="80"/>
      <c r="AD271" s="80"/>
    </row>
    <row r="272" spans="1:30" ht="15.75">
      <c r="A272" s="137"/>
      <c r="B272" s="139"/>
      <c r="C272" s="139"/>
      <c r="D272" s="139"/>
      <c r="E272" s="139"/>
      <c r="F272" s="80"/>
      <c r="G272" s="80"/>
      <c r="H272" s="80"/>
      <c r="I272" s="80"/>
      <c r="J272" s="80"/>
      <c r="K272" s="80"/>
      <c r="L272" s="80"/>
      <c r="M272" s="80"/>
      <c r="N272" s="80"/>
      <c r="O272" s="80"/>
      <c r="P272" s="80"/>
      <c r="Q272" s="80"/>
      <c r="R272" s="80"/>
      <c r="S272" s="80"/>
      <c r="T272" s="80"/>
      <c r="U272" s="80"/>
      <c r="V272" s="80"/>
      <c r="W272" s="80"/>
      <c r="X272" s="80"/>
      <c r="Y272" s="80"/>
      <c r="Z272" s="80"/>
      <c r="AA272" s="80"/>
      <c r="AB272" s="80"/>
      <c r="AC272" s="80"/>
      <c r="AD272" s="80"/>
    </row>
    <row r="273" spans="1:30" ht="15.75">
      <c r="A273" s="137"/>
      <c r="B273" s="139"/>
      <c r="C273" s="139"/>
      <c r="D273" s="139"/>
      <c r="E273" s="139"/>
      <c r="F273" s="80"/>
      <c r="G273" s="80"/>
      <c r="H273" s="80"/>
      <c r="I273" s="80"/>
      <c r="J273" s="80"/>
      <c r="K273" s="80"/>
      <c r="L273" s="80"/>
      <c r="M273" s="80"/>
      <c r="N273" s="80"/>
      <c r="O273" s="80"/>
      <c r="P273" s="80"/>
      <c r="Q273" s="80"/>
      <c r="R273" s="80"/>
      <c r="S273" s="80"/>
      <c r="T273" s="80"/>
      <c r="U273" s="80"/>
      <c r="V273" s="80"/>
      <c r="W273" s="80"/>
      <c r="X273" s="80"/>
      <c r="Y273" s="80"/>
      <c r="Z273" s="80"/>
      <c r="AA273" s="80"/>
      <c r="AB273" s="80"/>
      <c r="AC273" s="80"/>
      <c r="AD273" s="80"/>
    </row>
    <row r="274" spans="1:30" ht="15.75">
      <c r="A274" s="137"/>
      <c r="B274" s="139"/>
      <c r="C274" s="139"/>
      <c r="D274" s="139"/>
      <c r="E274" s="139"/>
      <c r="F274" s="80"/>
      <c r="G274" s="80"/>
      <c r="H274" s="80"/>
      <c r="I274" s="80"/>
      <c r="J274" s="80"/>
      <c r="K274" s="80"/>
      <c r="L274" s="80"/>
      <c r="M274" s="80"/>
      <c r="N274" s="80"/>
      <c r="O274" s="80"/>
      <c r="P274" s="80"/>
      <c r="Q274" s="80"/>
      <c r="R274" s="80"/>
      <c r="S274" s="80"/>
      <c r="T274" s="80"/>
      <c r="U274" s="80"/>
      <c r="V274" s="80"/>
      <c r="W274" s="80"/>
      <c r="X274" s="80"/>
      <c r="Y274" s="80"/>
      <c r="Z274" s="80"/>
      <c r="AA274" s="80"/>
      <c r="AB274" s="80"/>
      <c r="AC274" s="80"/>
      <c r="AD274" s="80"/>
    </row>
    <row r="275" spans="1:30" ht="15.75">
      <c r="A275" s="137"/>
      <c r="B275" s="139"/>
      <c r="C275" s="139"/>
      <c r="D275" s="139"/>
      <c r="E275" s="139"/>
      <c r="F275" s="80"/>
      <c r="G275" s="80"/>
      <c r="H275" s="80"/>
      <c r="I275" s="80"/>
      <c r="J275" s="80"/>
      <c r="K275" s="80"/>
      <c r="L275" s="80"/>
      <c r="M275" s="80"/>
      <c r="N275" s="80"/>
      <c r="O275" s="80"/>
      <c r="P275" s="80"/>
      <c r="Q275" s="80"/>
      <c r="R275" s="80"/>
      <c r="S275" s="80"/>
      <c r="T275" s="80"/>
      <c r="U275" s="80"/>
      <c r="V275" s="80"/>
      <c r="W275" s="80"/>
      <c r="X275" s="80"/>
      <c r="Y275" s="80"/>
      <c r="Z275" s="80"/>
      <c r="AA275" s="80"/>
      <c r="AB275" s="80"/>
      <c r="AC275" s="80"/>
      <c r="AD275" s="80"/>
    </row>
    <row r="276" spans="1:30" ht="15.75">
      <c r="A276" s="137"/>
      <c r="B276" s="139"/>
      <c r="C276" s="139"/>
      <c r="D276" s="139"/>
      <c r="E276" s="139"/>
      <c r="F276" s="80"/>
      <c r="G276" s="80"/>
      <c r="H276" s="80"/>
      <c r="I276" s="80"/>
      <c r="J276" s="80"/>
      <c r="K276" s="80"/>
      <c r="L276" s="80"/>
      <c r="M276" s="80"/>
      <c r="N276" s="80"/>
      <c r="O276" s="80"/>
      <c r="P276" s="80"/>
      <c r="Q276" s="80"/>
      <c r="R276" s="80"/>
      <c r="S276" s="80"/>
      <c r="T276" s="80"/>
      <c r="U276" s="80"/>
      <c r="V276" s="80"/>
      <c r="W276" s="80"/>
      <c r="X276" s="80"/>
      <c r="Y276" s="80"/>
      <c r="Z276" s="80"/>
      <c r="AA276" s="80"/>
      <c r="AB276" s="80"/>
      <c r="AC276" s="80"/>
      <c r="AD276" s="80"/>
    </row>
    <row r="277" spans="1:30" ht="15.75">
      <c r="A277" s="137"/>
      <c r="B277" s="139"/>
      <c r="C277" s="139"/>
      <c r="D277" s="139"/>
      <c r="E277" s="139"/>
      <c r="F277" s="80"/>
      <c r="G277" s="80"/>
      <c r="H277" s="80"/>
      <c r="I277" s="80"/>
      <c r="J277" s="80"/>
      <c r="K277" s="80"/>
      <c r="L277" s="80"/>
      <c r="M277" s="80"/>
      <c r="N277" s="80"/>
      <c r="O277" s="80"/>
      <c r="P277" s="80"/>
      <c r="Q277" s="80"/>
      <c r="R277" s="80"/>
      <c r="S277" s="80"/>
      <c r="T277" s="80"/>
      <c r="U277" s="80"/>
      <c r="V277" s="80"/>
      <c r="W277" s="80"/>
      <c r="X277" s="80"/>
      <c r="Y277" s="80"/>
      <c r="Z277" s="80"/>
      <c r="AA277" s="80"/>
      <c r="AB277" s="80"/>
      <c r="AC277" s="80"/>
      <c r="AD277" s="80"/>
    </row>
    <row r="278" spans="1:30" ht="15.75">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c r="AA278" s="80"/>
      <c r="AB278" s="80"/>
      <c r="AC278" s="80"/>
      <c r="AD278" s="80"/>
    </row>
    <row r="279" spans="1:30" ht="15.75">
      <c r="A279" s="137"/>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c r="AC279" s="80"/>
      <c r="AD279" s="80"/>
    </row>
    <row r="280" spans="1:30" ht="15.75">
      <c r="A280" s="137"/>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c r="AB280" s="80"/>
      <c r="AC280" s="80"/>
      <c r="AD280" s="80"/>
    </row>
    <row r="281" spans="1:30" ht="15.75">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c r="AA281" s="80"/>
      <c r="AB281" s="80"/>
      <c r="AC281" s="80"/>
      <c r="AD281" s="80"/>
    </row>
    <row r="282" spans="1:30" ht="15.75">
      <c r="A282" s="80"/>
      <c r="B282" s="204"/>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c r="AB282" s="80"/>
      <c r="AC282" s="80"/>
      <c r="AD282" s="80"/>
    </row>
    <row r="283" spans="1:30" ht="15.75">
      <c r="A283" s="80"/>
      <c r="B283" s="204"/>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c r="AB283" s="80"/>
      <c r="AC283" s="80"/>
      <c r="AD283" s="80"/>
    </row>
    <row r="284" spans="1:30" ht="15.75">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c r="AB284" s="80"/>
      <c r="AC284" s="80"/>
      <c r="AD284" s="80"/>
    </row>
    <row r="285" spans="1:30" ht="15.75">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c r="AA285" s="80"/>
      <c r="AB285" s="80"/>
      <c r="AC285" s="80"/>
      <c r="AD285" s="80"/>
    </row>
    <row r="286" spans="1:30" ht="15.75">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c r="AB286" s="80"/>
      <c r="AC286" s="80"/>
      <c r="AD286" s="80"/>
    </row>
    <row r="287" spans="1:30" ht="15.75">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c r="AB287" s="80"/>
      <c r="AC287" s="80"/>
      <c r="AD287" s="80"/>
    </row>
    <row r="288" spans="1:30" ht="15.75">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c r="AB288" s="80"/>
      <c r="AC288" s="80"/>
      <c r="AD288" s="80"/>
    </row>
    <row r="289" spans="1:30" ht="15.75">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c r="AB289" s="80"/>
      <c r="AC289" s="80"/>
      <c r="AD289" s="80"/>
    </row>
    <row r="290" spans="1:30" ht="15.75">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c r="AB290" s="80"/>
      <c r="AC290" s="80"/>
      <c r="AD290" s="80"/>
    </row>
    <row r="291" spans="1:30" ht="15.75">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c r="AA291" s="80"/>
      <c r="AB291" s="80"/>
      <c r="AC291" s="80"/>
      <c r="AD291" s="80"/>
    </row>
    <row r="292" spans="1:30" ht="15.75">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c r="AA292" s="80"/>
      <c r="AB292" s="80"/>
      <c r="AC292" s="80"/>
      <c r="AD292" s="80"/>
    </row>
    <row r="293" spans="1:30" ht="15.75">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c r="AB293" s="80"/>
      <c r="AC293" s="80"/>
      <c r="AD293" s="80"/>
    </row>
    <row r="294" spans="1:30" ht="15.75">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c r="AA294" s="80"/>
      <c r="AB294" s="80"/>
      <c r="AC294" s="80"/>
      <c r="AD294" s="80"/>
    </row>
    <row r="295" spans="1:30" ht="15.75">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c r="AA295" s="80"/>
      <c r="AB295" s="80"/>
      <c r="AC295" s="80"/>
      <c r="AD295" s="80"/>
    </row>
    <row r="296" spans="1:30" ht="15.75">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c r="AB296" s="80"/>
      <c r="AC296" s="80"/>
      <c r="AD296" s="80"/>
    </row>
    <row r="297" spans="1:30" ht="15.75">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c r="AC297" s="80"/>
      <c r="AD297" s="80"/>
    </row>
    <row r="298" spans="1:30" ht="15.75">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c r="AB298" s="80"/>
      <c r="AC298" s="80"/>
      <c r="AD298" s="80"/>
    </row>
    <row r="299" spans="1:30" ht="15.75">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c r="AB299" s="80"/>
      <c r="AC299" s="80"/>
      <c r="AD299" s="80"/>
    </row>
    <row r="300" spans="1:30" ht="15.75">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c r="AB300" s="80"/>
      <c r="AC300" s="80"/>
      <c r="AD300" s="80"/>
    </row>
    <row r="301" spans="1:30" ht="15.75">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c r="AB301" s="80"/>
      <c r="AC301" s="80"/>
      <c r="AD301" s="80"/>
    </row>
    <row r="302" spans="1:30" ht="15.75">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c r="AB302" s="80"/>
      <c r="AC302" s="80"/>
      <c r="AD302" s="80"/>
    </row>
    <row r="303" spans="1:30" ht="15.75">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c r="AA303" s="80"/>
      <c r="AB303" s="80"/>
      <c r="AC303" s="80"/>
      <c r="AD303" s="80"/>
    </row>
    <row r="304" spans="1:30" ht="15.75">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c r="AB304" s="80"/>
      <c r="AC304" s="80"/>
      <c r="AD304" s="80"/>
    </row>
    <row r="305" spans="1:30" ht="15.75">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c r="AB305" s="80"/>
      <c r="AC305" s="80"/>
      <c r="AD305" s="80"/>
    </row>
    <row r="306" spans="1:30" ht="15.75">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c r="AB306" s="80"/>
      <c r="AC306" s="80"/>
      <c r="AD306" s="80"/>
    </row>
    <row r="307" spans="1:30" ht="15.75">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c r="AB307" s="80"/>
      <c r="AC307" s="80"/>
      <c r="AD307" s="80"/>
    </row>
    <row r="308" spans="1:30" ht="15.75">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c r="AB308" s="80"/>
      <c r="AC308" s="80"/>
      <c r="AD308" s="80"/>
    </row>
    <row r="309" spans="1:30" ht="15.75">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c r="AB309" s="80"/>
      <c r="AC309" s="80"/>
      <c r="AD309" s="80"/>
    </row>
    <row r="310" spans="1:30" ht="15.75">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c r="AA310" s="80"/>
      <c r="AB310" s="80"/>
      <c r="AC310" s="80"/>
      <c r="AD310" s="80"/>
    </row>
    <row r="311" spans="1:30" ht="15.75">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c r="AB311" s="80"/>
      <c r="AC311" s="80"/>
      <c r="AD311" s="80"/>
    </row>
    <row r="312" spans="1:30" ht="15.75">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c r="AB312" s="80"/>
      <c r="AC312" s="80"/>
      <c r="AD312" s="80"/>
    </row>
    <row r="313" spans="1:30" ht="15.75">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c r="AA313" s="80"/>
      <c r="AB313" s="80"/>
      <c r="AC313" s="80"/>
      <c r="AD313" s="80"/>
    </row>
    <row r="314" spans="1:30" ht="15.75">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c r="AB314" s="80"/>
      <c r="AC314" s="80"/>
      <c r="AD314" s="80"/>
    </row>
    <row r="315" spans="1:30" ht="15.75">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c r="AB315" s="80"/>
      <c r="AC315" s="80"/>
      <c r="AD315" s="80"/>
    </row>
    <row r="316" spans="1:30" ht="15.75">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c r="AB316" s="80"/>
      <c r="AC316" s="80"/>
      <c r="AD316" s="80"/>
    </row>
    <row r="317" spans="1:30" ht="15.75">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c r="AB317" s="80"/>
      <c r="AC317" s="80"/>
      <c r="AD317" s="80"/>
    </row>
    <row r="318" spans="1:30" ht="15.75">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c r="AB318" s="80"/>
      <c r="AC318" s="80"/>
      <c r="AD318" s="80"/>
    </row>
    <row r="319" spans="1:30" ht="15.75">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c r="AB319" s="80"/>
      <c r="AC319" s="80"/>
      <c r="AD319" s="80"/>
    </row>
    <row r="320" spans="1:30" ht="15.75">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c r="AB320" s="80"/>
      <c r="AC320" s="80"/>
      <c r="AD320" s="80"/>
    </row>
    <row r="321" spans="1:30" ht="15.75">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c r="AB321" s="80"/>
      <c r="AC321" s="80"/>
      <c r="AD321" s="80"/>
    </row>
    <row r="322" spans="1:30" ht="15.75">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c r="AB322" s="80"/>
      <c r="AC322" s="80"/>
      <c r="AD322" s="80"/>
    </row>
    <row r="323" spans="1:30" ht="15.75">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c r="AC323" s="80"/>
      <c r="AD323" s="80"/>
    </row>
    <row r="324" spans="1:30" ht="15.75">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c r="AC324" s="80"/>
      <c r="AD324" s="80"/>
    </row>
    <row r="325" spans="1:30" ht="15.75">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c r="AB325" s="80"/>
      <c r="AC325" s="80"/>
      <c r="AD325" s="80"/>
    </row>
    <row r="326" spans="1:30" ht="15.75">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c r="AB326" s="80"/>
      <c r="AC326" s="80"/>
      <c r="AD326" s="80"/>
    </row>
    <row r="327" spans="1:30" ht="15.75">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c r="AB327" s="80"/>
      <c r="AC327" s="80"/>
      <c r="AD327" s="80"/>
    </row>
    <row r="328" spans="1:30" ht="15.75">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c r="AB328" s="80"/>
      <c r="AC328" s="80"/>
      <c r="AD328" s="80"/>
    </row>
    <row r="329" spans="1:30" ht="15.75">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c r="AB329" s="80"/>
      <c r="AC329" s="80"/>
      <c r="AD329" s="80"/>
    </row>
    <row r="330" spans="1:30" ht="15.75">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c r="AB330" s="80"/>
      <c r="AC330" s="80"/>
      <c r="AD330" s="80"/>
    </row>
    <row r="331" spans="1:30" ht="15.75">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c r="AA331" s="80"/>
      <c r="AB331" s="80"/>
      <c r="AC331" s="80"/>
      <c r="AD331" s="80"/>
    </row>
    <row r="332" spans="1:30" ht="15.75">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c r="AB332" s="80"/>
      <c r="AC332" s="80"/>
      <c r="AD332" s="80"/>
    </row>
    <row r="333" spans="1:30" ht="15.75">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c r="AB333" s="80"/>
      <c r="AC333" s="80"/>
      <c r="AD333" s="80"/>
    </row>
    <row r="334" spans="1:30" ht="15.75">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c r="AC334" s="80"/>
      <c r="AD334" s="80"/>
    </row>
    <row r="335" spans="1:30" ht="15.75">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c r="AA335" s="80"/>
      <c r="AB335" s="80"/>
      <c r="AC335" s="80"/>
      <c r="AD335" s="80"/>
    </row>
    <row r="336" spans="1:30" ht="15.75">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c r="AA336" s="80"/>
      <c r="AB336" s="80"/>
      <c r="AC336" s="80"/>
      <c r="AD336" s="80"/>
    </row>
    <row r="337" spans="1:30" ht="15.75">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c r="AA337" s="80"/>
      <c r="AB337" s="80"/>
      <c r="AC337" s="80"/>
      <c r="AD337" s="80"/>
    </row>
    <row r="338" spans="1:30" ht="15.75">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c r="AA338" s="80"/>
      <c r="AB338" s="80"/>
      <c r="AC338" s="80"/>
      <c r="AD338" s="80"/>
    </row>
    <row r="339" spans="1:30" ht="15.75">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c r="AA339" s="80"/>
      <c r="AB339" s="80"/>
      <c r="AC339" s="80"/>
      <c r="AD339" s="80"/>
    </row>
    <row r="340" spans="1:30" ht="15.75">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c r="AA340" s="80"/>
      <c r="AB340" s="80"/>
      <c r="AC340" s="80"/>
      <c r="AD340" s="80"/>
    </row>
    <row r="341" spans="1:30" ht="15.75">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c r="AC341" s="80"/>
      <c r="AD341" s="80"/>
    </row>
    <row r="342" spans="1:30" ht="15.75">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c r="AB342" s="80"/>
      <c r="AC342" s="80"/>
      <c r="AD342" s="80"/>
    </row>
    <row r="343" spans="1:30" ht="15.75">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c r="AB343" s="80"/>
      <c r="AC343" s="80"/>
      <c r="AD343" s="80"/>
    </row>
    <row r="344" spans="1:30" ht="15.75">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c r="AA344" s="80"/>
      <c r="AB344" s="80"/>
      <c r="AC344" s="80"/>
      <c r="AD344" s="80"/>
    </row>
    <row r="345" spans="1:30" ht="15.75">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c r="AB345" s="80"/>
      <c r="AC345" s="80"/>
      <c r="AD345" s="80"/>
    </row>
    <row r="346" spans="1:30" ht="15.75">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c r="AA346" s="80"/>
      <c r="AB346" s="80"/>
      <c r="AC346" s="80"/>
      <c r="AD346" s="80"/>
    </row>
    <row r="347" spans="1:30" ht="15.75">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c r="AB347" s="80"/>
      <c r="AC347" s="80"/>
      <c r="AD347" s="80"/>
    </row>
    <row r="348" spans="1:30" ht="15.75">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c r="AA348" s="80"/>
      <c r="AB348" s="80"/>
      <c r="AC348" s="80"/>
      <c r="AD348" s="80"/>
    </row>
    <row r="349" spans="1:30" ht="15.75">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c r="AB349" s="80"/>
      <c r="AC349" s="80"/>
      <c r="AD349" s="80"/>
    </row>
    <row r="350" spans="1:30" ht="15.75">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c r="AB350" s="80"/>
      <c r="AC350" s="80"/>
      <c r="AD350" s="80"/>
    </row>
    <row r="351" spans="1:30" ht="15.75">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c r="AA351" s="80"/>
      <c r="AB351" s="80"/>
      <c r="AC351" s="80"/>
      <c r="AD351" s="80"/>
    </row>
    <row r="352" spans="1:30" ht="15.75">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c r="AA352" s="80"/>
      <c r="AB352" s="80"/>
      <c r="AC352" s="80"/>
      <c r="AD352" s="80"/>
    </row>
    <row r="353" spans="1:30" ht="15.75">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c r="AB353" s="80"/>
      <c r="AC353" s="80"/>
      <c r="AD353" s="80"/>
    </row>
    <row r="354" spans="1:30" ht="15.75">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c r="AB354" s="80"/>
      <c r="AC354" s="80"/>
      <c r="AD354" s="80"/>
    </row>
    <row r="355" spans="1:30" ht="15.75">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c r="AB355" s="80"/>
      <c r="AC355" s="80"/>
      <c r="AD355" s="80"/>
    </row>
    <row r="356" spans="1:30" ht="15.75">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c r="AB356" s="80"/>
      <c r="AC356" s="80"/>
      <c r="AD356" s="80"/>
    </row>
    <row r="357" spans="1:30" ht="15.75">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c r="AA357" s="80"/>
      <c r="AB357" s="80"/>
      <c r="AC357" s="80"/>
      <c r="AD357" s="80"/>
    </row>
    <row r="358" spans="1:30" ht="15.75">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c r="AB358" s="80"/>
      <c r="AC358" s="80"/>
      <c r="AD358" s="80"/>
    </row>
    <row r="359" spans="1:30" ht="15.75">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c r="AC359" s="80"/>
      <c r="AD359" s="80"/>
    </row>
    <row r="360" spans="1:30" ht="15.75">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c r="AB360" s="80"/>
      <c r="AC360" s="80"/>
      <c r="AD360" s="80"/>
    </row>
    <row r="361" spans="1:30" ht="15.75">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c r="AB361" s="80"/>
      <c r="AC361" s="80"/>
      <c r="AD361" s="80"/>
    </row>
    <row r="362" spans="1:30" ht="15.75">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c r="AB362" s="80"/>
      <c r="AC362" s="80"/>
      <c r="AD362" s="80"/>
    </row>
    <row r="363" spans="1:30" ht="15.75">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c r="AA363" s="80"/>
      <c r="AB363" s="80"/>
      <c r="AC363" s="80"/>
      <c r="AD363" s="80"/>
    </row>
    <row r="364" spans="1:30" ht="15.75">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c r="AB364" s="80"/>
      <c r="AC364" s="80"/>
      <c r="AD364" s="80"/>
    </row>
    <row r="365" spans="1:30" ht="15.75">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c r="AB365" s="80"/>
      <c r="AC365" s="80"/>
      <c r="AD365" s="80"/>
    </row>
    <row r="366" spans="1:30" ht="15.75">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c r="AB366" s="80"/>
      <c r="AC366" s="80"/>
      <c r="AD366" s="80"/>
    </row>
    <row r="367" spans="1:30" ht="15.75">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c r="AA367" s="80"/>
      <c r="AB367" s="80"/>
      <c r="AC367" s="80"/>
      <c r="AD367" s="80"/>
    </row>
    <row r="368" spans="1:30" ht="15.75">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c r="AB368" s="80"/>
      <c r="AC368" s="80"/>
      <c r="AD368" s="80"/>
    </row>
    <row r="369" spans="1:30" ht="15.75">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c r="AB369" s="80"/>
      <c r="AC369" s="80"/>
      <c r="AD369" s="80"/>
    </row>
    <row r="370" spans="1:30" ht="15.75">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c r="AB370" s="80"/>
      <c r="AC370" s="80"/>
      <c r="AD370" s="80"/>
    </row>
    <row r="371" spans="1:30" ht="15.75">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c r="AB371" s="80"/>
      <c r="AC371" s="80"/>
      <c r="AD371" s="80"/>
    </row>
    <row r="372" spans="1:30" ht="15.75">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c r="AA372" s="80"/>
      <c r="AB372" s="80"/>
      <c r="AC372" s="80"/>
      <c r="AD372" s="80"/>
    </row>
    <row r="373" spans="1:30" ht="15.75">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c r="AB373" s="80"/>
      <c r="AC373" s="80"/>
      <c r="AD373" s="80"/>
    </row>
    <row r="374" spans="1:30" ht="15.75">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c r="AB374" s="80"/>
      <c r="AC374" s="80"/>
      <c r="AD374" s="80"/>
    </row>
    <row r="375" spans="1:30" ht="15.75">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c r="AC375" s="80"/>
      <c r="AD375" s="80"/>
    </row>
    <row r="376" spans="1:30" ht="15.75">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c r="AA376" s="80"/>
      <c r="AB376" s="80"/>
      <c r="AC376" s="80"/>
      <c r="AD376" s="80"/>
    </row>
    <row r="377" spans="1:30" ht="15.75">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c r="AB377" s="80"/>
      <c r="AC377" s="80"/>
      <c r="AD377" s="80"/>
    </row>
    <row r="378" spans="1:30" ht="15.75">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c r="AA378" s="80"/>
      <c r="AB378" s="80"/>
      <c r="AC378" s="80"/>
      <c r="AD378" s="80"/>
    </row>
    <row r="379" spans="1:30" ht="15.75">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c r="AB379" s="80"/>
      <c r="AC379" s="80"/>
      <c r="AD379" s="80"/>
    </row>
    <row r="380" spans="1:30" ht="15.75">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c r="AB380" s="80"/>
      <c r="AC380" s="80"/>
      <c r="AD380" s="80"/>
    </row>
    <row r="381" spans="1:30" ht="15.75">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c r="AB381" s="80"/>
      <c r="AC381" s="80"/>
      <c r="AD381" s="80"/>
    </row>
    <row r="382" spans="1:30" ht="15.75">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c r="AB382" s="80"/>
      <c r="AC382" s="80"/>
      <c r="AD382" s="80"/>
    </row>
    <row r="383" spans="1:30" ht="15.75">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c r="AA383" s="80"/>
      <c r="AB383" s="80"/>
      <c r="AC383" s="80"/>
      <c r="AD383" s="80"/>
    </row>
    <row r="384" spans="1:30" ht="15.75">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c r="AA384" s="80"/>
      <c r="AB384" s="80"/>
      <c r="AC384" s="80"/>
      <c r="AD384" s="80"/>
    </row>
    <row r="385" spans="1:30" ht="15.75">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c r="AB385" s="80"/>
      <c r="AC385" s="80"/>
      <c r="AD385" s="80"/>
    </row>
    <row r="386" spans="1:30" ht="15.75">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c r="AB386" s="80"/>
      <c r="AC386" s="80"/>
      <c r="AD386" s="80"/>
    </row>
    <row r="387" spans="1:30" ht="15.75">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c r="AA387" s="80"/>
      <c r="AB387" s="80"/>
      <c r="AC387" s="80"/>
      <c r="AD387" s="80"/>
    </row>
    <row r="388" spans="1:30" ht="15.75">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c r="AA388" s="80"/>
      <c r="AB388" s="80"/>
      <c r="AC388" s="80"/>
      <c r="AD388" s="80"/>
    </row>
    <row r="389" spans="1:30" ht="15.75">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c r="AB389" s="80"/>
      <c r="AC389" s="80"/>
      <c r="AD389" s="80"/>
    </row>
    <row r="390" spans="1:30" ht="15.75">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c r="AA390" s="80"/>
      <c r="AB390" s="80"/>
      <c r="AC390" s="80"/>
      <c r="AD390" s="80"/>
    </row>
    <row r="391" spans="1:30" ht="15.75">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c r="AB391" s="80"/>
      <c r="AC391" s="80"/>
      <c r="AD391" s="80"/>
    </row>
    <row r="392" spans="1:30" ht="15.75">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c r="AA392" s="80"/>
      <c r="AB392" s="80"/>
      <c r="AC392" s="80"/>
      <c r="AD392" s="80"/>
    </row>
    <row r="393" spans="1:30" ht="15.75">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c r="AB393" s="80"/>
      <c r="AC393" s="80"/>
      <c r="AD393" s="80"/>
    </row>
    <row r="394" spans="1:30" ht="15.75">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c r="AA394" s="80"/>
      <c r="AB394" s="80"/>
      <c r="AC394" s="80"/>
      <c r="AD394" s="80"/>
    </row>
    <row r="395" spans="1:30" ht="15.75">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c r="AA395" s="80"/>
      <c r="AB395" s="80"/>
      <c r="AC395" s="80"/>
      <c r="AD395" s="80"/>
    </row>
    <row r="396" spans="1:30" ht="15.75">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c r="AA396" s="80"/>
      <c r="AB396" s="80"/>
      <c r="AC396" s="80"/>
      <c r="AD396" s="80"/>
    </row>
    <row r="397" spans="1:30" ht="15.75">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c r="AA397" s="80"/>
      <c r="AB397" s="80"/>
      <c r="AC397" s="80"/>
      <c r="AD397" s="80"/>
    </row>
    <row r="398" spans="1:30" ht="15.75">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c r="AA398" s="80"/>
      <c r="AB398" s="80"/>
      <c r="AC398" s="80"/>
      <c r="AD398" s="80"/>
    </row>
    <row r="399" spans="1:30" ht="15.75">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c r="AA399" s="80"/>
      <c r="AB399" s="80"/>
      <c r="AC399" s="80"/>
      <c r="AD399" s="80"/>
    </row>
    <row r="400" spans="1:30" ht="15.75">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c r="AA400" s="80"/>
      <c r="AB400" s="80"/>
      <c r="AC400" s="80"/>
      <c r="AD400" s="80"/>
    </row>
    <row r="401" spans="1:30" ht="15.75">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c r="AA401" s="80"/>
      <c r="AB401" s="80"/>
      <c r="AC401" s="80"/>
      <c r="AD401" s="80"/>
    </row>
    <row r="402" spans="1:30" ht="15.75">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c r="AA402" s="80"/>
      <c r="AB402" s="80"/>
      <c r="AC402" s="80"/>
      <c r="AD402" s="80"/>
    </row>
    <row r="403" spans="1:30" ht="15.75">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c r="AA403" s="80"/>
      <c r="AB403" s="80"/>
      <c r="AC403" s="80"/>
      <c r="AD403" s="80"/>
    </row>
    <row r="404" spans="1:30" ht="15.75">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c r="AA404" s="80"/>
      <c r="AB404" s="80"/>
      <c r="AC404" s="80"/>
      <c r="AD404" s="80"/>
    </row>
    <row r="405" spans="1:30" ht="15.75">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c r="AA405" s="80"/>
      <c r="AB405" s="80"/>
      <c r="AC405" s="80"/>
      <c r="AD405" s="80"/>
    </row>
    <row r="406" spans="1:30" ht="15.75">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c r="AA406" s="80"/>
      <c r="AB406" s="80"/>
      <c r="AC406" s="80"/>
      <c r="AD406" s="80"/>
    </row>
    <row r="407" spans="1:30" ht="15.75">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c r="AC407" s="80"/>
      <c r="AD407" s="80"/>
    </row>
    <row r="408" spans="1:30" ht="15.75">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c r="AA408" s="80"/>
      <c r="AB408" s="80"/>
      <c r="AC408" s="80"/>
      <c r="AD408" s="80"/>
    </row>
    <row r="409" spans="1:30" ht="15.75">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c r="AA409" s="80"/>
      <c r="AB409" s="80"/>
      <c r="AC409" s="80"/>
      <c r="AD409" s="80"/>
    </row>
    <row r="410" spans="1:30" ht="15.75">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c r="AA410" s="80"/>
      <c r="AB410" s="80"/>
      <c r="AC410" s="80"/>
      <c r="AD410" s="80"/>
    </row>
    <row r="411" spans="1:30" ht="15.75">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c r="AA411" s="80"/>
      <c r="AB411" s="80"/>
      <c r="AC411" s="80"/>
      <c r="AD411" s="80"/>
    </row>
    <row r="412" spans="1:30" ht="15.75">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c r="AA412" s="80"/>
      <c r="AB412" s="80"/>
      <c r="AC412" s="80"/>
      <c r="AD412" s="80"/>
    </row>
    <row r="413" spans="1:30" ht="15.75">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c r="AA413" s="80"/>
      <c r="AB413" s="80"/>
      <c r="AC413" s="80"/>
      <c r="AD413" s="80"/>
    </row>
    <row r="414" spans="1:30" ht="15.75">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c r="AA414" s="80"/>
      <c r="AB414" s="80"/>
      <c r="AC414" s="80"/>
      <c r="AD414" s="80"/>
    </row>
    <row r="415" spans="1:30" ht="15.75">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c r="AA415" s="80"/>
      <c r="AB415" s="80"/>
      <c r="AC415" s="80"/>
      <c r="AD415" s="80"/>
    </row>
    <row r="416" spans="1:30" ht="15.75">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c r="AA416" s="80"/>
      <c r="AB416" s="80"/>
      <c r="AC416" s="80"/>
      <c r="AD416" s="80"/>
    </row>
    <row r="417" spans="1:30" ht="15.75">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c r="AA417" s="80"/>
      <c r="AB417" s="80"/>
      <c r="AC417" s="80"/>
      <c r="AD417" s="80"/>
    </row>
    <row r="418" spans="1:30" ht="15.75">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c r="AA418" s="80"/>
      <c r="AB418" s="80"/>
      <c r="AC418" s="80"/>
      <c r="AD418" s="80"/>
    </row>
    <row r="419" spans="1:30" ht="15.75">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c r="AA419" s="80"/>
      <c r="AB419" s="80"/>
      <c r="AC419" s="80"/>
      <c r="AD419" s="80"/>
    </row>
    <row r="420" spans="1:30" ht="15.75">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c r="AA420" s="80"/>
      <c r="AB420" s="80"/>
      <c r="AC420" s="80"/>
      <c r="AD420" s="80"/>
    </row>
    <row r="421" spans="1:30" ht="15.75">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c r="AA421" s="80"/>
      <c r="AB421" s="80"/>
      <c r="AC421" s="80"/>
      <c r="AD421" s="80"/>
    </row>
    <row r="422" spans="1:30" ht="15.75">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c r="AA422" s="80"/>
      <c r="AB422" s="80"/>
      <c r="AC422" s="80"/>
      <c r="AD422" s="80"/>
    </row>
    <row r="423" spans="1:30" ht="15.75">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c r="AA423" s="80"/>
      <c r="AB423" s="80"/>
      <c r="AC423" s="80"/>
      <c r="AD423" s="80"/>
    </row>
    <row r="424" spans="1:30" ht="15.75">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c r="AA424" s="80"/>
      <c r="AB424" s="80"/>
      <c r="AC424" s="80"/>
      <c r="AD424" s="80"/>
    </row>
    <row r="425" spans="1:30" ht="15.75">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c r="AA425" s="80"/>
      <c r="AB425" s="80"/>
      <c r="AC425" s="80"/>
      <c r="AD425" s="80"/>
    </row>
    <row r="426" spans="1:30" ht="15.75">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c r="AA426" s="80"/>
      <c r="AB426" s="80"/>
      <c r="AC426" s="80"/>
      <c r="AD426" s="80"/>
    </row>
    <row r="427" spans="1:30" ht="15.75">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c r="AA427" s="80"/>
      <c r="AB427" s="80"/>
      <c r="AC427" s="80"/>
      <c r="AD427" s="80"/>
    </row>
    <row r="428" spans="1:30" ht="15.75">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c r="AA428" s="80"/>
      <c r="AB428" s="80"/>
      <c r="AC428" s="80"/>
      <c r="AD428" s="80"/>
    </row>
    <row r="429" spans="1:30" ht="15.75">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c r="AA429" s="80"/>
      <c r="AB429" s="80"/>
      <c r="AC429" s="80"/>
      <c r="AD429" s="80"/>
    </row>
    <row r="430" spans="1:30" ht="15.75">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c r="AA430" s="80"/>
      <c r="AB430" s="80"/>
      <c r="AC430" s="80"/>
      <c r="AD430" s="80"/>
    </row>
    <row r="431" spans="1:30" ht="15.75">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c r="AA431" s="80"/>
      <c r="AB431" s="80"/>
      <c r="AC431" s="80"/>
      <c r="AD431" s="80"/>
    </row>
    <row r="432" spans="1:30" ht="15.75">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c r="AA432" s="80"/>
      <c r="AB432" s="80"/>
      <c r="AC432" s="80"/>
      <c r="AD432" s="80"/>
    </row>
    <row r="433" spans="1:30" ht="15.75">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c r="AA433" s="80"/>
      <c r="AB433" s="80"/>
      <c r="AC433" s="80"/>
      <c r="AD433" s="80"/>
    </row>
    <row r="434" spans="1:30" ht="15.75">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c r="AA434" s="80"/>
      <c r="AB434" s="80"/>
      <c r="AC434" s="80"/>
      <c r="AD434" s="80"/>
    </row>
    <row r="435" spans="1:30" ht="15.75">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c r="AA435" s="80"/>
      <c r="AB435" s="80"/>
      <c r="AC435" s="80"/>
      <c r="AD435" s="80"/>
    </row>
    <row r="436" spans="1:30" ht="15.75">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c r="AA436" s="80"/>
      <c r="AB436" s="80"/>
      <c r="AC436" s="80"/>
      <c r="AD436" s="80"/>
    </row>
    <row r="437" spans="1:30" ht="15.75">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c r="AA437" s="80"/>
      <c r="AB437" s="80"/>
      <c r="AC437" s="80"/>
      <c r="AD437" s="80"/>
    </row>
    <row r="438" spans="1:30" ht="15.75">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c r="AA438" s="80"/>
      <c r="AB438" s="80"/>
      <c r="AC438" s="80"/>
      <c r="AD438" s="80"/>
    </row>
    <row r="439" spans="1:30" ht="15.75">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c r="AA439" s="80"/>
      <c r="AB439" s="80"/>
      <c r="AC439" s="80"/>
      <c r="AD439" s="80"/>
    </row>
    <row r="440" spans="1:30" ht="15.75">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c r="AA440" s="80"/>
      <c r="AB440" s="80"/>
      <c r="AC440" s="80"/>
      <c r="AD440" s="80"/>
    </row>
    <row r="441" spans="1:30" ht="15.75">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c r="AA441" s="80"/>
      <c r="AB441" s="80"/>
      <c r="AC441" s="80"/>
      <c r="AD441" s="80"/>
    </row>
    <row r="442" spans="1:30" ht="15.75">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c r="AA442" s="80"/>
      <c r="AB442" s="80"/>
      <c r="AC442" s="80"/>
      <c r="AD442" s="80"/>
    </row>
    <row r="443" spans="1:30" ht="15.75">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c r="AA443" s="80"/>
      <c r="AB443" s="80"/>
      <c r="AC443" s="80"/>
      <c r="AD443" s="80"/>
    </row>
    <row r="444" spans="1:30" ht="15.75">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c r="AA444" s="80"/>
      <c r="AB444" s="80"/>
      <c r="AC444" s="80"/>
      <c r="AD444" s="80"/>
    </row>
    <row r="445" spans="1:30" ht="15.75">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c r="AA445" s="80"/>
      <c r="AB445" s="80"/>
      <c r="AC445" s="80"/>
      <c r="AD445" s="80"/>
    </row>
    <row r="446" spans="1:30" ht="15.75">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c r="AA446" s="80"/>
      <c r="AB446" s="80"/>
      <c r="AC446" s="80"/>
      <c r="AD446" s="80"/>
    </row>
    <row r="447" spans="1:30" ht="15.75">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c r="AA447" s="80"/>
      <c r="AB447" s="80"/>
      <c r="AC447" s="80"/>
      <c r="AD447" s="80"/>
    </row>
    <row r="448" spans="1:30" ht="15.75">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c r="AA448" s="80"/>
      <c r="AB448" s="80"/>
      <c r="AC448" s="80"/>
      <c r="AD448" s="80"/>
    </row>
    <row r="449" spans="1:30" ht="15.75">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c r="AA449" s="80"/>
      <c r="AB449" s="80"/>
      <c r="AC449" s="80"/>
      <c r="AD449" s="80"/>
    </row>
    <row r="450" spans="1:30" ht="15.75">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c r="AA450" s="80"/>
      <c r="AB450" s="80"/>
      <c r="AC450" s="80"/>
      <c r="AD450" s="80"/>
    </row>
    <row r="451" spans="1:30" ht="15.75">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c r="AA451" s="80"/>
      <c r="AB451" s="80"/>
      <c r="AC451" s="80"/>
      <c r="AD451" s="80"/>
    </row>
    <row r="452" spans="1:30" ht="15.75">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c r="AA452" s="80"/>
      <c r="AB452" s="80"/>
      <c r="AC452" s="80"/>
      <c r="AD452" s="80"/>
    </row>
    <row r="453" spans="1:30" ht="15.75">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c r="AA453" s="80"/>
      <c r="AB453" s="80"/>
      <c r="AC453" s="80"/>
      <c r="AD453" s="80"/>
    </row>
    <row r="454" spans="1:30" ht="15.75">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c r="AA454" s="80"/>
      <c r="AB454" s="80"/>
      <c r="AC454" s="80"/>
      <c r="AD454" s="80"/>
    </row>
    <row r="455" spans="1:30" ht="15.75">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c r="AA455" s="80"/>
      <c r="AB455" s="80"/>
      <c r="AC455" s="80"/>
      <c r="AD455" s="80"/>
    </row>
    <row r="456" spans="1:30" ht="15.75">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c r="AA456" s="80"/>
      <c r="AB456" s="80"/>
      <c r="AC456" s="80"/>
      <c r="AD456" s="80"/>
    </row>
    <row r="457" spans="1:30" ht="15.75">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c r="AA457" s="80"/>
      <c r="AB457" s="80"/>
      <c r="AC457" s="80"/>
      <c r="AD457" s="80"/>
    </row>
    <row r="458" spans="1:30" ht="15.75">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c r="AA458" s="80"/>
      <c r="AB458" s="80"/>
      <c r="AC458" s="80"/>
      <c r="AD458" s="80"/>
    </row>
    <row r="459" spans="1:30" ht="15.75">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c r="AA459" s="80"/>
      <c r="AB459" s="80"/>
      <c r="AC459" s="80"/>
      <c r="AD459" s="80"/>
    </row>
    <row r="460" spans="1:30" ht="15.75">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c r="AA460" s="80"/>
      <c r="AB460" s="80"/>
      <c r="AC460" s="80"/>
      <c r="AD460" s="80"/>
    </row>
    <row r="461" spans="1:30" ht="15.75">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c r="AA461" s="80"/>
      <c r="AB461" s="80"/>
      <c r="AC461" s="80"/>
      <c r="AD461" s="80"/>
    </row>
    <row r="462" spans="1:30" ht="15.75">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c r="AA462" s="80"/>
      <c r="AB462" s="80"/>
      <c r="AC462" s="80"/>
      <c r="AD462" s="80"/>
    </row>
    <row r="463" spans="1:30" ht="15.75">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c r="AA463" s="80"/>
      <c r="AB463" s="80"/>
      <c r="AC463" s="80"/>
      <c r="AD463" s="80"/>
    </row>
    <row r="464" spans="1:30" ht="15.75">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c r="AA464" s="80"/>
      <c r="AB464" s="80"/>
      <c r="AC464" s="80"/>
      <c r="AD464" s="80"/>
    </row>
    <row r="465" spans="1:30" ht="15.75">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c r="AA465" s="80"/>
      <c r="AB465" s="80"/>
      <c r="AC465" s="80"/>
      <c r="AD465" s="80"/>
    </row>
    <row r="466" spans="1:30" ht="15.75">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c r="AA466" s="80"/>
      <c r="AB466" s="80"/>
      <c r="AC466" s="80"/>
      <c r="AD466" s="80"/>
    </row>
    <row r="467" spans="1:30" ht="15.75">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c r="AA467" s="80"/>
      <c r="AB467" s="80"/>
      <c r="AC467" s="80"/>
      <c r="AD467" s="80"/>
    </row>
    <row r="468" spans="1:30" ht="15.75">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c r="AA468" s="80"/>
      <c r="AB468" s="80"/>
      <c r="AC468" s="80"/>
      <c r="AD468" s="80"/>
    </row>
    <row r="469" spans="1:30" ht="15.75">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c r="AA469" s="80"/>
      <c r="AB469" s="80"/>
      <c r="AC469" s="80"/>
      <c r="AD469" s="80"/>
    </row>
    <row r="470" spans="1:30" ht="15.75">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c r="AA470" s="80"/>
      <c r="AB470" s="80"/>
      <c r="AC470" s="80"/>
      <c r="AD470" s="80"/>
    </row>
    <row r="471" spans="1:30" ht="15.75">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c r="AA471" s="80"/>
      <c r="AB471" s="80"/>
      <c r="AC471" s="80"/>
      <c r="AD471" s="80"/>
    </row>
    <row r="472" spans="1:30" ht="15.75">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c r="AA472" s="80"/>
      <c r="AB472" s="80"/>
      <c r="AC472" s="80"/>
      <c r="AD472" s="80"/>
    </row>
    <row r="473" spans="1:30" ht="15.75">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c r="AA473" s="80"/>
      <c r="AB473" s="80"/>
      <c r="AC473" s="80"/>
      <c r="AD473" s="80"/>
    </row>
    <row r="474" spans="1:30" ht="15.75">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c r="AA474" s="80"/>
      <c r="AB474" s="80"/>
      <c r="AC474" s="80"/>
      <c r="AD474" s="80"/>
    </row>
    <row r="475" spans="1:30" ht="15.75">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c r="AA475" s="80"/>
      <c r="AB475" s="80"/>
      <c r="AC475" s="80"/>
      <c r="AD475" s="80"/>
    </row>
    <row r="476" spans="1:30" ht="15.75">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c r="AA476" s="80"/>
      <c r="AB476" s="80"/>
      <c r="AC476" s="80"/>
      <c r="AD476" s="80"/>
    </row>
    <row r="477" spans="1:30" ht="15.75">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c r="AA477" s="80"/>
      <c r="AB477" s="80"/>
      <c r="AC477" s="80"/>
      <c r="AD477" s="80"/>
    </row>
    <row r="478" spans="1:30" ht="15.75">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c r="AA478" s="80"/>
      <c r="AB478" s="80"/>
      <c r="AC478" s="80"/>
      <c r="AD478" s="80"/>
    </row>
    <row r="479" spans="1:30" ht="15.75">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c r="AA479" s="80"/>
      <c r="AB479" s="80"/>
      <c r="AC479" s="80"/>
      <c r="AD479" s="80"/>
    </row>
    <row r="480" spans="1:30" ht="15.75">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c r="AA480" s="80"/>
      <c r="AB480" s="80"/>
      <c r="AC480" s="80"/>
      <c r="AD480" s="80"/>
    </row>
    <row r="481" spans="1:30" ht="15.75">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c r="AA481" s="80"/>
      <c r="AB481" s="80"/>
      <c r="AC481" s="80"/>
      <c r="AD481" s="80"/>
    </row>
    <row r="482" spans="1:30" ht="15.75">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c r="AA482" s="80"/>
      <c r="AB482" s="80"/>
      <c r="AC482" s="80"/>
      <c r="AD482" s="80"/>
    </row>
    <row r="483" spans="1:30" ht="15.75">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c r="AA483" s="80"/>
      <c r="AB483" s="80"/>
      <c r="AC483" s="80"/>
      <c r="AD483" s="80"/>
    </row>
    <row r="484" spans="1:30" ht="15.75">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c r="AA484" s="80"/>
      <c r="AB484" s="80"/>
      <c r="AC484" s="80"/>
      <c r="AD484" s="80"/>
    </row>
    <row r="485" spans="1:30" ht="15.75">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c r="AA485" s="80"/>
      <c r="AB485" s="80"/>
      <c r="AC485" s="80"/>
      <c r="AD485" s="80"/>
    </row>
    <row r="486" spans="1:30" ht="15.75">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c r="AA486" s="80"/>
      <c r="AB486" s="80"/>
      <c r="AC486" s="80"/>
      <c r="AD486" s="80"/>
    </row>
    <row r="487" spans="1:30" ht="15.75">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c r="AA487" s="80"/>
      <c r="AB487" s="80"/>
      <c r="AC487" s="80"/>
      <c r="AD487" s="80"/>
    </row>
    <row r="488" spans="1:30" ht="15.75">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c r="AA488" s="80"/>
      <c r="AB488" s="80"/>
      <c r="AC488" s="80"/>
      <c r="AD488" s="80"/>
    </row>
    <row r="489" spans="1:30" ht="15.75">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c r="AA489" s="80"/>
      <c r="AB489" s="80"/>
      <c r="AC489" s="80"/>
      <c r="AD489" s="80"/>
    </row>
    <row r="490" spans="1:30" ht="15.75">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c r="AA490" s="80"/>
      <c r="AB490" s="80"/>
      <c r="AC490" s="80"/>
      <c r="AD490" s="80"/>
    </row>
    <row r="491" spans="1:30" ht="15.75">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c r="AA491" s="80"/>
      <c r="AB491" s="80"/>
      <c r="AC491" s="80"/>
      <c r="AD491" s="80"/>
    </row>
    <row r="492" spans="1:30" ht="15.75">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c r="AA492" s="80"/>
      <c r="AB492" s="80"/>
      <c r="AC492" s="80"/>
      <c r="AD492" s="80"/>
    </row>
    <row r="493" spans="1:30" ht="15.75">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c r="AA493" s="80"/>
      <c r="AB493" s="80"/>
      <c r="AC493" s="80"/>
      <c r="AD493" s="80"/>
    </row>
    <row r="494" spans="1:30" ht="15.75">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c r="AA494" s="80"/>
      <c r="AB494" s="80"/>
      <c r="AC494" s="80"/>
      <c r="AD494" s="80"/>
    </row>
    <row r="495" spans="1:30" ht="15.75">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c r="AA495" s="80"/>
      <c r="AB495" s="80"/>
      <c r="AC495" s="80"/>
      <c r="AD495" s="80"/>
    </row>
    <row r="496" spans="1:30" ht="15.75">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c r="AA496" s="80"/>
      <c r="AB496" s="80"/>
      <c r="AC496" s="80"/>
      <c r="AD496" s="80"/>
    </row>
    <row r="497" spans="1:30" ht="15.75">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c r="AA497" s="80"/>
      <c r="AB497" s="80"/>
      <c r="AC497" s="80"/>
      <c r="AD497" s="80"/>
    </row>
    <row r="498" spans="1:30" ht="15.75">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c r="AA498" s="80"/>
      <c r="AB498" s="80"/>
      <c r="AC498" s="80"/>
      <c r="AD498" s="80"/>
    </row>
    <row r="499" spans="1:30" ht="15.75">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c r="AA499" s="80"/>
      <c r="AB499" s="80"/>
      <c r="AC499" s="80"/>
      <c r="AD499" s="80"/>
    </row>
    <row r="500" spans="1:30" ht="15.75">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c r="AA500" s="80"/>
      <c r="AB500" s="80"/>
      <c r="AC500" s="80"/>
      <c r="AD500" s="80"/>
    </row>
    <row r="501" spans="1:30" ht="15.75">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c r="AA501" s="80"/>
      <c r="AB501" s="80"/>
      <c r="AC501" s="80"/>
      <c r="AD501" s="80"/>
    </row>
    <row r="502" spans="1:30" ht="15.75">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c r="AA502" s="80"/>
      <c r="AB502" s="80"/>
      <c r="AC502" s="80"/>
      <c r="AD502" s="80"/>
    </row>
    <row r="503" spans="1:30" ht="15.75">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c r="AA503" s="80"/>
      <c r="AB503" s="80"/>
      <c r="AC503" s="80"/>
      <c r="AD503" s="80"/>
    </row>
    <row r="504" spans="1:30" ht="15.75">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c r="AA504" s="80"/>
      <c r="AB504" s="80"/>
      <c r="AC504" s="80"/>
      <c r="AD504" s="80"/>
    </row>
    <row r="505" spans="1:30" ht="15.75">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c r="AA505" s="80"/>
      <c r="AB505" s="80"/>
      <c r="AC505" s="80"/>
      <c r="AD505" s="80"/>
    </row>
    <row r="506" spans="1:30" ht="15.75">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c r="AA506" s="80"/>
      <c r="AB506" s="80"/>
      <c r="AC506" s="80"/>
      <c r="AD506" s="80"/>
    </row>
    <row r="507" spans="1:30" ht="15.75">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c r="AA507" s="80"/>
      <c r="AB507" s="80"/>
      <c r="AC507" s="80"/>
      <c r="AD507" s="80"/>
    </row>
    <row r="508" spans="1:30" ht="15.75">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c r="AA508" s="80"/>
      <c r="AB508" s="80"/>
      <c r="AC508" s="80"/>
      <c r="AD508" s="80"/>
    </row>
    <row r="509" spans="1:30" ht="15.75">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c r="AA509" s="80"/>
      <c r="AB509" s="80"/>
      <c r="AC509" s="80"/>
      <c r="AD509" s="80"/>
    </row>
    <row r="510" spans="1:30" ht="15.75">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c r="AA510" s="80"/>
      <c r="AB510" s="80"/>
      <c r="AC510" s="80"/>
      <c r="AD510" s="80"/>
    </row>
    <row r="511" spans="1:30" ht="15.75">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c r="AA511" s="80"/>
      <c r="AB511" s="80"/>
      <c r="AC511" s="80"/>
      <c r="AD511" s="80"/>
    </row>
    <row r="512" spans="1:30" ht="15.75">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c r="AA512" s="80"/>
      <c r="AB512" s="80"/>
      <c r="AC512" s="80"/>
      <c r="AD512" s="80"/>
    </row>
    <row r="513" spans="1:30" ht="15.75">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c r="AA513" s="80"/>
      <c r="AB513" s="80"/>
      <c r="AC513" s="80"/>
      <c r="AD513" s="80"/>
    </row>
    <row r="514" spans="1:30" ht="15.75">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c r="AA514" s="80"/>
      <c r="AB514" s="80"/>
      <c r="AC514" s="80"/>
      <c r="AD514" s="80"/>
    </row>
    <row r="515" spans="1:30" ht="15.75">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c r="AA515" s="80"/>
      <c r="AB515" s="80"/>
      <c r="AC515" s="80"/>
      <c r="AD515" s="80"/>
    </row>
    <row r="516" spans="1:30" ht="15.75">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c r="AA516" s="80"/>
      <c r="AB516" s="80"/>
      <c r="AC516" s="80"/>
      <c r="AD516" s="80"/>
    </row>
    <row r="517" spans="1:30" ht="15.75">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c r="AA517" s="80"/>
      <c r="AB517" s="80"/>
      <c r="AC517" s="80"/>
      <c r="AD517" s="80"/>
    </row>
    <row r="518" spans="1:30" ht="15.75">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c r="AA518" s="80"/>
      <c r="AB518" s="80"/>
      <c r="AC518" s="80"/>
      <c r="AD518" s="80"/>
    </row>
    <row r="519" spans="1:30" ht="15.75">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c r="AA519" s="80"/>
      <c r="AB519" s="80"/>
      <c r="AC519" s="80"/>
      <c r="AD519" s="80"/>
    </row>
    <row r="520" spans="1:30" ht="15.75">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c r="AA520" s="80"/>
      <c r="AB520" s="80"/>
      <c r="AC520" s="80"/>
      <c r="AD520" s="80"/>
    </row>
    <row r="521" spans="1:30" ht="15.75">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c r="AA521" s="80"/>
      <c r="AB521" s="80"/>
      <c r="AC521" s="80"/>
      <c r="AD521" s="80"/>
    </row>
    <row r="522" spans="1:30" ht="15.75">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c r="AA522" s="80"/>
      <c r="AB522" s="80"/>
      <c r="AC522" s="80"/>
      <c r="AD522" s="80"/>
    </row>
    <row r="523" spans="1:30" ht="15.75">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c r="AA523" s="80"/>
      <c r="AB523" s="80"/>
      <c r="AC523" s="80"/>
      <c r="AD523" s="80"/>
    </row>
    <row r="524" spans="1:30" ht="15.75">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c r="AA524" s="80"/>
      <c r="AB524" s="80"/>
      <c r="AC524" s="80"/>
      <c r="AD524" s="80"/>
    </row>
    <row r="525" spans="1:30" ht="15.75">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c r="AA525" s="80"/>
      <c r="AB525" s="80"/>
      <c r="AC525" s="80"/>
      <c r="AD525" s="80"/>
    </row>
    <row r="526" spans="1:30" ht="15.75">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c r="AA526" s="80"/>
      <c r="AB526" s="80"/>
      <c r="AC526" s="80"/>
      <c r="AD526" s="80"/>
    </row>
    <row r="527" spans="1:30" ht="15.75">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c r="AA527" s="80"/>
      <c r="AB527" s="80"/>
      <c r="AC527" s="80"/>
      <c r="AD527" s="80"/>
    </row>
    <row r="528" spans="1:30" ht="15.75">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c r="AA528" s="80"/>
      <c r="AB528" s="80"/>
      <c r="AC528" s="80"/>
      <c r="AD528" s="80"/>
    </row>
    <row r="529" spans="1:30" ht="15.75">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c r="AA529" s="80"/>
      <c r="AB529" s="80"/>
      <c r="AC529" s="80"/>
      <c r="AD529" s="80"/>
    </row>
    <row r="530" spans="1:30" ht="15.75">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c r="AA530" s="80"/>
      <c r="AB530" s="80"/>
      <c r="AC530" s="80"/>
      <c r="AD530" s="80"/>
    </row>
    <row r="531" spans="1:30" ht="15.75">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c r="AA531" s="80"/>
      <c r="AB531" s="80"/>
      <c r="AC531" s="80"/>
      <c r="AD531" s="80"/>
    </row>
    <row r="532" spans="1:30" ht="15.75">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c r="AA532" s="80"/>
      <c r="AB532" s="80"/>
      <c r="AC532" s="80"/>
      <c r="AD532" s="80"/>
    </row>
    <row r="533" spans="1:30" ht="15.75">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c r="AA533" s="80"/>
      <c r="AB533" s="80"/>
      <c r="AC533" s="80"/>
      <c r="AD533" s="80"/>
    </row>
    <row r="534" spans="1:30" ht="15.75">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c r="AA534" s="80"/>
      <c r="AB534" s="80"/>
      <c r="AC534" s="80"/>
      <c r="AD534" s="80"/>
    </row>
    <row r="535" spans="1:30" ht="15.75">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c r="AA535" s="80"/>
      <c r="AB535" s="80"/>
      <c r="AC535" s="80"/>
      <c r="AD535" s="80"/>
    </row>
    <row r="536" spans="1:30" ht="15.75">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c r="AA536" s="80"/>
      <c r="AB536" s="80"/>
      <c r="AC536" s="80"/>
      <c r="AD536" s="80"/>
    </row>
    <row r="537" spans="1:30" ht="15.75">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c r="AA537" s="80"/>
      <c r="AB537" s="80"/>
      <c r="AC537" s="80"/>
      <c r="AD537" s="80"/>
    </row>
    <row r="538" spans="1:30" ht="15.75">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c r="AA538" s="80"/>
      <c r="AB538" s="80"/>
      <c r="AC538" s="80"/>
      <c r="AD538" s="80"/>
    </row>
    <row r="539" spans="1:30" ht="15.75">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c r="AA539" s="80"/>
      <c r="AB539" s="80"/>
      <c r="AC539" s="80"/>
      <c r="AD539" s="80"/>
    </row>
    <row r="540" spans="1:30" ht="15.75">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c r="AA540" s="80"/>
      <c r="AB540" s="80"/>
      <c r="AC540" s="80"/>
      <c r="AD540" s="80"/>
    </row>
    <row r="541" spans="1:30" ht="15.75">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c r="AA541" s="80"/>
      <c r="AB541" s="80"/>
      <c r="AC541" s="80"/>
      <c r="AD541" s="80"/>
    </row>
    <row r="542" spans="1:30" ht="15.75">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c r="AA542" s="80"/>
      <c r="AB542" s="80"/>
      <c r="AC542" s="80"/>
      <c r="AD542" s="80"/>
    </row>
    <row r="543" spans="1:30" ht="15.75">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c r="AA543" s="80"/>
      <c r="AB543" s="80"/>
      <c r="AC543" s="80"/>
      <c r="AD543" s="80"/>
    </row>
    <row r="544" spans="1:30" ht="15.75">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c r="AA544" s="80"/>
      <c r="AB544" s="80"/>
      <c r="AC544" s="80"/>
      <c r="AD544" s="80"/>
    </row>
    <row r="545" spans="1:30" ht="15.75">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c r="AA545" s="80"/>
      <c r="AB545" s="80"/>
      <c r="AC545" s="80"/>
      <c r="AD545" s="80"/>
    </row>
    <row r="546" spans="1:30" ht="15.75">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c r="AA546" s="80"/>
      <c r="AB546" s="80"/>
      <c r="AC546" s="80"/>
      <c r="AD546" s="80"/>
    </row>
    <row r="547" spans="1:30" ht="15.75">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c r="AA547" s="80"/>
      <c r="AB547" s="80"/>
      <c r="AC547" s="80"/>
      <c r="AD547" s="80"/>
    </row>
    <row r="548" spans="1:30" ht="15.75">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c r="AA548" s="80"/>
      <c r="AB548" s="80"/>
      <c r="AC548" s="80"/>
      <c r="AD548" s="80"/>
    </row>
    <row r="549" spans="1:30" ht="15.75">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c r="AA549" s="80"/>
      <c r="AB549" s="80"/>
      <c r="AC549" s="80"/>
      <c r="AD549" s="80"/>
    </row>
    <row r="550" spans="1:30" ht="15.75">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c r="AA550" s="80"/>
      <c r="AB550" s="80"/>
      <c r="AC550" s="80"/>
      <c r="AD550" s="80"/>
    </row>
    <row r="551" spans="1:30" ht="15.75">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c r="AA551" s="80"/>
      <c r="AB551" s="80"/>
      <c r="AC551" s="80"/>
      <c r="AD551" s="80"/>
    </row>
    <row r="552" spans="1:30" ht="15.75">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c r="AA552" s="80"/>
      <c r="AB552" s="80"/>
      <c r="AC552" s="80"/>
      <c r="AD552" s="80"/>
    </row>
    <row r="553" spans="1:30" ht="15.75">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c r="AA553" s="80"/>
      <c r="AB553" s="80"/>
      <c r="AC553" s="80"/>
      <c r="AD553" s="80"/>
    </row>
    <row r="554" spans="1:30" ht="15.75">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c r="AA554" s="80"/>
      <c r="AB554" s="80"/>
      <c r="AC554" s="80"/>
      <c r="AD554" s="80"/>
    </row>
    <row r="555" spans="1:30" ht="15.75">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c r="AA555" s="80"/>
      <c r="AB555" s="80"/>
      <c r="AC555" s="80"/>
      <c r="AD555" s="80"/>
    </row>
    <row r="556" spans="1:30" ht="15.75">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c r="AA556" s="80"/>
      <c r="AB556" s="80"/>
      <c r="AC556" s="80"/>
      <c r="AD556" s="80"/>
    </row>
    <row r="557" spans="1:30" ht="15.75">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c r="AA557" s="80"/>
      <c r="AB557" s="80"/>
      <c r="AC557" s="80"/>
      <c r="AD557" s="80"/>
    </row>
    <row r="558" spans="1:30" ht="15.75">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c r="AA558" s="80"/>
      <c r="AB558" s="80"/>
      <c r="AC558" s="80"/>
      <c r="AD558" s="80"/>
    </row>
    <row r="559" spans="1:30" ht="15.75">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c r="AA559" s="80"/>
      <c r="AB559" s="80"/>
      <c r="AC559" s="80"/>
      <c r="AD559" s="80"/>
    </row>
    <row r="560" spans="1:30" ht="15.75">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c r="AA560" s="80"/>
      <c r="AB560" s="80"/>
      <c r="AC560" s="80"/>
      <c r="AD560" s="80"/>
    </row>
    <row r="561" spans="1:30" ht="15.75">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c r="AA561" s="80"/>
      <c r="AB561" s="80"/>
      <c r="AC561" s="80"/>
      <c r="AD561" s="80"/>
    </row>
    <row r="562" spans="1:30" ht="15.75">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c r="AA562" s="80"/>
      <c r="AB562" s="80"/>
      <c r="AC562" s="80"/>
      <c r="AD562" s="80"/>
    </row>
    <row r="563" spans="1:30" ht="15.75">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c r="AA563" s="80"/>
      <c r="AB563" s="80"/>
      <c r="AC563" s="80"/>
      <c r="AD563" s="80"/>
    </row>
    <row r="564" spans="1:30" ht="15.75">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c r="AA564" s="80"/>
      <c r="AB564" s="80"/>
      <c r="AC564" s="80"/>
      <c r="AD564" s="80"/>
    </row>
    <row r="565" spans="1:30" ht="15.75">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c r="AA565" s="80"/>
      <c r="AB565" s="80"/>
      <c r="AC565" s="80"/>
      <c r="AD565" s="80"/>
    </row>
    <row r="566" spans="1:30" ht="15.75">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c r="AA566" s="80"/>
      <c r="AB566" s="80"/>
      <c r="AC566" s="80"/>
      <c r="AD566" s="80"/>
    </row>
    <row r="567" spans="1:30" ht="15.75">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c r="AA567" s="80"/>
      <c r="AB567" s="80"/>
      <c r="AC567" s="80"/>
      <c r="AD567" s="80"/>
    </row>
    <row r="568" spans="1:30" ht="15.75">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c r="AA568" s="80"/>
      <c r="AB568" s="80"/>
      <c r="AC568" s="80"/>
      <c r="AD568" s="80"/>
    </row>
    <row r="569" spans="1:30" ht="15.75">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c r="AA569" s="80"/>
      <c r="AB569" s="80"/>
      <c r="AC569" s="80"/>
      <c r="AD569" s="80"/>
    </row>
    <row r="570" spans="1:30" ht="15.75">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c r="AA570" s="80"/>
      <c r="AB570" s="80"/>
      <c r="AC570" s="80"/>
      <c r="AD570" s="80"/>
    </row>
    <row r="571" spans="1:30" ht="15.75">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c r="AA571" s="80"/>
      <c r="AB571" s="80"/>
      <c r="AC571" s="80"/>
      <c r="AD571" s="80"/>
    </row>
    <row r="572" spans="1:30" ht="15.75">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c r="AA572" s="80"/>
      <c r="AB572" s="80"/>
      <c r="AC572" s="80"/>
      <c r="AD572" s="80"/>
    </row>
    <row r="573" spans="1:30" ht="15.75">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c r="AA573" s="80"/>
      <c r="AB573" s="80"/>
      <c r="AC573" s="80"/>
      <c r="AD573" s="80"/>
    </row>
    <row r="574" spans="1:30" ht="15.75">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c r="AA574" s="80"/>
      <c r="AB574" s="80"/>
      <c r="AC574" s="80"/>
      <c r="AD574" s="80"/>
    </row>
    <row r="575" spans="1:30" ht="15.75">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c r="AA575" s="80"/>
      <c r="AB575" s="80"/>
      <c r="AC575" s="80"/>
      <c r="AD575" s="80"/>
    </row>
    <row r="576" spans="1:30" ht="15.75">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c r="AA576" s="80"/>
      <c r="AB576" s="80"/>
      <c r="AC576" s="80"/>
      <c r="AD576" s="80"/>
    </row>
    <row r="577" spans="1:30" ht="15.75">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c r="AA577" s="80"/>
      <c r="AB577" s="80"/>
      <c r="AC577" s="80"/>
      <c r="AD577" s="80"/>
    </row>
    <row r="578" spans="1:30" ht="15.75">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c r="AA578" s="80"/>
      <c r="AB578" s="80"/>
      <c r="AC578" s="80"/>
      <c r="AD578" s="80"/>
    </row>
    <row r="579" spans="1:30" ht="15.75">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c r="AA579" s="80"/>
      <c r="AB579" s="80"/>
      <c r="AC579" s="80"/>
      <c r="AD579" s="80"/>
    </row>
    <row r="580" spans="1:30" ht="15.75">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c r="AA580" s="80"/>
      <c r="AB580" s="80"/>
      <c r="AC580" s="80"/>
      <c r="AD580" s="80"/>
    </row>
    <row r="581" spans="1:30" ht="15.75">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c r="AA581" s="80"/>
      <c r="AB581" s="80"/>
      <c r="AC581" s="80"/>
      <c r="AD581" s="80"/>
    </row>
    <row r="582" spans="1:30" ht="15.75">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c r="AA582" s="80"/>
      <c r="AB582" s="80"/>
      <c r="AC582" s="80"/>
      <c r="AD582" s="80"/>
    </row>
    <row r="583" spans="1:30" ht="15.75">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c r="AA583" s="80"/>
      <c r="AB583" s="80"/>
      <c r="AC583" s="80"/>
      <c r="AD583" s="80"/>
    </row>
    <row r="584" spans="1:30" ht="15.75">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c r="AA584" s="80"/>
      <c r="AB584" s="80"/>
      <c r="AC584" s="80"/>
      <c r="AD584" s="80"/>
    </row>
    <row r="585" spans="1:30" ht="15.75">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c r="AA585" s="80"/>
      <c r="AB585" s="80"/>
      <c r="AC585" s="80"/>
      <c r="AD585" s="80"/>
    </row>
    <row r="586" spans="1:30" ht="15.75">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c r="AA586" s="80"/>
      <c r="AB586" s="80"/>
      <c r="AC586" s="80"/>
      <c r="AD586" s="80"/>
    </row>
    <row r="587" spans="1:30" ht="15.75">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c r="AA587" s="80"/>
      <c r="AB587" s="80"/>
      <c r="AC587" s="80"/>
      <c r="AD587" s="80"/>
    </row>
    <row r="588" spans="1:30" ht="15.75">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c r="AA588" s="80"/>
      <c r="AB588" s="80"/>
      <c r="AC588" s="80"/>
      <c r="AD588" s="80"/>
    </row>
    <row r="589" spans="1:30" ht="15.75">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c r="AA589" s="80"/>
      <c r="AB589" s="80"/>
      <c r="AC589" s="80"/>
      <c r="AD589" s="80"/>
    </row>
    <row r="590" spans="1:30" ht="15.75">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c r="AA590" s="80"/>
      <c r="AB590" s="80"/>
      <c r="AC590" s="80"/>
      <c r="AD590" s="80"/>
    </row>
    <row r="591" spans="1:30" ht="15.75">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c r="AA591" s="80"/>
      <c r="AB591" s="80"/>
      <c r="AC591" s="80"/>
      <c r="AD591" s="80"/>
    </row>
    <row r="592" spans="1:30" ht="15.75">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c r="AA592" s="80"/>
      <c r="AB592" s="80"/>
      <c r="AC592" s="80"/>
      <c r="AD592" s="80"/>
    </row>
    <row r="593" spans="1:30" ht="15.75">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c r="AA593" s="80"/>
      <c r="AB593" s="80"/>
      <c r="AC593" s="80"/>
      <c r="AD593" s="80"/>
    </row>
    <row r="594" spans="1:30" ht="15.75">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c r="AA594" s="80"/>
      <c r="AB594" s="80"/>
      <c r="AC594" s="80"/>
      <c r="AD594" s="80"/>
    </row>
    <row r="595" spans="1:30" ht="15.75">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c r="AA595" s="80"/>
      <c r="AB595" s="80"/>
      <c r="AC595" s="80"/>
      <c r="AD595" s="80"/>
    </row>
    <row r="596" spans="1:30" ht="15.75">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c r="AA596" s="80"/>
      <c r="AB596" s="80"/>
      <c r="AC596" s="80"/>
      <c r="AD596" s="80"/>
    </row>
    <row r="597" spans="1:30" ht="15.75">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c r="AA597" s="80"/>
      <c r="AB597" s="80"/>
      <c r="AC597" s="80"/>
      <c r="AD597" s="80"/>
    </row>
    <row r="598" spans="1:30" ht="15.75">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c r="AA598" s="80"/>
      <c r="AB598" s="80"/>
      <c r="AC598" s="80"/>
      <c r="AD598" s="80"/>
    </row>
    <row r="599" spans="1:30" ht="15.75">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c r="AA599" s="80"/>
      <c r="AB599" s="80"/>
      <c r="AC599" s="80"/>
      <c r="AD599" s="80"/>
    </row>
    <row r="600" spans="1:30" ht="15.75">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c r="AA600" s="80"/>
      <c r="AB600" s="80"/>
      <c r="AC600" s="80"/>
      <c r="AD600" s="80"/>
    </row>
    <row r="601" spans="1:30" ht="15.75">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c r="AA601" s="80"/>
      <c r="AB601" s="80"/>
      <c r="AC601" s="80"/>
      <c r="AD601" s="80"/>
    </row>
    <row r="602" spans="1:30" ht="15.75">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c r="AA602" s="80"/>
      <c r="AB602" s="80"/>
      <c r="AC602" s="80"/>
      <c r="AD602" s="80"/>
    </row>
    <row r="603" spans="1:30" ht="15.75">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c r="AA603" s="80"/>
      <c r="AB603" s="80"/>
      <c r="AC603" s="80"/>
      <c r="AD603" s="80"/>
    </row>
    <row r="604" spans="1:30" ht="15.75">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c r="AA604" s="80"/>
      <c r="AB604" s="80"/>
      <c r="AC604" s="80"/>
      <c r="AD604" s="80"/>
    </row>
    <row r="605" spans="1:30" ht="15.75">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c r="AA605" s="80"/>
      <c r="AB605" s="80"/>
      <c r="AC605" s="80"/>
      <c r="AD605" s="80"/>
    </row>
    <row r="606" spans="1:30" ht="15.75">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c r="AA606" s="80"/>
      <c r="AB606" s="80"/>
      <c r="AC606" s="80"/>
      <c r="AD606" s="80"/>
    </row>
    <row r="607" spans="1:30" ht="15.75">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c r="AA607" s="80"/>
      <c r="AB607" s="80"/>
      <c r="AC607" s="80"/>
      <c r="AD607" s="80"/>
    </row>
    <row r="608" spans="1:30" ht="15.75">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c r="AA608" s="80"/>
      <c r="AB608" s="80"/>
      <c r="AC608" s="80"/>
      <c r="AD608" s="80"/>
    </row>
    <row r="609" spans="1:30" ht="15.75">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c r="AA609" s="80"/>
      <c r="AB609" s="80"/>
      <c r="AC609" s="80"/>
      <c r="AD609" s="80"/>
    </row>
    <row r="610" spans="1:30" ht="15.75">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c r="AA610" s="80"/>
      <c r="AB610" s="80"/>
      <c r="AC610" s="80"/>
      <c r="AD610" s="80"/>
    </row>
    <row r="611" spans="1:30" ht="15.75">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c r="AA611" s="80"/>
      <c r="AB611" s="80"/>
      <c r="AC611" s="80"/>
      <c r="AD611" s="80"/>
    </row>
    <row r="612" spans="1:30" ht="15.75">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c r="AA612" s="80"/>
      <c r="AB612" s="80"/>
      <c r="AC612" s="80"/>
      <c r="AD612" s="80"/>
    </row>
    <row r="613" spans="1:30" ht="15.75">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c r="AA613" s="80"/>
      <c r="AB613" s="80"/>
      <c r="AC613" s="80"/>
      <c r="AD613" s="80"/>
    </row>
    <row r="614" spans="1:30" ht="15.75">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c r="AA614" s="80"/>
      <c r="AB614" s="80"/>
      <c r="AC614" s="80"/>
      <c r="AD614" s="80"/>
    </row>
    <row r="615" spans="1:30" ht="15.75">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c r="AA615" s="80"/>
      <c r="AB615" s="80"/>
      <c r="AC615" s="80"/>
      <c r="AD615" s="80"/>
    </row>
    <row r="616" spans="1:30" ht="15.75">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c r="AA616" s="80"/>
      <c r="AB616" s="80"/>
      <c r="AC616" s="80"/>
      <c r="AD616" s="80"/>
    </row>
    <row r="617" spans="1:30" ht="15.75">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c r="AA617" s="80"/>
      <c r="AB617" s="80"/>
      <c r="AC617" s="80"/>
      <c r="AD617" s="80"/>
    </row>
    <row r="618" spans="1:30" ht="15.75">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c r="AA618" s="80"/>
      <c r="AB618" s="80"/>
      <c r="AC618" s="80"/>
      <c r="AD618" s="80"/>
    </row>
    <row r="619" spans="1:30" ht="15.75">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c r="AA619" s="80"/>
      <c r="AB619" s="80"/>
      <c r="AC619" s="80"/>
      <c r="AD619" s="80"/>
    </row>
    <row r="620" spans="1:30" ht="15.75">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c r="AA620" s="80"/>
      <c r="AB620" s="80"/>
      <c r="AC620" s="80"/>
      <c r="AD620" s="80"/>
    </row>
    <row r="621" spans="1:30" ht="15.75">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c r="AA621" s="80"/>
      <c r="AB621" s="80"/>
      <c r="AC621" s="80"/>
      <c r="AD621" s="80"/>
    </row>
    <row r="622" spans="1:30" ht="15.75">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c r="AA622" s="80"/>
      <c r="AB622" s="80"/>
      <c r="AC622" s="80"/>
      <c r="AD622" s="80"/>
    </row>
    <row r="623" spans="1:30" ht="15.75">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c r="AA623" s="80"/>
      <c r="AB623" s="80"/>
      <c r="AC623" s="80"/>
      <c r="AD623" s="80"/>
    </row>
    <row r="624" spans="1:30" ht="15.75">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c r="AA624" s="80"/>
      <c r="AB624" s="80"/>
      <c r="AC624" s="80"/>
      <c r="AD624" s="80"/>
    </row>
    <row r="625" spans="1:30" ht="15.75">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c r="AA625" s="80"/>
      <c r="AB625" s="80"/>
      <c r="AC625" s="80"/>
      <c r="AD625" s="80"/>
    </row>
    <row r="626" spans="1:30" ht="15.75">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c r="AA626" s="80"/>
      <c r="AB626" s="80"/>
      <c r="AC626" s="80"/>
      <c r="AD626" s="80"/>
    </row>
    <row r="627" spans="1:30" ht="15.75">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c r="AA627" s="80"/>
      <c r="AB627" s="80"/>
      <c r="AC627" s="80"/>
      <c r="AD627" s="80"/>
    </row>
    <row r="628" spans="1:30" ht="15.75">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c r="AA628" s="80"/>
      <c r="AB628" s="80"/>
      <c r="AC628" s="80"/>
      <c r="AD628" s="80"/>
    </row>
    <row r="629" spans="1:30" ht="15.75">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c r="AA629" s="80"/>
      <c r="AB629" s="80"/>
      <c r="AC629" s="80"/>
      <c r="AD629" s="80"/>
    </row>
    <row r="630" spans="1:30" ht="15.75">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c r="AA630" s="80"/>
      <c r="AB630" s="80"/>
      <c r="AC630" s="80"/>
      <c r="AD630" s="80"/>
    </row>
    <row r="631" spans="1:30" ht="15.75">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c r="AA631" s="80"/>
      <c r="AB631" s="80"/>
      <c r="AC631" s="80"/>
      <c r="AD631" s="80"/>
    </row>
    <row r="632" spans="1:30" ht="15.75">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c r="AA632" s="80"/>
      <c r="AB632" s="80"/>
      <c r="AC632" s="80"/>
      <c r="AD632" s="80"/>
    </row>
    <row r="633" spans="1:30" ht="15.75">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c r="AA633" s="80"/>
      <c r="AB633" s="80"/>
      <c r="AC633" s="80"/>
      <c r="AD633" s="80"/>
    </row>
    <row r="634" spans="1:30" ht="15.75">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c r="AA634" s="80"/>
      <c r="AB634" s="80"/>
      <c r="AC634" s="80"/>
      <c r="AD634" s="80"/>
    </row>
    <row r="635" spans="1:30" ht="15.75">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c r="AA635" s="80"/>
      <c r="AB635" s="80"/>
      <c r="AC635" s="80"/>
      <c r="AD635" s="80"/>
    </row>
    <row r="636" spans="1:30" ht="15.75">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c r="AA636" s="80"/>
      <c r="AB636" s="80"/>
      <c r="AC636" s="80"/>
      <c r="AD636" s="80"/>
    </row>
    <row r="637" spans="1:30" ht="15.75">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c r="AA637" s="80"/>
      <c r="AB637" s="80"/>
      <c r="AC637" s="80"/>
      <c r="AD637" s="80"/>
    </row>
    <row r="638" spans="1:30" ht="15.75">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c r="AA638" s="80"/>
      <c r="AB638" s="80"/>
      <c r="AC638" s="80"/>
      <c r="AD638" s="80"/>
    </row>
    <row r="639" spans="1:30" ht="15.75">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c r="AA639" s="80"/>
      <c r="AB639" s="80"/>
      <c r="AC639" s="80"/>
      <c r="AD639" s="80"/>
    </row>
    <row r="640" spans="1:30" ht="15.75">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c r="AA640" s="80"/>
      <c r="AB640" s="80"/>
      <c r="AC640" s="80"/>
      <c r="AD640" s="80"/>
    </row>
    <row r="641" spans="1:30" ht="15.75">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c r="AA641" s="80"/>
      <c r="AB641" s="80"/>
      <c r="AC641" s="80"/>
      <c r="AD641" s="80"/>
    </row>
    <row r="642" spans="1:30" ht="15.75">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c r="AA642" s="80"/>
      <c r="AB642" s="80"/>
      <c r="AC642" s="80"/>
      <c r="AD642" s="80"/>
    </row>
    <row r="643" spans="1:30" ht="15.75">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c r="AA643" s="80"/>
      <c r="AB643" s="80"/>
      <c r="AC643" s="80"/>
      <c r="AD643" s="80"/>
    </row>
    <row r="644" spans="1:30" ht="15.75">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c r="AA644" s="80"/>
      <c r="AB644" s="80"/>
      <c r="AC644" s="80"/>
      <c r="AD644" s="80"/>
    </row>
    <row r="645" spans="1:30" ht="15.75">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c r="AA645" s="80"/>
      <c r="AB645" s="80"/>
      <c r="AC645" s="80"/>
      <c r="AD645" s="80"/>
    </row>
    <row r="646" spans="1:30" ht="15.75">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c r="AA646" s="80"/>
      <c r="AB646" s="80"/>
      <c r="AC646" s="80"/>
      <c r="AD646" s="80"/>
    </row>
    <row r="647" spans="1:30" ht="15.75">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c r="AA647" s="80"/>
      <c r="AB647" s="80"/>
      <c r="AC647" s="80"/>
      <c r="AD647" s="80"/>
    </row>
    <row r="648" spans="1:30" ht="15.75">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c r="AA648" s="80"/>
      <c r="AB648" s="80"/>
      <c r="AC648" s="80"/>
      <c r="AD648" s="80"/>
    </row>
    <row r="649" spans="1:30" ht="15.75">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c r="AA649" s="80"/>
      <c r="AB649" s="80"/>
      <c r="AC649" s="80"/>
      <c r="AD649" s="80"/>
    </row>
    <row r="650" spans="1:30" ht="15.75">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c r="AA650" s="80"/>
      <c r="AB650" s="80"/>
      <c r="AC650" s="80"/>
      <c r="AD650" s="80"/>
    </row>
    <row r="651" spans="1:30" ht="15.75">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c r="AA651" s="80"/>
      <c r="AB651" s="80"/>
      <c r="AC651" s="80"/>
      <c r="AD651" s="80"/>
    </row>
    <row r="652" spans="1:30" ht="15.75">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c r="AA652" s="80"/>
      <c r="AB652" s="80"/>
      <c r="AC652" s="80"/>
      <c r="AD652" s="80"/>
    </row>
    <row r="653" spans="1:30" ht="15.75">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c r="AA653" s="80"/>
      <c r="AB653" s="80"/>
      <c r="AC653" s="80"/>
      <c r="AD653" s="80"/>
    </row>
    <row r="654" spans="1:30" ht="15.75">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c r="AA654" s="80"/>
      <c r="AB654" s="80"/>
      <c r="AC654" s="80"/>
      <c r="AD654" s="80"/>
    </row>
    <row r="655" spans="1:30" ht="15.75">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c r="AA655" s="80"/>
      <c r="AB655" s="80"/>
      <c r="AC655" s="80"/>
      <c r="AD655" s="80"/>
    </row>
    <row r="656" spans="1:30" ht="15.75">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c r="AA656" s="80"/>
      <c r="AB656" s="80"/>
      <c r="AC656" s="80"/>
      <c r="AD656" s="80"/>
    </row>
    <row r="657" spans="1:30" ht="15.75">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c r="AA657" s="80"/>
      <c r="AB657" s="80"/>
      <c r="AC657" s="80"/>
      <c r="AD657" s="80"/>
    </row>
    <row r="658" spans="1:30" ht="15.75">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c r="AA658" s="80"/>
      <c r="AB658" s="80"/>
      <c r="AC658" s="80"/>
      <c r="AD658" s="80"/>
    </row>
    <row r="659" spans="1:30" ht="15.75">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c r="AA659" s="80"/>
      <c r="AB659" s="80"/>
      <c r="AC659" s="80"/>
      <c r="AD659" s="80"/>
    </row>
    <row r="660" spans="1:30" ht="15.75">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c r="AA660" s="80"/>
      <c r="AB660" s="80"/>
      <c r="AC660" s="80"/>
      <c r="AD660" s="80"/>
    </row>
    <row r="661" spans="1:30" ht="15.75">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c r="AA661" s="80"/>
      <c r="AB661" s="80"/>
      <c r="AC661" s="80"/>
      <c r="AD661" s="80"/>
    </row>
    <row r="662" spans="1:30" ht="15.75">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c r="AA662" s="80"/>
      <c r="AB662" s="80"/>
      <c r="AC662" s="80"/>
      <c r="AD662" s="80"/>
    </row>
    <row r="663" spans="1:30" ht="15.75">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c r="AA663" s="80"/>
      <c r="AB663" s="80"/>
      <c r="AC663" s="80"/>
      <c r="AD663" s="80"/>
    </row>
    <row r="664" spans="1:30" ht="15.75">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c r="AA664" s="80"/>
      <c r="AB664" s="80"/>
      <c r="AC664" s="80"/>
      <c r="AD664" s="80"/>
    </row>
    <row r="665" spans="1:30" ht="15.75">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c r="AA665" s="80"/>
      <c r="AB665" s="80"/>
      <c r="AC665" s="80"/>
      <c r="AD665" s="80"/>
    </row>
    <row r="666" spans="1:30" ht="15.75">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c r="AA666" s="80"/>
      <c r="AB666" s="80"/>
      <c r="AC666" s="80"/>
      <c r="AD666" s="80"/>
    </row>
    <row r="667" spans="1:30" ht="15.75">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c r="AA667" s="80"/>
      <c r="AB667" s="80"/>
      <c r="AC667" s="80"/>
      <c r="AD667" s="80"/>
    </row>
    <row r="668" spans="1:30" ht="15.75">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c r="AA668" s="80"/>
      <c r="AB668" s="80"/>
      <c r="AC668" s="80"/>
      <c r="AD668" s="80"/>
    </row>
    <row r="669" spans="1:30" ht="15.75">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c r="AA669" s="80"/>
      <c r="AB669" s="80"/>
      <c r="AC669" s="80"/>
      <c r="AD669" s="80"/>
    </row>
    <row r="670" spans="1:30" ht="15.75">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c r="AA670" s="80"/>
      <c r="AB670" s="80"/>
      <c r="AC670" s="80"/>
      <c r="AD670" s="80"/>
    </row>
    <row r="671" spans="1:30" ht="15.75">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c r="AA671" s="80"/>
      <c r="AB671" s="80"/>
      <c r="AC671" s="80"/>
      <c r="AD671" s="80"/>
    </row>
    <row r="672" spans="1:30" ht="15.75">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c r="AA672" s="80"/>
      <c r="AB672" s="80"/>
      <c r="AC672" s="80"/>
      <c r="AD672" s="80"/>
    </row>
    <row r="673" spans="1:30" ht="15.75">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c r="AA673" s="80"/>
      <c r="AB673" s="80"/>
      <c r="AC673" s="80"/>
      <c r="AD673" s="80"/>
    </row>
    <row r="674" spans="1:30" ht="15.75">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c r="AA674" s="80"/>
      <c r="AB674" s="80"/>
      <c r="AC674" s="80"/>
      <c r="AD674" s="80"/>
    </row>
    <row r="675" spans="1:30" ht="15.75">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c r="AA675" s="80"/>
      <c r="AB675" s="80"/>
      <c r="AC675" s="80"/>
      <c r="AD675" s="80"/>
    </row>
    <row r="676" spans="1:30" ht="15.75">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c r="AA676" s="80"/>
      <c r="AB676" s="80"/>
      <c r="AC676" s="80"/>
      <c r="AD676" s="80"/>
    </row>
    <row r="677" spans="1:30" ht="15.75">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c r="AA677" s="80"/>
      <c r="AB677" s="80"/>
      <c r="AC677" s="80"/>
      <c r="AD677" s="80"/>
    </row>
    <row r="678" spans="1:30" ht="15.75">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c r="AA678" s="80"/>
      <c r="AB678" s="80"/>
      <c r="AC678" s="80"/>
      <c r="AD678" s="80"/>
    </row>
    <row r="679" spans="1:30" ht="15.75">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c r="AA679" s="80"/>
      <c r="AB679" s="80"/>
      <c r="AC679" s="80"/>
      <c r="AD679" s="80"/>
    </row>
    <row r="680" spans="1:30" ht="15.75">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c r="AA680" s="80"/>
      <c r="AB680" s="80"/>
      <c r="AC680" s="80"/>
      <c r="AD680" s="80"/>
    </row>
    <row r="681" spans="1:30" ht="15.75">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c r="AA681" s="80"/>
      <c r="AB681" s="80"/>
      <c r="AC681" s="80"/>
      <c r="AD681" s="80"/>
    </row>
    <row r="682" spans="1:30" ht="15.75">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c r="AA682" s="80"/>
      <c r="AB682" s="80"/>
      <c r="AC682" s="80"/>
      <c r="AD682" s="80"/>
    </row>
    <row r="683" spans="1:30" ht="15.75">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c r="AA683" s="80"/>
      <c r="AB683" s="80"/>
      <c r="AC683" s="80"/>
      <c r="AD683" s="80"/>
    </row>
    <row r="684" spans="1:30" ht="15.75">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c r="AA684" s="80"/>
      <c r="AB684" s="80"/>
      <c r="AC684" s="80"/>
      <c r="AD684" s="80"/>
    </row>
    <row r="685" spans="1:30" ht="15.75">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c r="AA685" s="80"/>
      <c r="AB685" s="80"/>
      <c r="AC685" s="80"/>
      <c r="AD685" s="80"/>
    </row>
    <row r="686" spans="1:30" ht="15.75">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c r="AA686" s="80"/>
      <c r="AB686" s="80"/>
      <c r="AC686" s="80"/>
      <c r="AD686" s="80"/>
    </row>
    <row r="687" spans="1:30" ht="15.75">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c r="AA687" s="80"/>
      <c r="AB687" s="80"/>
      <c r="AC687" s="80"/>
      <c r="AD687" s="80"/>
    </row>
    <row r="688" spans="1:30" ht="15.75">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c r="AA688" s="80"/>
      <c r="AB688" s="80"/>
      <c r="AC688" s="80"/>
      <c r="AD688" s="80"/>
    </row>
    <row r="689" spans="1:30" ht="15.75">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c r="AA689" s="80"/>
      <c r="AB689" s="80"/>
      <c r="AC689" s="80"/>
      <c r="AD689" s="80"/>
    </row>
    <row r="690" spans="1:30" ht="15.75">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c r="AA690" s="80"/>
      <c r="AB690" s="80"/>
      <c r="AC690" s="80"/>
      <c r="AD690" s="80"/>
    </row>
    <row r="691" spans="1:30" ht="15.75">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c r="AA691" s="80"/>
      <c r="AB691" s="80"/>
      <c r="AC691" s="80"/>
      <c r="AD691" s="80"/>
    </row>
    <row r="692" spans="1:30" ht="15.75">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c r="AA692" s="80"/>
      <c r="AB692" s="80"/>
      <c r="AC692" s="80"/>
      <c r="AD692" s="80"/>
    </row>
    <row r="693" spans="1:30" ht="15.75">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c r="AA693" s="80"/>
      <c r="AB693" s="80"/>
      <c r="AC693" s="80"/>
      <c r="AD693" s="80"/>
    </row>
    <row r="694" spans="1:30" ht="15.75">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c r="AA694" s="80"/>
      <c r="AB694" s="80"/>
      <c r="AC694" s="80"/>
      <c r="AD694" s="80"/>
    </row>
    <row r="695" spans="1:30" ht="15.75">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c r="AA695" s="80"/>
      <c r="AB695" s="80"/>
      <c r="AC695" s="80"/>
      <c r="AD695" s="80"/>
    </row>
    <row r="696" spans="1:30" ht="15.75">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c r="AA696" s="80"/>
      <c r="AB696" s="80"/>
      <c r="AC696" s="80"/>
      <c r="AD696" s="80"/>
    </row>
    <row r="697" spans="1:30" ht="15.75">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c r="AA697" s="80"/>
      <c r="AB697" s="80"/>
      <c r="AC697" s="80"/>
      <c r="AD697" s="80"/>
    </row>
    <row r="698" spans="1:30" ht="15.75">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c r="AA698" s="80"/>
      <c r="AB698" s="80"/>
      <c r="AC698" s="80"/>
      <c r="AD698" s="80"/>
    </row>
    <row r="699" spans="1:30" ht="15.75">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c r="AA699" s="80"/>
      <c r="AB699" s="80"/>
      <c r="AC699" s="80"/>
      <c r="AD699" s="80"/>
    </row>
    <row r="700" spans="1:30" ht="15.75">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c r="AA700" s="80"/>
      <c r="AB700" s="80"/>
      <c r="AC700" s="80"/>
      <c r="AD700" s="80"/>
    </row>
    <row r="701" spans="1:30" ht="15.75">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c r="AA701" s="80"/>
      <c r="AB701" s="80"/>
      <c r="AC701" s="80"/>
      <c r="AD701" s="80"/>
    </row>
    <row r="702" spans="1:30" ht="15.75">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c r="AA702" s="80"/>
      <c r="AB702" s="80"/>
      <c r="AC702" s="80"/>
      <c r="AD702" s="80"/>
    </row>
    <row r="703" spans="1:30" ht="15.75">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c r="AA703" s="80"/>
      <c r="AB703" s="80"/>
      <c r="AC703" s="80"/>
      <c r="AD703" s="80"/>
    </row>
    <row r="704" spans="1:30" ht="15.75">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c r="AA704" s="80"/>
      <c r="AB704" s="80"/>
      <c r="AC704" s="80"/>
      <c r="AD704" s="80"/>
    </row>
    <row r="705" spans="1:30" ht="15.75">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c r="AA705" s="80"/>
      <c r="AB705" s="80"/>
      <c r="AC705" s="80"/>
      <c r="AD705" s="80"/>
    </row>
    <row r="706" spans="1:30" ht="15.75">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c r="AA706" s="80"/>
      <c r="AB706" s="80"/>
      <c r="AC706" s="80"/>
      <c r="AD706" s="80"/>
    </row>
    <row r="707" spans="1:30" ht="15.75">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c r="AA707" s="80"/>
      <c r="AB707" s="80"/>
      <c r="AC707" s="80"/>
      <c r="AD707" s="80"/>
    </row>
    <row r="708" spans="1:30" ht="15.75">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c r="AA708" s="80"/>
      <c r="AB708" s="80"/>
      <c r="AC708" s="80"/>
      <c r="AD708" s="80"/>
    </row>
    <row r="709" spans="1:30" ht="15.75">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c r="AA709" s="80"/>
      <c r="AB709" s="80"/>
      <c r="AC709" s="80"/>
      <c r="AD709" s="80"/>
    </row>
    <row r="710" spans="1:30" ht="15.75">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c r="AA710" s="80"/>
      <c r="AB710" s="80"/>
      <c r="AC710" s="80"/>
      <c r="AD710" s="80"/>
    </row>
    <row r="711" spans="1:30" ht="15.75">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c r="AA711" s="80"/>
      <c r="AB711" s="80"/>
      <c r="AC711" s="80"/>
      <c r="AD711" s="80"/>
    </row>
    <row r="712" spans="1:30" ht="15.75">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c r="AA712" s="80"/>
      <c r="AB712" s="80"/>
      <c r="AC712" s="80"/>
      <c r="AD712" s="80"/>
    </row>
    <row r="713" spans="1:30" ht="15.75">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c r="AA713" s="80"/>
      <c r="AB713" s="80"/>
      <c r="AC713" s="80"/>
      <c r="AD713" s="80"/>
    </row>
    <row r="714" spans="1:30" ht="15.75">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c r="AA714" s="80"/>
      <c r="AB714" s="80"/>
      <c r="AC714" s="80"/>
      <c r="AD714" s="80"/>
    </row>
    <row r="715" spans="1:30" ht="15.75">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c r="AA715" s="80"/>
      <c r="AB715" s="80"/>
      <c r="AC715" s="80"/>
      <c r="AD715" s="80"/>
    </row>
    <row r="716" spans="1:30" ht="15.75">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c r="AA716" s="80"/>
      <c r="AB716" s="80"/>
      <c r="AC716" s="80"/>
      <c r="AD716" s="80"/>
    </row>
    <row r="717" spans="1:30" ht="15.75">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c r="AA717" s="80"/>
      <c r="AB717" s="80"/>
      <c r="AC717" s="80"/>
      <c r="AD717" s="80"/>
    </row>
    <row r="718" spans="1:30" ht="15.75">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c r="AA718" s="80"/>
      <c r="AB718" s="80"/>
      <c r="AC718" s="80"/>
      <c r="AD718" s="80"/>
    </row>
    <row r="719" spans="1:30" ht="15.75">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c r="AA719" s="80"/>
      <c r="AB719" s="80"/>
      <c r="AC719" s="80"/>
      <c r="AD719" s="80"/>
    </row>
    <row r="720" spans="1:30" ht="15.75">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c r="AA720" s="80"/>
      <c r="AB720" s="80"/>
      <c r="AC720" s="80"/>
      <c r="AD720" s="80"/>
    </row>
    <row r="721" spans="1:30" ht="15.75">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c r="AA721" s="80"/>
      <c r="AB721" s="80"/>
      <c r="AC721" s="80"/>
      <c r="AD721" s="80"/>
    </row>
    <row r="722" spans="1:30" ht="15.75">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c r="AA722" s="80"/>
      <c r="AB722" s="80"/>
      <c r="AC722" s="80"/>
      <c r="AD722" s="80"/>
    </row>
    <row r="723" spans="1:30" ht="15.75">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c r="AA723" s="80"/>
      <c r="AB723" s="80"/>
      <c r="AC723" s="80"/>
      <c r="AD723" s="80"/>
    </row>
    <row r="724" spans="1:30" ht="15.75">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c r="AA724" s="80"/>
      <c r="AB724" s="80"/>
      <c r="AC724" s="80"/>
      <c r="AD724" s="80"/>
    </row>
    <row r="725" spans="1:30" ht="15.75">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c r="AA725" s="80"/>
      <c r="AB725" s="80"/>
      <c r="AC725" s="80"/>
      <c r="AD725" s="80"/>
    </row>
    <row r="726" spans="1:30" ht="15.75">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c r="AA726" s="80"/>
      <c r="AB726" s="80"/>
      <c r="AC726" s="80"/>
      <c r="AD726" s="80"/>
    </row>
    <row r="727" spans="1:30" ht="15.75">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c r="AA727" s="80"/>
      <c r="AB727" s="80"/>
      <c r="AC727" s="80"/>
      <c r="AD727" s="80"/>
    </row>
    <row r="728" spans="1:30" ht="15.75">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c r="AA728" s="80"/>
      <c r="AB728" s="80"/>
      <c r="AC728" s="80"/>
      <c r="AD728" s="80"/>
    </row>
    <row r="729" spans="1:30" ht="15.75">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c r="AA729" s="80"/>
      <c r="AB729" s="80"/>
      <c r="AC729" s="80"/>
      <c r="AD729" s="80"/>
    </row>
    <row r="730" spans="1:30" ht="15.75">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c r="AA730" s="80"/>
      <c r="AB730" s="80"/>
      <c r="AC730" s="80"/>
      <c r="AD730" s="80"/>
    </row>
    <row r="731" spans="1:30" ht="15.75">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c r="AA731" s="80"/>
      <c r="AB731" s="80"/>
      <c r="AC731" s="80"/>
      <c r="AD731" s="80"/>
    </row>
    <row r="732" spans="1:30" ht="15.75">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c r="AA732" s="80"/>
      <c r="AB732" s="80"/>
      <c r="AC732" s="80"/>
      <c r="AD732" s="80"/>
    </row>
    <row r="733" spans="1:30" ht="15.75">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c r="AA733" s="80"/>
      <c r="AB733" s="80"/>
      <c r="AC733" s="80"/>
      <c r="AD733" s="80"/>
    </row>
    <row r="734" spans="1:30" ht="15.75">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c r="AA734" s="80"/>
      <c r="AB734" s="80"/>
      <c r="AC734" s="80"/>
      <c r="AD734" s="80"/>
    </row>
    <row r="735" spans="1:30" ht="15.75">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c r="AA735" s="80"/>
      <c r="AB735" s="80"/>
      <c r="AC735" s="80"/>
      <c r="AD735" s="80"/>
    </row>
    <row r="736" spans="1:30" ht="15.75">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c r="AA736" s="80"/>
      <c r="AB736" s="80"/>
      <c r="AC736" s="80"/>
      <c r="AD736" s="80"/>
    </row>
    <row r="737" spans="1:30" ht="15.75">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c r="AA737" s="80"/>
      <c r="AB737" s="80"/>
      <c r="AC737" s="80"/>
      <c r="AD737" s="80"/>
    </row>
    <row r="738" spans="1:30" ht="15.75">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c r="AA738" s="80"/>
      <c r="AB738" s="80"/>
      <c r="AC738" s="80"/>
      <c r="AD738" s="80"/>
    </row>
    <row r="739" spans="1:30" ht="15.75">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c r="AA739" s="80"/>
      <c r="AB739" s="80"/>
      <c r="AC739" s="80"/>
      <c r="AD739" s="80"/>
    </row>
    <row r="740" spans="1:30" ht="15.75">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c r="AA740" s="80"/>
      <c r="AB740" s="80"/>
      <c r="AC740" s="80"/>
      <c r="AD740" s="80"/>
    </row>
    <row r="741" spans="1:30" ht="15.75">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c r="AA741" s="80"/>
      <c r="AB741" s="80"/>
      <c r="AC741" s="80"/>
      <c r="AD741" s="80"/>
    </row>
    <row r="742" spans="1:30" ht="15.75">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c r="AA742" s="80"/>
      <c r="AB742" s="80"/>
      <c r="AC742" s="80"/>
      <c r="AD742" s="80"/>
    </row>
    <row r="743" spans="1:30" ht="15.75">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c r="AA743" s="80"/>
      <c r="AB743" s="80"/>
      <c r="AC743" s="80"/>
      <c r="AD743" s="80"/>
    </row>
    <row r="744" spans="1:30" ht="15.75">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c r="AA744" s="80"/>
      <c r="AB744" s="80"/>
      <c r="AC744" s="80"/>
      <c r="AD744" s="80"/>
    </row>
    <row r="745" spans="1:30" ht="15.75">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c r="AA745" s="80"/>
      <c r="AB745" s="80"/>
      <c r="AC745" s="80"/>
      <c r="AD745" s="80"/>
    </row>
    <row r="746" spans="1:30" ht="15.75">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c r="AA746" s="80"/>
      <c r="AB746" s="80"/>
      <c r="AC746" s="80"/>
      <c r="AD746" s="80"/>
    </row>
    <row r="747" spans="1:30" ht="15.75">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c r="AA747" s="80"/>
      <c r="AB747" s="80"/>
      <c r="AC747" s="80"/>
      <c r="AD747" s="80"/>
    </row>
    <row r="748" spans="1:30" ht="15.75">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c r="AA748" s="80"/>
      <c r="AB748" s="80"/>
      <c r="AC748" s="80"/>
      <c r="AD748" s="80"/>
    </row>
    <row r="749" spans="1:30" ht="15.75">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c r="AA749" s="80"/>
      <c r="AB749" s="80"/>
      <c r="AC749" s="80"/>
      <c r="AD749" s="80"/>
    </row>
    <row r="750" spans="1:30" ht="15.75">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c r="AA750" s="80"/>
      <c r="AB750" s="80"/>
      <c r="AC750" s="80"/>
      <c r="AD750" s="80"/>
    </row>
    <row r="751" spans="1:30" ht="15.75">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c r="AA751" s="80"/>
      <c r="AB751" s="80"/>
      <c r="AC751" s="80"/>
      <c r="AD751" s="80"/>
    </row>
    <row r="752" spans="1:30" ht="15.75">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c r="AA752" s="80"/>
      <c r="AB752" s="80"/>
      <c r="AC752" s="80"/>
      <c r="AD752" s="80"/>
    </row>
    <row r="753" spans="1:30" ht="15.75">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c r="AA753" s="80"/>
      <c r="AB753" s="80"/>
      <c r="AC753" s="80"/>
      <c r="AD753" s="80"/>
    </row>
    <row r="754" spans="1:30" ht="15.75">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c r="AA754" s="80"/>
      <c r="AB754" s="80"/>
      <c r="AC754" s="80"/>
      <c r="AD754" s="80"/>
    </row>
    <row r="755" spans="1:30" ht="15.75">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c r="AA755" s="80"/>
      <c r="AB755" s="80"/>
      <c r="AC755" s="80"/>
      <c r="AD755" s="80"/>
    </row>
    <row r="756" spans="1:30" ht="15.75">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c r="AA756" s="80"/>
      <c r="AB756" s="80"/>
      <c r="AC756" s="80"/>
      <c r="AD756" s="80"/>
    </row>
    <row r="757" spans="1:30" ht="15.75">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c r="AA757" s="80"/>
      <c r="AB757" s="80"/>
      <c r="AC757" s="80"/>
      <c r="AD757" s="80"/>
    </row>
    <row r="758" spans="1:30" ht="15.75">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c r="AA758" s="80"/>
      <c r="AB758" s="80"/>
      <c r="AC758" s="80"/>
      <c r="AD758" s="80"/>
    </row>
    <row r="759" spans="1:30" ht="15.75">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c r="AA759" s="80"/>
      <c r="AB759" s="80"/>
      <c r="AC759" s="80"/>
      <c r="AD759" s="80"/>
    </row>
    <row r="760" spans="1:30" ht="15.75">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c r="AA760" s="80"/>
      <c r="AB760" s="80"/>
      <c r="AC760" s="80"/>
      <c r="AD760" s="80"/>
    </row>
    <row r="761" spans="1:30" ht="15.75">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c r="AA761" s="80"/>
      <c r="AB761" s="80"/>
      <c r="AC761" s="80"/>
      <c r="AD761" s="80"/>
    </row>
    <row r="762" spans="1:30" ht="15.75">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c r="AA762" s="80"/>
      <c r="AB762" s="80"/>
      <c r="AC762" s="80"/>
      <c r="AD762" s="80"/>
    </row>
    <row r="763" spans="1:30" ht="15.75">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c r="AA763" s="80"/>
      <c r="AB763" s="80"/>
      <c r="AC763" s="80"/>
      <c r="AD763" s="80"/>
    </row>
    <row r="764" spans="1:30" ht="15.75">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c r="AA764" s="80"/>
      <c r="AB764" s="80"/>
      <c r="AC764" s="80"/>
      <c r="AD764" s="80"/>
    </row>
    <row r="765" spans="1:30" ht="15.75">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c r="AA765" s="80"/>
      <c r="AB765" s="80"/>
      <c r="AC765" s="80"/>
      <c r="AD765" s="80"/>
    </row>
    <row r="766" spans="1:30" ht="15.75">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c r="AA766" s="80"/>
      <c r="AB766" s="80"/>
      <c r="AC766" s="80"/>
      <c r="AD766" s="80"/>
    </row>
    <row r="767" spans="1:30" ht="15.75">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c r="AA767" s="80"/>
      <c r="AB767" s="80"/>
      <c r="AC767" s="80"/>
      <c r="AD767" s="80"/>
    </row>
    <row r="768" spans="1:30" ht="15.75">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c r="AA768" s="80"/>
      <c r="AB768" s="80"/>
      <c r="AC768" s="80"/>
      <c r="AD768" s="80"/>
    </row>
    <row r="769" spans="1:30" ht="15.75">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c r="AA769" s="80"/>
      <c r="AB769" s="80"/>
      <c r="AC769" s="80"/>
      <c r="AD769" s="80"/>
    </row>
    <row r="770" spans="1:30" ht="15.75">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c r="AA770" s="80"/>
      <c r="AB770" s="80"/>
      <c r="AC770" s="80"/>
      <c r="AD770" s="80"/>
    </row>
    <row r="771" spans="1:30" ht="15.75">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c r="AA771" s="80"/>
      <c r="AB771" s="80"/>
      <c r="AC771" s="80"/>
      <c r="AD771" s="80"/>
    </row>
    <row r="772" spans="1:30" ht="15.75">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c r="AA772" s="80"/>
      <c r="AB772" s="80"/>
      <c r="AC772" s="80"/>
      <c r="AD772" s="80"/>
    </row>
    <row r="773" spans="1:30" ht="15.75">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c r="AA773" s="80"/>
      <c r="AB773" s="80"/>
      <c r="AC773" s="80"/>
      <c r="AD773" s="80"/>
    </row>
    <row r="774" spans="1:30" ht="15.75">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c r="AA774" s="80"/>
      <c r="AB774" s="80"/>
      <c r="AC774" s="80"/>
      <c r="AD774" s="80"/>
    </row>
    <row r="775" spans="1:30" ht="15.75">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c r="AA775" s="80"/>
      <c r="AB775" s="80"/>
      <c r="AC775" s="80"/>
      <c r="AD775" s="80"/>
    </row>
    <row r="776" spans="1:30" ht="15.75">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c r="AA776" s="80"/>
      <c r="AB776" s="80"/>
      <c r="AC776" s="80"/>
      <c r="AD776" s="80"/>
    </row>
    <row r="777" spans="1:30" ht="15.75">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c r="AA777" s="80"/>
      <c r="AB777" s="80"/>
      <c r="AC777" s="80"/>
      <c r="AD777" s="80"/>
    </row>
    <row r="778" spans="1:30" ht="15.75">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c r="AA778" s="80"/>
      <c r="AB778" s="80"/>
      <c r="AC778" s="80"/>
      <c r="AD778" s="80"/>
    </row>
    <row r="779" spans="1:30" ht="15.75">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c r="AA779" s="80"/>
      <c r="AB779" s="80"/>
      <c r="AC779" s="80"/>
      <c r="AD779" s="80"/>
    </row>
    <row r="780" spans="1:30" ht="15.75">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c r="AA780" s="80"/>
      <c r="AB780" s="80"/>
      <c r="AC780" s="80"/>
      <c r="AD780" s="80"/>
    </row>
    <row r="781" spans="1:30" ht="15.75">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c r="AA781" s="80"/>
      <c r="AB781" s="80"/>
      <c r="AC781" s="80"/>
      <c r="AD781" s="80"/>
    </row>
    <row r="782" spans="1:30" ht="15.75">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c r="AA782" s="80"/>
      <c r="AB782" s="80"/>
      <c r="AC782" s="80"/>
      <c r="AD782" s="80"/>
    </row>
    <row r="783" spans="1:30" ht="15.75">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c r="AA783" s="80"/>
      <c r="AB783" s="80"/>
      <c r="AC783" s="80"/>
      <c r="AD783" s="80"/>
    </row>
    <row r="784" spans="1:30" ht="15.75">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c r="AA784" s="80"/>
      <c r="AB784" s="80"/>
      <c r="AC784" s="80"/>
      <c r="AD784" s="80"/>
    </row>
    <row r="785" spans="1:30" ht="15.75">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c r="AA785" s="80"/>
      <c r="AB785" s="80"/>
      <c r="AC785" s="80"/>
      <c r="AD785" s="80"/>
    </row>
    <row r="786" spans="1:30" ht="15.75">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c r="AA786" s="80"/>
      <c r="AB786" s="80"/>
      <c r="AC786" s="80"/>
      <c r="AD786" s="80"/>
    </row>
    <row r="787" spans="1:30" ht="15.75">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c r="AA787" s="80"/>
      <c r="AB787" s="80"/>
      <c r="AC787" s="80"/>
      <c r="AD787" s="80"/>
    </row>
    <row r="788" spans="1:30" ht="15.75">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c r="AA788" s="80"/>
      <c r="AB788" s="80"/>
      <c r="AC788" s="80"/>
      <c r="AD788" s="80"/>
    </row>
    <row r="789" spans="1:30" ht="15.75">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c r="AA789" s="80"/>
      <c r="AB789" s="80"/>
      <c r="AC789" s="80"/>
      <c r="AD789" s="80"/>
    </row>
    <row r="790" spans="1:30" ht="15.75">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c r="AA790" s="80"/>
      <c r="AB790" s="80"/>
      <c r="AC790" s="80"/>
      <c r="AD790" s="80"/>
    </row>
    <row r="791" spans="1:30" ht="15.75">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c r="AA791" s="80"/>
      <c r="AB791" s="80"/>
      <c r="AC791" s="80"/>
      <c r="AD791" s="80"/>
    </row>
    <row r="792" spans="1:30" ht="15.75">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c r="AA792" s="80"/>
      <c r="AB792" s="80"/>
      <c r="AC792" s="80"/>
      <c r="AD792" s="80"/>
    </row>
    <row r="793" spans="1:30" ht="15.75">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c r="AA793" s="80"/>
      <c r="AB793" s="80"/>
      <c r="AC793" s="80"/>
      <c r="AD793" s="80"/>
    </row>
    <row r="794" spans="1:30" ht="15.75">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c r="AA794" s="80"/>
      <c r="AB794" s="80"/>
      <c r="AC794" s="80"/>
      <c r="AD794" s="80"/>
    </row>
    <row r="795" spans="1:30" ht="15.75">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c r="AA795" s="80"/>
      <c r="AB795" s="80"/>
      <c r="AC795" s="80"/>
      <c r="AD795" s="80"/>
    </row>
    <row r="796" spans="1:30" ht="15.75">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c r="AA796" s="80"/>
      <c r="AB796" s="80"/>
      <c r="AC796" s="80"/>
      <c r="AD796" s="80"/>
    </row>
    <row r="797" spans="1:30" ht="15.75">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c r="AA797" s="80"/>
      <c r="AB797" s="80"/>
      <c r="AC797" s="80"/>
      <c r="AD797" s="80"/>
    </row>
    <row r="798" spans="1:30" ht="15.75">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c r="AA798" s="80"/>
      <c r="AB798" s="80"/>
      <c r="AC798" s="80"/>
      <c r="AD798" s="80"/>
    </row>
    <row r="799" spans="1:30" ht="15.75">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c r="AA799" s="80"/>
      <c r="AB799" s="80"/>
      <c r="AC799" s="80"/>
      <c r="AD799" s="80"/>
    </row>
    <row r="800" spans="1:30" ht="15.75">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c r="AA800" s="80"/>
      <c r="AB800" s="80"/>
      <c r="AC800" s="80"/>
      <c r="AD800" s="80"/>
    </row>
    <row r="801" spans="1:30" ht="15.75">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c r="AA801" s="80"/>
      <c r="AB801" s="80"/>
      <c r="AC801" s="80"/>
      <c r="AD801" s="80"/>
    </row>
    <row r="802" spans="1:30" ht="15.75">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c r="AA802" s="80"/>
      <c r="AB802" s="80"/>
      <c r="AC802" s="80"/>
      <c r="AD802" s="80"/>
    </row>
    <row r="803" spans="1:30" ht="15.75">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c r="AA803" s="80"/>
      <c r="AB803" s="80"/>
      <c r="AC803" s="80"/>
      <c r="AD803" s="80"/>
    </row>
    <row r="804" spans="1:30" ht="15.75">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c r="AA804" s="80"/>
      <c r="AB804" s="80"/>
      <c r="AC804" s="80"/>
      <c r="AD804" s="80"/>
    </row>
    <row r="805" spans="1:30" ht="15.75">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c r="AA805" s="80"/>
      <c r="AB805" s="80"/>
      <c r="AC805" s="80"/>
      <c r="AD805" s="80"/>
    </row>
    <row r="806" spans="1:30" ht="15.75">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c r="AA806" s="80"/>
      <c r="AB806" s="80"/>
      <c r="AC806" s="80"/>
      <c r="AD806" s="80"/>
    </row>
    <row r="807" spans="1:30" ht="15.75">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c r="AA807" s="80"/>
      <c r="AB807" s="80"/>
      <c r="AC807" s="80"/>
      <c r="AD807" s="80"/>
    </row>
    <row r="808" spans="1:30" ht="15.75">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c r="AA808" s="80"/>
      <c r="AB808" s="80"/>
      <c r="AC808" s="80"/>
      <c r="AD808" s="80"/>
    </row>
    <row r="809" spans="1:30" ht="15.75">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c r="AA809" s="80"/>
      <c r="AB809" s="80"/>
      <c r="AC809" s="80"/>
      <c r="AD809" s="80"/>
    </row>
    <row r="810" spans="1:30" ht="15.75">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c r="AA810" s="80"/>
      <c r="AB810" s="80"/>
      <c r="AC810" s="80"/>
      <c r="AD810" s="80"/>
    </row>
    <row r="811" spans="1:30" ht="15.75">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c r="AA811" s="80"/>
      <c r="AB811" s="80"/>
      <c r="AC811" s="80"/>
      <c r="AD811" s="80"/>
    </row>
    <row r="812" spans="1:30" ht="15.75">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c r="AA812" s="80"/>
      <c r="AB812" s="80"/>
      <c r="AC812" s="80"/>
      <c r="AD812" s="80"/>
    </row>
    <row r="813" spans="1:30" ht="15.75">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c r="AA813" s="80"/>
      <c r="AB813" s="80"/>
      <c r="AC813" s="80"/>
      <c r="AD813" s="80"/>
    </row>
    <row r="814" spans="1:30" ht="15.75">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c r="AA814" s="80"/>
      <c r="AB814" s="80"/>
      <c r="AC814" s="80"/>
      <c r="AD814" s="80"/>
    </row>
    <row r="815" spans="1:30" ht="15.75">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c r="AA815" s="80"/>
      <c r="AB815" s="80"/>
      <c r="AC815" s="80"/>
      <c r="AD815" s="80"/>
    </row>
    <row r="816" spans="1:30" ht="15.75">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c r="AA816" s="80"/>
      <c r="AB816" s="80"/>
      <c r="AC816" s="80"/>
      <c r="AD816" s="80"/>
    </row>
    <row r="817" spans="1:30" ht="15.75">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c r="AA817" s="80"/>
      <c r="AB817" s="80"/>
      <c r="AC817" s="80"/>
      <c r="AD817" s="80"/>
    </row>
    <row r="818" spans="1:30" ht="15.75">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c r="AA818" s="80"/>
      <c r="AB818" s="80"/>
      <c r="AC818" s="80"/>
      <c r="AD818" s="80"/>
    </row>
    <row r="819" spans="1:30" ht="15.75">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c r="AA819" s="80"/>
      <c r="AB819" s="80"/>
      <c r="AC819" s="80"/>
      <c r="AD819" s="80"/>
    </row>
    <row r="820" spans="1:30" ht="15.75">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c r="AA820" s="80"/>
      <c r="AB820" s="80"/>
      <c r="AC820" s="80"/>
      <c r="AD820" s="80"/>
    </row>
    <row r="821" spans="1:30" ht="15.75">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c r="AA821" s="80"/>
      <c r="AB821" s="80"/>
      <c r="AC821" s="80"/>
      <c r="AD821" s="80"/>
    </row>
    <row r="822" spans="1:30" ht="15.75">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c r="AA822" s="80"/>
      <c r="AB822" s="80"/>
      <c r="AC822" s="80"/>
      <c r="AD822" s="80"/>
    </row>
    <row r="823" spans="1:30" ht="15.75">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c r="AA823" s="80"/>
      <c r="AB823" s="80"/>
      <c r="AC823" s="80"/>
      <c r="AD823" s="80"/>
    </row>
    <row r="824" spans="1:30" ht="15.75">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c r="AA824" s="80"/>
      <c r="AB824" s="80"/>
      <c r="AC824" s="80"/>
      <c r="AD824" s="80"/>
    </row>
    <row r="825" spans="1:30" ht="15.75">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c r="AA825" s="80"/>
      <c r="AB825" s="80"/>
      <c r="AC825" s="80"/>
      <c r="AD825" s="80"/>
    </row>
    <row r="826" spans="1:30" ht="15.75">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c r="AA826" s="80"/>
      <c r="AB826" s="80"/>
      <c r="AC826" s="80"/>
      <c r="AD826" s="80"/>
    </row>
    <row r="827" spans="1:30" ht="15.75">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c r="AA827" s="80"/>
      <c r="AB827" s="80"/>
      <c r="AC827" s="80"/>
      <c r="AD827" s="80"/>
    </row>
    <row r="828" spans="1:30" ht="15.75">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c r="AA828" s="80"/>
      <c r="AB828" s="80"/>
      <c r="AC828" s="80"/>
      <c r="AD828" s="80"/>
    </row>
    <row r="829" spans="1:30" ht="15.75">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c r="AA829" s="80"/>
      <c r="AB829" s="80"/>
      <c r="AC829" s="80"/>
      <c r="AD829" s="80"/>
    </row>
    <row r="830" spans="1:30" ht="15.75">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c r="AA830" s="80"/>
      <c r="AB830" s="80"/>
      <c r="AC830" s="80"/>
      <c r="AD830" s="80"/>
    </row>
    <row r="831" spans="1:30" ht="15.75">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c r="AA831" s="80"/>
      <c r="AB831" s="80"/>
      <c r="AC831" s="80"/>
      <c r="AD831" s="80"/>
    </row>
    <row r="832" spans="1:30" ht="15.75">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c r="AA832" s="80"/>
      <c r="AB832" s="80"/>
      <c r="AC832" s="80"/>
      <c r="AD832" s="80"/>
    </row>
    <row r="833" spans="1:30" ht="15.75">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c r="AA833" s="80"/>
      <c r="AB833" s="80"/>
      <c r="AC833" s="80"/>
      <c r="AD833" s="80"/>
    </row>
    <row r="834" spans="1:30" ht="15.75">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c r="AA834" s="80"/>
      <c r="AB834" s="80"/>
      <c r="AC834" s="80"/>
      <c r="AD834" s="80"/>
    </row>
    <row r="835" spans="1:30" ht="15.75">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c r="AA835" s="80"/>
      <c r="AB835" s="80"/>
      <c r="AC835" s="80"/>
      <c r="AD835" s="80"/>
    </row>
    <row r="836" spans="1:30" ht="15.75">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c r="AA836" s="80"/>
      <c r="AB836" s="80"/>
      <c r="AC836" s="80"/>
      <c r="AD836" s="80"/>
    </row>
    <row r="837" spans="1:30" ht="15.75">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c r="AA837" s="80"/>
      <c r="AB837" s="80"/>
      <c r="AC837" s="80"/>
      <c r="AD837" s="80"/>
    </row>
    <row r="838" spans="1:30" ht="15.75">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c r="AA838" s="80"/>
      <c r="AB838" s="80"/>
      <c r="AC838" s="80"/>
      <c r="AD838" s="80"/>
    </row>
    <row r="839" spans="1:30" ht="15.75">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c r="AA839" s="80"/>
      <c r="AB839" s="80"/>
      <c r="AC839" s="80"/>
      <c r="AD839" s="80"/>
    </row>
    <row r="840" spans="1:30" ht="15.75">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c r="AA840" s="80"/>
      <c r="AB840" s="80"/>
      <c r="AC840" s="80"/>
      <c r="AD840" s="80"/>
    </row>
    <row r="841" spans="1:30" ht="15.75">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c r="AA841" s="80"/>
      <c r="AB841" s="80"/>
      <c r="AC841" s="80"/>
      <c r="AD841" s="80"/>
    </row>
    <row r="842" spans="1:30" ht="15.75">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c r="AA842" s="80"/>
      <c r="AB842" s="80"/>
      <c r="AC842" s="80"/>
      <c r="AD842" s="80"/>
    </row>
    <row r="843" spans="1:30" ht="15.75">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c r="AA843" s="80"/>
      <c r="AB843" s="80"/>
      <c r="AC843" s="80"/>
      <c r="AD843" s="80"/>
    </row>
    <row r="844" spans="1:30" ht="15.75">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c r="AA844" s="80"/>
      <c r="AB844" s="80"/>
      <c r="AC844" s="80"/>
      <c r="AD844" s="80"/>
    </row>
    <row r="845" spans="1:30" ht="15.75">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c r="AA845" s="80"/>
      <c r="AB845" s="80"/>
      <c r="AC845" s="80"/>
      <c r="AD845" s="80"/>
    </row>
    <row r="846" spans="1:30" ht="15.75">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c r="AA846" s="80"/>
      <c r="AB846" s="80"/>
      <c r="AC846" s="80"/>
      <c r="AD846" s="80"/>
    </row>
    <row r="847" spans="1:30" ht="15.75">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c r="AA847" s="80"/>
      <c r="AB847" s="80"/>
      <c r="AC847" s="80"/>
      <c r="AD847" s="80"/>
    </row>
    <row r="848" spans="1:30" ht="15.75">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c r="AA848" s="80"/>
      <c r="AB848" s="80"/>
      <c r="AC848" s="80"/>
      <c r="AD848" s="80"/>
    </row>
    <row r="849" spans="1:30" ht="15.75">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c r="AA849" s="80"/>
      <c r="AB849" s="80"/>
      <c r="AC849" s="80"/>
      <c r="AD849" s="80"/>
    </row>
    <row r="850" spans="1:30" ht="15.75">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c r="AA850" s="80"/>
      <c r="AB850" s="80"/>
      <c r="AC850" s="80"/>
      <c r="AD850" s="80"/>
    </row>
    <row r="851" spans="1:30" ht="15.75">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c r="AA851" s="80"/>
      <c r="AB851" s="80"/>
      <c r="AC851" s="80"/>
      <c r="AD851" s="80"/>
    </row>
    <row r="852" spans="1:30" ht="15.75">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c r="AA852" s="80"/>
      <c r="AB852" s="80"/>
      <c r="AC852" s="80"/>
      <c r="AD852" s="80"/>
    </row>
    <row r="853" spans="1:30" ht="15.75">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c r="AA853" s="80"/>
      <c r="AB853" s="80"/>
      <c r="AC853" s="80"/>
      <c r="AD853" s="80"/>
    </row>
    <row r="854" spans="1:30" ht="15.75">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c r="AA854" s="80"/>
      <c r="AB854" s="80"/>
      <c r="AC854" s="80"/>
      <c r="AD854" s="80"/>
    </row>
    <row r="855" spans="1:30" ht="15.75">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c r="AA855" s="80"/>
      <c r="AB855" s="80"/>
      <c r="AC855" s="80"/>
      <c r="AD855" s="80"/>
    </row>
    <row r="856" spans="1:30" ht="15.75">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c r="AA856" s="80"/>
      <c r="AB856" s="80"/>
      <c r="AC856" s="80"/>
      <c r="AD856" s="80"/>
    </row>
    <row r="857" spans="1:30" ht="15.75">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c r="AA857" s="80"/>
      <c r="AB857" s="80"/>
      <c r="AC857" s="80"/>
      <c r="AD857" s="80"/>
    </row>
    <row r="858" spans="1:30" ht="15.75">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c r="AA858" s="80"/>
      <c r="AB858" s="80"/>
      <c r="AC858" s="80"/>
      <c r="AD858" s="80"/>
    </row>
    <row r="859" spans="1:30" ht="15.75">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c r="AA859" s="80"/>
      <c r="AB859" s="80"/>
      <c r="AC859" s="80"/>
      <c r="AD859" s="80"/>
    </row>
    <row r="860" spans="1:30" ht="15.75">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c r="AA860" s="80"/>
      <c r="AB860" s="80"/>
      <c r="AC860" s="80"/>
      <c r="AD860" s="80"/>
    </row>
    <row r="861" spans="1:30" ht="15.75">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c r="AA861" s="80"/>
      <c r="AB861" s="80"/>
      <c r="AC861" s="80"/>
      <c r="AD861" s="80"/>
    </row>
    <row r="862" spans="1:30" ht="15.75">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c r="AA862" s="80"/>
      <c r="AB862" s="80"/>
      <c r="AC862" s="80"/>
      <c r="AD862" s="80"/>
    </row>
    <row r="863" spans="1:30" ht="15.75">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c r="AA863" s="80"/>
      <c r="AB863" s="80"/>
      <c r="AC863" s="80"/>
      <c r="AD863" s="80"/>
    </row>
    <row r="864" spans="1:30" ht="15.75">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c r="AA864" s="80"/>
      <c r="AB864" s="80"/>
      <c r="AC864" s="80"/>
      <c r="AD864" s="80"/>
    </row>
    <row r="865" spans="1:30" ht="15.75">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c r="AA865" s="80"/>
      <c r="AB865" s="80"/>
      <c r="AC865" s="80"/>
      <c r="AD865" s="80"/>
    </row>
    <row r="866" spans="1:30" ht="15.75">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c r="AA866" s="80"/>
      <c r="AB866" s="80"/>
      <c r="AC866" s="80"/>
      <c r="AD866" s="80"/>
    </row>
    <row r="867" spans="1:30" ht="15.75">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c r="AA867" s="80"/>
      <c r="AB867" s="80"/>
      <c r="AC867" s="80"/>
      <c r="AD867" s="80"/>
    </row>
    <row r="868" spans="1:30" ht="15.75">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c r="AA868" s="80"/>
      <c r="AB868" s="80"/>
      <c r="AC868" s="80"/>
      <c r="AD868" s="80"/>
    </row>
    <row r="869" spans="1:30" ht="15.75">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c r="AA869" s="80"/>
      <c r="AB869" s="80"/>
      <c r="AC869" s="80"/>
      <c r="AD869" s="80"/>
    </row>
    <row r="870" spans="1:30" ht="15.75">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c r="AA870" s="80"/>
      <c r="AB870" s="80"/>
      <c r="AC870" s="80"/>
      <c r="AD870" s="80"/>
    </row>
    <row r="871" spans="1:30" ht="15.75">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c r="AA871" s="80"/>
      <c r="AB871" s="80"/>
      <c r="AC871" s="80"/>
      <c r="AD871" s="80"/>
    </row>
    <row r="872" spans="1:30" ht="15.75">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c r="AA872" s="80"/>
      <c r="AB872" s="80"/>
      <c r="AC872" s="80"/>
      <c r="AD872" s="80"/>
    </row>
    <row r="873" spans="1:30" ht="15.75">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c r="AA873" s="80"/>
      <c r="AB873" s="80"/>
      <c r="AC873" s="80"/>
      <c r="AD873" s="80"/>
    </row>
    <row r="874" spans="1:30" ht="15.75">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c r="AA874" s="80"/>
      <c r="AB874" s="80"/>
      <c r="AC874" s="80"/>
      <c r="AD874" s="80"/>
    </row>
    <row r="875" spans="1:30" ht="15.75">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c r="AA875" s="80"/>
      <c r="AB875" s="80"/>
      <c r="AC875" s="80"/>
      <c r="AD875" s="80"/>
    </row>
    <row r="876" spans="1:30" ht="15.75">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c r="AA876" s="80"/>
      <c r="AB876" s="80"/>
      <c r="AC876" s="80"/>
      <c r="AD876" s="80"/>
    </row>
    <row r="877" spans="1:30" ht="15.75">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c r="AA877" s="80"/>
      <c r="AB877" s="80"/>
      <c r="AC877" s="80"/>
      <c r="AD877" s="80"/>
    </row>
    <row r="878" spans="1:30" ht="15.75">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c r="AA878" s="80"/>
      <c r="AB878" s="80"/>
      <c r="AC878" s="80"/>
      <c r="AD878" s="80"/>
    </row>
    <row r="879" spans="1:30" ht="15.75">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c r="AA879" s="80"/>
      <c r="AB879" s="80"/>
      <c r="AC879" s="80"/>
      <c r="AD879" s="80"/>
    </row>
    <row r="880" spans="1:30" ht="15.75">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c r="AA880" s="80"/>
      <c r="AB880" s="80"/>
      <c r="AC880" s="80"/>
      <c r="AD880" s="80"/>
    </row>
    <row r="881" spans="1:30" ht="15.75">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c r="AA881" s="80"/>
      <c r="AB881" s="80"/>
      <c r="AC881" s="80"/>
      <c r="AD881" s="80"/>
    </row>
    <row r="882" spans="1:30" ht="15.75">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c r="AA882" s="80"/>
      <c r="AB882" s="80"/>
      <c r="AC882" s="80"/>
      <c r="AD882" s="80"/>
    </row>
    <row r="883" spans="1:30" ht="15.75">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c r="AA883" s="80"/>
      <c r="AB883" s="80"/>
      <c r="AC883" s="80"/>
      <c r="AD883" s="80"/>
    </row>
    <row r="884" spans="1:30" ht="15.75">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c r="AA884" s="80"/>
      <c r="AB884" s="80"/>
      <c r="AC884" s="80"/>
      <c r="AD884" s="80"/>
    </row>
    <row r="885" spans="1:30" ht="15.75">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c r="AA885" s="80"/>
      <c r="AB885" s="80"/>
      <c r="AC885" s="80"/>
      <c r="AD885" s="80"/>
    </row>
    <row r="886" spans="1:30" ht="15.75">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c r="AA886" s="80"/>
      <c r="AB886" s="80"/>
      <c r="AC886" s="80"/>
      <c r="AD886" s="80"/>
    </row>
    <row r="887" spans="1:30" ht="15.75">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c r="AA887" s="80"/>
      <c r="AB887" s="80"/>
      <c r="AC887" s="80"/>
      <c r="AD887" s="80"/>
    </row>
    <row r="888" spans="1:30" ht="15.75">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c r="AA888" s="80"/>
      <c r="AB888" s="80"/>
      <c r="AC888" s="80"/>
      <c r="AD888" s="80"/>
    </row>
    <row r="889" spans="1:30" ht="15.75">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c r="AA889" s="80"/>
      <c r="AB889" s="80"/>
      <c r="AC889" s="80"/>
      <c r="AD889" s="80"/>
    </row>
    <row r="890" spans="1:30" ht="15.75">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c r="AA890" s="80"/>
      <c r="AB890" s="80"/>
      <c r="AC890" s="80"/>
      <c r="AD890" s="80"/>
    </row>
    <row r="891" spans="1:30" ht="15.75">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c r="AA891" s="80"/>
      <c r="AB891" s="80"/>
      <c r="AC891" s="80"/>
      <c r="AD891" s="80"/>
    </row>
    <row r="892" spans="1:30" ht="15.75">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c r="AA892" s="80"/>
      <c r="AB892" s="80"/>
      <c r="AC892" s="80"/>
      <c r="AD892" s="80"/>
    </row>
    <row r="893" spans="1:30" ht="15.75">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c r="AA893" s="80"/>
      <c r="AB893" s="80"/>
      <c r="AC893" s="80"/>
      <c r="AD893" s="80"/>
    </row>
    <row r="894" spans="1:30" ht="15.75">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c r="AA894" s="80"/>
      <c r="AB894" s="80"/>
      <c r="AC894" s="80"/>
      <c r="AD894" s="80"/>
    </row>
    <row r="895" spans="1:30" ht="15.75">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c r="AA895" s="80"/>
      <c r="AB895" s="80"/>
      <c r="AC895" s="80"/>
      <c r="AD895" s="80"/>
    </row>
    <row r="896" spans="1:30" ht="15.75">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c r="AA896" s="80"/>
      <c r="AB896" s="80"/>
      <c r="AC896" s="80"/>
      <c r="AD896" s="80"/>
    </row>
    <row r="897" spans="1:30" ht="15.75">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c r="AA897" s="80"/>
      <c r="AB897" s="80"/>
      <c r="AC897" s="80"/>
      <c r="AD897" s="80"/>
    </row>
    <row r="898" spans="1:30" ht="15.75">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c r="AA898" s="80"/>
      <c r="AB898" s="80"/>
      <c r="AC898" s="80"/>
      <c r="AD898" s="80"/>
    </row>
    <row r="899" spans="1:30" ht="15.75">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c r="AA899" s="80"/>
      <c r="AB899" s="80"/>
      <c r="AC899" s="80"/>
      <c r="AD899" s="80"/>
    </row>
    <row r="900" spans="1:30" ht="15.75">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c r="AA900" s="80"/>
      <c r="AB900" s="80"/>
      <c r="AC900" s="80"/>
      <c r="AD900" s="80"/>
    </row>
    <row r="901" spans="1:30" ht="15.75">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c r="AA901" s="80"/>
      <c r="AB901" s="80"/>
      <c r="AC901" s="80"/>
      <c r="AD901" s="80"/>
    </row>
    <row r="902" spans="1:30" ht="15.75">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c r="AA902" s="80"/>
      <c r="AB902" s="80"/>
      <c r="AC902" s="80"/>
      <c r="AD902" s="80"/>
    </row>
    <row r="903" spans="1:30" ht="15.75">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c r="AA903" s="80"/>
      <c r="AB903" s="80"/>
      <c r="AC903" s="80"/>
      <c r="AD903" s="80"/>
    </row>
    <row r="904" spans="1:30" ht="15.75">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c r="AA904" s="80"/>
      <c r="AB904" s="80"/>
      <c r="AC904" s="80"/>
      <c r="AD904" s="80"/>
    </row>
    <row r="905" spans="1:30" ht="15.75">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c r="AA905" s="80"/>
      <c r="AB905" s="80"/>
      <c r="AC905" s="80"/>
      <c r="AD905" s="80"/>
    </row>
    <row r="906" spans="1:30" ht="15.75">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c r="AA906" s="80"/>
      <c r="AB906" s="80"/>
      <c r="AC906" s="80"/>
      <c r="AD906" s="80"/>
    </row>
    <row r="907" spans="1:30" ht="15.75">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c r="AA907" s="80"/>
      <c r="AB907" s="80"/>
      <c r="AC907" s="80"/>
      <c r="AD907" s="80"/>
    </row>
    <row r="908" spans="1:30" ht="15.75">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c r="AA908" s="80"/>
      <c r="AB908" s="80"/>
      <c r="AC908" s="80"/>
      <c r="AD908" s="80"/>
    </row>
    <row r="909" spans="1:30" ht="15.75">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c r="AA909" s="80"/>
      <c r="AB909" s="80"/>
      <c r="AC909" s="80"/>
      <c r="AD909" s="80"/>
    </row>
    <row r="910" spans="1:30" ht="15.75">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c r="AA910" s="80"/>
      <c r="AB910" s="80"/>
      <c r="AC910" s="80"/>
      <c r="AD910" s="80"/>
    </row>
    <row r="911" spans="1:30" ht="15.75">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c r="AA911" s="80"/>
      <c r="AB911" s="80"/>
      <c r="AC911" s="80"/>
      <c r="AD911" s="80"/>
    </row>
    <row r="912" spans="1:30" ht="15.75">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c r="AA912" s="80"/>
      <c r="AB912" s="80"/>
      <c r="AC912" s="80"/>
      <c r="AD912" s="80"/>
    </row>
    <row r="913" spans="1:30" ht="15.75">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c r="AA913" s="80"/>
      <c r="AB913" s="80"/>
      <c r="AC913" s="80"/>
      <c r="AD913" s="80"/>
    </row>
    <row r="914" spans="1:30" ht="15.75">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c r="AA914" s="80"/>
      <c r="AB914" s="80"/>
      <c r="AC914" s="80"/>
      <c r="AD914" s="80"/>
    </row>
    <row r="915" spans="1:30" ht="15.75">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c r="AA915" s="80"/>
      <c r="AB915" s="80"/>
      <c r="AC915" s="80"/>
      <c r="AD915" s="80"/>
    </row>
    <row r="916" spans="1:30" ht="15.75">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c r="AA916" s="80"/>
      <c r="AB916" s="80"/>
      <c r="AC916" s="80"/>
      <c r="AD916" s="80"/>
    </row>
    <row r="917" spans="1:30" ht="15.75">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c r="AA917" s="80"/>
      <c r="AB917" s="80"/>
      <c r="AC917" s="80"/>
      <c r="AD917" s="80"/>
    </row>
    <row r="918" spans="1:30" ht="15.75">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c r="AA918" s="80"/>
      <c r="AB918" s="80"/>
      <c r="AC918" s="80"/>
      <c r="AD918" s="80"/>
    </row>
    <row r="919" spans="1:30" ht="15.75">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c r="AA919" s="80"/>
      <c r="AB919" s="80"/>
      <c r="AC919" s="80"/>
      <c r="AD919" s="80"/>
    </row>
    <row r="920" spans="1:30" ht="15.75">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c r="AA920" s="80"/>
      <c r="AB920" s="80"/>
      <c r="AC920" s="80"/>
      <c r="AD920" s="80"/>
    </row>
    <row r="921" spans="1:30" ht="15.75">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c r="AA921" s="80"/>
      <c r="AB921" s="80"/>
      <c r="AC921" s="80"/>
      <c r="AD921" s="80"/>
    </row>
    <row r="922" spans="1:30" ht="15.75">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c r="AA922" s="80"/>
      <c r="AB922" s="80"/>
      <c r="AC922" s="80"/>
      <c r="AD922" s="80"/>
    </row>
    <row r="923" spans="1:30" ht="15.75">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c r="AA923" s="80"/>
      <c r="AB923" s="80"/>
      <c r="AC923" s="80"/>
      <c r="AD923" s="80"/>
    </row>
    <row r="924" spans="1:30" ht="15.75">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c r="AA924" s="80"/>
      <c r="AB924" s="80"/>
      <c r="AC924" s="80"/>
      <c r="AD924" s="80"/>
    </row>
    <row r="925" spans="1:30" ht="15.75">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c r="AA925" s="80"/>
      <c r="AB925" s="80"/>
      <c r="AC925" s="80"/>
      <c r="AD925" s="80"/>
    </row>
    <row r="926" spans="1:30" ht="15.75">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c r="AA926" s="80"/>
      <c r="AB926" s="80"/>
      <c r="AC926" s="80"/>
      <c r="AD926" s="80"/>
    </row>
    <row r="927" spans="1:30" ht="15.75">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c r="AA927" s="80"/>
      <c r="AB927" s="80"/>
      <c r="AC927" s="80"/>
      <c r="AD927" s="80"/>
    </row>
    <row r="928" spans="1:30" ht="15.75">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c r="AA928" s="80"/>
      <c r="AB928" s="80"/>
      <c r="AC928" s="80"/>
      <c r="AD928" s="80"/>
    </row>
    <row r="929" spans="1:30" ht="15.75">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c r="AA929" s="80"/>
      <c r="AB929" s="80"/>
      <c r="AC929" s="80"/>
      <c r="AD929" s="80"/>
    </row>
    <row r="930" spans="1:30" ht="15.75">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c r="AA930" s="80"/>
      <c r="AB930" s="80"/>
      <c r="AC930" s="80"/>
      <c r="AD930" s="80"/>
    </row>
    <row r="931" spans="1:30" ht="15.75">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c r="AA931" s="80"/>
      <c r="AB931" s="80"/>
      <c r="AC931" s="80"/>
      <c r="AD931" s="80"/>
    </row>
    <row r="932" spans="1:30" ht="15.75">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c r="AA932" s="80"/>
      <c r="AB932" s="80"/>
      <c r="AC932" s="80"/>
      <c r="AD932" s="80"/>
    </row>
    <row r="933" spans="1:30" ht="15.75">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c r="AA933" s="80"/>
      <c r="AB933" s="80"/>
      <c r="AC933" s="80"/>
      <c r="AD933" s="80"/>
    </row>
    <row r="934" spans="1:30" ht="15.75">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c r="AA934" s="80"/>
      <c r="AB934" s="80"/>
      <c r="AC934" s="80"/>
      <c r="AD934" s="80"/>
    </row>
    <row r="935" spans="1:30" ht="15.75">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c r="AA935" s="80"/>
      <c r="AB935" s="80"/>
      <c r="AC935" s="80"/>
      <c r="AD935" s="80"/>
    </row>
    <row r="936" spans="1:30" ht="15.75">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c r="AA936" s="80"/>
      <c r="AB936" s="80"/>
      <c r="AC936" s="80"/>
      <c r="AD936" s="80"/>
    </row>
    <row r="937" spans="1:30" ht="15.75">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c r="AA937" s="80"/>
      <c r="AB937" s="80"/>
      <c r="AC937" s="80"/>
      <c r="AD937" s="80"/>
    </row>
    <row r="938" spans="1:30" ht="15.75">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c r="AA938" s="80"/>
      <c r="AB938" s="80"/>
      <c r="AC938" s="80"/>
      <c r="AD938" s="80"/>
    </row>
    <row r="939" spans="1:30" ht="15.75">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c r="AA939" s="80"/>
      <c r="AB939" s="80"/>
      <c r="AC939" s="80"/>
      <c r="AD939" s="80"/>
    </row>
    <row r="940" spans="1:30" ht="15.75">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c r="AA940" s="80"/>
      <c r="AB940" s="80"/>
      <c r="AC940" s="80"/>
      <c r="AD940" s="80"/>
    </row>
    <row r="941" spans="1:30" ht="15.75">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c r="AA941" s="80"/>
      <c r="AB941" s="80"/>
      <c r="AC941" s="80"/>
      <c r="AD941" s="80"/>
    </row>
    <row r="942" spans="1:30" ht="15.75">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c r="AA942" s="80"/>
      <c r="AB942" s="80"/>
      <c r="AC942" s="80"/>
      <c r="AD942" s="80"/>
    </row>
    <row r="943" spans="1:30" ht="15.75">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c r="AA943" s="80"/>
      <c r="AB943" s="80"/>
      <c r="AC943" s="80"/>
      <c r="AD943" s="80"/>
    </row>
    <row r="944" spans="1:30" ht="15.75">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c r="AA944" s="80"/>
      <c r="AB944" s="80"/>
      <c r="AC944" s="80"/>
      <c r="AD944" s="80"/>
    </row>
    <row r="945" spans="1:30" ht="15.75">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c r="AA945" s="80"/>
      <c r="AB945" s="80"/>
      <c r="AC945" s="80"/>
      <c r="AD945" s="80"/>
    </row>
    <row r="946" spans="1:30" ht="15.75">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c r="AA946" s="80"/>
      <c r="AB946" s="80"/>
      <c r="AC946" s="80"/>
      <c r="AD946" s="80"/>
    </row>
    <row r="947" spans="1:30" ht="15.75">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c r="AA947" s="80"/>
      <c r="AB947" s="80"/>
      <c r="AC947" s="80"/>
      <c r="AD947" s="80"/>
    </row>
    <row r="948" spans="1:30" ht="15.75">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c r="AA948" s="80"/>
      <c r="AB948" s="80"/>
      <c r="AC948" s="80"/>
      <c r="AD948" s="80"/>
    </row>
    <row r="949" spans="1:30" ht="15.75">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c r="AA949" s="80"/>
      <c r="AB949" s="80"/>
      <c r="AC949" s="80"/>
      <c r="AD949" s="80"/>
    </row>
    <row r="950" spans="1:30" ht="15.75">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c r="AA950" s="80"/>
      <c r="AB950" s="80"/>
      <c r="AC950" s="80"/>
      <c r="AD950" s="80"/>
    </row>
    <row r="951" spans="1:30" ht="15.75">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c r="AA951" s="80"/>
      <c r="AB951" s="80"/>
      <c r="AC951" s="80"/>
      <c r="AD951" s="80"/>
    </row>
    <row r="952" spans="1:30" ht="15.75">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c r="AA952" s="80"/>
      <c r="AB952" s="80"/>
      <c r="AC952" s="80"/>
      <c r="AD952" s="80"/>
    </row>
    <row r="953" spans="1:30" ht="15.75">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c r="AA953" s="80"/>
      <c r="AB953" s="80"/>
      <c r="AC953" s="80"/>
      <c r="AD953" s="80"/>
    </row>
    <row r="954" spans="1:30" ht="15.75">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c r="AA954" s="80"/>
      <c r="AB954" s="80"/>
      <c r="AC954" s="80"/>
      <c r="AD954" s="80"/>
    </row>
    <row r="955" spans="1:30" ht="15.75">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c r="AA955" s="80"/>
      <c r="AB955" s="80"/>
      <c r="AC955" s="80"/>
      <c r="AD955" s="80"/>
    </row>
    <row r="956" spans="1:30" ht="15.75">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c r="AA956" s="80"/>
      <c r="AB956" s="80"/>
      <c r="AC956" s="80"/>
      <c r="AD956" s="80"/>
    </row>
    <row r="957" spans="1:30" ht="15.75">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c r="AA957" s="80"/>
      <c r="AB957" s="80"/>
      <c r="AC957" s="80"/>
      <c r="AD957" s="80"/>
    </row>
    <row r="958" spans="1:30" ht="15.75">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c r="AA958" s="80"/>
      <c r="AB958" s="80"/>
      <c r="AC958" s="80"/>
      <c r="AD958" s="80"/>
    </row>
    <row r="959" spans="1:30" ht="15.75">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c r="AA959" s="80"/>
      <c r="AB959" s="80"/>
      <c r="AC959" s="80"/>
      <c r="AD959" s="80"/>
    </row>
    <row r="960" spans="1:30" ht="15.75">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c r="AA960" s="80"/>
      <c r="AB960" s="80"/>
      <c r="AC960" s="80"/>
      <c r="AD960" s="80"/>
    </row>
    <row r="961" spans="1:30" ht="15.75">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c r="AA961" s="80"/>
      <c r="AB961" s="80"/>
      <c r="AC961" s="80"/>
      <c r="AD961" s="80"/>
    </row>
    <row r="962" spans="1:30" ht="15.75">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c r="AA962" s="80"/>
      <c r="AB962" s="80"/>
      <c r="AC962" s="80"/>
      <c r="AD962" s="80"/>
    </row>
    <row r="963" spans="1:30" ht="15.75">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c r="AA963" s="80"/>
      <c r="AB963" s="80"/>
      <c r="AC963" s="80"/>
      <c r="AD963" s="80"/>
    </row>
    <row r="964" spans="1:30" ht="15.75">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c r="AA964" s="80"/>
      <c r="AB964" s="80"/>
      <c r="AC964" s="80"/>
      <c r="AD964" s="80"/>
    </row>
    <row r="965" spans="1:30" ht="15.75">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c r="AA965" s="80"/>
      <c r="AB965" s="80"/>
      <c r="AC965" s="80"/>
      <c r="AD965" s="80"/>
    </row>
    <row r="966" spans="1:30" ht="15.75">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c r="AA966" s="80"/>
      <c r="AB966" s="80"/>
      <c r="AC966" s="80"/>
      <c r="AD966" s="80"/>
    </row>
    <row r="967" spans="1:30" ht="15.75">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c r="AA967" s="80"/>
      <c r="AB967" s="80"/>
      <c r="AC967" s="80"/>
      <c r="AD967" s="80"/>
    </row>
    <row r="968" spans="1:30" ht="15.75">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c r="AA968" s="80"/>
      <c r="AB968" s="80"/>
      <c r="AC968" s="80"/>
      <c r="AD968" s="80"/>
    </row>
    <row r="969" spans="1:30" ht="15.75">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c r="AA969" s="80"/>
      <c r="AB969" s="80"/>
      <c r="AC969" s="80"/>
      <c r="AD969" s="80"/>
    </row>
    <row r="970" spans="1:30" ht="15.75">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c r="AA970" s="80"/>
      <c r="AB970" s="80"/>
      <c r="AC970" s="80"/>
      <c r="AD970" s="80"/>
    </row>
    <row r="971" spans="1:30" ht="15.75">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c r="AA971" s="80"/>
      <c r="AB971" s="80"/>
      <c r="AC971" s="80"/>
      <c r="AD971" s="80"/>
    </row>
    <row r="972" spans="1:30" ht="15.75">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c r="AA972" s="80"/>
      <c r="AB972" s="80"/>
      <c r="AC972" s="80"/>
      <c r="AD972" s="80"/>
    </row>
    <row r="973" spans="1:30" ht="15.75">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c r="AA973" s="80"/>
      <c r="AB973" s="80"/>
      <c r="AC973" s="80"/>
      <c r="AD973" s="80"/>
    </row>
    <row r="974" spans="1:30" ht="15.75">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c r="AA974" s="80"/>
      <c r="AB974" s="80"/>
      <c r="AC974" s="80"/>
      <c r="AD974" s="80"/>
    </row>
    <row r="975" spans="1:30" ht="15.75">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c r="AA975" s="80"/>
      <c r="AB975" s="80"/>
      <c r="AC975" s="80"/>
      <c r="AD975" s="80"/>
    </row>
    <row r="976" spans="1:30" ht="15.75">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c r="AA976" s="80"/>
      <c r="AB976" s="80"/>
      <c r="AC976" s="80"/>
      <c r="AD976" s="80"/>
    </row>
    <row r="977" spans="1:30" ht="15.75">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c r="AA977" s="80"/>
      <c r="AB977" s="80"/>
      <c r="AC977" s="80"/>
      <c r="AD977" s="80"/>
    </row>
    <row r="978" spans="1:30" ht="15.75">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c r="AA978" s="80"/>
      <c r="AB978" s="80"/>
      <c r="AC978" s="80"/>
      <c r="AD978" s="80"/>
    </row>
    <row r="979" spans="1:30" ht="15.75">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c r="AA979" s="80"/>
      <c r="AB979" s="80"/>
      <c r="AC979" s="80"/>
      <c r="AD979" s="80"/>
    </row>
    <row r="980" spans="1:30" ht="15.75">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c r="AA980" s="80"/>
      <c r="AB980" s="80"/>
      <c r="AC980" s="80"/>
      <c r="AD980" s="80"/>
    </row>
    <row r="981" spans="1:30" ht="15.75">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c r="AA981" s="80"/>
      <c r="AB981" s="80"/>
      <c r="AC981" s="80"/>
      <c r="AD981" s="80"/>
    </row>
    <row r="982" spans="1:30" ht="15.75">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c r="AA982" s="80"/>
      <c r="AB982" s="80"/>
      <c r="AC982" s="80"/>
      <c r="AD982" s="80"/>
    </row>
    <row r="983" spans="1:30" ht="15.75">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c r="AA983" s="80"/>
      <c r="AB983" s="80"/>
      <c r="AC983" s="80"/>
      <c r="AD983" s="80"/>
    </row>
    <row r="984" spans="1:30" ht="15.75">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c r="AA984" s="80"/>
      <c r="AB984" s="80"/>
      <c r="AC984" s="80"/>
      <c r="AD984" s="80"/>
    </row>
    <row r="985" spans="1:30" ht="15.75">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c r="AA985" s="80"/>
      <c r="AB985" s="80"/>
      <c r="AC985" s="80"/>
      <c r="AD985" s="80"/>
    </row>
    <row r="986" spans="1:30" ht="15.75">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c r="AA986" s="80"/>
      <c r="AB986" s="80"/>
      <c r="AC986" s="80"/>
      <c r="AD986" s="80"/>
    </row>
    <row r="987" spans="1:30" ht="15.75">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c r="AA987" s="80"/>
      <c r="AB987" s="80"/>
      <c r="AC987" s="80"/>
      <c r="AD987" s="80"/>
    </row>
    <row r="988" spans="1:30" ht="15.75">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c r="AA988" s="80"/>
      <c r="AB988" s="80"/>
      <c r="AC988" s="80"/>
      <c r="AD988" s="80"/>
    </row>
    <row r="989" spans="1:30" ht="15.75">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c r="AA989" s="80"/>
      <c r="AB989" s="80"/>
      <c r="AC989" s="80"/>
      <c r="AD989" s="80"/>
    </row>
    <row r="990" spans="1:30" ht="15.75">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c r="AA990" s="80"/>
      <c r="AB990" s="80"/>
      <c r="AC990" s="80"/>
      <c r="AD990" s="80"/>
    </row>
    <row r="991" spans="1:30" ht="15.75">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c r="AA991" s="80"/>
      <c r="AB991" s="80"/>
      <c r="AC991" s="80"/>
      <c r="AD991" s="80"/>
    </row>
    <row r="992" spans="1:30" ht="15.75">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c r="AA992" s="80"/>
      <c r="AB992" s="80"/>
      <c r="AC992" s="80"/>
      <c r="AD992" s="80"/>
    </row>
    <row r="993" spans="1:30" ht="15.75">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c r="AA993" s="80"/>
      <c r="AB993" s="80"/>
      <c r="AC993" s="80"/>
      <c r="AD993" s="80"/>
    </row>
    <row r="994" spans="1:30" ht="15.75">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c r="AA994" s="80"/>
      <c r="AB994" s="80"/>
      <c r="AC994" s="80"/>
      <c r="AD994" s="80"/>
    </row>
    <row r="995" spans="1:30" ht="15.75">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c r="AA995" s="80"/>
      <c r="AB995" s="80"/>
      <c r="AC995" s="80"/>
      <c r="AD995" s="80"/>
    </row>
    <row r="996" spans="1:30" ht="15.75">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c r="AA996" s="80"/>
      <c r="AB996" s="80"/>
      <c r="AC996" s="80"/>
      <c r="AD996" s="80"/>
    </row>
    <row r="997" spans="1:30" ht="15.75">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c r="AA997" s="80"/>
      <c r="AB997" s="80"/>
      <c r="AC997" s="80"/>
      <c r="AD997" s="80"/>
    </row>
    <row r="998" spans="1:30" ht="15.75">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c r="AA998" s="80"/>
      <c r="AB998" s="80"/>
      <c r="AC998" s="80"/>
      <c r="AD998" s="80"/>
    </row>
    <row r="999" spans="1:30" ht="15.75">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c r="AA999" s="80"/>
      <c r="AB999" s="80"/>
      <c r="AC999" s="80"/>
      <c r="AD999" s="80"/>
    </row>
    <row r="1000" spans="1:30" ht="15.75">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c r="AA1000" s="80"/>
      <c r="AB1000" s="80"/>
      <c r="AC1000" s="80"/>
      <c r="AD1000" s="80"/>
    </row>
    <row r="1001" spans="1:30" ht="15.75">
      <c r="A1001" s="80"/>
      <c r="B1001" s="80"/>
      <c r="C1001" s="80"/>
      <c r="D1001" s="80"/>
      <c r="E1001" s="80"/>
      <c r="F1001" s="80"/>
      <c r="G1001" s="80"/>
      <c r="H1001" s="80"/>
      <c r="I1001" s="80"/>
      <c r="J1001" s="80"/>
      <c r="K1001" s="80"/>
      <c r="L1001" s="80"/>
      <c r="M1001" s="80"/>
      <c r="N1001" s="80"/>
      <c r="O1001" s="80"/>
      <c r="P1001" s="80"/>
      <c r="Q1001" s="80"/>
      <c r="R1001" s="80"/>
      <c r="S1001" s="80"/>
      <c r="T1001" s="80"/>
      <c r="U1001" s="80"/>
      <c r="V1001" s="80"/>
      <c r="W1001" s="80"/>
      <c r="X1001" s="80"/>
      <c r="Y1001" s="80"/>
      <c r="Z1001" s="80"/>
      <c r="AA1001" s="80"/>
      <c r="AB1001" s="80"/>
      <c r="AC1001" s="80"/>
      <c r="AD1001" s="80"/>
    </row>
    <row r="1002" spans="1:30" ht="15.75">
      <c r="A1002" s="80"/>
      <c r="B1002" s="80"/>
      <c r="C1002" s="80"/>
      <c r="D1002" s="80"/>
      <c r="E1002" s="80"/>
      <c r="F1002" s="80"/>
      <c r="G1002" s="80"/>
      <c r="H1002" s="80"/>
      <c r="I1002" s="80"/>
      <c r="J1002" s="80"/>
      <c r="K1002" s="80"/>
      <c r="L1002" s="80"/>
      <c r="M1002" s="80"/>
      <c r="N1002" s="80"/>
      <c r="O1002" s="80"/>
      <c r="P1002" s="80"/>
      <c r="Q1002" s="80"/>
      <c r="R1002" s="80"/>
      <c r="S1002" s="80"/>
      <c r="T1002" s="80"/>
      <c r="U1002" s="80"/>
      <c r="V1002" s="80"/>
      <c r="W1002" s="80"/>
      <c r="X1002" s="80"/>
      <c r="Y1002" s="80"/>
      <c r="Z1002" s="80"/>
      <c r="AA1002" s="80"/>
      <c r="AB1002" s="80"/>
      <c r="AC1002" s="80"/>
      <c r="AD1002" s="80"/>
    </row>
    <row r="1003" spans="1:30" ht="15.75">
      <c r="A1003" s="80"/>
      <c r="B1003" s="80"/>
      <c r="C1003" s="80"/>
      <c r="D1003" s="80"/>
      <c r="E1003" s="80"/>
      <c r="F1003" s="80"/>
      <c r="G1003" s="80"/>
      <c r="H1003" s="80"/>
      <c r="I1003" s="80"/>
      <c r="J1003" s="80"/>
      <c r="K1003" s="80"/>
      <c r="L1003" s="80"/>
      <c r="M1003" s="80"/>
      <c r="N1003" s="80"/>
      <c r="O1003" s="80"/>
      <c r="P1003" s="80"/>
      <c r="Q1003" s="80"/>
      <c r="R1003" s="80"/>
      <c r="S1003" s="80"/>
      <c r="T1003" s="80"/>
      <c r="U1003" s="80"/>
      <c r="V1003" s="80"/>
      <c r="W1003" s="80"/>
      <c r="X1003" s="80"/>
      <c r="Y1003" s="80"/>
      <c r="Z1003" s="80"/>
      <c r="AA1003" s="80"/>
      <c r="AB1003" s="80"/>
      <c r="AC1003" s="80"/>
      <c r="AD1003" s="80"/>
    </row>
    <row r="1004" spans="1:30" ht="15.75">
      <c r="A1004" s="80"/>
      <c r="B1004" s="80"/>
      <c r="C1004" s="80"/>
      <c r="D1004" s="80"/>
      <c r="E1004" s="80"/>
      <c r="F1004" s="80"/>
      <c r="G1004" s="80"/>
      <c r="H1004" s="80"/>
      <c r="I1004" s="80"/>
      <c r="J1004" s="80"/>
      <c r="K1004" s="80"/>
      <c r="L1004" s="80"/>
      <c r="M1004" s="80"/>
      <c r="N1004" s="80"/>
      <c r="O1004" s="80"/>
      <c r="P1004" s="80"/>
      <c r="Q1004" s="80"/>
      <c r="R1004" s="80"/>
      <c r="S1004" s="80"/>
      <c r="T1004" s="80"/>
      <c r="U1004" s="80"/>
      <c r="V1004" s="80"/>
      <c r="W1004" s="80"/>
      <c r="X1004" s="80"/>
      <c r="Y1004" s="80"/>
      <c r="Z1004" s="80"/>
      <c r="AA1004" s="80"/>
      <c r="AB1004" s="80"/>
      <c r="AC1004" s="80"/>
      <c r="AD1004" s="80"/>
    </row>
    <row r="1005" spans="1:30" ht="15.75">
      <c r="H1005" s="80"/>
      <c r="I1005" s="80"/>
      <c r="J1005" s="80"/>
      <c r="K1005" s="80"/>
      <c r="L1005" s="80"/>
      <c r="M1005" s="80"/>
      <c r="N1005" s="80"/>
      <c r="O1005" s="80"/>
      <c r="P1005" s="80"/>
      <c r="Q1005" s="80"/>
      <c r="R1005" s="80"/>
      <c r="S1005" s="80"/>
      <c r="T1005" s="80"/>
      <c r="U1005" s="80"/>
      <c r="V1005" s="80"/>
      <c r="W1005" s="80"/>
      <c r="X1005" s="80"/>
      <c r="Y1005" s="80"/>
      <c r="Z1005" s="80"/>
      <c r="AA1005" s="80"/>
      <c r="AB1005" s="80"/>
      <c r="AC1005" s="80"/>
      <c r="AD1005" s="80"/>
    </row>
    <row r="1006" spans="1:30" ht="15.75">
      <c r="H1006" s="80"/>
      <c r="I1006" s="80"/>
      <c r="J1006" s="80"/>
      <c r="K1006" s="80"/>
      <c r="L1006" s="80"/>
      <c r="M1006" s="80"/>
      <c r="N1006" s="80"/>
      <c r="O1006" s="80"/>
      <c r="P1006" s="80"/>
      <c r="Q1006" s="80"/>
      <c r="R1006" s="80"/>
      <c r="S1006" s="80"/>
      <c r="T1006" s="80"/>
      <c r="U1006" s="80"/>
      <c r="V1006" s="80"/>
      <c r="W1006" s="80"/>
      <c r="X1006" s="80"/>
      <c r="Y1006" s="80"/>
      <c r="Z1006" s="80"/>
      <c r="AA1006" s="80"/>
      <c r="AB1006" s="80"/>
      <c r="AC1006" s="80"/>
      <c r="AD1006" s="80"/>
    </row>
    <row r="1007" spans="1:30" ht="15.75">
      <c r="H1007" s="80"/>
      <c r="I1007" s="80"/>
      <c r="J1007" s="80"/>
      <c r="K1007" s="80"/>
      <c r="L1007" s="80"/>
      <c r="M1007" s="80"/>
      <c r="N1007" s="80"/>
      <c r="O1007" s="80"/>
      <c r="P1007" s="80"/>
      <c r="Q1007" s="80"/>
      <c r="R1007" s="80"/>
      <c r="S1007" s="80"/>
      <c r="T1007" s="80"/>
      <c r="U1007" s="80"/>
      <c r="V1007" s="80"/>
      <c r="W1007" s="80"/>
      <c r="X1007" s="80"/>
      <c r="Y1007" s="80"/>
      <c r="Z1007" s="80"/>
      <c r="AA1007" s="80"/>
      <c r="AB1007" s="80"/>
      <c r="AC1007" s="80"/>
      <c r="AD1007" s="80"/>
    </row>
    <row r="1008" spans="1:30" ht="15.75">
      <c r="H1008" s="80"/>
      <c r="I1008" s="80"/>
      <c r="J1008" s="80"/>
      <c r="K1008" s="80"/>
      <c r="L1008" s="80"/>
      <c r="M1008" s="80"/>
      <c r="N1008" s="80"/>
      <c r="O1008" s="80"/>
      <c r="P1008" s="80"/>
      <c r="Q1008" s="80"/>
      <c r="R1008" s="80"/>
      <c r="S1008" s="80"/>
      <c r="T1008" s="80"/>
      <c r="U1008" s="80"/>
      <c r="V1008" s="80"/>
      <c r="W1008" s="80"/>
      <c r="X1008" s="80"/>
      <c r="Y1008" s="80"/>
      <c r="Z1008" s="80"/>
      <c r="AA1008" s="80"/>
      <c r="AB1008" s="80"/>
      <c r="AC1008" s="80"/>
      <c r="AD1008" s="80"/>
    </row>
    <row r="1009" spans="8:30" ht="15.75">
      <c r="H1009" s="80"/>
      <c r="I1009" s="80"/>
      <c r="J1009" s="80"/>
      <c r="K1009" s="80"/>
      <c r="L1009" s="80"/>
      <c r="M1009" s="80"/>
      <c r="N1009" s="80"/>
      <c r="O1009" s="80"/>
      <c r="P1009" s="80"/>
      <c r="Q1009" s="80"/>
      <c r="R1009" s="80"/>
      <c r="S1009" s="80"/>
      <c r="T1009" s="80"/>
      <c r="U1009" s="80"/>
      <c r="V1009" s="80"/>
      <c r="W1009" s="80"/>
      <c r="X1009" s="80"/>
      <c r="Y1009" s="80"/>
      <c r="Z1009" s="80"/>
      <c r="AA1009" s="80"/>
      <c r="AB1009" s="80"/>
      <c r="AC1009" s="80"/>
      <c r="AD1009" s="80"/>
    </row>
    <row r="1010" spans="8:30" ht="15.75">
      <c r="H1010" s="80"/>
      <c r="I1010" s="80"/>
      <c r="J1010" s="80"/>
      <c r="K1010" s="80"/>
      <c r="L1010" s="80"/>
      <c r="M1010" s="80"/>
      <c r="N1010" s="80"/>
      <c r="O1010" s="80"/>
      <c r="P1010" s="80"/>
      <c r="Q1010" s="80"/>
      <c r="R1010" s="80"/>
      <c r="S1010" s="80"/>
      <c r="T1010" s="80"/>
      <c r="U1010" s="80"/>
      <c r="V1010" s="80"/>
      <c r="W1010" s="80"/>
      <c r="X1010" s="80"/>
      <c r="Y1010" s="80"/>
      <c r="Z1010" s="80"/>
      <c r="AA1010" s="80"/>
      <c r="AB1010" s="80"/>
      <c r="AC1010" s="80"/>
      <c r="AD1010" s="80"/>
    </row>
    <row r="1011" spans="8:30" ht="15.75">
      <c r="H1011" s="80"/>
      <c r="I1011" s="80"/>
      <c r="J1011" s="80"/>
      <c r="K1011" s="80"/>
      <c r="L1011" s="80"/>
      <c r="M1011" s="80"/>
      <c r="N1011" s="80"/>
      <c r="O1011" s="80"/>
      <c r="P1011" s="80"/>
      <c r="Q1011" s="80"/>
      <c r="R1011" s="80"/>
      <c r="S1011" s="80"/>
      <c r="T1011" s="80"/>
      <c r="U1011" s="80"/>
      <c r="V1011" s="80"/>
      <c r="W1011" s="80"/>
      <c r="X1011" s="80"/>
      <c r="Y1011" s="80"/>
      <c r="Z1011" s="80"/>
      <c r="AA1011" s="80"/>
      <c r="AB1011" s="80"/>
      <c r="AC1011" s="80"/>
      <c r="AD1011" s="80"/>
    </row>
    <row r="1012" spans="8:30" ht="15.75">
      <c r="H1012" s="80"/>
      <c r="I1012" s="80"/>
      <c r="J1012" s="80"/>
      <c r="K1012" s="80"/>
      <c r="L1012" s="80"/>
      <c r="M1012" s="80"/>
      <c r="N1012" s="80"/>
      <c r="O1012" s="80"/>
      <c r="P1012" s="80"/>
      <c r="Q1012" s="80"/>
      <c r="R1012" s="80"/>
      <c r="S1012" s="80"/>
      <c r="T1012" s="80"/>
      <c r="U1012" s="80"/>
      <c r="V1012" s="80"/>
      <c r="W1012" s="80"/>
      <c r="X1012" s="80"/>
      <c r="Y1012" s="80"/>
      <c r="Z1012" s="80"/>
      <c r="AA1012" s="80"/>
      <c r="AB1012" s="80"/>
      <c r="AC1012" s="80"/>
      <c r="AD1012" s="80"/>
    </row>
    <row r="1013" spans="8:30" ht="15.75">
      <c r="H1013" s="80"/>
      <c r="I1013" s="80"/>
      <c r="J1013" s="80"/>
      <c r="K1013" s="80"/>
      <c r="L1013" s="80"/>
      <c r="M1013" s="80"/>
      <c r="N1013" s="80"/>
      <c r="O1013" s="80"/>
      <c r="P1013" s="80"/>
      <c r="Q1013" s="80"/>
      <c r="R1013" s="80"/>
      <c r="S1013" s="80"/>
      <c r="T1013" s="80"/>
      <c r="U1013" s="80"/>
      <c r="V1013" s="80"/>
      <c r="W1013" s="80"/>
      <c r="X1013" s="80"/>
      <c r="Y1013" s="80"/>
      <c r="Z1013" s="80"/>
      <c r="AA1013" s="80"/>
      <c r="AB1013" s="80"/>
      <c r="AC1013" s="80"/>
      <c r="AD1013" s="80"/>
    </row>
    <row r="1014" spans="8:30" ht="15.75">
      <c r="H1014" s="80"/>
      <c r="I1014" s="80"/>
      <c r="J1014" s="80"/>
      <c r="K1014" s="80"/>
      <c r="L1014" s="80"/>
      <c r="M1014" s="80"/>
      <c r="N1014" s="80"/>
      <c r="O1014" s="80"/>
      <c r="P1014" s="80"/>
      <c r="Q1014" s="80"/>
      <c r="R1014" s="80"/>
      <c r="S1014" s="80"/>
      <c r="T1014" s="80"/>
      <c r="U1014" s="80"/>
      <c r="V1014" s="80"/>
      <c r="W1014" s="80"/>
      <c r="X1014" s="80"/>
      <c r="Y1014" s="80"/>
      <c r="Z1014" s="80"/>
      <c r="AA1014" s="80"/>
      <c r="AB1014" s="80"/>
      <c r="AC1014" s="80"/>
      <c r="AD1014" s="80"/>
    </row>
    <row r="1015" spans="8:30" ht="15.75">
      <c r="H1015" s="80"/>
      <c r="I1015" s="80"/>
      <c r="J1015" s="80"/>
      <c r="K1015" s="80"/>
      <c r="L1015" s="80"/>
      <c r="M1015" s="80"/>
      <c r="N1015" s="80"/>
      <c r="O1015" s="80"/>
      <c r="P1015" s="80"/>
      <c r="Q1015" s="80"/>
      <c r="R1015" s="80"/>
      <c r="S1015" s="80"/>
      <c r="T1015" s="80"/>
      <c r="U1015" s="80"/>
      <c r="V1015" s="80"/>
      <c r="W1015" s="80"/>
      <c r="X1015" s="80"/>
      <c r="Y1015" s="80"/>
      <c r="Z1015" s="80"/>
      <c r="AA1015" s="80"/>
      <c r="AB1015" s="80"/>
      <c r="AC1015" s="80"/>
      <c r="AD1015" s="80"/>
    </row>
  </sheetData>
  <mergeCells count="14">
    <mergeCell ref="L37:M37"/>
    <mergeCell ref="B3:C3"/>
    <mergeCell ref="B28:C28"/>
    <mergeCell ref="I28:J28"/>
    <mergeCell ref="L62:M62"/>
    <mergeCell ref="I53:J53"/>
    <mergeCell ref="B53:C53"/>
    <mergeCell ref="A52:B52"/>
    <mergeCell ref="A51:F51"/>
    <mergeCell ref="A2:F2"/>
    <mergeCell ref="A27:B27"/>
    <mergeCell ref="A26:F26"/>
    <mergeCell ref="I3:J3"/>
    <mergeCell ref="L12:M12"/>
  </mergeCells>
  <hyperlinks>
    <hyperlink ref="A1" location="Index!A1" display="Index!A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A9999"/>
  </sheetPr>
  <dimension ref="A1:AB1001"/>
  <sheetViews>
    <sheetView workbookViewId="0">
      <selection activeCell="A115" sqref="A115"/>
    </sheetView>
  </sheetViews>
  <sheetFormatPr defaultColWidth="14.33203125" defaultRowHeight="15" customHeight="1"/>
  <cols>
    <col min="1" max="1" width="38.1328125" customWidth="1"/>
    <col min="2" max="2" width="6.33203125" customWidth="1"/>
    <col min="3" max="3" width="6.796875" customWidth="1"/>
    <col min="4" max="4" width="6" customWidth="1"/>
    <col min="5" max="5" width="6.6640625" customWidth="1"/>
    <col min="6" max="6" width="5.796875" customWidth="1"/>
    <col min="7" max="7" width="6.1328125" customWidth="1"/>
    <col min="8" max="8" width="6.6640625" customWidth="1"/>
    <col min="9" max="9" width="6.33203125" customWidth="1"/>
    <col min="10" max="10" width="6.6640625" customWidth="1"/>
    <col min="11" max="11" width="6.33203125" customWidth="1"/>
    <col min="12" max="12" width="6" customWidth="1"/>
    <col min="13" max="13" width="7.33203125" customWidth="1"/>
    <col min="14" max="14" width="14.33203125" customWidth="1"/>
    <col min="15" max="15" width="9" bestFit="1" customWidth="1"/>
    <col min="19" max="19" width="6.1328125" customWidth="1"/>
    <col min="20" max="20" width="24.33203125" customWidth="1"/>
    <col min="21" max="21" width="15.33203125" bestFit="1" customWidth="1"/>
    <col min="23" max="23" width="23" customWidth="1"/>
    <col min="25" max="25" width="8.1328125" customWidth="1"/>
    <col min="26" max="26" width="22.1328125" customWidth="1"/>
  </cols>
  <sheetData>
    <row r="1" spans="1:28" s="739" customFormat="1" ht="15" customHeight="1">
      <c r="A1" s="765" t="s">
        <v>0</v>
      </c>
    </row>
    <row r="2" spans="1:28" ht="15.75">
      <c r="A2" s="130" t="s">
        <v>124</v>
      </c>
      <c r="B2" s="131" t="s">
        <v>125</v>
      </c>
      <c r="C2" s="131" t="s">
        <v>126</v>
      </c>
      <c r="D2" s="131" t="s">
        <v>127</v>
      </c>
      <c r="E2" s="131" t="s">
        <v>128</v>
      </c>
      <c r="F2" s="131" t="s">
        <v>129</v>
      </c>
      <c r="G2" s="131" t="s">
        <v>130</v>
      </c>
      <c r="H2" s="131" t="s">
        <v>131</v>
      </c>
      <c r="I2" s="131" t="s">
        <v>132</v>
      </c>
      <c r="J2" s="131" t="s">
        <v>133</v>
      </c>
      <c r="K2" s="131" t="s">
        <v>134</v>
      </c>
      <c r="L2" s="131" t="s">
        <v>135</v>
      </c>
      <c r="M2" s="131" t="s">
        <v>136</v>
      </c>
      <c r="N2" s="132" t="s">
        <v>137</v>
      </c>
      <c r="O2" s="133" t="s">
        <v>138</v>
      </c>
      <c r="P2" s="133" t="s">
        <v>1</v>
      </c>
      <c r="Q2" s="134" t="s">
        <v>71</v>
      </c>
      <c r="R2" s="134" t="s">
        <v>78</v>
      </c>
      <c r="S2" s="136"/>
      <c r="T2" s="138"/>
      <c r="U2" s="93" t="s">
        <v>139</v>
      </c>
      <c r="V2" s="91" t="s">
        <v>140</v>
      </c>
      <c r="W2" s="91" t="s">
        <v>141</v>
      </c>
      <c r="X2" s="140"/>
      <c r="Y2" s="140"/>
      <c r="Z2" s="140"/>
      <c r="AA2" s="140"/>
      <c r="AB2" s="140"/>
    </row>
    <row r="3" spans="1:28" ht="15.75">
      <c r="A3" s="141" t="s">
        <v>142</v>
      </c>
      <c r="B3" s="82"/>
      <c r="C3" s="82"/>
      <c r="D3" s="82"/>
      <c r="E3" s="82"/>
      <c r="F3" s="82"/>
      <c r="G3" s="82"/>
      <c r="H3" s="82"/>
      <c r="I3" s="82"/>
      <c r="J3" s="82"/>
      <c r="K3" s="82"/>
      <c r="L3" s="82"/>
      <c r="M3" s="82"/>
      <c r="N3" s="142"/>
      <c r="O3" s="143"/>
      <c r="P3" s="144"/>
      <c r="Q3" s="144"/>
      <c r="R3" s="144"/>
      <c r="S3" s="145"/>
      <c r="T3" s="146" t="s">
        <v>143</v>
      </c>
      <c r="U3" s="946">
        <v>4.0000000000000002E-4</v>
      </c>
      <c r="V3" s="946">
        <v>4.0000000000000002E-4</v>
      </c>
      <c r="W3" s="946">
        <v>2.0000000000000001E-4</v>
      </c>
      <c r="X3" s="80"/>
      <c r="Y3" s="80"/>
      <c r="Z3" s="80"/>
      <c r="AA3" s="80"/>
      <c r="AB3" s="80"/>
    </row>
    <row r="4" spans="1:28" ht="15.75">
      <c r="A4" s="95" t="s">
        <v>41</v>
      </c>
      <c r="B4" s="149"/>
      <c r="C4" s="149"/>
      <c r="D4" s="149"/>
      <c r="E4" s="149"/>
      <c r="F4" s="149"/>
      <c r="G4" s="149"/>
      <c r="H4" s="149"/>
      <c r="I4" s="149"/>
      <c r="J4" s="149"/>
      <c r="K4" s="149"/>
      <c r="L4" s="149"/>
      <c r="M4" s="149"/>
      <c r="N4" s="939">
        <v>27077.81</v>
      </c>
      <c r="O4" s="143" t="s">
        <v>145</v>
      </c>
      <c r="P4" s="188">
        <v>0.02</v>
      </c>
      <c r="Q4" s="188">
        <v>0.02</v>
      </c>
      <c r="R4" s="188">
        <v>0.02</v>
      </c>
      <c r="S4" s="145"/>
      <c r="T4" s="146" t="s">
        <v>146</v>
      </c>
      <c r="U4" s="954">
        <v>2438253</v>
      </c>
      <c r="V4" s="954">
        <v>6759463</v>
      </c>
      <c r="W4" s="955">
        <v>28131584</v>
      </c>
      <c r="X4" s="80"/>
      <c r="Y4" s="80"/>
      <c r="Z4" s="80"/>
      <c r="AA4" s="80"/>
      <c r="AB4" s="80"/>
    </row>
    <row r="5" spans="1:28" ht="15.75">
      <c r="A5" s="95" t="s">
        <v>147</v>
      </c>
      <c r="B5" s="82"/>
      <c r="C5" s="82"/>
      <c r="D5" s="82"/>
      <c r="E5" s="82"/>
      <c r="F5" s="82"/>
      <c r="G5" s="82"/>
      <c r="H5" s="82"/>
      <c r="I5" s="82"/>
      <c r="J5" s="82"/>
      <c r="K5" s="82"/>
      <c r="L5" s="82"/>
      <c r="M5" s="82"/>
      <c r="N5" s="939">
        <f>X12+U22</f>
        <v>14400</v>
      </c>
      <c r="O5" s="143" t="s">
        <v>145</v>
      </c>
      <c r="P5" s="188">
        <f>(U3*N5)/1000</f>
        <v>5.7600000000000004E-3</v>
      </c>
      <c r="Q5" s="188">
        <f>(U3*N5)/1000</f>
        <v>5.7600000000000004E-3</v>
      </c>
      <c r="R5" s="188">
        <f>(W3*$N$5)/1000</f>
        <v>2.8800000000000002E-3</v>
      </c>
      <c r="S5" s="145"/>
      <c r="T5" s="146" t="s">
        <v>152</v>
      </c>
      <c r="U5" s="946">
        <v>8.0000000000000004E-4</v>
      </c>
      <c r="V5" s="946">
        <v>8.0000000000000004E-4</v>
      </c>
      <c r="W5" s="946">
        <v>4.0000000000000002E-4</v>
      </c>
      <c r="X5" s="80"/>
      <c r="Y5" s="80"/>
      <c r="Z5" s="80"/>
      <c r="AA5" s="80"/>
      <c r="AB5" s="80"/>
    </row>
    <row r="6" spans="1:28" ht="15.75">
      <c r="A6" s="82" t="s">
        <v>153</v>
      </c>
      <c r="B6" s="156"/>
      <c r="C6" s="82"/>
      <c r="D6" s="82"/>
      <c r="E6" s="82"/>
      <c r="F6" s="156"/>
      <c r="G6" s="82"/>
      <c r="H6" s="82"/>
      <c r="I6" s="156"/>
      <c r="J6" s="82"/>
      <c r="K6" s="82"/>
      <c r="L6" s="156"/>
      <c r="M6" s="82"/>
      <c r="N6" s="142"/>
      <c r="O6" s="143"/>
      <c r="P6" s="144"/>
      <c r="Q6" s="144"/>
      <c r="R6" s="144"/>
      <c r="S6" s="158"/>
      <c r="T6" s="80"/>
      <c r="U6" s="80"/>
      <c r="V6" s="82"/>
      <c r="W6" s="82"/>
      <c r="X6" s="80"/>
      <c r="Y6" s="80"/>
      <c r="Z6" s="80"/>
      <c r="AA6" s="80"/>
      <c r="AB6" s="80"/>
    </row>
    <row r="7" spans="1:28" ht="15.75">
      <c r="A7" s="82" t="s">
        <v>155</v>
      </c>
      <c r="B7" s="156"/>
      <c r="C7" s="82"/>
      <c r="D7" s="82"/>
      <c r="E7" s="82"/>
      <c r="F7" s="156"/>
      <c r="G7" s="82"/>
      <c r="H7" s="82"/>
      <c r="I7" s="156"/>
      <c r="J7" s="82"/>
      <c r="K7" s="82"/>
      <c r="L7" s="156"/>
      <c r="M7" s="82"/>
      <c r="N7" s="142"/>
      <c r="O7" s="143"/>
      <c r="P7" s="144"/>
      <c r="Q7" s="144"/>
      <c r="R7" s="144"/>
      <c r="S7" s="158"/>
      <c r="T7" s="160" t="s">
        <v>156</v>
      </c>
      <c r="U7" s="80"/>
      <c r="V7" s="82"/>
      <c r="W7" s="162" t="s">
        <v>158</v>
      </c>
      <c r="X7" s="139"/>
      <c r="Y7" s="139"/>
      <c r="Z7" s="1"/>
      <c r="AA7" s="1"/>
      <c r="AB7" s="1"/>
    </row>
    <row r="8" spans="1:28" ht="15.75">
      <c r="A8" s="82" t="s">
        <v>159</v>
      </c>
      <c r="B8" s="156"/>
      <c r="C8" s="82"/>
      <c r="D8" s="82"/>
      <c r="E8" s="82"/>
      <c r="F8" s="156"/>
      <c r="G8" s="82"/>
      <c r="H8" s="82"/>
      <c r="I8" s="156"/>
      <c r="J8" s="82"/>
      <c r="K8" s="82"/>
      <c r="L8" s="156"/>
      <c r="M8" s="82"/>
      <c r="N8" s="142"/>
      <c r="O8" s="143"/>
      <c r="P8" s="144"/>
      <c r="Q8" s="144"/>
      <c r="R8" s="144"/>
      <c r="S8" s="158"/>
      <c r="T8" s="146" t="s">
        <v>160</v>
      </c>
      <c r="U8" s="947">
        <f>SUM(N4:N34)</f>
        <v>129017.81</v>
      </c>
      <c r="V8" s="82"/>
      <c r="W8" s="146" t="s">
        <v>161</v>
      </c>
      <c r="X8" s="147">
        <v>10</v>
      </c>
      <c r="Y8" s="80"/>
      <c r="Z8" s="1"/>
      <c r="AA8" s="1"/>
      <c r="AB8" s="1"/>
    </row>
    <row r="9" spans="1:28" ht="15.75">
      <c r="A9" s="82" t="s">
        <v>162</v>
      </c>
      <c r="B9" s="156"/>
      <c r="C9" s="82"/>
      <c r="D9" s="82"/>
      <c r="E9" s="82"/>
      <c r="F9" s="156"/>
      <c r="G9" s="82"/>
      <c r="H9" s="82"/>
      <c r="I9" s="156"/>
      <c r="J9" s="82"/>
      <c r="K9" s="82"/>
      <c r="L9" s="156"/>
      <c r="M9" s="82"/>
      <c r="N9" s="142"/>
      <c r="O9" s="143"/>
      <c r="P9" s="144"/>
      <c r="Q9" s="144"/>
      <c r="R9" s="144"/>
      <c r="S9" s="167"/>
      <c r="T9" s="146" t="s">
        <v>164</v>
      </c>
      <c r="U9" s="947">
        <f>SUM(N4:N34)*0.05</f>
        <v>6450.8905000000004</v>
      </c>
      <c r="V9" s="82"/>
      <c r="W9" s="160" t="s">
        <v>165</v>
      </c>
      <c r="X9" s="147">
        <v>4</v>
      </c>
      <c r="Y9" s="80"/>
      <c r="Z9" s="1"/>
      <c r="AA9" s="1"/>
      <c r="AB9" s="1"/>
    </row>
    <row r="10" spans="1:28" ht="15.75">
      <c r="A10" s="82" t="s">
        <v>166</v>
      </c>
      <c r="B10" s="156"/>
      <c r="C10" s="82"/>
      <c r="D10" s="82"/>
      <c r="E10" s="82"/>
      <c r="F10" s="156"/>
      <c r="G10" s="82"/>
      <c r="H10" s="82"/>
      <c r="I10" s="156"/>
      <c r="J10" s="82"/>
      <c r="K10" s="82"/>
      <c r="L10" s="156"/>
      <c r="M10" s="82"/>
      <c r="N10" s="142"/>
      <c r="O10" s="143"/>
      <c r="P10" s="144"/>
      <c r="Q10" s="144"/>
      <c r="R10" s="144"/>
      <c r="S10" s="158"/>
      <c r="T10" s="146" t="s">
        <v>167</v>
      </c>
      <c r="U10" s="947">
        <f>SUM(N5:N35)</f>
        <v>108390.89049999999</v>
      </c>
      <c r="V10" s="82"/>
      <c r="W10" s="160" t="s">
        <v>168</v>
      </c>
      <c r="X10" s="147">
        <v>4</v>
      </c>
      <c r="Y10" s="80"/>
      <c r="Z10" s="1"/>
      <c r="AA10" s="1"/>
      <c r="AB10" s="1"/>
    </row>
    <row r="11" spans="1:28" ht="15.75">
      <c r="A11" s="82" t="s">
        <v>169</v>
      </c>
      <c r="B11" s="156"/>
      <c r="C11" s="82"/>
      <c r="D11" s="82"/>
      <c r="E11" s="82"/>
      <c r="F11" s="156"/>
      <c r="G11" s="82"/>
      <c r="H11" s="82"/>
      <c r="I11" s="156"/>
      <c r="J11" s="82"/>
      <c r="K11" s="82"/>
      <c r="L11" s="156"/>
      <c r="M11" s="82"/>
      <c r="N11" s="142"/>
      <c r="O11" s="143"/>
      <c r="P11" s="144"/>
      <c r="Q11" s="144"/>
      <c r="R11" s="144"/>
      <c r="S11" s="158"/>
      <c r="T11" s="160" t="s">
        <v>170</v>
      </c>
      <c r="U11" s="947">
        <f>SUM(N5:N35)*0.25</f>
        <v>27097.722624999999</v>
      </c>
      <c r="V11" s="82"/>
      <c r="W11" s="160" t="s">
        <v>172</v>
      </c>
      <c r="X11" s="947">
        <v>40</v>
      </c>
      <c r="Y11" s="80"/>
      <c r="Z11" s="1"/>
      <c r="AA11" s="1"/>
      <c r="AB11" s="1"/>
    </row>
    <row r="12" spans="1:28" ht="15.75">
      <c r="A12" s="82" t="s">
        <v>173</v>
      </c>
      <c r="B12" s="156"/>
      <c r="C12" s="82"/>
      <c r="D12" s="82"/>
      <c r="E12" s="82"/>
      <c r="F12" s="156"/>
      <c r="G12" s="82"/>
      <c r="H12" s="82"/>
      <c r="I12" s="156"/>
      <c r="J12" s="82"/>
      <c r="K12" s="82"/>
      <c r="L12" s="156"/>
      <c r="M12" s="82"/>
      <c r="N12" s="142"/>
      <c r="O12" s="143"/>
      <c r="P12" s="144"/>
      <c r="Q12" s="144"/>
      <c r="R12" s="144"/>
      <c r="S12" s="158"/>
      <c r="T12" s="146" t="s">
        <v>174</v>
      </c>
      <c r="U12" s="947">
        <f>SUM(N28:N33)</f>
        <v>36540</v>
      </c>
      <c r="V12" s="82"/>
      <c r="W12" s="160" t="s">
        <v>175</v>
      </c>
      <c r="X12" s="947">
        <f>(X8*X9*X10*X11)</f>
        <v>6400</v>
      </c>
      <c r="Y12" s="80"/>
      <c r="Z12" s="1"/>
      <c r="AA12" s="1"/>
      <c r="AB12" s="1"/>
    </row>
    <row r="13" spans="1:28" ht="15.75">
      <c r="A13" s="82" t="s">
        <v>177</v>
      </c>
      <c r="B13" s="156"/>
      <c r="C13" s="82"/>
      <c r="D13" s="82"/>
      <c r="E13" s="82"/>
      <c r="F13" s="156"/>
      <c r="G13" s="82"/>
      <c r="H13" s="82"/>
      <c r="I13" s="156"/>
      <c r="J13" s="82"/>
      <c r="K13" s="82"/>
      <c r="L13" s="156"/>
      <c r="M13" s="82"/>
      <c r="N13" s="142"/>
      <c r="O13" s="143"/>
      <c r="P13" s="144"/>
      <c r="Q13" s="144"/>
      <c r="R13" s="144"/>
      <c r="S13" s="158"/>
      <c r="T13" s="146" t="s">
        <v>178</v>
      </c>
      <c r="U13" s="948">
        <v>4339644</v>
      </c>
      <c r="V13" s="82"/>
      <c r="W13" s="82"/>
      <c r="X13" s="80"/>
      <c r="Y13" s="80"/>
      <c r="Z13" s="80"/>
      <c r="AA13" s="80"/>
      <c r="AB13" s="80"/>
    </row>
    <row r="14" spans="1:28" ht="15.75">
      <c r="A14" s="82" t="s">
        <v>179</v>
      </c>
      <c r="B14" s="156"/>
      <c r="C14" s="82"/>
      <c r="D14" s="82"/>
      <c r="E14" s="82"/>
      <c r="F14" s="156"/>
      <c r="G14" s="82"/>
      <c r="H14" s="82"/>
      <c r="I14" s="156"/>
      <c r="J14" s="82"/>
      <c r="K14" s="82"/>
      <c r="L14" s="156"/>
      <c r="M14" s="82"/>
      <c r="N14" s="142"/>
      <c r="O14" s="143"/>
      <c r="P14" s="144"/>
      <c r="Q14" s="144"/>
      <c r="R14" s="144"/>
      <c r="S14" s="158"/>
      <c r="T14" s="181" t="s">
        <v>180</v>
      </c>
      <c r="U14" s="953">
        <f>'FE Income Statement'!D$22</f>
        <v>330304.49217976641</v>
      </c>
      <c r="V14" s="82"/>
      <c r="W14" s="162" t="s">
        <v>182</v>
      </c>
      <c r="X14" s="80"/>
      <c r="Y14" s="80"/>
      <c r="Z14" s="80"/>
      <c r="AA14" s="80"/>
      <c r="AB14" s="80"/>
    </row>
    <row r="15" spans="1:28" ht="15.75">
      <c r="A15" s="82" t="s">
        <v>183</v>
      </c>
      <c r="B15" s="156"/>
      <c r="C15" s="82"/>
      <c r="D15" s="82"/>
      <c r="E15" s="82"/>
      <c r="F15" s="156"/>
      <c r="G15" s="82"/>
      <c r="H15" s="82"/>
      <c r="I15" s="156"/>
      <c r="J15" s="82"/>
      <c r="K15" s="82"/>
      <c r="L15" s="156"/>
      <c r="M15" s="82"/>
      <c r="N15" s="142"/>
      <c r="O15" s="143"/>
      <c r="P15" s="144"/>
      <c r="Q15" s="144"/>
      <c r="R15" s="144"/>
      <c r="S15" s="158"/>
      <c r="T15" s="1"/>
      <c r="U15" s="1"/>
      <c r="V15" s="1"/>
      <c r="W15" s="146" t="s">
        <v>161</v>
      </c>
      <c r="X15" s="949">
        <v>10</v>
      </c>
      <c r="Y15" s="1"/>
      <c r="Z15" s="1"/>
      <c r="AA15" s="1"/>
      <c r="AB15" s="1"/>
    </row>
    <row r="16" spans="1:28" ht="15.75">
      <c r="A16" s="95" t="s">
        <v>184</v>
      </c>
      <c r="B16" s="82"/>
      <c r="C16" s="82"/>
      <c r="D16" s="82"/>
      <c r="E16" s="82"/>
      <c r="F16" s="82"/>
      <c r="G16" s="82"/>
      <c r="H16" s="82"/>
      <c r="I16" s="82"/>
      <c r="J16" s="82"/>
      <c r="K16" s="82"/>
      <c r="L16" s="82"/>
      <c r="M16" s="82"/>
      <c r="N16" s="939">
        <f>X19</f>
        <v>36000</v>
      </c>
      <c r="O16" s="143" t="s">
        <v>145</v>
      </c>
      <c r="P16" s="188">
        <f>(N16*U3)/1000</f>
        <v>1.44E-2</v>
      </c>
      <c r="Q16" s="188">
        <f>(N16*0.0004)/1000</f>
        <v>1.44E-2</v>
      </c>
      <c r="R16" s="188">
        <f>(N16*W3)/1000</f>
        <v>7.1999999999999998E-3</v>
      </c>
      <c r="S16" s="145"/>
      <c r="T16" s="1"/>
      <c r="U16" s="1"/>
      <c r="V16" s="1"/>
      <c r="W16" s="160" t="s">
        <v>165</v>
      </c>
      <c r="X16" s="949">
        <v>4</v>
      </c>
      <c r="Y16" s="1"/>
      <c r="Z16" s="1"/>
      <c r="AA16" s="1"/>
      <c r="AB16" s="1"/>
    </row>
    <row r="17" spans="1:28" ht="15.75">
      <c r="A17" s="82" t="s">
        <v>153</v>
      </c>
      <c r="B17" s="191"/>
      <c r="C17" s="82"/>
      <c r="D17" s="82"/>
      <c r="E17" s="191"/>
      <c r="F17" s="82"/>
      <c r="G17" s="82"/>
      <c r="H17" s="82"/>
      <c r="I17" s="191"/>
      <c r="J17" s="82"/>
      <c r="K17" s="82"/>
      <c r="L17" s="82"/>
      <c r="M17" s="82"/>
      <c r="N17" s="142"/>
      <c r="O17" s="143"/>
      <c r="P17" s="144"/>
      <c r="Q17" s="144"/>
      <c r="R17" s="144"/>
      <c r="S17" s="158"/>
      <c r="T17" s="162" t="s">
        <v>191</v>
      </c>
      <c r="U17" s="80"/>
      <c r="V17" s="80"/>
      <c r="W17" s="160" t="s">
        <v>168</v>
      </c>
      <c r="X17" s="949">
        <v>3</v>
      </c>
      <c r="Y17" s="1"/>
      <c r="Z17" s="1"/>
      <c r="AA17" s="1"/>
      <c r="AB17" s="1"/>
    </row>
    <row r="18" spans="1:28" ht="15.75">
      <c r="A18" s="82" t="s">
        <v>155</v>
      </c>
      <c r="B18" s="191"/>
      <c r="C18" s="82"/>
      <c r="D18" s="82"/>
      <c r="E18" s="191"/>
      <c r="F18" s="82"/>
      <c r="G18" s="82"/>
      <c r="H18" s="82"/>
      <c r="I18" s="191"/>
      <c r="J18" s="82"/>
      <c r="K18" s="82"/>
      <c r="L18" s="82"/>
      <c r="M18" s="82"/>
      <c r="N18" s="142"/>
      <c r="O18" s="143"/>
      <c r="P18" s="144"/>
      <c r="Q18" s="144"/>
      <c r="R18" s="144"/>
      <c r="S18" s="158"/>
      <c r="T18" s="146" t="s">
        <v>161</v>
      </c>
      <c r="U18" s="147">
        <v>10</v>
      </c>
      <c r="V18" s="193"/>
      <c r="W18" s="160" t="s">
        <v>172</v>
      </c>
      <c r="X18" s="951">
        <v>300</v>
      </c>
      <c r="Y18" s="1"/>
      <c r="Z18" s="1"/>
      <c r="AA18" s="1"/>
      <c r="AB18" s="1"/>
    </row>
    <row r="19" spans="1:28" ht="15.75">
      <c r="A19" s="82" t="s">
        <v>159</v>
      </c>
      <c r="B19" s="191"/>
      <c r="C19" s="82"/>
      <c r="D19" s="82"/>
      <c r="E19" s="191"/>
      <c r="F19" s="82"/>
      <c r="G19" s="82"/>
      <c r="H19" s="82"/>
      <c r="I19" s="191"/>
      <c r="J19" s="82"/>
      <c r="K19" s="82"/>
      <c r="L19" s="82"/>
      <c r="M19" s="82"/>
      <c r="N19" s="142"/>
      <c r="O19" s="143"/>
      <c r="P19" s="144"/>
      <c r="Q19" s="144"/>
      <c r="R19" s="144"/>
      <c r="S19" s="158"/>
      <c r="T19" s="160" t="s">
        <v>165</v>
      </c>
      <c r="U19" s="147">
        <v>4</v>
      </c>
      <c r="V19" s="193"/>
      <c r="W19" s="160" t="s">
        <v>175</v>
      </c>
      <c r="X19" s="951">
        <f>(X15*X16*X17*X18)</f>
        <v>36000</v>
      </c>
      <c r="Y19" s="1"/>
      <c r="Z19" s="1"/>
      <c r="AA19" s="1"/>
      <c r="AB19" s="1"/>
    </row>
    <row r="20" spans="1:28" ht="15.75">
      <c r="A20" s="82" t="s">
        <v>162</v>
      </c>
      <c r="B20" s="191"/>
      <c r="C20" s="82"/>
      <c r="D20" s="82"/>
      <c r="E20" s="191"/>
      <c r="F20" s="82"/>
      <c r="G20" s="82"/>
      <c r="H20" s="82"/>
      <c r="I20" s="191"/>
      <c r="J20" s="82"/>
      <c r="K20" s="82"/>
      <c r="L20" s="82"/>
      <c r="M20" s="82"/>
      <c r="N20" s="142"/>
      <c r="O20" s="143"/>
      <c r="P20" s="144"/>
      <c r="Q20" s="144"/>
      <c r="R20" s="144"/>
      <c r="S20" s="158"/>
      <c r="T20" s="160" t="s">
        <v>168</v>
      </c>
      <c r="U20" s="147">
        <v>4</v>
      </c>
      <c r="V20" s="193"/>
      <c r="W20" s="82"/>
      <c r="X20" s="80"/>
      <c r="Y20" s="80"/>
      <c r="Z20" s="80"/>
      <c r="AA20" s="80"/>
      <c r="AB20" s="80"/>
    </row>
    <row r="21" spans="1:28" ht="15.75">
      <c r="A21" s="82" t="s">
        <v>166</v>
      </c>
      <c r="B21" s="191"/>
      <c r="C21" s="82"/>
      <c r="D21" s="82"/>
      <c r="E21" s="191"/>
      <c r="F21" s="82"/>
      <c r="G21" s="82"/>
      <c r="H21" s="82"/>
      <c r="I21" s="191"/>
      <c r="J21" s="82"/>
      <c r="K21" s="82"/>
      <c r="L21" s="82"/>
      <c r="M21" s="82"/>
      <c r="N21" s="142"/>
      <c r="O21" s="143"/>
      <c r="P21" s="144"/>
      <c r="Q21" s="144"/>
      <c r="R21" s="144"/>
      <c r="S21" s="158"/>
      <c r="T21" s="160" t="s">
        <v>172</v>
      </c>
      <c r="U21" s="947">
        <v>50</v>
      </c>
      <c r="V21" s="197"/>
      <c r="W21" s="82"/>
      <c r="X21" s="80"/>
      <c r="Y21" s="80"/>
      <c r="Z21" s="80"/>
      <c r="AA21" s="80"/>
      <c r="AB21" s="80"/>
    </row>
    <row r="22" spans="1:28" ht="15.75">
      <c r="A22" s="82" t="s">
        <v>169</v>
      </c>
      <c r="B22" s="191"/>
      <c r="C22" s="82"/>
      <c r="D22" s="82"/>
      <c r="E22" s="191"/>
      <c r="F22" s="82"/>
      <c r="G22" s="82"/>
      <c r="H22" s="82"/>
      <c r="I22" s="191"/>
      <c r="J22" s="82"/>
      <c r="K22" s="82"/>
      <c r="L22" s="82"/>
      <c r="M22" s="82"/>
      <c r="N22" s="142"/>
      <c r="O22" s="143"/>
      <c r="P22" s="144"/>
      <c r="Q22" s="144"/>
      <c r="R22" s="144"/>
      <c r="S22" s="158"/>
      <c r="T22" s="160" t="s">
        <v>175</v>
      </c>
      <c r="U22" s="947">
        <f>(U18*U19*U20*U21)</f>
        <v>8000</v>
      </c>
      <c r="V22" s="197"/>
      <c r="W22" s="1"/>
      <c r="X22" s="1"/>
      <c r="Y22" s="1"/>
      <c r="Z22" s="1"/>
      <c r="AA22" s="1"/>
      <c r="AB22" s="1"/>
    </row>
    <row r="23" spans="1:28" ht="15.75">
      <c r="A23" s="82" t="s">
        <v>173</v>
      </c>
      <c r="B23" s="191"/>
      <c r="C23" s="82"/>
      <c r="D23" s="82"/>
      <c r="E23" s="191"/>
      <c r="F23" s="82"/>
      <c r="G23" s="82"/>
      <c r="H23" s="82"/>
      <c r="I23" s="191"/>
      <c r="J23" s="82"/>
      <c r="K23" s="82"/>
      <c r="L23" s="82"/>
      <c r="M23" s="82"/>
      <c r="N23" s="142"/>
      <c r="O23" s="143"/>
      <c r="P23" s="144"/>
      <c r="Q23" s="144"/>
      <c r="R23" s="144"/>
      <c r="S23" s="158"/>
      <c r="T23" s="1"/>
      <c r="U23" s="1"/>
      <c r="V23" s="1"/>
      <c r="W23" s="1"/>
      <c r="X23" s="1"/>
      <c r="Y23" s="1"/>
      <c r="Z23" s="1"/>
      <c r="AA23" s="1"/>
      <c r="AB23" s="1"/>
    </row>
    <row r="24" spans="1:28" ht="15.75">
      <c r="A24" s="82" t="s">
        <v>177</v>
      </c>
      <c r="B24" s="191"/>
      <c r="C24" s="82"/>
      <c r="D24" s="82"/>
      <c r="E24" s="191"/>
      <c r="F24" s="82"/>
      <c r="G24" s="82"/>
      <c r="H24" s="82"/>
      <c r="I24" s="191"/>
      <c r="J24" s="82"/>
      <c r="K24" s="82"/>
      <c r="L24" s="82"/>
      <c r="M24" s="82"/>
      <c r="N24" s="142"/>
      <c r="O24" s="143"/>
      <c r="P24" s="144"/>
      <c r="Q24" s="144"/>
      <c r="R24" s="144"/>
      <c r="S24" s="158"/>
      <c r="T24" s="146" t="s">
        <v>194</v>
      </c>
      <c r="U24" s="201"/>
      <c r="V24" s="201"/>
      <c r="W24" s="201"/>
      <c r="X24" s="1"/>
      <c r="Y24" s="1"/>
      <c r="Z24" s="1"/>
      <c r="AA24" s="1"/>
      <c r="AB24" s="1"/>
    </row>
    <row r="25" spans="1:28" ht="15.75">
      <c r="A25" s="82" t="s">
        <v>179</v>
      </c>
      <c r="B25" s="191"/>
      <c r="C25" s="82"/>
      <c r="D25" s="82"/>
      <c r="E25" s="191"/>
      <c r="F25" s="82"/>
      <c r="G25" s="82"/>
      <c r="H25" s="82"/>
      <c r="I25" s="191"/>
      <c r="J25" s="82"/>
      <c r="K25" s="82"/>
      <c r="L25" s="82"/>
      <c r="M25" s="82"/>
      <c r="N25" s="142"/>
      <c r="O25" s="143"/>
      <c r="P25" s="144"/>
      <c r="Q25" s="144"/>
      <c r="R25" s="144"/>
      <c r="S25" s="158"/>
      <c r="T25" s="205" t="s">
        <v>195</v>
      </c>
      <c r="U25" s="206"/>
      <c r="V25" s="201"/>
      <c r="W25" s="201"/>
      <c r="X25" s="1"/>
      <c r="Y25" s="1"/>
      <c r="Z25" s="1"/>
      <c r="AA25" s="1"/>
      <c r="AB25" s="1"/>
    </row>
    <row r="26" spans="1:28" ht="15.75">
      <c r="A26" s="82" t="s">
        <v>183</v>
      </c>
      <c r="B26" s="191"/>
      <c r="C26" s="82"/>
      <c r="D26" s="82"/>
      <c r="E26" s="191"/>
      <c r="F26" s="82"/>
      <c r="G26" s="82"/>
      <c r="H26" s="82"/>
      <c r="I26" s="191"/>
      <c r="J26" s="82"/>
      <c r="K26" s="82"/>
      <c r="L26" s="82"/>
      <c r="M26" s="82"/>
      <c r="N26" s="142"/>
      <c r="O26" s="143"/>
      <c r="P26" s="144"/>
      <c r="Q26" s="144"/>
      <c r="R26" s="144"/>
      <c r="S26" s="158"/>
      <c r="T26" s="205" t="s">
        <v>197</v>
      </c>
      <c r="U26" s="206"/>
      <c r="V26" s="206"/>
      <c r="W26" s="207"/>
      <c r="X26" s="208"/>
      <c r="Y26" s="80"/>
      <c r="Z26" s="80"/>
      <c r="AA26" s="208"/>
      <c r="AB26" s="208"/>
    </row>
    <row r="27" spans="1:28" ht="15.75">
      <c r="A27" s="95" t="s">
        <v>199</v>
      </c>
      <c r="B27" s="82"/>
      <c r="C27" s="82"/>
      <c r="D27" s="82"/>
      <c r="E27" s="82"/>
      <c r="F27" s="82"/>
      <c r="G27" s="82"/>
      <c r="H27" s="82"/>
      <c r="I27" s="82"/>
      <c r="J27" s="82"/>
      <c r="K27" s="82"/>
      <c r="L27" s="82"/>
      <c r="M27" s="82"/>
      <c r="N27" s="939"/>
      <c r="O27" s="143" t="s">
        <v>145</v>
      </c>
      <c r="P27" s="188">
        <f>(U12*U5)/1000</f>
        <v>2.9232000000000005E-2</v>
      </c>
      <c r="Q27" s="188">
        <f>(((SUM(N28:N33))-N31)*0.08%)/1000</f>
        <v>2.5416000000000001E-2</v>
      </c>
      <c r="R27" s="188">
        <f>(((SUM(N28:N33))-N33-N31)*W5)/1000</f>
        <v>1.0108000000000001E-2</v>
      </c>
      <c r="S27" s="158"/>
      <c r="T27" s="146" t="s">
        <v>200</v>
      </c>
      <c r="U27" s="212">
        <f>N48/U13</f>
        <v>3.8620711860235545E-2</v>
      </c>
      <c r="V27" s="201"/>
      <c r="W27" s="207"/>
      <c r="X27" s="208"/>
      <c r="Y27" s="80"/>
      <c r="Z27" s="80"/>
      <c r="AA27" s="80"/>
      <c r="AB27" s="80"/>
    </row>
    <row r="28" spans="1:28" ht="15.75">
      <c r="A28" s="82" t="s">
        <v>201</v>
      </c>
      <c r="B28" s="82"/>
      <c r="C28" s="82"/>
      <c r="D28" s="82"/>
      <c r="E28" s="82"/>
      <c r="F28" s="82"/>
      <c r="G28" s="82"/>
      <c r="H28" s="82"/>
      <c r="I28" s="82"/>
      <c r="J28" s="82"/>
      <c r="K28" s="201"/>
      <c r="L28" s="82"/>
      <c r="M28" s="82"/>
      <c r="N28" s="940">
        <v>6000</v>
      </c>
      <c r="O28" s="143"/>
      <c r="P28" s="144"/>
      <c r="Q28" s="144"/>
      <c r="R28" s="144"/>
      <c r="S28" s="158"/>
      <c r="T28" s="146" t="s">
        <v>203</v>
      </c>
      <c r="U28" s="214" t="s">
        <v>204</v>
      </c>
      <c r="V28" s="201"/>
      <c r="W28" s="201"/>
      <c r="X28" s="80"/>
      <c r="Y28" s="80"/>
      <c r="Z28" s="80"/>
      <c r="AA28" s="80"/>
      <c r="AB28" s="80"/>
    </row>
    <row r="29" spans="1:28" ht="15.75">
      <c r="A29" s="82" t="s">
        <v>206</v>
      </c>
      <c r="B29" s="82"/>
      <c r="C29" s="82"/>
      <c r="D29" s="82"/>
      <c r="E29" s="82"/>
      <c r="F29" s="201"/>
      <c r="G29" s="82"/>
      <c r="H29" s="82"/>
      <c r="I29" s="82"/>
      <c r="J29" s="82"/>
      <c r="K29" s="82"/>
      <c r="L29" s="82"/>
      <c r="M29" s="82"/>
      <c r="N29" s="940">
        <v>6500</v>
      </c>
      <c r="O29" s="143"/>
      <c r="P29" s="144"/>
      <c r="Q29" s="144"/>
      <c r="R29" s="144"/>
      <c r="S29" s="158"/>
      <c r="T29" s="146" t="s">
        <v>207</v>
      </c>
      <c r="U29" s="214" t="s">
        <v>208</v>
      </c>
      <c r="V29" s="201"/>
      <c r="W29" s="216"/>
      <c r="X29" s="1"/>
      <c r="Y29" s="1"/>
      <c r="Z29" s="1"/>
      <c r="AA29" s="1"/>
      <c r="AB29" s="1"/>
    </row>
    <row r="30" spans="1:28" ht="15.75">
      <c r="A30" s="82" t="s">
        <v>209</v>
      </c>
      <c r="B30" s="82"/>
      <c r="C30" s="82"/>
      <c r="D30" s="82"/>
      <c r="E30" s="201"/>
      <c r="F30" s="82"/>
      <c r="G30" s="82"/>
      <c r="H30" s="82"/>
      <c r="I30" s="82"/>
      <c r="J30" s="82"/>
      <c r="K30" s="82"/>
      <c r="L30" s="82"/>
      <c r="M30" s="82"/>
      <c r="N30" s="940">
        <v>6500</v>
      </c>
      <c r="O30" s="143"/>
      <c r="P30" s="144"/>
      <c r="Q30" s="144"/>
      <c r="R30" s="144"/>
      <c r="S30" s="158"/>
      <c r="T30" s="1"/>
      <c r="U30" s="1"/>
      <c r="V30" s="1"/>
      <c r="W30" s="82"/>
      <c r="X30" s="80"/>
      <c r="Y30" s="80"/>
      <c r="Z30" s="80"/>
      <c r="AA30" s="80"/>
      <c r="AB30" s="80"/>
    </row>
    <row r="31" spans="1:28" ht="15.75">
      <c r="A31" s="82" t="s">
        <v>210</v>
      </c>
      <c r="B31" s="82"/>
      <c r="C31" s="82"/>
      <c r="D31" s="82"/>
      <c r="E31" s="82"/>
      <c r="F31" s="82"/>
      <c r="G31" s="82"/>
      <c r="H31" s="82"/>
      <c r="I31" s="82"/>
      <c r="J31" s="201"/>
      <c r="K31" s="82"/>
      <c r="L31" s="82"/>
      <c r="M31" s="82"/>
      <c r="N31" s="940">
        <v>4770</v>
      </c>
      <c r="O31" s="143"/>
      <c r="P31" s="144"/>
      <c r="Q31" s="144"/>
      <c r="R31" s="144"/>
      <c r="S31" s="158"/>
      <c r="T31" s="1"/>
      <c r="U31" s="1"/>
      <c r="V31" s="1"/>
      <c r="W31" s="1"/>
      <c r="X31" s="1"/>
      <c r="Y31" s="1"/>
      <c r="Z31" s="1"/>
      <c r="AA31" s="1"/>
      <c r="AB31" s="1"/>
    </row>
    <row r="32" spans="1:28" ht="15.75">
      <c r="A32" s="82" t="s">
        <v>211</v>
      </c>
      <c r="B32" s="82"/>
      <c r="C32" s="82"/>
      <c r="D32" s="82"/>
      <c r="E32" s="201"/>
      <c r="F32" s="201"/>
      <c r="G32" s="82"/>
      <c r="H32" s="82"/>
      <c r="I32" s="82"/>
      <c r="J32" s="82"/>
      <c r="K32" s="82"/>
      <c r="L32" s="82"/>
      <c r="M32" s="82"/>
      <c r="N32" s="940">
        <v>6270</v>
      </c>
      <c r="O32" s="143"/>
      <c r="P32" s="144"/>
      <c r="Q32" s="144"/>
      <c r="R32" s="144"/>
      <c r="S32" s="158"/>
      <c r="T32" s="1"/>
      <c r="U32" s="1"/>
      <c r="V32" s="1"/>
      <c r="W32" s="1"/>
      <c r="X32" s="1"/>
      <c r="Y32" s="1"/>
      <c r="Z32" s="1"/>
      <c r="AA32" s="1"/>
      <c r="AB32" s="1"/>
    </row>
    <row r="33" spans="1:28" ht="15.75">
      <c r="A33" s="82" t="s">
        <v>213</v>
      </c>
      <c r="B33" s="82"/>
      <c r="C33" s="82"/>
      <c r="D33" s="82"/>
      <c r="E33" s="82"/>
      <c r="F33" s="82"/>
      <c r="G33" s="82"/>
      <c r="H33" s="82"/>
      <c r="I33" s="82"/>
      <c r="J33" s="82"/>
      <c r="K33" s="82"/>
      <c r="L33" s="201"/>
      <c r="M33" s="82"/>
      <c r="N33" s="940">
        <v>6500</v>
      </c>
      <c r="O33" s="143"/>
      <c r="P33" s="144"/>
      <c r="Q33" s="144"/>
      <c r="R33" s="144"/>
      <c r="S33" s="158"/>
      <c r="T33" s="1"/>
      <c r="U33" s="1"/>
      <c r="V33" s="1"/>
      <c r="W33" s="1"/>
      <c r="X33" s="1"/>
      <c r="Y33" s="1"/>
      <c r="Z33" s="1"/>
      <c r="AA33" s="1"/>
      <c r="AB33" s="1"/>
    </row>
    <row r="34" spans="1:28" ht="15.75">
      <c r="A34" s="95" t="s">
        <v>214</v>
      </c>
      <c r="B34" s="82"/>
      <c r="C34" s="82"/>
      <c r="D34" s="82"/>
      <c r="E34" s="82"/>
      <c r="F34" s="82"/>
      <c r="G34" s="82"/>
      <c r="H34" s="82"/>
      <c r="I34" s="82"/>
      <c r="J34" s="82"/>
      <c r="K34" s="82"/>
      <c r="L34" s="82"/>
      <c r="M34" s="82"/>
      <c r="N34" s="939">
        <v>15000</v>
      </c>
      <c r="O34" s="143" t="s">
        <v>145</v>
      </c>
      <c r="P34" s="188">
        <v>9.6080000000000002E-3</v>
      </c>
      <c r="Q34" s="188">
        <f>(1+0.0422)%</f>
        <v>1.0422000000000001E-2</v>
      </c>
      <c r="R34" s="188">
        <f>1%-0.0188%</f>
        <v>9.8119999999999995E-3</v>
      </c>
      <c r="S34" s="158"/>
      <c r="T34" s="1"/>
      <c r="U34" s="1"/>
      <c r="V34" s="1"/>
      <c r="W34" s="1"/>
      <c r="X34" s="1"/>
      <c r="Y34" s="1"/>
      <c r="Z34" s="1"/>
      <c r="AA34" s="1"/>
      <c r="AB34" s="1"/>
    </row>
    <row r="35" spans="1:28" ht="15.75">
      <c r="A35" s="95" t="s">
        <v>216</v>
      </c>
      <c r="B35" s="219"/>
      <c r="C35" s="219"/>
      <c r="D35" s="219"/>
      <c r="E35" s="219"/>
      <c r="F35" s="219"/>
      <c r="G35" s="219"/>
      <c r="H35" s="219"/>
      <c r="I35" s="219"/>
      <c r="J35" s="219"/>
      <c r="K35" s="219"/>
      <c r="L35" s="219"/>
      <c r="M35" s="219"/>
      <c r="N35" s="939">
        <f>0.05*U8</f>
        <v>6450.8905000000004</v>
      </c>
      <c r="O35" s="143" t="s">
        <v>145</v>
      </c>
      <c r="P35" s="188"/>
      <c r="Q35" s="188"/>
      <c r="R35" s="188"/>
      <c r="S35" s="158"/>
      <c r="T35" s="1"/>
      <c r="U35" s="1"/>
      <c r="V35" s="1"/>
      <c r="W35" s="1"/>
      <c r="X35" s="1"/>
      <c r="Y35" s="1"/>
      <c r="Z35" s="1"/>
      <c r="AA35" s="1"/>
      <c r="AB35" s="1"/>
    </row>
    <row r="36" spans="1:28" ht="15.75">
      <c r="A36" s="220" t="s">
        <v>219</v>
      </c>
      <c r="B36" s="222"/>
      <c r="C36" s="222"/>
      <c r="D36" s="222"/>
      <c r="E36" s="222"/>
      <c r="F36" s="222"/>
      <c r="G36" s="222"/>
      <c r="H36" s="222"/>
      <c r="I36" s="222"/>
      <c r="J36" s="222"/>
      <c r="K36" s="222"/>
      <c r="L36" s="222"/>
      <c r="M36" s="222"/>
      <c r="N36" s="941">
        <f>SUM(N3:N35)</f>
        <v>135468.70050000001</v>
      </c>
      <c r="O36" s="223"/>
      <c r="P36" s="998">
        <f>SUM(P4:P35)</f>
        <v>7.9000000000000015E-2</v>
      </c>
      <c r="Q36" s="998">
        <f t="shared" ref="Q36:R36" si="0">SUM(Q3:Q35)</f>
        <v>7.5997999999999996E-2</v>
      </c>
      <c r="R36" s="998">
        <f t="shared" si="0"/>
        <v>0.05</v>
      </c>
      <c r="S36" s="226"/>
      <c r="T36" s="228"/>
      <c r="U36" s="228"/>
      <c r="V36" s="228"/>
      <c r="W36" s="228"/>
      <c r="X36" s="230"/>
      <c r="Y36" s="230"/>
      <c r="Z36" s="230"/>
      <c r="AA36" s="230"/>
      <c r="AB36" s="230"/>
    </row>
    <row r="37" spans="1:28" ht="15.75">
      <c r="A37" s="141" t="s">
        <v>225</v>
      </c>
      <c r="B37" s="82"/>
      <c r="C37" s="82"/>
      <c r="D37" s="82"/>
      <c r="E37" s="82"/>
      <c r="F37" s="82"/>
      <c r="G37" s="82"/>
      <c r="H37" s="82"/>
      <c r="I37" s="82"/>
      <c r="J37" s="82"/>
      <c r="K37" s="82"/>
      <c r="L37" s="82"/>
      <c r="M37" s="82"/>
      <c r="N37" s="142"/>
      <c r="O37" s="143"/>
      <c r="P37" s="144"/>
      <c r="Q37" s="144"/>
      <c r="R37" s="144"/>
      <c r="S37" s="158"/>
      <c r="T37" s="82"/>
      <c r="U37" s="82"/>
      <c r="V37" s="82"/>
      <c r="W37" s="82"/>
      <c r="X37" s="80"/>
      <c r="Y37" s="80"/>
      <c r="Z37" s="80"/>
      <c r="AA37" s="80"/>
      <c r="AB37" s="80"/>
    </row>
    <row r="38" spans="1:28" ht="15.75">
      <c r="A38" s="95" t="s">
        <v>226</v>
      </c>
      <c r="B38" s="82"/>
      <c r="C38" s="82"/>
      <c r="D38" s="82"/>
      <c r="E38" s="82"/>
      <c r="F38" s="82"/>
      <c r="G38" s="82"/>
      <c r="H38" s="82"/>
      <c r="I38" s="82"/>
      <c r="J38" s="82"/>
      <c r="K38" s="82"/>
      <c r="L38" s="82"/>
      <c r="M38" s="82"/>
      <c r="N38" s="142"/>
      <c r="O38" s="143"/>
      <c r="P38" s="144"/>
      <c r="Q38" s="144"/>
      <c r="R38" s="144"/>
      <c r="S38" s="158"/>
      <c r="T38" s="82"/>
      <c r="U38" s="231"/>
      <c r="V38" s="231"/>
      <c r="W38" s="82"/>
      <c r="X38" s="80"/>
      <c r="Y38" s="80"/>
      <c r="Z38" s="80"/>
      <c r="AA38" s="80"/>
      <c r="AB38" s="80"/>
    </row>
    <row r="39" spans="1:28" ht="15.75">
      <c r="A39" s="82" t="s">
        <v>227</v>
      </c>
      <c r="B39" s="82"/>
      <c r="C39" s="82"/>
      <c r="D39" s="82"/>
      <c r="E39" s="82"/>
      <c r="F39" s="82"/>
      <c r="G39" s="82"/>
      <c r="H39" s="82"/>
      <c r="I39" s="82"/>
      <c r="J39" s="82"/>
      <c r="K39" s="82"/>
      <c r="L39" s="82"/>
      <c r="M39" s="82"/>
      <c r="N39" s="939">
        <v>5000</v>
      </c>
      <c r="O39" s="143"/>
      <c r="P39" s="144"/>
      <c r="Q39" s="144"/>
      <c r="R39" s="144"/>
      <c r="S39" s="158"/>
      <c r="T39" s="82"/>
      <c r="U39" s="231"/>
      <c r="V39" s="231"/>
      <c r="W39" s="82"/>
      <c r="X39" s="80"/>
      <c r="Y39" s="80"/>
      <c r="Z39" s="80"/>
      <c r="AA39" s="80"/>
      <c r="AB39" s="80"/>
    </row>
    <row r="40" spans="1:28" ht="15.75">
      <c r="A40" s="82" t="s">
        <v>228</v>
      </c>
      <c r="B40" s="82"/>
      <c r="C40" s="232"/>
      <c r="D40" s="82"/>
      <c r="E40" s="82"/>
      <c r="F40" s="82"/>
      <c r="G40" s="82"/>
      <c r="H40" s="82"/>
      <c r="I40" s="82"/>
      <c r="J40" s="82"/>
      <c r="K40" s="82"/>
      <c r="L40" s="82"/>
      <c r="M40" s="82"/>
      <c r="N40" s="939">
        <v>1832.94</v>
      </c>
      <c r="O40" s="143"/>
      <c r="P40" s="144"/>
      <c r="Q40" s="144"/>
      <c r="R40" s="144"/>
      <c r="S40" s="158"/>
      <c r="T40" s="82"/>
      <c r="U40" s="231"/>
      <c r="V40" s="231"/>
      <c r="W40" s="82"/>
      <c r="X40" s="80"/>
      <c r="Y40" s="80"/>
      <c r="Z40" s="80"/>
      <c r="AA40" s="80"/>
      <c r="AB40" s="80"/>
    </row>
    <row r="41" spans="1:28" ht="15.75">
      <c r="A41" s="82" t="s">
        <v>229</v>
      </c>
      <c r="B41" s="82"/>
      <c r="C41" s="82"/>
      <c r="D41" s="232"/>
      <c r="E41" s="82"/>
      <c r="F41" s="82"/>
      <c r="G41" s="82"/>
      <c r="H41" s="82"/>
      <c r="I41" s="82"/>
      <c r="J41" s="82"/>
      <c r="K41" s="82"/>
      <c r="L41" s="82"/>
      <c r="M41" s="82"/>
      <c r="N41" s="939">
        <v>3442.5</v>
      </c>
      <c r="O41" s="143"/>
      <c r="P41" s="144"/>
      <c r="Q41" s="144"/>
      <c r="R41" s="144"/>
      <c r="S41" s="158"/>
      <c r="T41" s="82"/>
      <c r="U41" s="231"/>
      <c r="V41" s="231"/>
      <c r="W41" s="82"/>
      <c r="X41" s="80"/>
      <c r="Y41" s="80"/>
      <c r="Z41" s="80"/>
      <c r="AA41" s="80"/>
      <c r="AB41" s="80"/>
    </row>
    <row r="42" spans="1:28" ht="15.75">
      <c r="A42" s="95" t="s">
        <v>236</v>
      </c>
      <c r="B42" s="82"/>
      <c r="C42" s="82"/>
      <c r="D42" s="82"/>
      <c r="E42" s="82"/>
      <c r="F42" s="82"/>
      <c r="G42" s="82"/>
      <c r="H42" s="82"/>
      <c r="I42" s="82"/>
      <c r="J42" s="82"/>
      <c r="K42" s="82"/>
      <c r="L42" s="82"/>
      <c r="M42" s="82"/>
      <c r="N42" s="939"/>
      <c r="O42" s="143"/>
      <c r="P42" s="143"/>
      <c r="Q42" s="143"/>
      <c r="R42" s="143"/>
      <c r="S42" s="158"/>
      <c r="T42" s="82"/>
      <c r="U42" s="82"/>
      <c r="V42" s="82"/>
      <c r="W42" s="82"/>
      <c r="X42" s="80"/>
      <c r="Y42" s="80"/>
      <c r="Z42" s="80"/>
      <c r="AA42" s="80"/>
      <c r="AB42" s="80"/>
    </row>
    <row r="43" spans="1:28" ht="15.75">
      <c r="A43" s="82" t="s">
        <v>237</v>
      </c>
      <c r="B43" s="82"/>
      <c r="C43" s="82"/>
      <c r="D43" s="82"/>
      <c r="E43" s="232"/>
      <c r="F43" s="82"/>
      <c r="G43" s="82"/>
      <c r="H43" s="82"/>
      <c r="I43" s="232"/>
      <c r="J43" s="82"/>
      <c r="K43" s="82"/>
      <c r="L43" s="82"/>
      <c r="M43" s="82"/>
      <c r="N43" s="939">
        <v>13880</v>
      </c>
      <c r="O43" s="143"/>
      <c r="P43" s="143"/>
      <c r="Q43" s="143"/>
      <c r="R43" s="143"/>
      <c r="S43" s="158"/>
      <c r="T43" s="82"/>
      <c r="U43" s="82"/>
      <c r="V43" s="82"/>
      <c r="W43" s="82"/>
      <c r="X43" s="80"/>
      <c r="Y43" s="80"/>
      <c r="Z43" s="80"/>
      <c r="AA43" s="80"/>
      <c r="AB43" s="80"/>
    </row>
    <row r="44" spans="1:28" ht="15.75">
      <c r="A44" s="82"/>
      <c r="B44" s="82"/>
      <c r="C44" s="82"/>
      <c r="D44" s="82"/>
      <c r="E44" s="232"/>
      <c r="F44" s="82"/>
      <c r="G44" s="82"/>
      <c r="H44" s="82"/>
      <c r="I44" s="232"/>
      <c r="J44" s="82"/>
      <c r="K44" s="82"/>
      <c r="L44" s="82"/>
      <c r="M44" s="82"/>
      <c r="N44" s="939"/>
      <c r="O44" s="143"/>
      <c r="P44" s="143"/>
      <c r="Q44" s="143"/>
      <c r="R44" s="143"/>
      <c r="S44" s="158"/>
      <c r="T44" s="82"/>
      <c r="U44" s="82"/>
      <c r="V44" s="82"/>
      <c r="W44" s="82"/>
      <c r="X44" s="80"/>
      <c r="Y44" s="80"/>
      <c r="Z44" s="80"/>
      <c r="AA44" s="80"/>
      <c r="AB44" s="80"/>
    </row>
    <row r="45" spans="1:28" ht="15.75">
      <c r="A45" s="82" t="s">
        <v>238</v>
      </c>
      <c r="B45" s="82"/>
      <c r="C45" s="82"/>
      <c r="D45" s="82"/>
      <c r="E45" s="82"/>
      <c r="F45" s="82"/>
      <c r="G45" s="232"/>
      <c r="H45" s="82"/>
      <c r="I45" s="82"/>
      <c r="J45" s="82"/>
      <c r="K45" s="232"/>
      <c r="L45" s="82"/>
      <c r="M45" s="82"/>
      <c r="N45" s="939">
        <v>7976</v>
      </c>
      <c r="O45" s="143"/>
      <c r="P45" s="143"/>
      <c r="Q45" s="143"/>
      <c r="R45" s="143"/>
      <c r="S45" s="158"/>
      <c r="T45" s="82"/>
      <c r="U45" s="82"/>
      <c r="V45" s="82"/>
      <c r="W45" s="82"/>
      <c r="X45" s="80"/>
      <c r="Y45" s="80"/>
      <c r="Z45" s="80"/>
      <c r="AA45" s="80"/>
      <c r="AB45" s="80"/>
    </row>
    <row r="46" spans="1:28" ht="15.75">
      <c r="A46" s="99"/>
      <c r="B46" s="99"/>
      <c r="C46" s="99"/>
      <c r="D46" s="99"/>
      <c r="E46" s="99"/>
      <c r="F46" s="99"/>
      <c r="G46" s="233"/>
      <c r="H46" s="99"/>
      <c r="I46" s="99"/>
      <c r="J46" s="99"/>
      <c r="K46" s="233"/>
      <c r="L46" s="99"/>
      <c r="M46" s="99"/>
      <c r="N46" s="942"/>
      <c r="O46" s="236"/>
      <c r="P46" s="236"/>
      <c r="Q46" s="236"/>
      <c r="R46" s="236"/>
      <c r="S46" s="158"/>
      <c r="T46" s="82"/>
      <c r="U46" s="82"/>
      <c r="V46" s="82"/>
      <c r="W46" s="82"/>
      <c r="X46" s="80"/>
      <c r="Y46" s="80"/>
      <c r="Z46" s="80"/>
      <c r="AA46" s="80"/>
      <c r="AB46" s="80"/>
    </row>
    <row r="47" spans="1:28" ht="15.75">
      <c r="A47" s="237" t="s">
        <v>239</v>
      </c>
      <c r="B47" s="239"/>
      <c r="C47" s="239"/>
      <c r="D47" s="239"/>
      <c r="E47" s="239"/>
      <c r="F47" s="239"/>
      <c r="G47" s="239"/>
      <c r="H47" s="239"/>
      <c r="I47" s="239"/>
      <c r="J47" s="239"/>
      <c r="K47" s="239"/>
      <c r="L47" s="239"/>
      <c r="M47" s="239"/>
      <c r="N47" s="943">
        <f>SUM(N39:N46)</f>
        <v>32131.440000000002</v>
      </c>
      <c r="O47" s="242"/>
      <c r="P47" s="244"/>
      <c r="Q47" s="244"/>
      <c r="R47" s="244"/>
      <c r="S47" s="158"/>
      <c r="T47" s="82"/>
      <c r="U47" s="82"/>
      <c r="V47" s="82"/>
      <c r="W47" s="82"/>
      <c r="X47" s="80"/>
      <c r="Y47" s="80"/>
      <c r="Z47" s="80"/>
      <c r="AA47" s="80"/>
      <c r="AB47" s="80"/>
    </row>
    <row r="48" spans="1:28" ht="15.75">
      <c r="A48" s="246" t="s">
        <v>241</v>
      </c>
      <c r="B48" s="248"/>
      <c r="C48" s="248"/>
      <c r="D48" s="248"/>
      <c r="E48" s="248"/>
      <c r="F48" s="248"/>
      <c r="G48" s="248"/>
      <c r="H48" s="248"/>
      <c r="I48" s="248"/>
      <c r="J48" s="248"/>
      <c r="K48" s="248"/>
      <c r="L48" s="248"/>
      <c r="M48" s="248"/>
      <c r="N48" s="944">
        <f>SUM(N36+N47)</f>
        <v>167600.14050000001</v>
      </c>
      <c r="O48" s="250"/>
      <c r="P48" s="999">
        <f>SUM(P4:P35)</f>
        <v>7.9000000000000015E-2</v>
      </c>
      <c r="Q48" s="999">
        <f>(Q36+Q47)</f>
        <v>7.5997999999999996E-2</v>
      </c>
      <c r="R48" s="999">
        <f>R36+R47</f>
        <v>0.05</v>
      </c>
      <c r="S48" s="254"/>
      <c r="T48" s="248"/>
      <c r="U48" s="248"/>
      <c r="V48" s="248"/>
      <c r="W48" s="248"/>
      <c r="X48" s="256"/>
      <c r="Y48" s="256"/>
      <c r="Z48" s="256"/>
      <c r="AA48" s="256"/>
      <c r="AB48" s="80"/>
    </row>
    <row r="49" spans="1:28" ht="59.25" customHeight="1">
      <c r="A49" s="258"/>
      <c r="B49" s="258"/>
      <c r="C49" s="258"/>
      <c r="D49" s="258"/>
      <c r="E49" s="258"/>
      <c r="F49" s="258"/>
      <c r="G49" s="258"/>
      <c r="H49" s="258"/>
      <c r="I49" s="258"/>
      <c r="J49" s="258"/>
      <c r="K49" s="258"/>
      <c r="L49" s="258"/>
      <c r="M49" s="258"/>
      <c r="N49" s="260"/>
      <c r="O49" s="262"/>
      <c r="P49" s="263"/>
      <c r="Q49" s="263"/>
      <c r="R49" s="263"/>
      <c r="S49" s="264"/>
      <c r="T49" s="258"/>
      <c r="U49" s="258"/>
      <c r="V49" s="258"/>
      <c r="W49" s="258"/>
      <c r="X49" s="265"/>
      <c r="Y49" s="265"/>
      <c r="Z49" s="265"/>
      <c r="AA49" s="265"/>
      <c r="AB49" s="265"/>
    </row>
    <row r="50" spans="1:28" ht="15.75">
      <c r="A50" s="267" t="s">
        <v>247</v>
      </c>
      <c r="B50" s="269" t="s">
        <v>125</v>
      </c>
      <c r="C50" s="269" t="s">
        <v>126</v>
      </c>
      <c r="D50" s="269" t="s">
        <v>127</v>
      </c>
      <c r="E50" s="269" t="s">
        <v>128</v>
      </c>
      <c r="F50" s="269" t="s">
        <v>129</v>
      </c>
      <c r="G50" s="269" t="s">
        <v>130</v>
      </c>
      <c r="H50" s="269" t="s">
        <v>131</v>
      </c>
      <c r="I50" s="269" t="s">
        <v>132</v>
      </c>
      <c r="J50" s="269" t="s">
        <v>133</v>
      </c>
      <c r="K50" s="269" t="s">
        <v>134</v>
      </c>
      <c r="L50" s="269" t="s">
        <v>135</v>
      </c>
      <c r="M50" s="269" t="s">
        <v>136</v>
      </c>
      <c r="N50" s="270" t="s">
        <v>137</v>
      </c>
      <c r="O50" s="272" t="s">
        <v>138</v>
      </c>
      <c r="P50" s="272" t="s">
        <v>1</v>
      </c>
      <c r="Q50" s="274" t="s">
        <v>71</v>
      </c>
      <c r="R50" s="274" t="s">
        <v>78</v>
      </c>
      <c r="S50" s="275"/>
      <c r="T50" s="276"/>
      <c r="U50" s="278" t="s">
        <v>249</v>
      </c>
      <c r="V50" s="278" t="s">
        <v>140</v>
      </c>
      <c r="W50" s="278" t="s">
        <v>141</v>
      </c>
      <c r="X50" s="280"/>
      <c r="Y50" s="280"/>
      <c r="Z50" s="280"/>
      <c r="AA50" s="280"/>
      <c r="AB50" s="140"/>
    </row>
    <row r="51" spans="1:28" ht="15.75">
      <c r="A51" s="141" t="s">
        <v>142</v>
      </c>
      <c r="B51" s="82"/>
      <c r="C51" s="82"/>
      <c r="D51" s="82"/>
      <c r="E51" s="82"/>
      <c r="F51" s="82"/>
      <c r="G51" s="82"/>
      <c r="H51" s="82"/>
      <c r="I51" s="82"/>
      <c r="J51" s="82"/>
      <c r="K51" s="82"/>
      <c r="L51" s="82"/>
      <c r="M51" s="82"/>
      <c r="N51" s="939"/>
      <c r="O51" s="143"/>
      <c r="P51" s="144"/>
      <c r="Q51" s="144"/>
      <c r="R51" s="144"/>
      <c r="S51" s="158"/>
      <c r="T51" s="146" t="s">
        <v>143</v>
      </c>
      <c r="U51" s="946">
        <v>4.0000000000000002E-4</v>
      </c>
      <c r="V51" s="946">
        <v>4.0000000000000002E-4</v>
      </c>
      <c r="W51" s="946">
        <v>2.0000000000000001E-4</v>
      </c>
      <c r="X51" s="80"/>
      <c r="Y51" s="80"/>
      <c r="Z51" s="80"/>
      <c r="AA51" s="80"/>
      <c r="AB51" s="80"/>
    </row>
    <row r="52" spans="1:28" ht="15.75">
      <c r="A52" s="95" t="s">
        <v>41</v>
      </c>
      <c r="B52" s="149"/>
      <c r="C52" s="149"/>
      <c r="D52" s="149"/>
      <c r="E52" s="149"/>
      <c r="F52" s="149"/>
      <c r="G52" s="149"/>
      <c r="H52" s="149"/>
      <c r="I52" s="149"/>
      <c r="J52" s="149"/>
      <c r="K52" s="149"/>
      <c r="L52" s="149"/>
      <c r="M52" s="149"/>
      <c r="N52" s="939">
        <f>U56</f>
        <v>21285.4575</v>
      </c>
      <c r="O52" s="143" t="s">
        <v>145</v>
      </c>
      <c r="P52" s="188">
        <v>0.03</v>
      </c>
      <c r="Q52" s="188">
        <v>0.03</v>
      </c>
      <c r="R52" s="188">
        <v>0.03</v>
      </c>
      <c r="S52" s="158"/>
      <c r="T52" s="146" t="s">
        <v>146</v>
      </c>
      <c r="U52" s="954">
        <v>2438253</v>
      </c>
      <c r="V52" s="954">
        <v>6759463</v>
      </c>
      <c r="W52" s="954">
        <v>28131584</v>
      </c>
      <c r="X52" s="80"/>
      <c r="Y52" s="80"/>
      <c r="Z52" s="80"/>
      <c r="AA52" s="80"/>
      <c r="AB52" s="80"/>
    </row>
    <row r="53" spans="1:28" ht="15.75">
      <c r="A53" s="95" t="s">
        <v>147</v>
      </c>
      <c r="B53" s="82"/>
      <c r="C53" s="82"/>
      <c r="D53" s="82"/>
      <c r="E53" s="82"/>
      <c r="F53" s="82"/>
      <c r="G53" s="82"/>
      <c r="H53" s="82"/>
      <c r="I53" s="82"/>
      <c r="J53" s="82"/>
      <c r="K53" s="82"/>
      <c r="L53" s="82"/>
      <c r="M53" s="82"/>
      <c r="N53" s="939">
        <f>X60+U67</f>
        <v>10800</v>
      </c>
      <c r="O53" s="143" t="s">
        <v>145</v>
      </c>
      <c r="P53" s="188">
        <f>U51*N53/1000</f>
        <v>4.3200000000000001E-3</v>
      </c>
      <c r="Q53" s="188">
        <f>(U51*N53)/1000</f>
        <v>4.3200000000000001E-3</v>
      </c>
      <c r="R53" s="188">
        <f>(W51*$N$5)/1000</f>
        <v>2.8800000000000002E-3</v>
      </c>
      <c r="S53" s="158"/>
      <c r="T53" s="146" t="s">
        <v>152</v>
      </c>
      <c r="U53" s="946">
        <v>8.0000000000000004E-4</v>
      </c>
      <c r="V53" s="946">
        <v>8.0000000000000004E-4</v>
      </c>
      <c r="W53" s="946">
        <v>4.0000000000000002E-4</v>
      </c>
      <c r="X53" s="80"/>
      <c r="Y53" s="80"/>
      <c r="Z53" s="80"/>
      <c r="AA53" s="80"/>
      <c r="AB53" s="80"/>
    </row>
    <row r="54" spans="1:28" ht="15.75">
      <c r="A54" s="82" t="s">
        <v>153</v>
      </c>
      <c r="B54" s="82"/>
      <c r="C54" s="82"/>
      <c r="D54" s="156"/>
      <c r="E54" s="82"/>
      <c r="F54" s="82"/>
      <c r="G54" s="82"/>
      <c r="H54" s="156"/>
      <c r="I54" s="82"/>
      <c r="J54" s="82"/>
      <c r="K54" s="156"/>
      <c r="L54" s="82"/>
      <c r="M54" s="82"/>
      <c r="N54" s="939"/>
      <c r="O54" s="143"/>
      <c r="P54" s="144"/>
      <c r="Q54" s="144"/>
      <c r="R54" s="144"/>
      <c r="S54" s="158"/>
      <c r="T54" s="82"/>
      <c r="U54" s="82"/>
      <c r="V54" s="82"/>
      <c r="W54" s="82"/>
      <c r="X54" s="80"/>
      <c r="Y54" s="80"/>
      <c r="Z54" s="80"/>
      <c r="AA54" s="80"/>
      <c r="AB54" s="80"/>
    </row>
    <row r="55" spans="1:28" ht="15.75">
      <c r="A55" s="82" t="s">
        <v>155</v>
      </c>
      <c r="B55" s="82"/>
      <c r="C55" s="82"/>
      <c r="D55" s="156"/>
      <c r="E55" s="82"/>
      <c r="F55" s="82"/>
      <c r="G55" s="82"/>
      <c r="H55" s="156"/>
      <c r="I55" s="82"/>
      <c r="J55" s="82"/>
      <c r="K55" s="156"/>
      <c r="L55" s="82"/>
      <c r="M55" s="82"/>
      <c r="N55" s="939"/>
      <c r="O55" s="143"/>
      <c r="P55" s="144"/>
      <c r="Q55" s="144"/>
      <c r="R55" s="144"/>
      <c r="S55" s="158"/>
      <c r="T55" s="282" t="s">
        <v>251</v>
      </c>
      <c r="U55" s="1"/>
      <c r="V55" s="82"/>
      <c r="W55" s="162" t="s">
        <v>158</v>
      </c>
      <c r="X55" s="139"/>
      <c r="Y55" s="139"/>
      <c r="Z55" s="1"/>
      <c r="AA55" s="1"/>
      <c r="AB55" s="80"/>
    </row>
    <row r="56" spans="1:28" ht="15.75">
      <c r="A56" s="82" t="s">
        <v>159</v>
      </c>
      <c r="B56" s="82"/>
      <c r="C56" s="82"/>
      <c r="D56" s="156"/>
      <c r="E56" s="82"/>
      <c r="F56" s="82"/>
      <c r="G56" s="82"/>
      <c r="H56" s="156"/>
      <c r="I56" s="82"/>
      <c r="J56" s="82"/>
      <c r="K56" s="156"/>
      <c r="L56" s="82"/>
      <c r="M56" s="82"/>
      <c r="N56" s="939"/>
      <c r="O56" s="143"/>
      <c r="P56" s="144"/>
      <c r="Q56" s="144"/>
      <c r="R56" s="144"/>
      <c r="S56" s="158"/>
      <c r="T56" s="146" t="s">
        <v>170</v>
      </c>
      <c r="U56" s="947">
        <f>SUM(N53:N82)*0.25</f>
        <v>21285.4575</v>
      </c>
      <c r="V56" s="80"/>
      <c r="W56" s="146" t="s">
        <v>161</v>
      </c>
      <c r="X56" s="147">
        <v>10</v>
      </c>
      <c r="Y56" s="80"/>
      <c r="Z56" s="1"/>
      <c r="AA56" s="1"/>
      <c r="AB56" s="80"/>
    </row>
    <row r="57" spans="1:28" ht="15.75">
      <c r="A57" s="82" t="s">
        <v>162</v>
      </c>
      <c r="B57" s="82"/>
      <c r="C57" s="82"/>
      <c r="D57" s="156"/>
      <c r="E57" s="82"/>
      <c r="F57" s="82"/>
      <c r="G57" s="82"/>
      <c r="H57" s="156"/>
      <c r="I57" s="82"/>
      <c r="J57" s="82"/>
      <c r="K57" s="156"/>
      <c r="L57" s="82"/>
      <c r="M57" s="82"/>
      <c r="N57" s="939"/>
      <c r="O57" s="143"/>
      <c r="P57" s="144"/>
      <c r="Q57" s="144"/>
      <c r="R57" s="144"/>
      <c r="S57" s="158"/>
      <c r="T57" s="146" t="s">
        <v>160</v>
      </c>
      <c r="U57" s="947">
        <f>SUM(N52:N81)</f>
        <v>101355.4575</v>
      </c>
      <c r="V57" s="82"/>
      <c r="W57" s="160" t="s">
        <v>165</v>
      </c>
      <c r="X57" s="147">
        <v>4</v>
      </c>
      <c r="Y57" s="80"/>
      <c r="Z57" s="1"/>
      <c r="AA57" s="1"/>
      <c r="AB57" s="80"/>
    </row>
    <row r="58" spans="1:28" ht="15.75">
      <c r="A58" s="82" t="s">
        <v>166</v>
      </c>
      <c r="B58" s="82"/>
      <c r="C58" s="82"/>
      <c r="D58" s="156"/>
      <c r="E58" s="82"/>
      <c r="F58" s="82"/>
      <c r="G58" s="82"/>
      <c r="H58" s="156"/>
      <c r="I58" s="82"/>
      <c r="J58" s="82"/>
      <c r="K58" s="156"/>
      <c r="L58" s="82"/>
      <c r="M58" s="82"/>
      <c r="N58" s="939"/>
      <c r="O58" s="143"/>
      <c r="P58" s="144"/>
      <c r="Q58" s="144"/>
      <c r="R58" s="144"/>
      <c r="S58" s="158"/>
      <c r="T58" s="146" t="s">
        <v>263</v>
      </c>
      <c r="U58" s="948">
        <f>U57*0.05</f>
        <v>5067.7728750000006</v>
      </c>
      <c r="V58" s="82"/>
      <c r="W58" s="160" t="s">
        <v>168</v>
      </c>
      <c r="X58" s="147">
        <v>3</v>
      </c>
      <c r="Y58" s="80"/>
      <c r="Z58" s="1"/>
      <c r="AA58" s="1"/>
      <c r="AB58" s="80"/>
    </row>
    <row r="59" spans="1:28" ht="15.75">
      <c r="A59" s="82" t="s">
        <v>169</v>
      </c>
      <c r="B59" s="82"/>
      <c r="C59" s="82"/>
      <c r="D59" s="156"/>
      <c r="E59" s="82"/>
      <c r="F59" s="82"/>
      <c r="G59" s="82"/>
      <c r="H59" s="156"/>
      <c r="I59" s="82"/>
      <c r="J59" s="82"/>
      <c r="K59" s="156"/>
      <c r="L59" s="82"/>
      <c r="M59" s="82"/>
      <c r="N59" s="939"/>
      <c r="O59" s="143"/>
      <c r="P59" s="144"/>
      <c r="Q59" s="144"/>
      <c r="R59" s="144"/>
      <c r="S59" s="158"/>
      <c r="T59" s="146" t="s">
        <v>178</v>
      </c>
      <c r="U59" s="996">
        <v>5722389</v>
      </c>
      <c r="V59" s="1"/>
      <c r="W59" s="160" t="s">
        <v>172</v>
      </c>
      <c r="X59" s="947">
        <v>40</v>
      </c>
      <c r="Y59" s="80"/>
      <c r="Z59" s="1"/>
      <c r="AA59" s="1"/>
      <c r="AB59" s="1"/>
    </row>
    <row r="60" spans="1:28" ht="15.75">
      <c r="A60" s="82" t="s">
        <v>173</v>
      </c>
      <c r="B60" s="82"/>
      <c r="C60" s="82"/>
      <c r="D60" s="156"/>
      <c r="E60" s="82"/>
      <c r="F60" s="82"/>
      <c r="G60" s="82"/>
      <c r="H60" s="156"/>
      <c r="I60" s="82"/>
      <c r="J60" s="82"/>
      <c r="K60" s="156"/>
      <c r="L60" s="82"/>
      <c r="M60" s="82"/>
      <c r="N60" s="939"/>
      <c r="O60" s="143"/>
      <c r="P60" s="144"/>
      <c r="Q60" s="144"/>
      <c r="R60" s="144"/>
      <c r="S60" s="158"/>
      <c r="T60" s="181" t="s">
        <v>180</v>
      </c>
      <c r="U60" s="953">
        <f>'FE Income Statement'!E24</f>
        <v>492658.40435119154</v>
      </c>
      <c r="V60" s="1"/>
      <c r="W60" s="160" t="s">
        <v>175</v>
      </c>
      <c r="X60" s="947">
        <f>(X56*X57*X58*X59)</f>
        <v>4800</v>
      </c>
      <c r="Y60" s="80"/>
      <c r="Z60" s="1"/>
      <c r="AA60" s="1"/>
      <c r="AB60" s="1"/>
    </row>
    <row r="61" spans="1:28" ht="15.75">
      <c r="A61" s="82" t="s">
        <v>177</v>
      </c>
      <c r="B61" s="82"/>
      <c r="C61" s="82"/>
      <c r="D61" s="156"/>
      <c r="E61" s="82"/>
      <c r="F61" s="82"/>
      <c r="G61" s="82"/>
      <c r="H61" s="156"/>
      <c r="I61" s="82"/>
      <c r="J61" s="82"/>
      <c r="K61" s="156"/>
      <c r="L61" s="82"/>
      <c r="M61" s="82"/>
      <c r="N61" s="939"/>
      <c r="O61" s="143"/>
      <c r="P61" s="144"/>
      <c r="Q61" s="144"/>
      <c r="R61" s="144"/>
      <c r="S61" s="158"/>
      <c r="T61" s="1"/>
      <c r="U61" s="1"/>
      <c r="V61" s="1"/>
      <c r="W61" s="82"/>
      <c r="X61" s="80"/>
      <c r="Y61" s="80"/>
      <c r="Z61" s="80"/>
      <c r="AA61" s="80"/>
      <c r="AB61" s="1"/>
    </row>
    <row r="62" spans="1:28" ht="15.75">
      <c r="A62" s="82" t="s">
        <v>179</v>
      </c>
      <c r="B62" s="82"/>
      <c r="C62" s="82"/>
      <c r="D62" s="156"/>
      <c r="E62" s="82"/>
      <c r="F62" s="82"/>
      <c r="G62" s="82"/>
      <c r="H62" s="156"/>
      <c r="I62" s="82"/>
      <c r="J62" s="82"/>
      <c r="K62" s="156"/>
      <c r="L62" s="82"/>
      <c r="M62" s="82"/>
      <c r="N62" s="939"/>
      <c r="O62" s="143"/>
      <c r="P62" s="144"/>
      <c r="Q62" s="144"/>
      <c r="R62" s="144"/>
      <c r="S62" s="158"/>
      <c r="T62" s="162" t="s">
        <v>191</v>
      </c>
      <c r="U62" s="80"/>
      <c r="V62" s="1"/>
      <c r="W62" s="162" t="s">
        <v>182</v>
      </c>
      <c r="X62" s="80"/>
      <c r="Y62" s="80"/>
      <c r="Z62" s="80"/>
      <c r="AA62" s="80"/>
      <c r="AB62" s="1"/>
    </row>
    <row r="63" spans="1:28" ht="15.75">
      <c r="A63" s="82" t="s">
        <v>183</v>
      </c>
      <c r="B63" s="82"/>
      <c r="C63" s="82"/>
      <c r="D63" s="156"/>
      <c r="E63" s="82"/>
      <c r="F63" s="82"/>
      <c r="G63" s="82"/>
      <c r="H63" s="156"/>
      <c r="I63" s="82"/>
      <c r="J63" s="82"/>
      <c r="K63" s="156"/>
      <c r="L63" s="82"/>
      <c r="M63" s="82"/>
      <c r="N63" s="939"/>
      <c r="O63" s="143"/>
      <c r="P63" s="144"/>
      <c r="Q63" s="144"/>
      <c r="R63" s="144"/>
      <c r="S63" s="158"/>
      <c r="T63" s="146" t="s">
        <v>161</v>
      </c>
      <c r="U63" s="147">
        <v>10</v>
      </c>
      <c r="V63" s="1"/>
      <c r="W63" s="146" t="s">
        <v>161</v>
      </c>
      <c r="X63" s="949">
        <v>10</v>
      </c>
      <c r="Y63" s="1"/>
      <c r="Z63" s="1"/>
      <c r="AA63" s="1"/>
      <c r="AB63" s="1"/>
    </row>
    <row r="64" spans="1:28" ht="15.75">
      <c r="A64" s="95" t="s">
        <v>184</v>
      </c>
      <c r="B64" s="82"/>
      <c r="C64" s="82"/>
      <c r="D64" s="82"/>
      <c r="E64" s="82"/>
      <c r="F64" s="82"/>
      <c r="G64" s="82"/>
      <c r="H64" s="82"/>
      <c r="I64" s="82"/>
      <c r="J64" s="82"/>
      <c r="K64" s="82"/>
      <c r="L64" s="82"/>
      <c r="M64" s="82"/>
      <c r="N64" s="939">
        <f>X67</f>
        <v>24000</v>
      </c>
      <c r="O64" s="143" t="s">
        <v>145</v>
      </c>
      <c r="P64" s="188">
        <f>N64*V51/1000</f>
        <v>9.5999999999999992E-3</v>
      </c>
      <c r="Q64" s="188">
        <f>(N64*0.0004)/1000</f>
        <v>9.5999999999999992E-3</v>
      </c>
      <c r="R64" s="144">
        <f>(N64*W51)/1000</f>
        <v>4.7999999999999996E-3</v>
      </c>
      <c r="S64" s="158"/>
      <c r="T64" s="160" t="s">
        <v>165</v>
      </c>
      <c r="U64" s="147">
        <v>4</v>
      </c>
      <c r="V64" s="82"/>
      <c r="W64" s="160" t="s">
        <v>165</v>
      </c>
      <c r="X64" s="949">
        <v>4</v>
      </c>
      <c r="Y64" s="1"/>
      <c r="Z64" s="1"/>
      <c r="AA64" s="1"/>
      <c r="AB64" s="1"/>
    </row>
    <row r="65" spans="1:28" ht="15.75">
      <c r="A65" s="82" t="s">
        <v>153</v>
      </c>
      <c r="B65" s="82"/>
      <c r="C65" s="191"/>
      <c r="D65" s="82"/>
      <c r="E65" s="82"/>
      <c r="F65" s="82"/>
      <c r="G65" s="82"/>
      <c r="H65" s="82"/>
      <c r="I65" s="82"/>
      <c r="J65" s="191"/>
      <c r="K65" s="82"/>
      <c r="L65" s="82"/>
      <c r="M65" s="82"/>
      <c r="N65" s="939"/>
      <c r="O65" s="143"/>
      <c r="P65" s="144"/>
      <c r="Q65" s="144"/>
      <c r="R65" s="144"/>
      <c r="S65" s="158"/>
      <c r="T65" s="160" t="s">
        <v>168</v>
      </c>
      <c r="U65" s="147">
        <v>3</v>
      </c>
      <c r="V65" s="82"/>
      <c r="W65" s="160" t="s">
        <v>168</v>
      </c>
      <c r="X65" s="949">
        <v>2</v>
      </c>
      <c r="Y65" s="1"/>
      <c r="Z65" s="1"/>
      <c r="AA65" s="1"/>
      <c r="AB65" s="1"/>
    </row>
    <row r="66" spans="1:28" ht="15.75">
      <c r="A66" s="82" t="s">
        <v>155</v>
      </c>
      <c r="B66" s="82"/>
      <c r="C66" s="191"/>
      <c r="D66" s="82"/>
      <c r="E66" s="82"/>
      <c r="F66" s="82"/>
      <c r="G66" s="82"/>
      <c r="H66" s="82"/>
      <c r="I66" s="82"/>
      <c r="J66" s="191"/>
      <c r="K66" s="82"/>
      <c r="L66" s="82"/>
      <c r="M66" s="82"/>
      <c r="N66" s="939"/>
      <c r="O66" s="143"/>
      <c r="P66" s="144"/>
      <c r="Q66" s="144"/>
      <c r="R66" s="144"/>
      <c r="S66" s="158"/>
      <c r="T66" s="160" t="s">
        <v>172</v>
      </c>
      <c r="U66" s="947">
        <v>50</v>
      </c>
      <c r="V66" s="82"/>
      <c r="W66" s="160" t="s">
        <v>172</v>
      </c>
      <c r="X66" s="951">
        <v>300</v>
      </c>
      <c r="Y66" s="1"/>
      <c r="Z66" s="1"/>
      <c r="AA66" s="1"/>
      <c r="AB66" s="1"/>
    </row>
    <row r="67" spans="1:28" ht="15.75">
      <c r="A67" s="82" t="s">
        <v>159</v>
      </c>
      <c r="B67" s="82"/>
      <c r="C67" s="191"/>
      <c r="D67" s="82"/>
      <c r="E67" s="82"/>
      <c r="F67" s="82"/>
      <c r="G67" s="82"/>
      <c r="H67" s="82"/>
      <c r="I67" s="82"/>
      <c r="J67" s="191"/>
      <c r="K67" s="82"/>
      <c r="L67" s="82"/>
      <c r="M67" s="82"/>
      <c r="N67" s="939"/>
      <c r="O67" s="143"/>
      <c r="P67" s="144"/>
      <c r="Q67" s="144"/>
      <c r="R67" s="144"/>
      <c r="S67" s="158"/>
      <c r="T67" s="160" t="s">
        <v>175</v>
      </c>
      <c r="U67" s="947">
        <f>(U63*U64*U65*U66)</f>
        <v>6000</v>
      </c>
      <c r="V67" s="82"/>
      <c r="W67" s="160" t="s">
        <v>175</v>
      </c>
      <c r="X67" s="951">
        <f>(X63*X64*X65*X66)</f>
        <v>24000</v>
      </c>
      <c r="Y67" s="1"/>
      <c r="Z67" s="1"/>
      <c r="AA67" s="1"/>
      <c r="AB67" s="1"/>
    </row>
    <row r="68" spans="1:28" ht="15.75">
      <c r="A68" s="82" t="s">
        <v>162</v>
      </c>
      <c r="B68" s="82"/>
      <c r="C68" s="191"/>
      <c r="D68" s="82"/>
      <c r="E68" s="82"/>
      <c r="F68" s="82"/>
      <c r="G68" s="82"/>
      <c r="H68" s="82"/>
      <c r="I68" s="82"/>
      <c r="J68" s="191"/>
      <c r="K68" s="82"/>
      <c r="L68" s="82"/>
      <c r="M68" s="82"/>
      <c r="N68" s="939"/>
      <c r="O68" s="143"/>
      <c r="P68" s="144"/>
      <c r="Q68" s="144"/>
      <c r="R68" s="144"/>
      <c r="S68" s="158"/>
      <c r="T68" s="1"/>
      <c r="U68" s="1"/>
      <c r="V68" s="82"/>
      <c r="W68" s="80"/>
      <c r="X68" s="80"/>
      <c r="Y68" s="80"/>
      <c r="Z68" s="80"/>
      <c r="AA68" s="80"/>
      <c r="AB68" s="1"/>
    </row>
    <row r="69" spans="1:28" ht="15.75">
      <c r="A69" s="82" t="s">
        <v>166</v>
      </c>
      <c r="B69" s="82"/>
      <c r="C69" s="191"/>
      <c r="D69" s="82"/>
      <c r="E69" s="82"/>
      <c r="F69" s="82"/>
      <c r="G69" s="82"/>
      <c r="H69" s="82"/>
      <c r="I69" s="82"/>
      <c r="J69" s="191"/>
      <c r="K69" s="82"/>
      <c r="L69" s="82"/>
      <c r="M69" s="82"/>
      <c r="N69" s="939"/>
      <c r="O69" s="143"/>
      <c r="P69" s="144"/>
      <c r="Q69" s="144"/>
      <c r="R69" s="144"/>
      <c r="S69" s="158"/>
      <c r="T69" s="146" t="s">
        <v>194</v>
      </c>
      <c r="U69" s="201"/>
      <c r="V69" s="201"/>
      <c r="W69" s="201"/>
      <c r="X69" s="1"/>
      <c r="Y69" s="1"/>
      <c r="Z69" s="1"/>
      <c r="AA69" s="1"/>
      <c r="AB69" s="1"/>
    </row>
    <row r="70" spans="1:28" ht="15.75">
      <c r="A70" s="82" t="s">
        <v>169</v>
      </c>
      <c r="B70" s="82"/>
      <c r="C70" s="191"/>
      <c r="D70" s="82"/>
      <c r="E70" s="82"/>
      <c r="F70" s="82"/>
      <c r="G70" s="82"/>
      <c r="H70" s="82"/>
      <c r="I70" s="82"/>
      <c r="J70" s="191"/>
      <c r="K70" s="82"/>
      <c r="L70" s="82"/>
      <c r="M70" s="82"/>
      <c r="N70" s="939"/>
      <c r="O70" s="143"/>
      <c r="P70" s="144"/>
      <c r="Q70" s="144"/>
      <c r="R70" s="144"/>
      <c r="S70" s="158"/>
      <c r="T70" s="205" t="s">
        <v>195</v>
      </c>
      <c r="U70" s="206"/>
      <c r="V70" s="201"/>
      <c r="W70" s="201"/>
      <c r="X70" s="80"/>
      <c r="Y70" s="80"/>
      <c r="Z70" s="80"/>
      <c r="AA70" s="80"/>
      <c r="AB70" s="80"/>
    </row>
    <row r="71" spans="1:28" ht="15.75">
      <c r="A71" s="82" t="s">
        <v>173</v>
      </c>
      <c r="B71" s="82"/>
      <c r="C71" s="191"/>
      <c r="D71" s="82"/>
      <c r="E71" s="82"/>
      <c r="F71" s="82"/>
      <c r="G71" s="82"/>
      <c r="H71" s="82"/>
      <c r="I71" s="82"/>
      <c r="J71" s="191"/>
      <c r="K71" s="82"/>
      <c r="L71" s="82"/>
      <c r="M71" s="82"/>
      <c r="N71" s="939"/>
      <c r="O71" s="143"/>
      <c r="P71" s="144"/>
      <c r="Q71" s="144"/>
      <c r="R71" s="144"/>
      <c r="S71" s="158"/>
      <c r="T71" s="205" t="s">
        <v>270</v>
      </c>
      <c r="U71" s="206"/>
      <c r="V71" s="206"/>
      <c r="W71" s="207"/>
      <c r="X71" s="80"/>
      <c r="Y71" s="80"/>
      <c r="Z71" s="80"/>
      <c r="AA71" s="80"/>
      <c r="AB71" s="80"/>
    </row>
    <row r="72" spans="1:28" ht="15.75">
      <c r="A72" s="82" t="s">
        <v>177</v>
      </c>
      <c r="B72" s="82"/>
      <c r="C72" s="191"/>
      <c r="D72" s="82"/>
      <c r="E72" s="82"/>
      <c r="F72" s="82"/>
      <c r="G72" s="82"/>
      <c r="H72" s="82"/>
      <c r="I72" s="82"/>
      <c r="J72" s="191"/>
      <c r="K72" s="82"/>
      <c r="L72" s="82"/>
      <c r="M72" s="82"/>
      <c r="N72" s="939"/>
      <c r="O72" s="143"/>
      <c r="P72" s="144"/>
      <c r="Q72" s="144"/>
      <c r="R72" s="144"/>
      <c r="S72" s="158"/>
      <c r="T72" s="181" t="s">
        <v>271</v>
      </c>
      <c r="U72" s="290"/>
      <c r="V72" s="293">
        <f>U60*0.03</f>
        <v>14779.752130535746</v>
      </c>
      <c r="W72" s="201"/>
      <c r="X72" s="1"/>
      <c r="Y72" s="1"/>
      <c r="Z72" s="1"/>
      <c r="AA72" s="1"/>
      <c r="AB72" s="1"/>
    </row>
    <row r="73" spans="1:28" ht="15.75">
      <c r="A73" s="82" t="s">
        <v>179</v>
      </c>
      <c r="B73" s="82"/>
      <c r="C73" s="191"/>
      <c r="D73" s="82"/>
      <c r="E73" s="82"/>
      <c r="F73" s="82"/>
      <c r="G73" s="82"/>
      <c r="H73" s="82"/>
      <c r="I73" s="82"/>
      <c r="J73" s="191"/>
      <c r="K73" s="82"/>
      <c r="L73" s="82"/>
      <c r="M73" s="82"/>
      <c r="N73" s="939"/>
      <c r="O73" s="143"/>
      <c r="P73" s="144"/>
      <c r="Q73" s="144"/>
      <c r="R73" s="144"/>
      <c r="S73" s="158"/>
      <c r="T73" s="146" t="s">
        <v>200</v>
      </c>
      <c r="U73" s="214"/>
      <c r="V73" s="212">
        <f>N92/U59</f>
        <v>2.1945856442125832E-2</v>
      </c>
      <c r="W73" s="201"/>
      <c r="X73" s="80"/>
      <c r="Y73" s="80"/>
      <c r="Z73" s="80"/>
      <c r="AA73" s="80"/>
      <c r="AB73" s="80"/>
    </row>
    <row r="74" spans="1:28" ht="15.75">
      <c r="A74" s="82" t="s">
        <v>183</v>
      </c>
      <c r="B74" s="82"/>
      <c r="C74" s="191"/>
      <c r="D74" s="82"/>
      <c r="E74" s="82"/>
      <c r="F74" s="82"/>
      <c r="G74" s="82"/>
      <c r="H74" s="82"/>
      <c r="I74" s="82"/>
      <c r="J74" s="191"/>
      <c r="K74" s="82"/>
      <c r="L74" s="82"/>
      <c r="M74" s="82"/>
      <c r="N74" s="939"/>
      <c r="O74" s="143"/>
      <c r="P74" s="144"/>
      <c r="Q74" s="144"/>
      <c r="R74" s="144"/>
      <c r="S74" s="158"/>
      <c r="T74" s="146" t="s">
        <v>203</v>
      </c>
      <c r="U74" s="214"/>
      <c r="V74" s="214" t="s">
        <v>204</v>
      </c>
      <c r="W74" s="201"/>
      <c r="X74" s="80"/>
      <c r="Y74" s="80"/>
      <c r="Z74" s="80"/>
      <c r="AA74" s="80"/>
      <c r="AB74" s="80"/>
    </row>
    <row r="75" spans="1:28" ht="15.75">
      <c r="A75" s="95" t="s">
        <v>199</v>
      </c>
      <c r="B75" s="82"/>
      <c r="C75" s="82"/>
      <c r="D75" s="82"/>
      <c r="E75" s="82"/>
      <c r="F75" s="82"/>
      <c r="G75" s="82"/>
      <c r="H75" s="82"/>
      <c r="I75" s="82"/>
      <c r="J75" s="82"/>
      <c r="K75" s="82"/>
      <c r="L75" s="82"/>
      <c r="M75" s="82"/>
      <c r="N75" s="939"/>
      <c r="O75" s="143" t="s">
        <v>145</v>
      </c>
      <c r="P75" s="188">
        <f>((SUM(N76:N80)*U53)/1000)</f>
        <v>2.4216000000000001E-2</v>
      </c>
      <c r="Q75" s="188">
        <f>(((SUM(N76:N80)-N79)*0.08%)/1000)</f>
        <v>2.0400000000000001E-2</v>
      </c>
      <c r="R75" s="188">
        <f>(((SUM(N76:N80))-N79-N80)*W53)/1000</f>
        <v>7.6000000000000009E-3</v>
      </c>
      <c r="S75" s="158"/>
      <c r="T75" s="146" t="s">
        <v>207</v>
      </c>
      <c r="U75" s="214"/>
      <c r="V75" s="214" t="s">
        <v>208</v>
      </c>
      <c r="W75" s="201"/>
      <c r="X75" s="80"/>
      <c r="Y75" s="80"/>
      <c r="Z75" s="80"/>
      <c r="AA75" s="80"/>
      <c r="AB75" s="80"/>
    </row>
    <row r="76" spans="1:28" ht="15.75">
      <c r="A76" s="82" t="s">
        <v>201</v>
      </c>
      <c r="B76" s="82"/>
      <c r="C76" s="82"/>
      <c r="D76" s="82"/>
      <c r="E76" s="82"/>
      <c r="F76" s="82"/>
      <c r="G76" s="82"/>
      <c r="H76" s="82"/>
      <c r="I76" s="82"/>
      <c r="J76" s="82"/>
      <c r="K76" s="201"/>
      <c r="L76" s="82"/>
      <c r="M76" s="82"/>
      <c r="N76" s="940">
        <v>6000</v>
      </c>
      <c r="O76" s="143"/>
      <c r="P76" s="144"/>
      <c r="Q76" s="144"/>
      <c r="R76" s="144"/>
      <c r="S76" s="158"/>
      <c r="T76" s="1"/>
      <c r="U76" s="1"/>
      <c r="V76" s="1"/>
      <c r="W76" s="1"/>
      <c r="X76" s="1"/>
      <c r="Y76" s="1"/>
      <c r="Z76" s="1"/>
      <c r="AA76" s="1"/>
      <c r="AB76" s="1"/>
    </row>
    <row r="77" spans="1:28" ht="15.75">
      <c r="A77" s="82" t="s">
        <v>206</v>
      </c>
      <c r="B77" s="82"/>
      <c r="C77" s="82"/>
      <c r="D77" s="82"/>
      <c r="E77" s="82"/>
      <c r="F77" s="201"/>
      <c r="G77" s="82"/>
      <c r="H77" s="82"/>
      <c r="I77" s="82"/>
      <c r="J77" s="82"/>
      <c r="K77" s="82"/>
      <c r="L77" s="82"/>
      <c r="M77" s="82"/>
      <c r="N77" s="940">
        <v>6500</v>
      </c>
      <c r="O77" s="143"/>
      <c r="P77" s="144"/>
      <c r="Q77" s="144"/>
      <c r="R77" s="144"/>
      <c r="S77" s="158"/>
      <c r="T77" s="1"/>
      <c r="U77" s="1"/>
      <c r="V77" s="1"/>
      <c r="W77" s="1"/>
      <c r="X77" s="1"/>
      <c r="Y77" s="1"/>
      <c r="Z77" s="1"/>
      <c r="AA77" s="1"/>
      <c r="AB77" s="1"/>
    </row>
    <row r="78" spans="1:28" ht="15.75">
      <c r="A78" s="82" t="s">
        <v>209</v>
      </c>
      <c r="B78" s="82"/>
      <c r="C78" s="82"/>
      <c r="D78" s="82"/>
      <c r="E78" s="201"/>
      <c r="F78" s="82"/>
      <c r="G78" s="82"/>
      <c r="H78" s="82"/>
      <c r="I78" s="82"/>
      <c r="J78" s="82"/>
      <c r="K78" s="82"/>
      <c r="L78" s="82"/>
      <c r="M78" s="82"/>
      <c r="N78" s="940">
        <v>6500</v>
      </c>
      <c r="O78" s="143"/>
      <c r="P78" s="144"/>
      <c r="Q78" s="144"/>
      <c r="R78" s="144"/>
      <c r="S78" s="158"/>
      <c r="T78" s="1"/>
      <c r="U78" s="1"/>
      <c r="V78" s="1"/>
      <c r="W78" s="1"/>
      <c r="X78" s="1"/>
      <c r="Y78" s="1"/>
      <c r="Z78" s="1"/>
      <c r="AA78" s="1"/>
      <c r="AB78" s="1"/>
    </row>
    <row r="79" spans="1:28" ht="15.75">
      <c r="A79" s="82" t="s">
        <v>210</v>
      </c>
      <c r="B79" s="82"/>
      <c r="C79" s="82"/>
      <c r="D79" s="82"/>
      <c r="E79" s="82"/>
      <c r="F79" s="82"/>
      <c r="G79" s="82"/>
      <c r="H79" s="82"/>
      <c r="I79" s="82"/>
      <c r="J79" s="201"/>
      <c r="K79" s="82"/>
      <c r="L79" s="82"/>
      <c r="M79" s="82"/>
      <c r="N79" s="940">
        <v>4770</v>
      </c>
      <c r="O79" s="143"/>
      <c r="P79" s="144"/>
      <c r="Q79" s="144"/>
      <c r="R79" s="144"/>
      <c r="S79" s="158"/>
      <c r="T79" s="1"/>
      <c r="U79" s="1"/>
      <c r="V79" s="1"/>
      <c r="W79" s="1"/>
      <c r="X79" s="1"/>
      <c r="Y79" s="1"/>
      <c r="Z79" s="1"/>
      <c r="AA79" s="1"/>
      <c r="AB79" s="1"/>
    </row>
    <row r="80" spans="1:28" ht="15.75">
      <c r="A80" s="82" t="s">
        <v>213</v>
      </c>
      <c r="B80" s="82"/>
      <c r="C80" s="82"/>
      <c r="D80" s="82"/>
      <c r="E80" s="82"/>
      <c r="F80" s="82"/>
      <c r="G80" s="82"/>
      <c r="H80" s="82"/>
      <c r="I80" s="82"/>
      <c r="J80" s="82"/>
      <c r="K80" s="82"/>
      <c r="L80" s="201"/>
      <c r="M80" s="82"/>
      <c r="N80" s="940">
        <v>6500</v>
      </c>
      <c r="O80" s="143"/>
      <c r="P80" s="144"/>
      <c r="Q80" s="144"/>
      <c r="R80" s="144"/>
      <c r="S80" s="158"/>
      <c r="T80" s="1"/>
      <c r="U80" s="1"/>
      <c r="V80" s="1"/>
      <c r="W80" s="1"/>
      <c r="X80" s="1"/>
      <c r="Y80" s="1"/>
      <c r="Z80" s="1"/>
      <c r="AA80" s="1"/>
      <c r="AB80" s="1"/>
    </row>
    <row r="81" spans="1:28" ht="15.75">
      <c r="A81" s="95" t="s">
        <v>214</v>
      </c>
      <c r="B81" s="82"/>
      <c r="C81" s="82"/>
      <c r="D81" s="82"/>
      <c r="E81" s="82"/>
      <c r="F81" s="82"/>
      <c r="G81" s="82"/>
      <c r="H81" s="82"/>
      <c r="I81" s="82"/>
      <c r="J81" s="82"/>
      <c r="K81" s="82"/>
      <c r="L81" s="82"/>
      <c r="M81" s="82"/>
      <c r="N81" s="940">
        <v>15000</v>
      </c>
      <c r="O81" s="143" t="s">
        <v>145</v>
      </c>
      <c r="P81" s="188">
        <f>1%-0.0136%</f>
        <v>9.8639999999999995E-3</v>
      </c>
      <c r="Q81" s="188">
        <f>1%-0.032%</f>
        <v>9.6799999999999994E-3</v>
      </c>
      <c r="R81" s="188">
        <f>1%-0.028%</f>
        <v>9.7199999999999995E-3</v>
      </c>
      <c r="S81" s="158"/>
      <c r="T81" s="1"/>
      <c r="U81" s="1"/>
      <c r="V81" s="1"/>
      <c r="W81" s="1"/>
      <c r="X81" s="1"/>
      <c r="Y81" s="1"/>
      <c r="Z81" s="1"/>
      <c r="AA81" s="1"/>
      <c r="AB81" s="1"/>
    </row>
    <row r="82" spans="1:28" ht="15.75">
      <c r="A82" s="304" t="s">
        <v>216</v>
      </c>
      <c r="B82" s="306"/>
      <c r="C82" s="306"/>
      <c r="D82" s="306"/>
      <c r="E82" s="306"/>
      <c r="F82" s="306"/>
      <c r="G82" s="306"/>
      <c r="H82" s="306"/>
      <c r="I82" s="306"/>
      <c r="J82" s="306"/>
      <c r="K82" s="306"/>
      <c r="L82" s="306"/>
      <c r="M82" s="306"/>
      <c r="N82" s="942">
        <v>5071.83</v>
      </c>
      <c r="O82" s="236" t="s">
        <v>145</v>
      </c>
      <c r="P82" s="309"/>
      <c r="Q82" s="309"/>
      <c r="R82" s="309"/>
      <c r="S82" s="158"/>
      <c r="T82" s="1"/>
      <c r="U82" s="1"/>
      <c r="V82" s="1"/>
      <c r="W82" s="1"/>
      <c r="X82" s="80"/>
      <c r="Y82" s="80"/>
      <c r="Z82" s="80"/>
      <c r="AA82" s="80"/>
      <c r="AB82" s="80"/>
    </row>
    <row r="83" spans="1:28" ht="15.75">
      <c r="A83" s="237" t="s">
        <v>219</v>
      </c>
      <c r="B83" s="239"/>
      <c r="C83" s="239"/>
      <c r="D83" s="239"/>
      <c r="E83" s="239"/>
      <c r="F83" s="239"/>
      <c r="G83" s="239"/>
      <c r="H83" s="239"/>
      <c r="I83" s="239"/>
      <c r="J83" s="239"/>
      <c r="K83" s="239"/>
      <c r="L83" s="239"/>
      <c r="M83" s="239"/>
      <c r="N83" s="943">
        <f>SUM(N51:N82)</f>
        <v>106427.28750000001</v>
      </c>
      <c r="O83" s="242"/>
      <c r="P83" s="1000">
        <f>SUM(P52:P82)</f>
        <v>7.8E-2</v>
      </c>
      <c r="Q83" s="1000">
        <f t="shared" ref="Q83:R83" si="1">SUM(Q51:Q82)</f>
        <v>7.3999999999999982E-2</v>
      </c>
      <c r="R83" s="1000">
        <f t="shared" si="1"/>
        <v>5.5E-2</v>
      </c>
      <c r="S83" s="158"/>
      <c r="T83" s="82"/>
      <c r="U83" s="82"/>
      <c r="V83" s="82"/>
      <c r="W83" s="82"/>
      <c r="X83" s="80"/>
      <c r="Y83" s="80"/>
      <c r="Z83" s="80"/>
      <c r="AA83" s="80"/>
      <c r="AB83" s="80"/>
    </row>
    <row r="84" spans="1:28" ht="15.75">
      <c r="A84" s="141" t="s">
        <v>225</v>
      </c>
      <c r="B84" s="82"/>
      <c r="C84" s="82"/>
      <c r="D84" s="82"/>
      <c r="E84" s="82"/>
      <c r="F84" s="82"/>
      <c r="G84" s="82"/>
      <c r="H84" s="82"/>
      <c r="I84" s="82"/>
      <c r="J84" s="82"/>
      <c r="K84" s="82"/>
      <c r="L84" s="82"/>
      <c r="M84" s="82"/>
      <c r="N84" s="939"/>
      <c r="O84" s="143"/>
      <c r="P84" s="144"/>
      <c r="Q84" s="144"/>
      <c r="R84" s="144"/>
      <c r="S84" s="158"/>
      <c r="T84" s="82"/>
      <c r="U84" s="82"/>
      <c r="V84" s="82"/>
      <c r="W84" s="82"/>
      <c r="X84" s="80"/>
      <c r="Y84" s="80"/>
      <c r="Z84" s="80"/>
      <c r="AA84" s="80"/>
      <c r="AB84" s="80"/>
    </row>
    <row r="85" spans="1:28" ht="15.75">
      <c r="A85" s="95" t="s">
        <v>226</v>
      </c>
      <c r="B85" s="82"/>
      <c r="C85" s="82"/>
      <c r="D85" s="82"/>
      <c r="E85" s="82"/>
      <c r="F85" s="82"/>
      <c r="G85" s="82"/>
      <c r="H85" s="82"/>
      <c r="I85" s="82"/>
      <c r="J85" s="82"/>
      <c r="K85" s="82"/>
      <c r="L85" s="82"/>
      <c r="M85" s="82"/>
      <c r="N85" s="939"/>
      <c r="O85" s="143"/>
      <c r="P85" s="144"/>
      <c r="Q85" s="144"/>
      <c r="R85" s="144"/>
      <c r="S85" s="158"/>
      <c r="T85" s="82"/>
      <c r="U85" s="82"/>
      <c r="V85" s="82"/>
      <c r="W85" s="82"/>
      <c r="X85" s="80"/>
      <c r="Y85" s="80"/>
      <c r="Z85" s="80"/>
      <c r="AA85" s="80"/>
      <c r="AB85" s="80"/>
    </row>
    <row r="86" spans="1:28" ht="15.75">
      <c r="A86" s="82" t="s">
        <v>228</v>
      </c>
      <c r="B86" s="82"/>
      <c r="C86" s="232"/>
      <c r="D86" s="82"/>
      <c r="E86" s="82"/>
      <c r="F86" s="82"/>
      <c r="G86" s="82"/>
      <c r="H86" s="82"/>
      <c r="I86" s="82"/>
      <c r="J86" s="82"/>
      <c r="K86" s="82"/>
      <c r="L86" s="82"/>
      <c r="M86" s="82"/>
      <c r="N86" s="939">
        <v>1832.94</v>
      </c>
      <c r="O86" s="143"/>
      <c r="P86" s="144"/>
      <c r="Q86" s="144"/>
      <c r="R86" s="144"/>
      <c r="S86" s="158"/>
      <c r="T86" s="82"/>
      <c r="U86" s="82"/>
      <c r="V86" s="82"/>
      <c r="W86" s="82"/>
      <c r="X86" s="80"/>
      <c r="Y86" s="80"/>
      <c r="Z86" s="80"/>
      <c r="AA86" s="80"/>
      <c r="AB86" s="80"/>
    </row>
    <row r="87" spans="1:28" ht="15.75">
      <c r="A87" s="82" t="s">
        <v>229</v>
      </c>
      <c r="B87" s="82"/>
      <c r="C87" s="82"/>
      <c r="D87" s="232"/>
      <c r="E87" s="82"/>
      <c r="F87" s="82"/>
      <c r="G87" s="82"/>
      <c r="H87" s="82"/>
      <c r="I87" s="82"/>
      <c r="J87" s="82"/>
      <c r="K87" s="82"/>
      <c r="L87" s="82"/>
      <c r="M87" s="82"/>
      <c r="N87" s="939">
        <v>3442.5</v>
      </c>
      <c r="O87" s="143"/>
      <c r="P87" s="144"/>
      <c r="Q87" s="144"/>
      <c r="R87" s="144"/>
      <c r="S87" s="158"/>
      <c r="T87" s="82"/>
      <c r="U87" s="82"/>
      <c r="V87" s="82"/>
      <c r="W87" s="82"/>
      <c r="X87" s="80"/>
      <c r="Y87" s="80"/>
      <c r="Z87" s="80"/>
      <c r="AA87" s="80"/>
      <c r="AB87" s="80"/>
    </row>
    <row r="88" spans="1:28" ht="15.75">
      <c r="A88" s="95" t="s">
        <v>236</v>
      </c>
      <c r="B88" s="82"/>
      <c r="C88" s="82"/>
      <c r="D88" s="82"/>
      <c r="E88" s="82"/>
      <c r="F88" s="82"/>
      <c r="G88" s="82"/>
      <c r="H88" s="82"/>
      <c r="I88" s="82"/>
      <c r="J88" s="82"/>
      <c r="K88" s="82"/>
      <c r="L88" s="82"/>
      <c r="M88" s="82"/>
      <c r="N88" s="939"/>
      <c r="O88" s="143"/>
      <c r="P88" s="143"/>
      <c r="Q88" s="143"/>
      <c r="R88" s="143"/>
      <c r="S88" s="158"/>
      <c r="T88" s="82"/>
      <c r="U88" s="82"/>
      <c r="V88" s="82"/>
      <c r="W88" s="82"/>
      <c r="X88" s="80"/>
      <c r="Y88" s="80"/>
      <c r="Z88" s="80"/>
      <c r="AA88" s="80"/>
      <c r="AB88" s="80"/>
    </row>
    <row r="89" spans="1:28" ht="15.75">
      <c r="A89" s="82" t="s">
        <v>237</v>
      </c>
      <c r="B89" s="82"/>
      <c r="C89" s="82"/>
      <c r="D89" s="82"/>
      <c r="E89" s="232"/>
      <c r="F89" s="82"/>
      <c r="G89" s="82"/>
      <c r="H89" s="82"/>
      <c r="I89" s="232"/>
      <c r="J89" s="82"/>
      <c r="K89" s="82"/>
      <c r="L89" s="82"/>
      <c r="M89" s="82"/>
      <c r="N89" s="939">
        <v>13880</v>
      </c>
      <c r="O89" s="143"/>
      <c r="P89" s="143"/>
      <c r="Q89" s="143"/>
      <c r="R89" s="143"/>
      <c r="S89" s="158"/>
      <c r="T89" s="82"/>
      <c r="U89" s="82"/>
      <c r="V89" s="82"/>
      <c r="W89" s="82"/>
      <c r="X89" s="80"/>
      <c r="Y89" s="80"/>
      <c r="Z89" s="80"/>
      <c r="AA89" s="80"/>
      <c r="AB89" s="80"/>
    </row>
    <row r="90" spans="1:28" ht="15.75">
      <c r="A90" s="99"/>
      <c r="B90" s="99"/>
      <c r="C90" s="99"/>
      <c r="D90" s="99"/>
      <c r="E90" s="233"/>
      <c r="F90" s="99"/>
      <c r="G90" s="99"/>
      <c r="H90" s="99"/>
      <c r="I90" s="233"/>
      <c r="J90" s="99"/>
      <c r="K90" s="99"/>
      <c r="L90" s="99"/>
      <c r="M90" s="99"/>
      <c r="N90" s="942"/>
      <c r="O90" s="236"/>
      <c r="P90" s="236"/>
      <c r="Q90" s="236"/>
      <c r="R90" s="236"/>
      <c r="S90" s="158"/>
      <c r="T90" s="82"/>
      <c r="U90" s="82"/>
      <c r="V90" s="82"/>
      <c r="W90" s="82"/>
      <c r="X90" s="80"/>
      <c r="Y90" s="80"/>
      <c r="Z90" s="80"/>
      <c r="AA90" s="80"/>
      <c r="AB90" s="80"/>
    </row>
    <row r="91" spans="1:28" ht="15.75">
      <c r="A91" s="237" t="s">
        <v>239</v>
      </c>
      <c r="B91" s="239"/>
      <c r="C91" s="239"/>
      <c r="D91" s="239"/>
      <c r="E91" s="239"/>
      <c r="F91" s="239"/>
      <c r="G91" s="239"/>
      <c r="H91" s="239"/>
      <c r="I91" s="239"/>
      <c r="J91" s="239"/>
      <c r="K91" s="239"/>
      <c r="L91" s="239"/>
      <c r="M91" s="239"/>
      <c r="N91" s="943">
        <f>SUM(N86:N90)</f>
        <v>19155.440000000002</v>
      </c>
      <c r="O91" s="242"/>
      <c r="P91" s="244"/>
      <c r="Q91" s="244"/>
      <c r="R91" s="244"/>
      <c r="S91" s="158"/>
      <c r="T91" s="82"/>
      <c r="U91" s="82"/>
      <c r="V91" s="82"/>
      <c r="W91" s="82"/>
      <c r="X91" s="80"/>
      <c r="Y91" s="80"/>
      <c r="Z91" s="80"/>
      <c r="AA91" s="80"/>
      <c r="AB91" s="80"/>
    </row>
    <row r="92" spans="1:28" ht="15.75">
      <c r="A92" s="246" t="s">
        <v>241</v>
      </c>
      <c r="B92" s="248"/>
      <c r="C92" s="248"/>
      <c r="D92" s="248"/>
      <c r="E92" s="248"/>
      <c r="F92" s="248"/>
      <c r="G92" s="248"/>
      <c r="H92" s="248"/>
      <c r="I92" s="248"/>
      <c r="J92" s="248"/>
      <c r="K92" s="248"/>
      <c r="L92" s="248"/>
      <c r="M92" s="248"/>
      <c r="N92" s="944">
        <f>SUM(N83+N91)</f>
        <v>125582.72750000001</v>
      </c>
      <c r="O92" s="250"/>
      <c r="P92" s="999">
        <f>SUM(P83+P91)+1%</f>
        <v>8.7999999999999995E-2</v>
      </c>
      <c r="Q92" s="999">
        <f t="shared" ref="Q92:R92" si="2">Q83+Q91+1%</f>
        <v>8.3999999999999977E-2</v>
      </c>
      <c r="R92" s="999">
        <f t="shared" si="2"/>
        <v>6.5000000000000002E-2</v>
      </c>
      <c r="S92" s="254"/>
      <c r="T92" s="248"/>
      <c r="U92" s="248"/>
      <c r="V92" s="248"/>
      <c r="W92" s="248"/>
      <c r="X92" s="256"/>
      <c r="Y92" s="256"/>
      <c r="Z92" s="256"/>
      <c r="AA92" s="256"/>
      <c r="AB92" s="80"/>
    </row>
    <row r="93" spans="1:28" ht="60" customHeight="1">
      <c r="A93" s="313"/>
      <c r="B93" s="313"/>
      <c r="C93" s="313"/>
      <c r="D93" s="313"/>
      <c r="E93" s="313"/>
      <c r="F93" s="313"/>
      <c r="G93" s="313"/>
      <c r="H93" s="313"/>
      <c r="I93" s="313"/>
      <c r="J93" s="313"/>
      <c r="K93" s="313"/>
      <c r="L93" s="313"/>
      <c r="M93" s="313"/>
      <c r="N93" s="315"/>
      <c r="O93" s="315"/>
      <c r="P93" s="315"/>
      <c r="Q93" s="315"/>
      <c r="R93" s="315"/>
      <c r="S93" s="316"/>
      <c r="T93" s="313"/>
      <c r="U93" s="313"/>
      <c r="V93" s="313"/>
      <c r="W93" s="313"/>
      <c r="X93" s="317"/>
      <c r="Y93" s="317"/>
      <c r="Z93" s="317"/>
      <c r="AA93" s="317"/>
      <c r="AB93" s="265"/>
    </row>
    <row r="94" spans="1:28" ht="15.75">
      <c r="A94" s="323" t="s">
        <v>289</v>
      </c>
      <c r="B94" s="131" t="s">
        <v>125</v>
      </c>
      <c r="C94" s="131" t="s">
        <v>126</v>
      </c>
      <c r="D94" s="131" t="s">
        <v>127</v>
      </c>
      <c r="E94" s="131" t="s">
        <v>128</v>
      </c>
      <c r="F94" s="131" t="s">
        <v>129</v>
      </c>
      <c r="G94" s="131" t="s">
        <v>130</v>
      </c>
      <c r="H94" s="131" t="s">
        <v>131</v>
      </c>
      <c r="I94" s="131" t="s">
        <v>132</v>
      </c>
      <c r="J94" s="131" t="s">
        <v>133</v>
      </c>
      <c r="K94" s="131" t="s">
        <v>134</v>
      </c>
      <c r="L94" s="131" t="s">
        <v>135</v>
      </c>
      <c r="M94" s="131" t="s">
        <v>136</v>
      </c>
      <c r="N94" s="132" t="s">
        <v>137</v>
      </c>
      <c r="O94" s="133" t="s">
        <v>138</v>
      </c>
      <c r="P94" s="134" t="s">
        <v>1</v>
      </c>
      <c r="Q94" s="134" t="s">
        <v>71</v>
      </c>
      <c r="R94" s="134" t="s">
        <v>78</v>
      </c>
      <c r="S94" s="136"/>
      <c r="T94" s="138"/>
      <c r="U94" s="91" t="s">
        <v>249</v>
      </c>
      <c r="V94" s="91" t="s">
        <v>140</v>
      </c>
      <c r="W94" s="91" t="s">
        <v>291</v>
      </c>
      <c r="X94" s="138"/>
      <c r="Y94" s="140"/>
      <c r="Z94" s="140"/>
      <c r="AA94" s="140"/>
      <c r="AB94" s="140"/>
    </row>
    <row r="95" spans="1:28" ht="15.75">
      <c r="A95" s="141" t="s">
        <v>142</v>
      </c>
      <c r="B95" s="82"/>
      <c r="C95" s="82"/>
      <c r="D95" s="82"/>
      <c r="E95" s="82"/>
      <c r="F95" s="82"/>
      <c r="G95" s="82"/>
      <c r="H95" s="82"/>
      <c r="I95" s="82"/>
      <c r="J95" s="82"/>
      <c r="K95" s="82"/>
      <c r="L95" s="82"/>
      <c r="M95" s="82"/>
      <c r="N95" s="142"/>
      <c r="O95" s="143"/>
      <c r="P95" s="144"/>
      <c r="Q95" s="144"/>
      <c r="R95" s="144"/>
      <c r="S95" s="158"/>
      <c r="T95" s="146" t="s">
        <v>143</v>
      </c>
      <c r="U95" s="946">
        <v>4.0000000000000002E-4</v>
      </c>
      <c r="V95" s="946">
        <v>4.0000000000000002E-4</v>
      </c>
      <c r="W95" s="946">
        <v>2.0000000000000001E-4</v>
      </c>
      <c r="X95" s="82"/>
      <c r="Y95" s="80"/>
      <c r="Z95" s="80"/>
      <c r="AA95" s="80"/>
      <c r="AB95" s="80"/>
    </row>
    <row r="96" spans="1:28" ht="15.75">
      <c r="A96" s="95" t="s">
        <v>41</v>
      </c>
      <c r="B96" s="149"/>
      <c r="C96" s="149"/>
      <c r="D96" s="149"/>
      <c r="E96" s="149"/>
      <c r="F96" s="149"/>
      <c r="G96" s="149"/>
      <c r="H96" s="149"/>
      <c r="I96" s="149"/>
      <c r="J96" s="149"/>
      <c r="K96" s="149"/>
      <c r="L96" s="149"/>
      <c r="M96" s="149"/>
      <c r="N96" s="939">
        <f>SUM(N97:N130)*0.25</f>
        <v>47874.237500000003</v>
      </c>
      <c r="O96" s="143" t="s">
        <v>145</v>
      </c>
      <c r="P96" s="188">
        <v>0.06</v>
      </c>
      <c r="Q96" s="188">
        <v>0.06</v>
      </c>
      <c r="R96" s="188">
        <v>0.06</v>
      </c>
      <c r="S96" s="158"/>
      <c r="T96" s="146" t="s">
        <v>146</v>
      </c>
      <c r="U96" s="954">
        <v>2438253</v>
      </c>
      <c r="V96" s="954">
        <v>6759463</v>
      </c>
      <c r="W96" s="954">
        <v>28131584</v>
      </c>
      <c r="X96" s="82"/>
      <c r="Y96" s="80"/>
      <c r="Z96" s="80"/>
      <c r="AA96" s="80"/>
      <c r="AB96" s="80"/>
    </row>
    <row r="97" spans="1:28" ht="15.75">
      <c r="A97" s="95" t="s">
        <v>293</v>
      </c>
      <c r="B97" s="82"/>
      <c r="C97" s="82"/>
      <c r="D97" s="82"/>
      <c r="E97" s="82"/>
      <c r="F97" s="82"/>
      <c r="G97" s="82"/>
      <c r="H97" s="82"/>
      <c r="I97" s="82"/>
      <c r="J97" s="82"/>
      <c r="K97" s="82"/>
      <c r="L97" s="82"/>
      <c r="M97" s="82"/>
      <c r="N97" s="939">
        <f>X104+U111</f>
        <v>7200</v>
      </c>
      <c r="O97" s="143" t="s">
        <v>145</v>
      </c>
      <c r="P97" s="188">
        <f>(U95*$N$5)/1000</f>
        <v>5.7600000000000004E-3</v>
      </c>
      <c r="Q97" s="188">
        <f>N97*U95/1000</f>
        <v>2.8800000000000002E-3</v>
      </c>
      <c r="R97" s="188">
        <f>(W95*$N$5)/1000</f>
        <v>2.8800000000000002E-3</v>
      </c>
      <c r="S97" s="158"/>
      <c r="T97" s="146" t="s">
        <v>152</v>
      </c>
      <c r="U97" s="946">
        <v>8.0000000000000004E-4</v>
      </c>
      <c r="V97" s="946">
        <v>8.0000000000000004E-4</v>
      </c>
      <c r="W97" s="946">
        <v>4.0000000000000002E-4</v>
      </c>
      <c r="X97" s="82"/>
      <c r="Y97" s="80"/>
      <c r="Z97" s="80"/>
      <c r="AA97" s="80"/>
      <c r="AB97" s="80"/>
    </row>
    <row r="98" spans="1:28" ht="15.75">
      <c r="A98" s="82" t="s">
        <v>153</v>
      </c>
      <c r="B98" s="82"/>
      <c r="C98" s="82"/>
      <c r="D98" s="82"/>
      <c r="E98" s="156"/>
      <c r="F98" s="82"/>
      <c r="G98" s="82"/>
      <c r="H98" s="82"/>
      <c r="I98" s="82"/>
      <c r="J98" s="82"/>
      <c r="K98" s="82"/>
      <c r="L98" s="156"/>
      <c r="M98" s="82"/>
      <c r="N98" s="939"/>
      <c r="O98" s="143"/>
      <c r="P98" s="144"/>
      <c r="Q98" s="144"/>
      <c r="R98" s="144"/>
      <c r="S98" s="158"/>
      <c r="T98" s="146" t="s">
        <v>297</v>
      </c>
      <c r="U98" s="947">
        <f>4915*4</f>
        <v>19660</v>
      </c>
      <c r="V98" s="82"/>
      <c r="W98" s="82"/>
      <c r="X98" s="82"/>
      <c r="Y98" s="80"/>
      <c r="Z98" s="80"/>
      <c r="AA98" s="80"/>
      <c r="AB98" s="80"/>
    </row>
    <row r="99" spans="1:28" ht="15.75">
      <c r="A99" s="82" t="s">
        <v>155</v>
      </c>
      <c r="B99" s="82"/>
      <c r="C99" s="82"/>
      <c r="D99" s="82"/>
      <c r="E99" s="156"/>
      <c r="F99" s="82"/>
      <c r="G99" s="82"/>
      <c r="H99" s="82"/>
      <c r="I99" s="82"/>
      <c r="J99" s="82"/>
      <c r="K99" s="82"/>
      <c r="L99" s="156"/>
      <c r="M99" s="82"/>
      <c r="N99" s="939"/>
      <c r="O99" s="143"/>
      <c r="P99" s="144"/>
      <c r="Q99" s="144"/>
      <c r="R99" s="144"/>
      <c r="S99" s="158"/>
      <c r="T99" s="206"/>
      <c r="U99" s="947">
        <f>11550*4</f>
        <v>46200</v>
      </c>
      <c r="V99" s="80"/>
      <c r="W99" s="162" t="s">
        <v>158</v>
      </c>
      <c r="X99" s="139"/>
      <c r="Y99" s="139"/>
      <c r="Z99" s="1"/>
      <c r="AA99" s="1"/>
      <c r="AB99" s="80"/>
    </row>
    <row r="100" spans="1:28" ht="15.75">
      <c r="A100" s="82" t="s">
        <v>159</v>
      </c>
      <c r="B100" s="82"/>
      <c r="C100" s="82"/>
      <c r="D100" s="82"/>
      <c r="E100" s="156"/>
      <c r="F100" s="82"/>
      <c r="G100" s="82"/>
      <c r="H100" s="82"/>
      <c r="I100" s="82"/>
      <c r="J100" s="82"/>
      <c r="K100" s="82"/>
      <c r="L100" s="156"/>
      <c r="M100" s="82"/>
      <c r="N100" s="939"/>
      <c r="O100" s="143"/>
      <c r="P100" s="144"/>
      <c r="Q100" s="144"/>
      <c r="R100" s="144"/>
      <c r="S100" s="158"/>
      <c r="T100" s="206"/>
      <c r="U100" s="947">
        <v>30000</v>
      </c>
      <c r="V100" s="80"/>
      <c r="W100" s="146" t="s">
        <v>161</v>
      </c>
      <c r="X100" s="147">
        <v>10</v>
      </c>
      <c r="Y100" s="80"/>
      <c r="Z100" s="1"/>
      <c r="AA100" s="1"/>
      <c r="AB100" s="80"/>
    </row>
    <row r="101" spans="1:28" ht="15.75">
      <c r="A101" s="82" t="s">
        <v>162</v>
      </c>
      <c r="B101" s="82"/>
      <c r="C101" s="82"/>
      <c r="D101" s="82"/>
      <c r="E101" s="156"/>
      <c r="F101" s="82"/>
      <c r="G101" s="82"/>
      <c r="H101" s="82"/>
      <c r="I101" s="82"/>
      <c r="J101" s="82"/>
      <c r="K101" s="82"/>
      <c r="L101" s="156"/>
      <c r="M101" s="82"/>
      <c r="N101" s="939"/>
      <c r="O101" s="143"/>
      <c r="P101" s="144"/>
      <c r="Q101" s="144"/>
      <c r="R101" s="144"/>
      <c r="S101" s="158"/>
      <c r="T101" s="146" t="s">
        <v>164</v>
      </c>
      <c r="U101" s="947">
        <f>SUM(N96:N129)*0.05</f>
        <v>11398.711875000001</v>
      </c>
      <c r="V101" s="82"/>
      <c r="W101" s="160" t="s">
        <v>165</v>
      </c>
      <c r="X101" s="147">
        <v>4</v>
      </c>
      <c r="Y101" s="80"/>
      <c r="Z101" s="1"/>
      <c r="AA101" s="1"/>
      <c r="AB101" s="80"/>
    </row>
    <row r="102" spans="1:28" ht="15.75">
      <c r="A102" s="82" t="s">
        <v>166</v>
      </c>
      <c r="B102" s="82"/>
      <c r="C102" s="82"/>
      <c r="D102" s="82"/>
      <c r="E102" s="156"/>
      <c r="F102" s="82"/>
      <c r="G102" s="82"/>
      <c r="H102" s="82"/>
      <c r="I102" s="82"/>
      <c r="J102" s="82"/>
      <c r="K102" s="82"/>
      <c r="L102" s="156"/>
      <c r="M102" s="82"/>
      <c r="N102" s="939"/>
      <c r="O102" s="143"/>
      <c r="P102" s="144"/>
      <c r="Q102" s="144"/>
      <c r="R102" s="144"/>
      <c r="S102" s="158"/>
      <c r="T102" s="146" t="s">
        <v>178</v>
      </c>
      <c r="U102" s="996">
        <v>9893493</v>
      </c>
      <c r="V102" s="82"/>
      <c r="W102" s="160" t="s">
        <v>168</v>
      </c>
      <c r="X102" s="147">
        <v>2</v>
      </c>
      <c r="Y102" s="80"/>
      <c r="Z102" s="1"/>
      <c r="AA102" s="1"/>
      <c r="AB102" s="80"/>
    </row>
    <row r="103" spans="1:28" ht="15.75">
      <c r="A103" s="82" t="s">
        <v>169</v>
      </c>
      <c r="B103" s="82"/>
      <c r="C103" s="82"/>
      <c r="D103" s="82"/>
      <c r="E103" s="156"/>
      <c r="F103" s="82"/>
      <c r="G103" s="82"/>
      <c r="H103" s="82"/>
      <c r="I103" s="82"/>
      <c r="J103" s="82"/>
      <c r="K103" s="82"/>
      <c r="L103" s="156"/>
      <c r="M103" s="82"/>
      <c r="N103" s="939"/>
      <c r="O103" s="143"/>
      <c r="P103" s="144"/>
      <c r="Q103" s="144"/>
      <c r="R103" s="144"/>
      <c r="S103" s="158"/>
      <c r="T103" s="181" t="s">
        <v>180</v>
      </c>
      <c r="U103" s="953">
        <f>'FE Income Statement'!F24</f>
        <v>1081353.7124360255</v>
      </c>
      <c r="V103" s="80"/>
      <c r="W103" s="160" t="s">
        <v>172</v>
      </c>
      <c r="X103" s="164">
        <v>40</v>
      </c>
      <c r="Y103" s="80"/>
      <c r="Z103" s="1"/>
      <c r="AA103" s="1"/>
      <c r="AB103" s="80"/>
    </row>
    <row r="104" spans="1:28" ht="15.75">
      <c r="A104" s="82" t="s">
        <v>173</v>
      </c>
      <c r="B104" s="82"/>
      <c r="C104" s="82"/>
      <c r="D104" s="82"/>
      <c r="E104" s="156"/>
      <c r="F104" s="82"/>
      <c r="G104" s="82"/>
      <c r="H104" s="82"/>
      <c r="I104" s="82"/>
      <c r="J104" s="82"/>
      <c r="K104" s="82"/>
      <c r="L104" s="156"/>
      <c r="M104" s="82"/>
      <c r="N104" s="939"/>
      <c r="O104" s="143"/>
      <c r="P104" s="144"/>
      <c r="Q104" s="144"/>
      <c r="R104" s="144"/>
      <c r="S104" s="158"/>
      <c r="T104" s="1"/>
      <c r="U104" s="1"/>
      <c r="V104" s="1"/>
      <c r="W104" s="160" t="s">
        <v>175</v>
      </c>
      <c r="X104" s="164">
        <f>(X100*X101*X102*X103)</f>
        <v>3200</v>
      </c>
      <c r="Y104" s="80"/>
      <c r="Z104" s="1"/>
      <c r="AA104" s="1"/>
      <c r="AB104" s="1"/>
    </row>
    <row r="105" spans="1:28" ht="15.75">
      <c r="A105" s="82" t="s">
        <v>177</v>
      </c>
      <c r="B105" s="82"/>
      <c r="C105" s="82"/>
      <c r="D105" s="82"/>
      <c r="E105" s="156"/>
      <c r="F105" s="82"/>
      <c r="G105" s="82"/>
      <c r="H105" s="82"/>
      <c r="I105" s="82"/>
      <c r="J105" s="82"/>
      <c r="K105" s="82"/>
      <c r="L105" s="156"/>
      <c r="M105" s="82"/>
      <c r="N105" s="939"/>
      <c r="O105" s="143"/>
      <c r="P105" s="144"/>
      <c r="Q105" s="144"/>
      <c r="R105" s="144"/>
      <c r="S105" s="158"/>
      <c r="T105" s="1"/>
      <c r="U105" s="1"/>
      <c r="V105" s="1"/>
      <c r="W105" s="82"/>
      <c r="X105" s="80"/>
      <c r="Y105" s="80"/>
      <c r="Z105" s="80"/>
      <c r="AA105" s="80"/>
      <c r="AB105" s="1"/>
    </row>
    <row r="106" spans="1:28" ht="15.75">
      <c r="A106" s="82" t="s">
        <v>179</v>
      </c>
      <c r="B106" s="82"/>
      <c r="C106" s="82"/>
      <c r="D106" s="82"/>
      <c r="E106" s="156"/>
      <c r="F106" s="82"/>
      <c r="G106" s="82"/>
      <c r="H106" s="82"/>
      <c r="I106" s="82"/>
      <c r="J106" s="82"/>
      <c r="K106" s="82"/>
      <c r="L106" s="156"/>
      <c r="M106" s="82"/>
      <c r="N106" s="939"/>
      <c r="O106" s="143"/>
      <c r="P106" s="144"/>
      <c r="Q106" s="144"/>
      <c r="R106" s="144"/>
      <c r="S106" s="158"/>
      <c r="T106" s="162" t="s">
        <v>191</v>
      </c>
      <c r="U106" s="80"/>
      <c r="V106" s="1"/>
      <c r="W106" s="162" t="s">
        <v>182</v>
      </c>
      <c r="X106" s="80"/>
      <c r="Y106" s="80"/>
      <c r="Z106" s="80"/>
      <c r="AA106" s="80"/>
      <c r="AB106" s="1"/>
    </row>
    <row r="107" spans="1:28" ht="15.75">
      <c r="A107" s="82" t="s">
        <v>304</v>
      </c>
      <c r="B107" s="82"/>
      <c r="C107" s="82"/>
      <c r="D107" s="82"/>
      <c r="E107" s="156"/>
      <c r="F107" s="82"/>
      <c r="G107" s="82"/>
      <c r="H107" s="82"/>
      <c r="I107" s="82"/>
      <c r="J107" s="82"/>
      <c r="K107" s="82"/>
      <c r="L107" s="156"/>
      <c r="M107" s="82"/>
      <c r="N107" s="939"/>
      <c r="O107" s="143"/>
      <c r="P107" s="144"/>
      <c r="Q107" s="144"/>
      <c r="R107" s="144"/>
      <c r="S107" s="158"/>
      <c r="T107" s="146" t="s">
        <v>161</v>
      </c>
      <c r="U107" s="147">
        <v>10</v>
      </c>
      <c r="V107" s="1"/>
      <c r="W107" s="146" t="s">
        <v>161</v>
      </c>
      <c r="X107" s="949">
        <v>10</v>
      </c>
      <c r="Y107" s="1"/>
      <c r="Z107" s="1"/>
      <c r="AA107" s="1"/>
      <c r="AB107" s="1"/>
    </row>
    <row r="108" spans="1:28" ht="15.75">
      <c r="A108" s="95" t="s">
        <v>184</v>
      </c>
      <c r="B108" s="82"/>
      <c r="C108" s="82"/>
      <c r="D108" s="82"/>
      <c r="E108" s="82"/>
      <c r="F108" s="82"/>
      <c r="G108" s="82"/>
      <c r="H108" s="82"/>
      <c r="I108" s="82"/>
      <c r="J108" s="82"/>
      <c r="K108" s="82"/>
      <c r="L108" s="82"/>
      <c r="M108" s="82"/>
      <c r="N108" s="939">
        <f>X111</f>
        <v>24000</v>
      </c>
      <c r="O108" s="143" t="s">
        <v>145</v>
      </c>
      <c r="P108" s="188">
        <f>N108*0.0004/1000</f>
        <v>9.5999999999999992E-3</v>
      </c>
      <c r="Q108" s="188">
        <f>N108*U95/1000</f>
        <v>9.5999999999999992E-3</v>
      </c>
      <c r="R108" s="188">
        <f>N108*0.0002/1000</f>
        <v>4.7999999999999996E-3</v>
      </c>
      <c r="S108" s="158"/>
      <c r="T108" s="160" t="s">
        <v>165</v>
      </c>
      <c r="U108" s="147">
        <v>4</v>
      </c>
      <c r="V108" s="82"/>
      <c r="W108" s="160" t="s">
        <v>165</v>
      </c>
      <c r="X108" s="949">
        <v>4</v>
      </c>
      <c r="Y108" s="1"/>
      <c r="Z108" s="1"/>
      <c r="AA108" s="1"/>
      <c r="AB108" s="80"/>
    </row>
    <row r="109" spans="1:28" ht="15.75">
      <c r="A109" s="82" t="s">
        <v>153</v>
      </c>
      <c r="B109" s="82"/>
      <c r="C109" s="82"/>
      <c r="D109" s="82"/>
      <c r="E109" s="82"/>
      <c r="F109" s="191"/>
      <c r="G109" s="82"/>
      <c r="H109" s="82"/>
      <c r="I109" s="82"/>
      <c r="J109" s="82"/>
      <c r="K109" s="82"/>
      <c r="L109" s="82"/>
      <c r="M109" s="191"/>
      <c r="N109" s="939"/>
      <c r="O109" s="143"/>
      <c r="P109" s="144"/>
      <c r="Q109" s="144"/>
      <c r="R109" s="144"/>
      <c r="S109" s="158"/>
      <c r="T109" s="160" t="s">
        <v>168</v>
      </c>
      <c r="U109" s="147">
        <v>2</v>
      </c>
      <c r="V109" s="80"/>
      <c r="W109" s="160" t="s">
        <v>168</v>
      </c>
      <c r="X109" s="949">
        <v>2</v>
      </c>
      <c r="Y109" s="1"/>
      <c r="Z109" s="1"/>
      <c r="AA109" s="1"/>
      <c r="AB109" s="80"/>
    </row>
    <row r="110" spans="1:28" ht="15.75">
      <c r="A110" s="82" t="s">
        <v>155</v>
      </c>
      <c r="B110" s="82"/>
      <c r="C110" s="82"/>
      <c r="D110" s="82"/>
      <c r="E110" s="82"/>
      <c r="F110" s="191"/>
      <c r="G110" s="82"/>
      <c r="H110" s="82"/>
      <c r="I110" s="82"/>
      <c r="J110" s="82"/>
      <c r="K110" s="82"/>
      <c r="L110" s="82"/>
      <c r="M110" s="191"/>
      <c r="N110" s="939"/>
      <c r="O110" s="143"/>
      <c r="P110" s="144"/>
      <c r="Q110" s="144"/>
      <c r="R110" s="144"/>
      <c r="S110" s="158"/>
      <c r="T110" s="160" t="s">
        <v>172</v>
      </c>
      <c r="U110" s="947">
        <v>50</v>
      </c>
      <c r="V110" s="80"/>
      <c r="W110" s="160" t="s">
        <v>172</v>
      </c>
      <c r="X110" s="950">
        <v>300</v>
      </c>
      <c r="Y110" s="1"/>
      <c r="Z110" s="1"/>
      <c r="AA110" s="1"/>
      <c r="AB110" s="80"/>
    </row>
    <row r="111" spans="1:28" ht="15.75">
      <c r="A111" s="82" t="s">
        <v>159</v>
      </c>
      <c r="B111" s="82"/>
      <c r="C111" s="82"/>
      <c r="D111" s="82"/>
      <c r="E111" s="82"/>
      <c r="F111" s="191"/>
      <c r="G111" s="82"/>
      <c r="H111" s="82"/>
      <c r="I111" s="82"/>
      <c r="J111" s="82"/>
      <c r="K111" s="82"/>
      <c r="L111" s="82"/>
      <c r="M111" s="191"/>
      <c r="N111" s="939"/>
      <c r="O111" s="143"/>
      <c r="P111" s="144"/>
      <c r="Q111" s="144"/>
      <c r="R111" s="144"/>
      <c r="S111" s="158"/>
      <c r="T111" s="160" t="s">
        <v>175</v>
      </c>
      <c r="U111" s="947">
        <f>(U107*U108*U109*U110)</f>
        <v>4000</v>
      </c>
      <c r="V111" s="82"/>
      <c r="W111" s="160" t="s">
        <v>175</v>
      </c>
      <c r="X111" s="950">
        <f>(X107*X108*X109*X110)</f>
        <v>24000</v>
      </c>
      <c r="Y111" s="1"/>
      <c r="Z111" s="1"/>
      <c r="AA111" s="1"/>
      <c r="AB111" s="80"/>
    </row>
    <row r="112" spans="1:28" ht="15.75">
      <c r="A112" s="82" t="s">
        <v>162</v>
      </c>
      <c r="B112" s="82"/>
      <c r="C112" s="82"/>
      <c r="D112" s="82"/>
      <c r="E112" s="82"/>
      <c r="F112" s="191"/>
      <c r="G112" s="82"/>
      <c r="H112" s="82"/>
      <c r="I112" s="82"/>
      <c r="J112" s="82"/>
      <c r="K112" s="82"/>
      <c r="L112" s="82"/>
      <c r="M112" s="191"/>
      <c r="N112" s="939"/>
      <c r="O112" s="143"/>
      <c r="P112" s="144"/>
      <c r="Q112" s="144"/>
      <c r="R112" s="144"/>
      <c r="S112" s="158"/>
      <c r="T112" s="82"/>
      <c r="U112" s="82"/>
      <c r="V112" s="82"/>
      <c r="W112" s="80"/>
      <c r="X112" s="80"/>
      <c r="Y112" s="80"/>
      <c r="Z112" s="80"/>
      <c r="AA112" s="80"/>
      <c r="AB112" s="80"/>
    </row>
    <row r="113" spans="1:28" ht="15.75">
      <c r="A113" s="82" t="s">
        <v>166</v>
      </c>
      <c r="B113" s="82"/>
      <c r="C113" s="82"/>
      <c r="D113" s="82"/>
      <c r="E113" s="82"/>
      <c r="F113" s="191"/>
      <c r="G113" s="82"/>
      <c r="H113" s="82"/>
      <c r="I113" s="82"/>
      <c r="J113" s="82"/>
      <c r="K113" s="82"/>
      <c r="L113" s="82"/>
      <c r="M113" s="191"/>
      <c r="N113" s="939"/>
      <c r="O113" s="143"/>
      <c r="P113" s="144"/>
      <c r="Q113" s="144"/>
      <c r="R113" s="144"/>
      <c r="S113" s="158"/>
      <c r="T113" s="146" t="s">
        <v>309</v>
      </c>
      <c r="U113" s="201"/>
      <c r="V113" s="201"/>
      <c r="W113" s="201"/>
      <c r="X113" s="206"/>
      <c r="Y113" s="80"/>
      <c r="Z113" s="80"/>
      <c r="AA113" s="80"/>
      <c r="AB113" s="80"/>
    </row>
    <row r="114" spans="1:28" ht="15.75">
      <c r="A114" s="82" t="s">
        <v>169</v>
      </c>
      <c r="B114" s="82"/>
      <c r="C114" s="82"/>
      <c r="D114" s="82"/>
      <c r="E114" s="82"/>
      <c r="F114" s="191"/>
      <c r="G114" s="82"/>
      <c r="H114" s="82"/>
      <c r="I114" s="82"/>
      <c r="J114" s="82"/>
      <c r="K114" s="82"/>
      <c r="L114" s="82"/>
      <c r="M114" s="191"/>
      <c r="N114" s="939"/>
      <c r="O114" s="143"/>
      <c r="P114" s="144"/>
      <c r="Q114" s="144"/>
      <c r="R114" s="144"/>
      <c r="S114" s="158"/>
      <c r="T114" s="205" t="s">
        <v>310</v>
      </c>
      <c r="U114" s="206"/>
      <c r="V114" s="201"/>
      <c r="W114" s="201"/>
      <c r="X114" s="206"/>
      <c r="Y114" s="80"/>
      <c r="Z114" s="80"/>
      <c r="AA114" s="80"/>
      <c r="AB114" s="80"/>
    </row>
    <row r="115" spans="1:28" ht="15.75">
      <c r="A115" s="82" t="s">
        <v>173</v>
      </c>
      <c r="B115" s="82"/>
      <c r="C115" s="82"/>
      <c r="D115" s="82"/>
      <c r="E115" s="82"/>
      <c r="F115" s="191"/>
      <c r="G115" s="82"/>
      <c r="H115" s="82"/>
      <c r="I115" s="82"/>
      <c r="J115" s="82"/>
      <c r="K115" s="82"/>
      <c r="L115" s="82"/>
      <c r="M115" s="191"/>
      <c r="N115" s="939"/>
      <c r="O115" s="143"/>
      <c r="P115" s="144"/>
      <c r="Q115" s="144"/>
      <c r="R115" s="144"/>
      <c r="S115" s="158"/>
      <c r="T115" s="181" t="s">
        <v>311</v>
      </c>
      <c r="U115" s="290"/>
      <c r="V115" s="293">
        <f>U103*0.03</f>
        <v>32440.611373080763</v>
      </c>
      <c r="W115" s="216"/>
      <c r="X115" s="216"/>
      <c r="Y115" s="80"/>
      <c r="Z115" s="80"/>
      <c r="AA115" s="80"/>
      <c r="AB115" s="80"/>
    </row>
    <row r="116" spans="1:28" ht="15.75">
      <c r="A116" s="82" t="s">
        <v>177</v>
      </c>
      <c r="B116" s="82"/>
      <c r="C116" s="82"/>
      <c r="D116" s="82"/>
      <c r="E116" s="82"/>
      <c r="F116" s="191"/>
      <c r="G116" s="82"/>
      <c r="H116" s="82"/>
      <c r="I116" s="82"/>
      <c r="J116" s="82"/>
      <c r="K116" s="82"/>
      <c r="L116" s="82"/>
      <c r="M116" s="191"/>
      <c r="N116" s="939"/>
      <c r="O116" s="143"/>
      <c r="P116" s="144"/>
      <c r="Q116" s="144"/>
      <c r="R116" s="144"/>
      <c r="S116" s="158"/>
      <c r="T116" s="335" t="s">
        <v>312</v>
      </c>
      <c r="U116" s="214"/>
      <c r="V116" s="212">
        <f>N137/U102</f>
        <v>2.472803361765152E-2</v>
      </c>
      <c r="W116" s="201"/>
      <c r="X116" s="206"/>
      <c r="Y116" s="80"/>
      <c r="Z116" s="80"/>
      <c r="AA116" s="80"/>
      <c r="AB116" s="80"/>
    </row>
    <row r="117" spans="1:28" ht="15.75">
      <c r="A117" s="82" t="s">
        <v>179</v>
      </c>
      <c r="B117" s="82"/>
      <c r="C117" s="82"/>
      <c r="D117" s="82"/>
      <c r="E117" s="82"/>
      <c r="F117" s="191"/>
      <c r="G117" s="82"/>
      <c r="H117" s="82"/>
      <c r="I117" s="82"/>
      <c r="J117" s="82"/>
      <c r="K117" s="82"/>
      <c r="L117" s="82"/>
      <c r="M117" s="191"/>
      <c r="N117" s="939"/>
      <c r="O117" s="143"/>
      <c r="P117" s="144"/>
      <c r="Q117" s="144"/>
      <c r="R117" s="144"/>
      <c r="S117" s="158"/>
      <c r="T117" s="146" t="s">
        <v>203</v>
      </c>
      <c r="U117" s="214"/>
      <c r="V117" s="214" t="s">
        <v>204</v>
      </c>
      <c r="W117" s="201"/>
      <c r="X117" s="206"/>
      <c r="Y117" s="80"/>
      <c r="Z117" s="80"/>
      <c r="AA117" s="80"/>
      <c r="AB117" s="80"/>
    </row>
    <row r="118" spans="1:28" ht="15.75">
      <c r="A118" s="82" t="s">
        <v>183</v>
      </c>
      <c r="B118" s="82"/>
      <c r="C118" s="82"/>
      <c r="D118" s="82"/>
      <c r="E118" s="82"/>
      <c r="F118" s="191"/>
      <c r="G118" s="82"/>
      <c r="H118" s="82"/>
      <c r="I118" s="82"/>
      <c r="J118" s="82"/>
      <c r="K118" s="82"/>
      <c r="L118" s="82"/>
      <c r="M118" s="191"/>
      <c r="N118" s="939"/>
      <c r="O118" s="143"/>
      <c r="P118" s="144"/>
      <c r="Q118" s="144"/>
      <c r="R118" s="144"/>
      <c r="S118" s="158"/>
      <c r="T118" s="146" t="s">
        <v>207</v>
      </c>
      <c r="U118" s="214"/>
      <c r="V118" s="214" t="s">
        <v>208</v>
      </c>
      <c r="W118" s="201"/>
      <c r="X118" s="206"/>
      <c r="Y118" s="80"/>
      <c r="Z118" s="80"/>
      <c r="AA118" s="80"/>
      <c r="AB118" s="80"/>
    </row>
    <row r="119" spans="1:28" ht="15.75">
      <c r="A119" s="95" t="s">
        <v>199</v>
      </c>
      <c r="B119" s="82"/>
      <c r="C119" s="82"/>
      <c r="D119" s="82"/>
      <c r="E119" s="82"/>
      <c r="F119" s="82"/>
      <c r="G119" s="82"/>
      <c r="H119" s="82"/>
      <c r="I119" s="82"/>
      <c r="J119" s="82"/>
      <c r="K119" s="82"/>
      <c r="L119" s="82"/>
      <c r="M119" s="82"/>
      <c r="N119" s="939"/>
      <c r="O119" s="143" t="s">
        <v>145</v>
      </c>
      <c r="P119" s="188">
        <f>((SUM(N120:N124))*0.08%)/1000</f>
        <v>3.0432000000000001E-2</v>
      </c>
      <c r="Q119" s="188">
        <f>((SUM(N120:N123)-N122)*0.0008)/1000</f>
        <v>1.9016000000000002E-2</v>
      </c>
      <c r="R119" s="188">
        <f>(((SUM(N120:N123))-N122)*W97)/1000</f>
        <v>9.5080000000000008E-3</v>
      </c>
      <c r="S119" s="158"/>
      <c r="T119" s="1"/>
      <c r="U119" s="1"/>
      <c r="V119" s="1"/>
      <c r="W119" s="1"/>
      <c r="X119" s="1"/>
      <c r="Y119" s="1"/>
      <c r="Z119" s="1"/>
      <c r="AA119" s="1"/>
      <c r="AB119" s="1"/>
    </row>
    <row r="120" spans="1:28" ht="15.75">
      <c r="A120" s="82" t="s">
        <v>201</v>
      </c>
      <c r="B120" s="82"/>
      <c r="C120" s="82"/>
      <c r="D120" s="82"/>
      <c r="E120" s="82"/>
      <c r="F120" s="82"/>
      <c r="G120" s="82"/>
      <c r="H120" s="82"/>
      <c r="I120" s="82"/>
      <c r="J120" s="82"/>
      <c r="K120" s="201"/>
      <c r="L120" s="82"/>
      <c r="M120" s="82"/>
      <c r="N120" s="940">
        <v>8000</v>
      </c>
      <c r="O120" s="143"/>
      <c r="P120" s="144"/>
      <c r="Q120" s="144"/>
      <c r="R120" s="144"/>
      <c r="S120" s="158"/>
      <c r="T120" s="1"/>
      <c r="U120" s="1"/>
      <c r="V120" s="1"/>
      <c r="W120" s="1"/>
      <c r="X120" s="1"/>
      <c r="Y120" s="1"/>
      <c r="Z120" s="1"/>
      <c r="AA120" s="1"/>
      <c r="AB120" s="1"/>
    </row>
    <row r="121" spans="1:28" ht="15.75">
      <c r="A121" s="82" t="s">
        <v>209</v>
      </c>
      <c r="B121" s="82"/>
      <c r="C121" s="82"/>
      <c r="D121" s="82"/>
      <c r="E121" s="201"/>
      <c r="F121" s="82"/>
      <c r="G121" s="82"/>
      <c r="H121" s="82"/>
      <c r="I121" s="82"/>
      <c r="J121" s="82"/>
      <c r="K121" s="82"/>
      <c r="L121" s="82"/>
      <c r="M121" s="82"/>
      <c r="N121" s="940">
        <v>8000</v>
      </c>
      <c r="O121" s="143"/>
      <c r="P121" s="144"/>
      <c r="Q121" s="144"/>
      <c r="R121" s="144"/>
      <c r="S121" s="158"/>
      <c r="T121" s="82"/>
      <c r="U121" s="82"/>
      <c r="V121" s="82"/>
      <c r="W121" s="82"/>
      <c r="X121" s="82"/>
      <c r="Y121" s="80"/>
      <c r="Z121" s="80"/>
      <c r="AA121" s="80"/>
      <c r="AB121" s="80"/>
    </row>
    <row r="122" spans="1:28" ht="15.75">
      <c r="A122" s="82" t="s">
        <v>210</v>
      </c>
      <c r="B122" s="82"/>
      <c r="C122" s="82"/>
      <c r="D122" s="82"/>
      <c r="E122" s="82"/>
      <c r="F122" s="82"/>
      <c r="G122" s="82"/>
      <c r="H122" s="82"/>
      <c r="I122" s="82"/>
      <c r="J122" s="201"/>
      <c r="K122" s="82"/>
      <c r="L122" s="82"/>
      <c r="M122" s="82"/>
      <c r="N122" s="940">
        <v>6270</v>
      </c>
      <c r="O122" s="143"/>
      <c r="P122" s="144"/>
      <c r="Q122" s="144"/>
      <c r="R122" s="144"/>
      <c r="S122" s="158"/>
      <c r="T122" s="82"/>
      <c r="U122" s="82"/>
      <c r="V122" s="82"/>
      <c r="W122" s="82"/>
      <c r="X122" s="82"/>
      <c r="Y122" s="80"/>
      <c r="Z122" s="80"/>
      <c r="AA122" s="80"/>
      <c r="AB122" s="80"/>
    </row>
    <row r="123" spans="1:28" ht="15.75">
      <c r="A123" s="82" t="s">
        <v>211</v>
      </c>
      <c r="B123" s="82"/>
      <c r="C123" s="82"/>
      <c r="D123" s="82"/>
      <c r="E123" s="201"/>
      <c r="F123" s="201"/>
      <c r="G123" s="82"/>
      <c r="H123" s="82"/>
      <c r="I123" s="82"/>
      <c r="J123" s="82"/>
      <c r="K123" s="82"/>
      <c r="L123" s="82"/>
      <c r="M123" s="82"/>
      <c r="N123" s="940">
        <v>7770</v>
      </c>
      <c r="O123" s="143"/>
      <c r="P123" s="144"/>
      <c r="Q123" s="144"/>
      <c r="R123" s="144"/>
      <c r="S123" s="158"/>
      <c r="T123" s="336" t="s">
        <v>314</v>
      </c>
      <c r="U123" s="337"/>
      <c r="V123" s="80"/>
      <c r="W123" s="82"/>
      <c r="X123" s="82"/>
      <c r="Y123" s="80"/>
      <c r="Z123" s="80"/>
      <c r="AA123" s="80"/>
      <c r="AB123" s="80"/>
    </row>
    <row r="124" spans="1:28" ht="15.75">
      <c r="A124" s="82" t="s">
        <v>213</v>
      </c>
      <c r="B124" s="82"/>
      <c r="C124" s="82"/>
      <c r="D124" s="82"/>
      <c r="E124" s="82"/>
      <c r="F124" s="82"/>
      <c r="G124" s="82"/>
      <c r="H124" s="82"/>
      <c r="I124" s="82"/>
      <c r="J124" s="82"/>
      <c r="K124" s="82"/>
      <c r="L124" s="201"/>
      <c r="M124" s="82"/>
      <c r="N124" s="940">
        <v>8000</v>
      </c>
      <c r="O124" s="143"/>
      <c r="P124" s="144"/>
      <c r="Q124" s="144"/>
      <c r="R124" s="144"/>
      <c r="S124" s="158"/>
      <c r="T124" s="82"/>
      <c r="U124" s="82"/>
      <c r="V124" s="82"/>
      <c r="W124" s="82"/>
      <c r="X124" s="82"/>
      <c r="Y124" s="80"/>
      <c r="Z124" s="80"/>
      <c r="AA124" s="80"/>
      <c r="AB124" s="80"/>
    </row>
    <row r="125" spans="1:28" ht="15.75">
      <c r="A125" s="95" t="s">
        <v>315</v>
      </c>
      <c r="B125" s="82"/>
      <c r="C125" s="82"/>
      <c r="D125" s="82"/>
      <c r="E125" s="82"/>
      <c r="F125" s="82"/>
      <c r="G125" s="82"/>
      <c r="H125" s="82"/>
      <c r="I125" s="82"/>
      <c r="J125" s="82"/>
      <c r="K125" s="82"/>
      <c r="L125" s="82"/>
      <c r="M125" s="82"/>
      <c r="N125" s="939">
        <v>95860</v>
      </c>
      <c r="O125" s="143"/>
      <c r="P125" s="144"/>
      <c r="Q125" s="144"/>
      <c r="R125" s="144"/>
      <c r="S125" s="338"/>
      <c r="T125" s="339"/>
      <c r="U125" s="82"/>
      <c r="V125" s="82"/>
      <c r="W125" s="82"/>
      <c r="X125" s="82"/>
      <c r="Y125" s="80"/>
      <c r="Z125" s="80"/>
      <c r="AA125" s="80"/>
      <c r="AB125" s="80"/>
    </row>
    <row r="126" spans="1:28" ht="15.75">
      <c r="A126" s="82" t="s">
        <v>316</v>
      </c>
      <c r="B126" s="340"/>
      <c r="C126" s="340"/>
      <c r="D126" s="82"/>
      <c r="E126" s="82"/>
      <c r="F126" s="340"/>
      <c r="G126" s="340"/>
      <c r="H126" s="82"/>
      <c r="I126" s="82"/>
      <c r="J126" s="341"/>
      <c r="K126" s="341"/>
      <c r="L126" s="341"/>
      <c r="M126" s="82"/>
      <c r="N126" s="939"/>
      <c r="O126" s="142">
        <f>(U98/4)/(650708.65)*1000</f>
        <v>7.5533036175252928</v>
      </c>
      <c r="P126" s="188">
        <v>5.0000000000000001E-4</v>
      </c>
      <c r="Q126" s="188">
        <v>1E-3</v>
      </c>
      <c r="R126" s="188">
        <v>3.6999999999999999E-4</v>
      </c>
      <c r="S126" s="167"/>
      <c r="T126" s="80"/>
      <c r="U126" s="82"/>
      <c r="V126" s="82"/>
      <c r="W126" s="82"/>
      <c r="X126" s="82"/>
      <c r="Y126" s="80"/>
      <c r="Z126" s="80"/>
      <c r="AA126" s="80"/>
      <c r="AB126" s="80"/>
    </row>
    <row r="127" spans="1:28" ht="15.75">
      <c r="A127" s="82" t="s">
        <v>317</v>
      </c>
      <c r="B127" s="341"/>
      <c r="C127" s="341"/>
      <c r="D127" s="340"/>
      <c r="E127" s="340"/>
      <c r="F127" s="82"/>
      <c r="G127" s="82"/>
      <c r="H127" s="340"/>
      <c r="I127" s="340"/>
      <c r="J127" s="341"/>
      <c r="K127" s="82"/>
      <c r="L127" s="82"/>
      <c r="M127" s="82"/>
      <c r="N127" s="939"/>
      <c r="O127" s="142">
        <f>(U99/4)/(88096.8)*1000</f>
        <v>131.10578363799817</v>
      </c>
      <c r="P127" s="188">
        <v>4.0000000000000001E-3</v>
      </c>
      <c r="Q127" s="188">
        <v>5.0000000000000001E-3</v>
      </c>
      <c r="R127" s="188">
        <v>4.2300000000000003E-3</v>
      </c>
      <c r="S127" s="167"/>
      <c r="T127" s="80"/>
      <c r="U127" s="82"/>
      <c r="V127" s="82"/>
      <c r="W127" s="1"/>
      <c r="X127" s="1"/>
      <c r="Y127" s="1"/>
      <c r="Z127" s="80"/>
      <c r="AA127" s="80"/>
      <c r="AB127" s="80"/>
    </row>
    <row r="128" spans="1:28" ht="15.75">
      <c r="A128" s="82" t="s">
        <v>318</v>
      </c>
      <c r="B128" s="341"/>
      <c r="C128" s="82"/>
      <c r="D128" s="82"/>
      <c r="E128" s="82"/>
      <c r="F128" s="340"/>
      <c r="G128" s="340"/>
      <c r="H128" s="341"/>
      <c r="I128" s="341"/>
      <c r="J128" s="82"/>
      <c r="K128" s="82"/>
      <c r="L128" s="340"/>
      <c r="M128" s="340"/>
      <c r="N128" s="939"/>
      <c r="O128" s="142">
        <f>(U100/4)/(262358.89)*1000</f>
        <v>28.586795743799644</v>
      </c>
      <c r="P128" s="188">
        <v>2.5999999999999999E-2</v>
      </c>
      <c r="Q128" s="188">
        <v>2.9000000000000001E-2</v>
      </c>
      <c r="R128" s="188">
        <v>2.0212000000000001E-2</v>
      </c>
      <c r="S128" s="167"/>
      <c r="T128" s="80"/>
      <c r="U128" s="82"/>
      <c r="V128" s="82"/>
      <c r="W128" s="82"/>
      <c r="X128" s="82"/>
      <c r="Y128" s="80"/>
      <c r="Z128" s="80"/>
      <c r="AA128" s="80"/>
      <c r="AB128" s="80"/>
    </row>
    <row r="129" spans="1:28" ht="15.75">
      <c r="A129" s="95" t="s">
        <v>214</v>
      </c>
      <c r="B129" s="82"/>
      <c r="C129" s="82"/>
      <c r="D129" s="82"/>
      <c r="E129" s="82"/>
      <c r="F129" s="82"/>
      <c r="G129" s="82"/>
      <c r="H129" s="82"/>
      <c r="I129" s="82"/>
      <c r="J129" s="82"/>
      <c r="K129" s="82"/>
      <c r="L129" s="82"/>
      <c r="M129" s="82"/>
      <c r="N129" s="940">
        <v>15000</v>
      </c>
      <c r="O129" s="143"/>
      <c r="P129" s="188">
        <f>2%+(0.7-0.6292)%</f>
        <v>2.0708000000000001E-2</v>
      </c>
      <c r="Q129" s="188">
        <f>2%-0.0496%</f>
        <v>1.9504000000000001E-2</v>
      </c>
      <c r="R129" s="188">
        <v>0.01</v>
      </c>
      <c r="S129" s="158"/>
      <c r="T129" s="82"/>
      <c r="U129" s="82"/>
      <c r="V129" s="82"/>
      <c r="W129" s="82"/>
      <c r="X129" s="82"/>
      <c r="Y129" s="80"/>
      <c r="Z129" s="80"/>
      <c r="AA129" s="80"/>
      <c r="AB129" s="80"/>
    </row>
    <row r="130" spans="1:28" ht="15.75">
      <c r="A130" s="304" t="s">
        <v>216</v>
      </c>
      <c r="B130" s="306"/>
      <c r="C130" s="306"/>
      <c r="D130" s="306"/>
      <c r="E130" s="306"/>
      <c r="F130" s="306"/>
      <c r="G130" s="306"/>
      <c r="H130" s="306"/>
      <c r="I130" s="306"/>
      <c r="J130" s="306"/>
      <c r="K130" s="306"/>
      <c r="L130" s="306"/>
      <c r="M130" s="306"/>
      <c r="N130" s="942">
        <v>11396.95</v>
      </c>
      <c r="O130" s="236"/>
      <c r="P130" s="945"/>
      <c r="Q130" s="945"/>
      <c r="R130" s="945"/>
      <c r="S130" s="158"/>
      <c r="T130" s="82"/>
      <c r="U130" s="82"/>
      <c r="V130" s="82"/>
      <c r="W130" s="82"/>
      <c r="X130" s="82"/>
      <c r="Y130" s="80"/>
      <c r="Z130" s="80"/>
      <c r="AA130" s="80"/>
      <c r="AB130" s="80"/>
    </row>
    <row r="131" spans="1:28" ht="15.75">
      <c r="A131" s="342" t="s">
        <v>219</v>
      </c>
      <c r="B131" s="99"/>
      <c r="C131" s="99"/>
      <c r="D131" s="99"/>
      <c r="E131" s="99"/>
      <c r="F131" s="99"/>
      <c r="G131" s="99"/>
      <c r="H131" s="99"/>
      <c r="I131" s="99"/>
      <c r="J131" s="99"/>
      <c r="K131" s="99"/>
      <c r="L131" s="99"/>
      <c r="M131" s="99"/>
      <c r="N131" s="942">
        <f>SUM(N95:N130)</f>
        <v>239371.1875</v>
      </c>
      <c r="O131" s="236"/>
      <c r="P131" s="945">
        <f>SUM(P95:P130)</f>
        <v>0.157</v>
      </c>
      <c r="Q131" s="945">
        <f>SUM(Q95:Q130)</f>
        <v>0.14599999999999999</v>
      </c>
      <c r="R131" s="945">
        <f>SUM(R95:R130)</f>
        <v>0.11199999999999997</v>
      </c>
      <c r="S131" s="158"/>
      <c r="T131" s="82"/>
      <c r="U131" s="82"/>
      <c r="V131" s="82"/>
      <c r="W131" s="82"/>
      <c r="X131" s="82"/>
      <c r="Y131" s="80"/>
      <c r="Z131" s="80"/>
      <c r="AA131" s="80"/>
      <c r="AB131" s="80"/>
    </row>
    <row r="132" spans="1:28" ht="15.75">
      <c r="A132" s="141" t="s">
        <v>225</v>
      </c>
      <c r="B132" s="82"/>
      <c r="C132" s="82"/>
      <c r="D132" s="82"/>
      <c r="E132" s="82"/>
      <c r="F132" s="82"/>
      <c r="G132" s="82"/>
      <c r="H132" s="82"/>
      <c r="I132" s="82"/>
      <c r="J132" s="82"/>
      <c r="K132" s="82"/>
      <c r="L132" s="82"/>
      <c r="M132" s="82"/>
      <c r="N132" s="142"/>
      <c r="O132" s="143"/>
      <c r="P132" s="144"/>
      <c r="Q132" s="144"/>
      <c r="R132" s="144"/>
      <c r="S132" s="158"/>
      <c r="T132" s="82"/>
      <c r="U132" s="82"/>
      <c r="V132" s="82"/>
      <c r="W132" s="82"/>
      <c r="X132" s="82"/>
      <c r="Y132" s="80"/>
      <c r="Z132" s="80"/>
      <c r="AA132" s="80"/>
      <c r="AB132" s="80"/>
    </row>
    <row r="133" spans="1:28" ht="15.75">
      <c r="A133" s="95" t="s">
        <v>226</v>
      </c>
      <c r="B133" s="82"/>
      <c r="C133" s="82"/>
      <c r="D133" s="82"/>
      <c r="E133" s="82"/>
      <c r="F133" s="82"/>
      <c r="G133" s="82"/>
      <c r="H133" s="82"/>
      <c r="I133" s="82"/>
      <c r="J133" s="82"/>
      <c r="K133" s="82"/>
      <c r="L133" s="82"/>
      <c r="M133" s="82"/>
      <c r="N133" s="143"/>
      <c r="O133" s="143"/>
      <c r="P133" s="144"/>
      <c r="Q133" s="144"/>
      <c r="R133" s="144"/>
      <c r="S133" s="158"/>
      <c r="T133" s="82"/>
      <c r="U133" s="231"/>
      <c r="V133" s="82"/>
      <c r="W133" s="82"/>
      <c r="X133" s="82"/>
      <c r="Y133" s="80"/>
      <c r="Z133" s="80"/>
      <c r="AA133" s="80"/>
      <c r="AB133" s="80"/>
    </row>
    <row r="134" spans="1:28" ht="15.75">
      <c r="A134" s="343" t="s">
        <v>228</v>
      </c>
      <c r="B134" s="82"/>
      <c r="C134" s="232"/>
      <c r="D134" s="82"/>
      <c r="E134" s="82"/>
      <c r="F134" s="82"/>
      <c r="G134" s="82"/>
      <c r="H134" s="82"/>
      <c r="I134" s="82"/>
      <c r="J134" s="82"/>
      <c r="K134" s="82"/>
      <c r="L134" s="82"/>
      <c r="M134" s="82"/>
      <c r="N134" s="939">
        <f>(599+2*(599))*1.02</f>
        <v>1832.94</v>
      </c>
      <c r="O134" s="143"/>
      <c r="P134" s="144"/>
      <c r="Q134" s="144"/>
      <c r="R134" s="144"/>
      <c r="S134" s="158"/>
      <c r="T134" s="82"/>
      <c r="U134" s="231"/>
      <c r="V134" s="82"/>
      <c r="W134" s="82"/>
      <c r="X134" s="82"/>
      <c r="Y134" s="80"/>
      <c r="Z134" s="80"/>
      <c r="AA134" s="80"/>
      <c r="AB134" s="80"/>
    </row>
    <row r="135" spans="1:28" ht="15.75">
      <c r="A135" s="344" t="s">
        <v>229</v>
      </c>
      <c r="B135" s="99"/>
      <c r="C135" s="99"/>
      <c r="D135" s="233"/>
      <c r="E135" s="99"/>
      <c r="F135" s="99"/>
      <c r="G135" s="99"/>
      <c r="H135" s="99"/>
      <c r="I135" s="99"/>
      <c r="J135" s="99"/>
      <c r="K135" s="99"/>
      <c r="L135" s="99"/>
      <c r="M135" s="99"/>
      <c r="N135" s="942">
        <f>(1125+(2*1125))*1.02</f>
        <v>3442.5</v>
      </c>
      <c r="O135" s="236"/>
      <c r="P135" s="236"/>
      <c r="Q135" s="236"/>
      <c r="R135" s="236"/>
      <c r="S135" s="158"/>
      <c r="T135" s="82"/>
      <c r="U135" s="82"/>
      <c r="V135" s="82"/>
      <c r="W135" s="82"/>
      <c r="X135" s="82"/>
      <c r="Y135" s="80"/>
      <c r="Z135" s="80"/>
      <c r="AA135" s="80"/>
      <c r="AB135" s="80"/>
    </row>
    <row r="136" spans="1:28" ht="15.75">
      <c r="A136" s="237" t="s">
        <v>239</v>
      </c>
      <c r="B136" s="239"/>
      <c r="C136" s="239"/>
      <c r="D136" s="239"/>
      <c r="E136" s="239"/>
      <c r="F136" s="239"/>
      <c r="G136" s="239"/>
      <c r="H136" s="239"/>
      <c r="I136" s="239"/>
      <c r="J136" s="239"/>
      <c r="K136" s="239"/>
      <c r="L136" s="239"/>
      <c r="M136" s="239"/>
      <c r="N136" s="943">
        <f>SUM(N134:N135)</f>
        <v>5275.4400000000005</v>
      </c>
      <c r="O136" s="242"/>
      <c r="P136" s="244"/>
      <c r="Q136" s="244"/>
      <c r="R136" s="244"/>
      <c r="S136" s="158"/>
      <c r="T136" s="82"/>
      <c r="U136" s="82"/>
      <c r="V136" s="82"/>
      <c r="W136" s="82"/>
      <c r="X136" s="82"/>
      <c r="Y136" s="80"/>
      <c r="Z136" s="80"/>
      <c r="AA136" s="80"/>
      <c r="AB136" s="80"/>
    </row>
    <row r="137" spans="1:28" ht="15.75">
      <c r="A137" s="246" t="s">
        <v>241</v>
      </c>
      <c r="B137" s="248"/>
      <c r="C137" s="248"/>
      <c r="D137" s="248"/>
      <c r="E137" s="248"/>
      <c r="F137" s="248"/>
      <c r="G137" s="248"/>
      <c r="H137" s="248"/>
      <c r="I137" s="248"/>
      <c r="J137" s="248"/>
      <c r="K137" s="248"/>
      <c r="L137" s="248"/>
      <c r="M137" s="248"/>
      <c r="N137" s="944">
        <f>SUM(N131+N136)</f>
        <v>244646.6275</v>
      </c>
      <c r="O137" s="250"/>
      <c r="P137" s="999">
        <f>P131+P136+1%</f>
        <v>0.16700000000000001</v>
      </c>
      <c r="Q137" s="999">
        <f>Q131+1%</f>
        <v>0.156</v>
      </c>
      <c r="R137" s="999">
        <f>R131+R136+1%</f>
        <v>0.12199999999999997</v>
      </c>
      <c r="S137" s="254"/>
      <c r="T137" s="248"/>
      <c r="U137" s="248"/>
      <c r="V137" s="248"/>
      <c r="W137" s="248"/>
      <c r="X137" s="248"/>
      <c r="Y137" s="256"/>
      <c r="Z137" s="256"/>
      <c r="AA137" s="256"/>
      <c r="AB137" s="80"/>
    </row>
    <row r="138" spans="1:28" ht="54" customHeight="1">
      <c r="A138" s="313"/>
      <c r="B138" s="313"/>
      <c r="C138" s="313"/>
      <c r="D138" s="313"/>
      <c r="E138" s="313"/>
      <c r="F138" s="313"/>
      <c r="G138" s="313"/>
      <c r="H138" s="313"/>
      <c r="I138" s="313"/>
      <c r="J138" s="313"/>
      <c r="K138" s="313"/>
      <c r="L138" s="313"/>
      <c r="M138" s="313"/>
      <c r="N138" s="315"/>
      <c r="O138" s="315"/>
      <c r="P138" s="315"/>
      <c r="Q138" s="315"/>
      <c r="R138" s="315"/>
      <c r="S138" s="316"/>
      <c r="T138" s="313"/>
      <c r="U138" s="313"/>
      <c r="V138" s="313"/>
      <c r="W138" s="313"/>
      <c r="X138" s="313"/>
      <c r="Y138" s="317"/>
      <c r="Z138" s="317"/>
      <c r="AA138" s="317"/>
      <c r="AB138" s="265"/>
    </row>
    <row r="139" spans="1:28" ht="15.75">
      <c r="A139" s="323" t="s">
        <v>319</v>
      </c>
      <c r="B139" s="131" t="s">
        <v>125</v>
      </c>
      <c r="C139" s="131" t="s">
        <v>126</v>
      </c>
      <c r="D139" s="131" t="s">
        <v>127</v>
      </c>
      <c r="E139" s="131" t="s">
        <v>128</v>
      </c>
      <c r="F139" s="131" t="s">
        <v>129</v>
      </c>
      <c r="G139" s="131" t="s">
        <v>130</v>
      </c>
      <c r="H139" s="131" t="s">
        <v>131</v>
      </c>
      <c r="I139" s="131" t="s">
        <v>132</v>
      </c>
      <c r="J139" s="131" t="s">
        <v>133</v>
      </c>
      <c r="K139" s="131" t="s">
        <v>134</v>
      </c>
      <c r="L139" s="131" t="s">
        <v>135</v>
      </c>
      <c r="M139" s="131" t="s">
        <v>136</v>
      </c>
      <c r="N139" s="132" t="s">
        <v>137</v>
      </c>
      <c r="O139" s="133" t="s">
        <v>138</v>
      </c>
      <c r="P139" s="134" t="s">
        <v>1</v>
      </c>
      <c r="Q139" s="134" t="s">
        <v>71</v>
      </c>
      <c r="R139" s="134" t="s">
        <v>78</v>
      </c>
      <c r="S139" s="136"/>
      <c r="T139" s="138"/>
      <c r="U139" s="91" t="s">
        <v>249</v>
      </c>
      <c r="V139" s="91" t="s">
        <v>140</v>
      </c>
      <c r="W139" s="91" t="s">
        <v>291</v>
      </c>
      <c r="X139" s="140"/>
      <c r="Y139" s="140"/>
      <c r="Z139" s="140"/>
      <c r="AA139" s="140"/>
      <c r="AB139" s="140"/>
    </row>
    <row r="140" spans="1:28" ht="15.75">
      <c r="A140" s="141" t="s">
        <v>142</v>
      </c>
      <c r="B140" s="82"/>
      <c r="C140" s="82"/>
      <c r="D140" s="82"/>
      <c r="E140" s="82"/>
      <c r="F140" s="82"/>
      <c r="G140" s="82"/>
      <c r="H140" s="82"/>
      <c r="I140" s="82"/>
      <c r="J140" s="82"/>
      <c r="K140" s="82"/>
      <c r="L140" s="82"/>
      <c r="M140" s="82"/>
      <c r="N140" s="142"/>
      <c r="O140" s="143"/>
      <c r="P140" s="144"/>
      <c r="Q140" s="144"/>
      <c r="R140" s="144"/>
      <c r="S140" s="158"/>
      <c r="T140" s="146" t="s">
        <v>143</v>
      </c>
      <c r="U140" s="946">
        <v>4.0000000000000002E-4</v>
      </c>
      <c r="V140" s="946">
        <v>4.0000000000000002E-4</v>
      </c>
      <c r="W140" s="946">
        <v>2.0000000000000001E-4</v>
      </c>
      <c r="X140" s="80"/>
      <c r="Y140" s="80"/>
      <c r="Z140" s="80"/>
      <c r="AA140" s="80"/>
      <c r="AB140" s="80"/>
    </row>
    <row r="141" spans="1:28" ht="15.75">
      <c r="A141" s="95" t="s">
        <v>41</v>
      </c>
      <c r="B141" s="149"/>
      <c r="C141" s="149"/>
      <c r="D141" s="149"/>
      <c r="E141" s="149"/>
      <c r="F141" s="149"/>
      <c r="G141" s="149"/>
      <c r="H141" s="149"/>
      <c r="I141" s="149"/>
      <c r="J141" s="149"/>
      <c r="K141" s="149"/>
      <c r="L141" s="149"/>
      <c r="M141" s="149"/>
      <c r="N141" s="939">
        <f>SUM(N142:N175)*0.25</f>
        <v>48830.927499999998</v>
      </c>
      <c r="O141" s="143" t="s">
        <v>145</v>
      </c>
      <c r="P141" s="188">
        <v>7.0000000000000007E-2</v>
      </c>
      <c r="Q141" s="188">
        <v>7.0000000000000007E-2</v>
      </c>
      <c r="R141" s="188">
        <v>7.0000000000000007E-2</v>
      </c>
      <c r="S141" s="158"/>
      <c r="T141" s="146" t="s">
        <v>146</v>
      </c>
      <c r="U141" s="954">
        <v>2438253</v>
      </c>
      <c r="V141" s="954">
        <v>6759463</v>
      </c>
      <c r="W141" s="954">
        <v>28131584</v>
      </c>
      <c r="X141" s="80"/>
      <c r="Y141" s="80"/>
      <c r="Z141" s="80"/>
      <c r="AA141" s="80"/>
      <c r="AB141" s="80"/>
    </row>
    <row r="142" spans="1:28" ht="15.75">
      <c r="A142" s="95" t="s">
        <v>293</v>
      </c>
      <c r="B142" s="82"/>
      <c r="C142" s="82"/>
      <c r="D142" s="82"/>
      <c r="E142" s="82"/>
      <c r="F142" s="82"/>
      <c r="G142" s="82"/>
      <c r="H142" s="82"/>
      <c r="I142" s="82"/>
      <c r="J142" s="82"/>
      <c r="K142" s="82"/>
      <c r="L142" s="82"/>
      <c r="M142" s="82"/>
      <c r="N142" s="939">
        <f>X149+U156</f>
        <v>10800</v>
      </c>
      <c r="O142" s="143" t="s">
        <v>145</v>
      </c>
      <c r="P142" s="188">
        <f>(U140*$N$5)/1000</f>
        <v>5.7600000000000004E-3</v>
      </c>
      <c r="Q142" s="188">
        <f>N142*U140/1000</f>
        <v>4.3200000000000001E-3</v>
      </c>
      <c r="R142" s="188">
        <f>(W140*$N$5)/1000</f>
        <v>2.8800000000000002E-3</v>
      </c>
      <c r="S142" s="158"/>
      <c r="T142" s="146" t="s">
        <v>152</v>
      </c>
      <c r="U142" s="946">
        <v>8.0000000000000004E-4</v>
      </c>
      <c r="V142" s="946">
        <v>8.0000000000000004E-4</v>
      </c>
      <c r="W142" s="946">
        <v>4.0000000000000002E-4</v>
      </c>
      <c r="X142" s="80"/>
      <c r="Y142" s="80"/>
      <c r="Z142" s="80"/>
      <c r="AA142" s="80"/>
      <c r="AB142" s="80"/>
    </row>
    <row r="143" spans="1:28" ht="15.75">
      <c r="A143" s="82" t="s">
        <v>153</v>
      </c>
      <c r="B143" s="82"/>
      <c r="C143" s="82"/>
      <c r="D143" s="82"/>
      <c r="E143" s="156"/>
      <c r="F143" s="82"/>
      <c r="G143" s="82"/>
      <c r="H143" s="82"/>
      <c r="I143" s="156"/>
      <c r="J143" s="82"/>
      <c r="K143" s="82"/>
      <c r="L143" s="156"/>
      <c r="M143" s="82"/>
      <c r="N143" s="939"/>
      <c r="O143" s="143"/>
      <c r="P143" s="144"/>
      <c r="Q143" s="144"/>
      <c r="R143" s="144"/>
      <c r="S143" s="158"/>
      <c r="T143" s="82"/>
      <c r="U143" s="82"/>
      <c r="V143" s="82"/>
      <c r="W143" s="82"/>
      <c r="X143" s="80"/>
      <c r="Y143" s="80"/>
      <c r="Z143" s="80"/>
      <c r="AA143" s="80"/>
      <c r="AB143" s="80"/>
    </row>
    <row r="144" spans="1:28" ht="15.75">
      <c r="A144" s="82" t="s">
        <v>155</v>
      </c>
      <c r="B144" s="82"/>
      <c r="C144" s="82"/>
      <c r="D144" s="82"/>
      <c r="E144" s="156"/>
      <c r="F144" s="82"/>
      <c r="G144" s="82"/>
      <c r="H144" s="82"/>
      <c r="I144" s="156"/>
      <c r="J144" s="82"/>
      <c r="K144" s="82"/>
      <c r="L144" s="156"/>
      <c r="M144" s="82"/>
      <c r="N144" s="939"/>
      <c r="O144" s="143"/>
      <c r="P144" s="144"/>
      <c r="Q144" s="144"/>
      <c r="R144" s="144"/>
      <c r="S144" s="158"/>
      <c r="T144" s="146" t="s">
        <v>320</v>
      </c>
      <c r="U144" s="947">
        <f>SUM(N141:N174)</f>
        <v>232530.92749999999</v>
      </c>
      <c r="V144" s="82"/>
      <c r="W144" s="345" t="s">
        <v>158</v>
      </c>
      <c r="X144" s="346"/>
      <c r="Y144" s="346"/>
      <c r="Z144" s="1"/>
      <c r="AA144" s="1"/>
      <c r="AB144" s="80"/>
    </row>
    <row r="145" spans="1:28" ht="15.75">
      <c r="A145" s="82" t="s">
        <v>159</v>
      </c>
      <c r="B145" s="82"/>
      <c r="C145" s="82"/>
      <c r="D145" s="82"/>
      <c r="E145" s="156"/>
      <c r="F145" s="82"/>
      <c r="G145" s="82"/>
      <c r="H145" s="82"/>
      <c r="I145" s="156"/>
      <c r="J145" s="82"/>
      <c r="K145" s="82"/>
      <c r="L145" s="156"/>
      <c r="M145" s="82"/>
      <c r="N145" s="939"/>
      <c r="O145" s="143"/>
      <c r="P145" s="144"/>
      <c r="Q145" s="144"/>
      <c r="R145" s="144"/>
      <c r="S145" s="158"/>
      <c r="T145" s="146" t="s">
        <v>321</v>
      </c>
      <c r="U145" s="947">
        <f>SUM(N141:N174)*0.05</f>
        <v>11626.546375</v>
      </c>
      <c r="V145" s="82"/>
      <c r="W145" s="347" t="s">
        <v>161</v>
      </c>
      <c r="X145" s="147">
        <v>10</v>
      </c>
      <c r="Y145" s="346"/>
      <c r="Z145" s="1"/>
      <c r="AA145" s="1"/>
      <c r="AB145" s="80"/>
    </row>
    <row r="146" spans="1:28" ht="15.75">
      <c r="A146" s="82" t="s">
        <v>162</v>
      </c>
      <c r="B146" s="82"/>
      <c r="C146" s="82"/>
      <c r="D146" s="82"/>
      <c r="E146" s="156"/>
      <c r="F146" s="82"/>
      <c r="G146" s="82"/>
      <c r="H146" s="82"/>
      <c r="I146" s="156"/>
      <c r="J146" s="82"/>
      <c r="K146" s="82"/>
      <c r="L146" s="156"/>
      <c r="M146" s="82"/>
      <c r="N146" s="939"/>
      <c r="O146" s="143"/>
      <c r="P146" s="144"/>
      <c r="Q146" s="144"/>
      <c r="R146" s="144"/>
      <c r="S146" s="158"/>
      <c r="T146" s="146" t="s">
        <v>322</v>
      </c>
      <c r="U146" s="947">
        <f>4915*4</f>
        <v>19660</v>
      </c>
      <c r="V146" s="82"/>
      <c r="W146" s="347" t="s">
        <v>165</v>
      </c>
      <c r="X146" s="147">
        <v>4</v>
      </c>
      <c r="Y146" s="346"/>
      <c r="Z146" s="1"/>
      <c r="AA146" s="1"/>
      <c r="AB146" s="80"/>
    </row>
    <row r="147" spans="1:28" ht="15.75">
      <c r="A147" s="82" t="s">
        <v>166</v>
      </c>
      <c r="B147" s="82"/>
      <c r="C147" s="82"/>
      <c r="D147" s="82"/>
      <c r="E147" s="156"/>
      <c r="F147" s="82"/>
      <c r="G147" s="82"/>
      <c r="H147" s="82"/>
      <c r="I147" s="156"/>
      <c r="J147" s="82"/>
      <c r="K147" s="82"/>
      <c r="L147" s="156"/>
      <c r="M147" s="82"/>
      <c r="N147" s="939"/>
      <c r="O147" s="143"/>
      <c r="P147" s="144"/>
      <c r="Q147" s="144"/>
      <c r="R147" s="144"/>
      <c r="S147" s="158"/>
      <c r="T147" s="201"/>
      <c r="U147" s="947">
        <f>11550*4</f>
        <v>46200</v>
      </c>
      <c r="V147" s="82"/>
      <c r="W147" s="347" t="s">
        <v>168</v>
      </c>
      <c r="X147" s="147">
        <v>3</v>
      </c>
      <c r="Y147" s="346"/>
      <c r="Z147" s="1"/>
      <c r="AA147" s="1"/>
      <c r="AB147" s="80"/>
    </row>
    <row r="148" spans="1:28" ht="15.75">
      <c r="A148" s="82" t="s">
        <v>169</v>
      </c>
      <c r="B148" s="82"/>
      <c r="C148" s="82"/>
      <c r="D148" s="82"/>
      <c r="E148" s="156"/>
      <c r="F148" s="82"/>
      <c r="G148" s="82"/>
      <c r="H148" s="82"/>
      <c r="I148" s="156"/>
      <c r="J148" s="82"/>
      <c r="K148" s="82"/>
      <c r="L148" s="156"/>
      <c r="M148" s="82"/>
      <c r="N148" s="939"/>
      <c r="O148" s="143"/>
      <c r="P148" s="144"/>
      <c r="Q148" s="144"/>
      <c r="R148" s="144"/>
      <c r="S148" s="158"/>
      <c r="T148" s="201"/>
      <c r="U148" s="947">
        <v>30000</v>
      </c>
      <c r="V148" s="82"/>
      <c r="W148" s="347" t="s">
        <v>172</v>
      </c>
      <c r="X148" s="164">
        <v>40</v>
      </c>
      <c r="Y148" s="346"/>
      <c r="Z148" s="1"/>
      <c r="AA148" s="1"/>
      <c r="AB148" s="80"/>
    </row>
    <row r="149" spans="1:28" ht="15.75">
      <c r="A149" s="82" t="s">
        <v>173</v>
      </c>
      <c r="B149" s="82"/>
      <c r="C149" s="82"/>
      <c r="D149" s="82"/>
      <c r="E149" s="156"/>
      <c r="F149" s="82"/>
      <c r="G149" s="82"/>
      <c r="H149" s="82"/>
      <c r="I149" s="156"/>
      <c r="J149" s="82"/>
      <c r="K149" s="82"/>
      <c r="L149" s="156"/>
      <c r="M149" s="82"/>
      <c r="N149" s="939"/>
      <c r="O149" s="143"/>
      <c r="P149" s="144"/>
      <c r="Q149" s="144"/>
      <c r="R149" s="144"/>
      <c r="S149" s="158"/>
      <c r="T149" s="146" t="s">
        <v>178</v>
      </c>
      <c r="U149" s="948">
        <v>14460316</v>
      </c>
      <c r="V149" s="82"/>
      <c r="W149" s="347" t="s">
        <v>175</v>
      </c>
      <c r="X149" s="164">
        <f>(X145*X146*X147*X148)</f>
        <v>4800</v>
      </c>
      <c r="Y149" s="346"/>
      <c r="Z149" s="1"/>
      <c r="AA149" s="1"/>
      <c r="AB149" s="80"/>
    </row>
    <row r="150" spans="1:28" ht="15.75">
      <c r="A150" s="82" t="s">
        <v>177</v>
      </c>
      <c r="B150" s="82"/>
      <c r="C150" s="82"/>
      <c r="D150" s="82"/>
      <c r="E150" s="156"/>
      <c r="F150" s="82"/>
      <c r="G150" s="82"/>
      <c r="H150" s="82"/>
      <c r="I150" s="156"/>
      <c r="J150" s="82"/>
      <c r="K150" s="82"/>
      <c r="L150" s="156"/>
      <c r="M150" s="82"/>
      <c r="N150" s="939"/>
      <c r="O150" s="143"/>
      <c r="P150" s="144"/>
      <c r="Q150" s="144"/>
      <c r="R150" s="144"/>
      <c r="S150" s="158"/>
      <c r="T150" s="82"/>
      <c r="U150" s="80"/>
      <c r="V150" s="82"/>
      <c r="W150" s="346"/>
      <c r="X150" s="414"/>
      <c r="Y150" s="346"/>
      <c r="Z150" s="346"/>
      <c r="AA150" s="346"/>
      <c r="AB150" s="80"/>
    </row>
    <row r="151" spans="1:28" ht="15.75">
      <c r="A151" s="82" t="s">
        <v>179</v>
      </c>
      <c r="B151" s="82"/>
      <c r="C151" s="82"/>
      <c r="D151" s="82"/>
      <c r="E151" s="156"/>
      <c r="F151" s="82"/>
      <c r="G151" s="82"/>
      <c r="H151" s="82"/>
      <c r="I151" s="156"/>
      <c r="J151" s="82"/>
      <c r="K151" s="82"/>
      <c r="L151" s="156"/>
      <c r="M151" s="82"/>
      <c r="N151" s="939"/>
      <c r="O151" s="143"/>
      <c r="P151" s="144"/>
      <c r="Q151" s="144"/>
      <c r="R151" s="144"/>
      <c r="S151" s="158"/>
      <c r="T151" s="345" t="s">
        <v>191</v>
      </c>
      <c r="U151" s="346"/>
      <c r="V151" s="1"/>
      <c r="W151" s="345" t="s">
        <v>182</v>
      </c>
      <c r="X151" s="414"/>
      <c r="Y151" s="346"/>
      <c r="Z151" s="346"/>
      <c r="AA151" s="346"/>
      <c r="AB151" s="1"/>
    </row>
    <row r="152" spans="1:28" ht="15.75">
      <c r="A152" s="82" t="s">
        <v>304</v>
      </c>
      <c r="B152" s="82"/>
      <c r="C152" s="82"/>
      <c r="D152" s="82"/>
      <c r="E152" s="156"/>
      <c r="F152" s="82"/>
      <c r="G152" s="82"/>
      <c r="H152" s="82"/>
      <c r="I152" s="156"/>
      <c r="J152" s="82"/>
      <c r="K152" s="82"/>
      <c r="L152" s="156"/>
      <c r="M152" s="82"/>
      <c r="N152" s="939"/>
      <c r="O152" s="143"/>
      <c r="P152" s="144"/>
      <c r="Q152" s="144"/>
      <c r="R152" s="144"/>
      <c r="S152" s="158"/>
      <c r="T152" s="347" t="s">
        <v>161</v>
      </c>
      <c r="U152" s="147">
        <v>10</v>
      </c>
      <c r="V152" s="1"/>
      <c r="W152" s="347" t="s">
        <v>161</v>
      </c>
      <c r="X152" s="949">
        <v>10</v>
      </c>
      <c r="Y152" s="346"/>
      <c r="Z152" s="346"/>
      <c r="AA152" s="346"/>
      <c r="AB152" s="1"/>
    </row>
    <row r="153" spans="1:28" ht="15.75">
      <c r="A153" s="95" t="s">
        <v>184</v>
      </c>
      <c r="B153" s="82"/>
      <c r="C153" s="82"/>
      <c r="D153" s="82"/>
      <c r="E153" s="82"/>
      <c r="F153" s="82"/>
      <c r="G153" s="82"/>
      <c r="H153" s="82"/>
      <c r="I153" s="82"/>
      <c r="J153" s="82"/>
      <c r="K153" s="82"/>
      <c r="L153" s="82"/>
      <c r="M153" s="82"/>
      <c r="N153" s="939">
        <f>X156</f>
        <v>24000</v>
      </c>
      <c r="O153" s="143" t="s">
        <v>145</v>
      </c>
      <c r="P153" s="188">
        <f>N153*0.0004/1000</f>
        <v>9.5999999999999992E-3</v>
      </c>
      <c r="Q153" s="188">
        <f>N153*U140/1000</f>
        <v>9.5999999999999992E-3</v>
      </c>
      <c r="R153" s="188">
        <f>N153*0.0003/1000</f>
        <v>7.1999999999999989E-3</v>
      </c>
      <c r="S153" s="158"/>
      <c r="T153" s="347" t="s">
        <v>165</v>
      </c>
      <c r="U153" s="147">
        <v>4</v>
      </c>
      <c r="V153" s="1"/>
      <c r="W153" s="347" t="s">
        <v>165</v>
      </c>
      <c r="X153" s="949">
        <v>4</v>
      </c>
      <c r="Y153" s="346"/>
      <c r="Z153" s="346"/>
      <c r="AA153" s="346"/>
      <c r="AB153" s="1"/>
    </row>
    <row r="154" spans="1:28" ht="15.75">
      <c r="A154" s="82" t="s">
        <v>153</v>
      </c>
      <c r="B154" s="82"/>
      <c r="C154" s="82"/>
      <c r="D154" s="82"/>
      <c r="E154" s="82"/>
      <c r="F154" s="191"/>
      <c r="G154" s="82"/>
      <c r="H154" s="82"/>
      <c r="I154" s="82"/>
      <c r="J154" s="82"/>
      <c r="K154" s="82"/>
      <c r="L154" s="82"/>
      <c r="M154" s="191"/>
      <c r="N154" s="939"/>
      <c r="O154" s="143"/>
      <c r="P154" s="144"/>
      <c r="Q154" s="144"/>
      <c r="R154" s="144"/>
      <c r="S154" s="158"/>
      <c r="T154" s="347" t="s">
        <v>168</v>
      </c>
      <c r="U154" s="147">
        <v>3</v>
      </c>
      <c r="V154" s="1"/>
      <c r="W154" s="347" t="s">
        <v>168</v>
      </c>
      <c r="X154" s="949">
        <v>2</v>
      </c>
      <c r="Y154" s="346"/>
      <c r="Z154" s="346"/>
      <c r="AA154" s="346"/>
      <c r="AB154" s="1"/>
    </row>
    <row r="155" spans="1:28" ht="15.75">
      <c r="A155" s="82" t="s">
        <v>155</v>
      </c>
      <c r="B155" s="82"/>
      <c r="C155" s="82"/>
      <c r="D155" s="82"/>
      <c r="E155" s="82"/>
      <c r="F155" s="191"/>
      <c r="G155" s="82"/>
      <c r="H155" s="82"/>
      <c r="I155" s="82"/>
      <c r="J155" s="82"/>
      <c r="K155" s="82"/>
      <c r="L155" s="82"/>
      <c r="M155" s="191"/>
      <c r="N155" s="939"/>
      <c r="O155" s="143"/>
      <c r="P155" s="144"/>
      <c r="Q155" s="144"/>
      <c r="R155" s="144"/>
      <c r="S155" s="158"/>
      <c r="T155" s="347" t="s">
        <v>172</v>
      </c>
      <c r="U155" s="164">
        <v>50</v>
      </c>
      <c r="V155" s="1"/>
      <c r="W155" s="347" t="s">
        <v>172</v>
      </c>
      <c r="X155" s="950">
        <v>300</v>
      </c>
      <c r="Y155" s="346"/>
      <c r="Z155" s="346"/>
      <c r="AA155" s="346"/>
      <c r="AB155" s="1"/>
    </row>
    <row r="156" spans="1:28" ht="15.75">
      <c r="A156" s="82" t="s">
        <v>159</v>
      </c>
      <c r="B156" s="82"/>
      <c r="C156" s="82"/>
      <c r="D156" s="82"/>
      <c r="E156" s="82"/>
      <c r="F156" s="191"/>
      <c r="G156" s="82"/>
      <c r="H156" s="82"/>
      <c r="I156" s="82"/>
      <c r="J156" s="82"/>
      <c r="K156" s="82"/>
      <c r="L156" s="82"/>
      <c r="M156" s="191"/>
      <c r="N156" s="939"/>
      <c r="O156" s="143"/>
      <c r="P156" s="144"/>
      <c r="Q156" s="144"/>
      <c r="R156" s="144"/>
      <c r="S156" s="158"/>
      <c r="T156" s="347" t="s">
        <v>175</v>
      </c>
      <c r="U156" s="164">
        <f>(U152*U153*U154*U155)</f>
        <v>6000</v>
      </c>
      <c r="V156" s="1"/>
      <c r="W156" s="347" t="s">
        <v>175</v>
      </c>
      <c r="X156" s="950">
        <f>(X152*X153*X154*X155)</f>
        <v>24000</v>
      </c>
      <c r="Y156" s="346"/>
      <c r="Z156" s="346"/>
      <c r="AA156" s="346"/>
      <c r="AB156" s="1"/>
    </row>
    <row r="157" spans="1:28" ht="15.75">
      <c r="A157" s="82" t="s">
        <v>162</v>
      </c>
      <c r="B157" s="82"/>
      <c r="C157" s="82"/>
      <c r="D157" s="82"/>
      <c r="E157" s="82"/>
      <c r="F157" s="191"/>
      <c r="G157" s="82"/>
      <c r="H157" s="82"/>
      <c r="I157" s="82"/>
      <c r="J157" s="82"/>
      <c r="K157" s="82"/>
      <c r="L157" s="82"/>
      <c r="M157" s="191"/>
      <c r="N157" s="939"/>
      <c r="O157" s="143"/>
      <c r="P157" s="144"/>
      <c r="Q157" s="144"/>
      <c r="R157" s="144"/>
      <c r="S157" s="158"/>
      <c r="T157" s="1"/>
      <c r="U157" s="1"/>
      <c r="V157" s="1"/>
      <c r="W157" s="1"/>
      <c r="X157" s="1"/>
      <c r="Y157" s="1"/>
      <c r="Z157" s="1"/>
      <c r="AA157" s="1"/>
      <c r="AB157" s="1"/>
    </row>
    <row r="158" spans="1:28" ht="15.75">
      <c r="A158" s="82" t="s">
        <v>166</v>
      </c>
      <c r="B158" s="82"/>
      <c r="C158" s="82"/>
      <c r="D158" s="82"/>
      <c r="E158" s="82"/>
      <c r="F158" s="191"/>
      <c r="G158" s="82"/>
      <c r="H158" s="82"/>
      <c r="I158" s="82"/>
      <c r="J158" s="82"/>
      <c r="K158" s="82"/>
      <c r="L158" s="82"/>
      <c r="M158" s="191"/>
      <c r="N158" s="939"/>
      <c r="O158" s="143"/>
      <c r="P158" s="144"/>
      <c r="Q158" s="144"/>
      <c r="R158" s="144"/>
      <c r="S158" s="158"/>
      <c r="T158" s="1"/>
      <c r="U158" s="1"/>
      <c r="V158" s="1"/>
      <c r="W158" s="1"/>
      <c r="X158" s="1"/>
      <c r="Y158" s="1"/>
      <c r="Z158" s="1"/>
      <c r="AA158" s="1"/>
      <c r="AB158" s="1"/>
    </row>
    <row r="159" spans="1:28" ht="15.75">
      <c r="A159" s="82" t="s">
        <v>169</v>
      </c>
      <c r="B159" s="82"/>
      <c r="C159" s="82"/>
      <c r="D159" s="82"/>
      <c r="E159" s="82"/>
      <c r="F159" s="191"/>
      <c r="G159" s="82"/>
      <c r="H159" s="82"/>
      <c r="I159" s="82"/>
      <c r="J159" s="82"/>
      <c r="K159" s="82"/>
      <c r="L159" s="82"/>
      <c r="M159" s="191"/>
      <c r="N159" s="939"/>
      <c r="O159" s="143"/>
      <c r="P159" s="144"/>
      <c r="Q159" s="144"/>
      <c r="R159" s="144"/>
      <c r="S159" s="158"/>
      <c r="T159" s="146" t="s">
        <v>309</v>
      </c>
      <c r="U159" s="201"/>
      <c r="V159" s="201"/>
      <c r="W159" s="201"/>
      <c r="X159" s="206"/>
      <c r="Y159" s="80"/>
      <c r="Z159" s="80"/>
      <c r="AA159" s="80"/>
      <c r="AB159" s="80"/>
    </row>
    <row r="160" spans="1:28" ht="15.75">
      <c r="A160" s="82" t="s">
        <v>173</v>
      </c>
      <c r="B160" s="82"/>
      <c r="C160" s="82"/>
      <c r="D160" s="82"/>
      <c r="E160" s="82"/>
      <c r="F160" s="191"/>
      <c r="G160" s="82"/>
      <c r="H160" s="82"/>
      <c r="I160" s="82"/>
      <c r="J160" s="82"/>
      <c r="K160" s="82"/>
      <c r="L160" s="82"/>
      <c r="M160" s="191"/>
      <c r="N160" s="939"/>
      <c r="O160" s="143"/>
      <c r="P160" s="144"/>
      <c r="Q160" s="144"/>
      <c r="R160" s="144"/>
      <c r="S160" s="158"/>
      <c r="T160" s="205" t="s">
        <v>310</v>
      </c>
      <c r="U160" s="206"/>
      <c r="V160" s="201"/>
      <c r="W160" s="201"/>
      <c r="X160" s="206"/>
      <c r="Y160" s="80"/>
      <c r="Z160" s="80"/>
      <c r="AA160" s="80"/>
      <c r="AB160" s="80"/>
    </row>
    <row r="161" spans="1:28" ht="15.75">
      <c r="A161" s="82" t="s">
        <v>177</v>
      </c>
      <c r="B161" s="82"/>
      <c r="C161" s="82"/>
      <c r="D161" s="82"/>
      <c r="E161" s="82"/>
      <c r="F161" s="191"/>
      <c r="G161" s="82"/>
      <c r="H161" s="82"/>
      <c r="I161" s="82"/>
      <c r="J161" s="82"/>
      <c r="K161" s="82"/>
      <c r="L161" s="82"/>
      <c r="M161" s="191"/>
      <c r="N161" s="939"/>
      <c r="O161" s="143"/>
      <c r="P161" s="144"/>
      <c r="Q161" s="144"/>
      <c r="R161" s="144"/>
      <c r="S161" s="158"/>
      <c r="T161" s="181" t="s">
        <v>323</v>
      </c>
      <c r="U161" s="290"/>
      <c r="V161" s="997">
        <f>U149*0.03</f>
        <v>433809.48</v>
      </c>
      <c r="W161" s="216"/>
      <c r="X161" s="206"/>
      <c r="Y161" s="80"/>
      <c r="Z161" s="80"/>
      <c r="AA161" s="80"/>
      <c r="AB161" s="80"/>
    </row>
    <row r="162" spans="1:28" ht="15.75">
      <c r="A162" s="82" t="s">
        <v>179</v>
      </c>
      <c r="B162" s="82"/>
      <c r="C162" s="82"/>
      <c r="D162" s="82"/>
      <c r="E162" s="82"/>
      <c r="F162" s="191"/>
      <c r="G162" s="82"/>
      <c r="H162" s="82"/>
      <c r="I162" s="82"/>
      <c r="J162" s="82"/>
      <c r="K162" s="82"/>
      <c r="L162" s="82"/>
      <c r="M162" s="191"/>
      <c r="N162" s="939"/>
      <c r="O162" s="143"/>
      <c r="P162" s="144"/>
      <c r="Q162" s="144"/>
      <c r="R162" s="144"/>
      <c r="S162" s="158"/>
      <c r="T162" s="181" t="s">
        <v>312</v>
      </c>
      <c r="U162" s="214"/>
      <c r="V162" s="212">
        <f>N182/U149</f>
        <v>1.7249282622869375E-2</v>
      </c>
      <c r="W162" s="201"/>
      <c r="X162" s="206"/>
      <c r="Y162" s="80"/>
      <c r="Z162" s="80"/>
      <c r="AA162" s="80"/>
      <c r="AB162" s="80"/>
    </row>
    <row r="163" spans="1:28" ht="15.75">
      <c r="A163" s="82" t="s">
        <v>183</v>
      </c>
      <c r="B163" s="82"/>
      <c r="C163" s="82"/>
      <c r="D163" s="82"/>
      <c r="E163" s="82"/>
      <c r="F163" s="191"/>
      <c r="G163" s="82"/>
      <c r="H163" s="82"/>
      <c r="I163" s="82"/>
      <c r="J163" s="82"/>
      <c r="K163" s="82"/>
      <c r="L163" s="82"/>
      <c r="M163" s="191"/>
      <c r="N163" s="939"/>
      <c r="O163" s="143"/>
      <c r="P163" s="144"/>
      <c r="Q163" s="144"/>
      <c r="R163" s="144"/>
      <c r="S163" s="158"/>
      <c r="T163" s="146" t="s">
        <v>203</v>
      </c>
      <c r="U163" s="214"/>
      <c r="V163" s="214" t="s">
        <v>204</v>
      </c>
      <c r="W163" s="201"/>
      <c r="X163" s="206"/>
      <c r="Y163" s="80"/>
      <c r="Z163" s="80"/>
      <c r="AA163" s="80"/>
      <c r="AB163" s="80"/>
    </row>
    <row r="164" spans="1:28" ht="15.75">
      <c r="A164" s="95" t="s">
        <v>199</v>
      </c>
      <c r="B164" s="82"/>
      <c r="C164" s="82"/>
      <c r="D164" s="82"/>
      <c r="E164" s="82"/>
      <c r="F164" s="82"/>
      <c r="G164" s="82"/>
      <c r="H164" s="82"/>
      <c r="I164" s="82"/>
      <c r="J164" s="82"/>
      <c r="K164" s="82"/>
      <c r="L164" s="82"/>
      <c r="M164" s="82"/>
      <c r="N164" s="939"/>
      <c r="O164" s="143" t="s">
        <v>145</v>
      </c>
      <c r="P164" s="188">
        <f>((SUM(N165:N169))*0.08%)/1000</f>
        <v>3.0432000000000001E-2</v>
      </c>
      <c r="Q164" s="188">
        <f>((SUM(N165:N168)-N167)*0.0008)/1000</f>
        <v>1.9016000000000002E-2</v>
      </c>
      <c r="R164" s="188">
        <f>(((SUM(N165:N168))-N167-N169)*W142)/1000</f>
        <v>6.3080000000000011E-3</v>
      </c>
      <c r="S164" s="158"/>
      <c r="T164" s="146" t="s">
        <v>207</v>
      </c>
      <c r="U164" s="214"/>
      <c r="V164" s="214" t="s">
        <v>208</v>
      </c>
      <c r="W164" s="201"/>
      <c r="X164" s="206"/>
      <c r="Y164" s="80"/>
      <c r="Z164" s="80"/>
      <c r="AA164" s="80"/>
      <c r="AB164" s="80"/>
    </row>
    <row r="165" spans="1:28" ht="15.75">
      <c r="A165" s="82" t="s">
        <v>201</v>
      </c>
      <c r="B165" s="82"/>
      <c r="C165" s="82"/>
      <c r="D165" s="82"/>
      <c r="E165" s="82"/>
      <c r="F165" s="82"/>
      <c r="G165" s="82"/>
      <c r="H165" s="82"/>
      <c r="I165" s="82"/>
      <c r="J165" s="82"/>
      <c r="K165" s="201"/>
      <c r="L165" s="82"/>
      <c r="M165" s="82"/>
      <c r="N165" s="940">
        <v>8000</v>
      </c>
      <c r="O165" s="143"/>
      <c r="P165" s="144"/>
      <c r="Q165" s="144"/>
      <c r="R165" s="144"/>
      <c r="S165" s="158"/>
      <c r="T165" s="82"/>
      <c r="U165" s="82"/>
      <c r="V165" s="82"/>
      <c r="W165" s="82"/>
      <c r="X165" s="80"/>
      <c r="Y165" s="80"/>
      <c r="Z165" s="80"/>
      <c r="AA165" s="80"/>
      <c r="AB165" s="80"/>
    </row>
    <row r="166" spans="1:28" ht="15.75">
      <c r="A166" s="82" t="s">
        <v>209</v>
      </c>
      <c r="B166" s="82"/>
      <c r="C166" s="82"/>
      <c r="D166" s="82"/>
      <c r="E166" s="201"/>
      <c r="F166" s="82"/>
      <c r="G166" s="82"/>
      <c r="H166" s="82"/>
      <c r="I166" s="82"/>
      <c r="J166" s="82"/>
      <c r="K166" s="82"/>
      <c r="L166" s="82"/>
      <c r="M166" s="82"/>
      <c r="N166" s="940">
        <v>8000</v>
      </c>
      <c r="O166" s="143"/>
      <c r="P166" s="144"/>
      <c r="Q166" s="144"/>
      <c r="R166" s="144"/>
      <c r="S166" s="158"/>
      <c r="T166" s="82"/>
      <c r="U166" s="82"/>
      <c r="V166" s="82"/>
      <c r="W166" s="82"/>
      <c r="X166" s="80"/>
      <c r="Y166" s="80"/>
      <c r="Z166" s="80"/>
      <c r="AA166" s="80"/>
      <c r="AB166" s="80"/>
    </row>
    <row r="167" spans="1:28" ht="15.75">
      <c r="A167" s="82" t="s">
        <v>210</v>
      </c>
      <c r="B167" s="82"/>
      <c r="C167" s="82"/>
      <c r="D167" s="82"/>
      <c r="E167" s="82"/>
      <c r="F167" s="82"/>
      <c r="G167" s="82"/>
      <c r="H167" s="82"/>
      <c r="I167" s="82"/>
      <c r="J167" s="201"/>
      <c r="K167" s="82"/>
      <c r="L167" s="82"/>
      <c r="M167" s="82"/>
      <c r="N167" s="940">
        <v>6270</v>
      </c>
      <c r="O167" s="143"/>
      <c r="P167" s="144"/>
      <c r="Q167" s="144"/>
      <c r="R167" s="144"/>
      <c r="S167" s="158"/>
      <c r="T167" s="82"/>
      <c r="U167" s="82"/>
      <c r="V167" s="82"/>
      <c r="W167" s="82"/>
      <c r="X167" s="80"/>
      <c r="Y167" s="80"/>
      <c r="Z167" s="80"/>
      <c r="AA167" s="80"/>
      <c r="AB167" s="80"/>
    </row>
    <row r="168" spans="1:28" ht="15.75">
      <c r="A168" s="82" t="s">
        <v>211</v>
      </c>
      <c r="B168" s="82"/>
      <c r="C168" s="82"/>
      <c r="D168" s="82"/>
      <c r="E168" s="201"/>
      <c r="F168" s="201"/>
      <c r="G168" s="82"/>
      <c r="H168" s="82"/>
      <c r="I168" s="82"/>
      <c r="J168" s="82"/>
      <c r="K168" s="82"/>
      <c r="L168" s="82"/>
      <c r="M168" s="82"/>
      <c r="N168" s="940">
        <v>7770</v>
      </c>
      <c r="O168" s="143"/>
      <c r="P168" s="144"/>
      <c r="Q168" s="144"/>
      <c r="R168" s="144"/>
      <c r="S168" s="158"/>
      <c r="T168" s="82"/>
      <c r="U168" s="336" t="s">
        <v>314</v>
      </c>
      <c r="V168" s="80"/>
      <c r="W168" s="80"/>
      <c r="X168" s="80"/>
      <c r="Y168" s="80"/>
      <c r="Z168" s="80"/>
      <c r="AA168" s="80"/>
      <c r="AB168" s="80"/>
    </row>
    <row r="169" spans="1:28" ht="15.75">
      <c r="A169" s="82" t="s">
        <v>213</v>
      </c>
      <c r="B169" s="82"/>
      <c r="C169" s="82"/>
      <c r="D169" s="82"/>
      <c r="E169" s="82"/>
      <c r="F169" s="82"/>
      <c r="G169" s="82"/>
      <c r="H169" s="82"/>
      <c r="I169" s="82"/>
      <c r="J169" s="82"/>
      <c r="K169" s="82"/>
      <c r="L169" s="201"/>
      <c r="M169" s="82"/>
      <c r="N169" s="940">
        <v>8000</v>
      </c>
      <c r="O169" s="143"/>
      <c r="P169" s="144"/>
      <c r="Q169" s="144"/>
      <c r="R169" s="144"/>
      <c r="S169" s="158"/>
      <c r="T169" s="82"/>
      <c r="U169" s="82"/>
      <c r="V169" s="82"/>
      <c r="W169" s="82"/>
      <c r="X169" s="80"/>
      <c r="Y169" s="80"/>
      <c r="Z169" s="80"/>
      <c r="AA169" s="80"/>
      <c r="AB169" s="80"/>
    </row>
    <row r="170" spans="1:28" ht="15.75">
      <c r="A170" s="95" t="s">
        <v>315</v>
      </c>
      <c r="B170" s="82"/>
      <c r="C170" s="82"/>
      <c r="D170" s="82"/>
      <c r="E170" s="82"/>
      <c r="F170" s="82"/>
      <c r="G170" s="82"/>
      <c r="H170" s="82"/>
      <c r="I170" s="82"/>
      <c r="J170" s="82"/>
      <c r="K170" s="82"/>
      <c r="L170" s="82"/>
      <c r="M170" s="82"/>
      <c r="N170" s="939">
        <v>95860</v>
      </c>
      <c r="O170" s="143"/>
      <c r="P170" s="144"/>
      <c r="Q170" s="144"/>
      <c r="R170" s="144"/>
      <c r="S170" s="338"/>
      <c r="T170" s="339"/>
      <c r="U170" s="82"/>
      <c r="V170" s="82"/>
      <c r="W170" s="82"/>
      <c r="X170" s="80"/>
      <c r="Y170" s="80"/>
      <c r="Z170" s="80"/>
      <c r="AA170" s="80"/>
      <c r="AB170" s="80"/>
    </row>
    <row r="171" spans="1:28" ht="15.75">
      <c r="A171" s="82" t="s">
        <v>316</v>
      </c>
      <c r="B171" s="340"/>
      <c r="C171" s="340"/>
      <c r="D171" s="82"/>
      <c r="E171" s="82"/>
      <c r="F171" s="340"/>
      <c r="G171" s="340"/>
      <c r="H171" s="82"/>
      <c r="I171" s="82"/>
      <c r="J171" s="341"/>
      <c r="K171" s="341"/>
      <c r="L171" s="341"/>
      <c r="M171" s="82"/>
      <c r="N171" s="939"/>
      <c r="O171" s="142">
        <f>(U146/4)/(650708.65)*1000</f>
        <v>7.5533036175252928</v>
      </c>
      <c r="P171" s="188">
        <v>5.0000000000000001E-4</v>
      </c>
      <c r="Q171" s="188">
        <v>1E-3</v>
      </c>
      <c r="R171" s="188">
        <v>3.6999999999999999E-4</v>
      </c>
      <c r="S171" s="167"/>
      <c r="T171" s="80"/>
      <c r="U171" s="82"/>
      <c r="V171" s="82"/>
      <c r="W171" s="82"/>
      <c r="X171" s="80"/>
      <c r="Y171" s="80"/>
      <c r="Z171" s="80"/>
      <c r="AA171" s="80"/>
      <c r="AB171" s="80"/>
    </row>
    <row r="172" spans="1:28" ht="15.75">
      <c r="A172" s="82" t="s">
        <v>317</v>
      </c>
      <c r="B172" s="341"/>
      <c r="C172" s="341"/>
      <c r="D172" s="340"/>
      <c r="E172" s="340"/>
      <c r="F172" s="82"/>
      <c r="G172" s="82"/>
      <c r="H172" s="340"/>
      <c r="I172" s="340"/>
      <c r="J172" s="341"/>
      <c r="K172" s="82"/>
      <c r="L172" s="82"/>
      <c r="M172" s="82"/>
      <c r="N172" s="939"/>
      <c r="O172" s="142">
        <f>(U147/4)/(88096.8)*1000</f>
        <v>131.10578363799817</v>
      </c>
      <c r="P172" s="188">
        <v>5.0000000000000001E-3</v>
      </c>
      <c r="Q172" s="188">
        <v>5.0000000000000001E-3</v>
      </c>
      <c r="R172" s="188">
        <v>4.2300000000000003E-3</v>
      </c>
      <c r="S172" s="167"/>
      <c r="T172" s="80"/>
      <c r="U172" s="82"/>
      <c r="V172" s="1"/>
      <c r="W172" s="1"/>
      <c r="X172" s="1"/>
      <c r="Y172" s="1"/>
      <c r="Z172" s="80"/>
      <c r="AA172" s="80"/>
      <c r="AB172" s="80"/>
    </row>
    <row r="173" spans="1:28" ht="15.75">
      <c r="A173" s="82" t="s">
        <v>318</v>
      </c>
      <c r="B173" s="341"/>
      <c r="C173" s="82"/>
      <c r="D173" s="82"/>
      <c r="E173" s="82"/>
      <c r="F173" s="340"/>
      <c r="G173" s="340"/>
      <c r="H173" s="341"/>
      <c r="I173" s="341"/>
      <c r="J173" s="82"/>
      <c r="K173" s="82"/>
      <c r="L173" s="340"/>
      <c r="M173" s="340"/>
      <c r="N173" s="939"/>
      <c r="O173" s="142">
        <f>(U148/4)/(262358.89)*1000</f>
        <v>28.586795743799644</v>
      </c>
      <c r="P173" s="188">
        <v>2.8500000000000001E-2</v>
      </c>
      <c r="Q173" s="188">
        <v>2.9000000000000001E-2</v>
      </c>
      <c r="R173" s="188">
        <v>2.085E-2</v>
      </c>
      <c r="S173" s="167"/>
      <c r="T173" s="80"/>
      <c r="U173" s="82"/>
      <c r="V173" s="82"/>
      <c r="W173" s="82"/>
      <c r="X173" s="80"/>
      <c r="Y173" s="80"/>
      <c r="Z173" s="80"/>
      <c r="AA173" s="80"/>
      <c r="AB173" s="80"/>
    </row>
    <row r="174" spans="1:28" ht="15.75">
      <c r="A174" s="95" t="s">
        <v>214</v>
      </c>
      <c r="B174" s="82"/>
      <c r="C174" s="82"/>
      <c r="D174" s="82"/>
      <c r="E174" s="82"/>
      <c r="F174" s="82"/>
      <c r="G174" s="82"/>
      <c r="H174" s="82"/>
      <c r="I174" s="82"/>
      <c r="J174" s="82"/>
      <c r="K174" s="82"/>
      <c r="L174" s="82"/>
      <c r="M174" s="82"/>
      <c r="N174" s="940">
        <v>15000</v>
      </c>
      <c r="O174" s="143"/>
      <c r="P174" s="188">
        <f>2%+(1-0.9792)%</f>
        <v>2.0208E-2</v>
      </c>
      <c r="Q174" s="188">
        <f>2%+(0.8-0.7936)%</f>
        <v>2.0064000000000002E-2</v>
      </c>
      <c r="R174" s="188">
        <f>1%+(0.3-0.2838)%</f>
        <v>1.0162000000000001E-2</v>
      </c>
      <c r="S174" s="158"/>
      <c r="T174" s="82"/>
      <c r="U174" s="82"/>
      <c r="V174" s="82"/>
      <c r="W174" s="82"/>
      <c r="X174" s="80"/>
      <c r="Y174" s="80"/>
      <c r="Z174" s="80"/>
      <c r="AA174" s="80"/>
      <c r="AB174" s="80"/>
    </row>
    <row r="175" spans="1:28" ht="15.75">
      <c r="A175" s="304" t="s">
        <v>216</v>
      </c>
      <c r="B175" s="306"/>
      <c r="C175" s="306"/>
      <c r="D175" s="306"/>
      <c r="E175" s="306"/>
      <c r="F175" s="306"/>
      <c r="G175" s="306"/>
      <c r="H175" s="306"/>
      <c r="I175" s="306"/>
      <c r="J175" s="306"/>
      <c r="K175" s="306"/>
      <c r="L175" s="306"/>
      <c r="M175" s="306"/>
      <c r="N175" s="942">
        <v>11623.71</v>
      </c>
      <c r="O175" s="236"/>
      <c r="P175" s="945"/>
      <c r="Q175" s="945"/>
      <c r="R175" s="945"/>
      <c r="S175" s="158"/>
      <c r="T175" s="82"/>
      <c r="U175" s="82"/>
      <c r="V175" s="82"/>
      <c r="W175" s="82"/>
      <c r="X175" s="80"/>
      <c r="Y175" s="80"/>
      <c r="Z175" s="80"/>
      <c r="AA175" s="80"/>
      <c r="AB175" s="80"/>
    </row>
    <row r="176" spans="1:28" ht="15.75">
      <c r="A176" s="342" t="s">
        <v>219</v>
      </c>
      <c r="B176" s="99"/>
      <c r="C176" s="99"/>
      <c r="D176" s="99"/>
      <c r="E176" s="99"/>
      <c r="F176" s="99"/>
      <c r="G176" s="99"/>
      <c r="H176" s="99"/>
      <c r="I176" s="99"/>
      <c r="J176" s="99"/>
      <c r="K176" s="99"/>
      <c r="L176" s="99"/>
      <c r="M176" s="99"/>
      <c r="N176" s="942">
        <f>SUM(N140:N175)</f>
        <v>244154.63749999998</v>
      </c>
      <c r="O176" s="236"/>
      <c r="P176" s="945">
        <f>SUM(P140:P175)</f>
        <v>0.17</v>
      </c>
      <c r="Q176" s="945">
        <f>SUM(Q140:Q175)</f>
        <v>0.15800000000000003</v>
      </c>
      <c r="R176" s="945">
        <f>SUM(R140:R175)</f>
        <v>0.122</v>
      </c>
      <c r="S176" s="158"/>
      <c r="T176" s="82"/>
      <c r="U176" s="82"/>
      <c r="V176" s="82"/>
      <c r="W176" s="82"/>
      <c r="X176" s="80"/>
      <c r="Y176" s="80"/>
      <c r="Z176" s="80"/>
      <c r="AA176" s="80"/>
      <c r="AB176" s="80"/>
    </row>
    <row r="177" spans="1:28" ht="15.75">
      <c r="A177" s="141" t="s">
        <v>225</v>
      </c>
      <c r="B177" s="82"/>
      <c r="C177" s="82"/>
      <c r="D177" s="82"/>
      <c r="E177" s="82"/>
      <c r="F177" s="82"/>
      <c r="G177" s="82"/>
      <c r="H177" s="82"/>
      <c r="I177" s="82"/>
      <c r="J177" s="82"/>
      <c r="K177" s="82"/>
      <c r="L177" s="82"/>
      <c r="M177" s="82"/>
      <c r="N177" s="939"/>
      <c r="O177" s="143"/>
      <c r="P177" s="144"/>
      <c r="Q177" s="144"/>
      <c r="R177" s="144"/>
      <c r="S177" s="158"/>
      <c r="T177" s="82"/>
      <c r="U177" s="82"/>
      <c r="V177" s="82"/>
      <c r="W177" s="82"/>
      <c r="X177" s="80"/>
      <c r="Y177" s="80"/>
      <c r="Z177" s="80"/>
      <c r="AA177" s="80"/>
      <c r="AB177" s="80"/>
    </row>
    <row r="178" spans="1:28" ht="15.75">
      <c r="A178" s="95" t="s">
        <v>226</v>
      </c>
      <c r="B178" s="82"/>
      <c r="C178" s="82"/>
      <c r="D178" s="82"/>
      <c r="E178" s="82"/>
      <c r="F178" s="82"/>
      <c r="G178" s="82"/>
      <c r="H178" s="82"/>
      <c r="I178" s="82"/>
      <c r="J178" s="82"/>
      <c r="K178" s="82"/>
      <c r="L178" s="82"/>
      <c r="M178" s="82"/>
      <c r="N178" s="939"/>
      <c r="O178" s="143"/>
      <c r="P178" s="144"/>
      <c r="Q178" s="144"/>
      <c r="R178" s="144"/>
      <c r="S178" s="158"/>
      <c r="T178" s="82"/>
      <c r="U178" s="339"/>
      <c r="V178" s="82"/>
      <c r="W178" s="82"/>
      <c r="X178" s="80"/>
      <c r="Y178" s="80"/>
      <c r="Z178" s="80"/>
      <c r="AA178" s="80"/>
      <c r="AB178" s="80"/>
    </row>
    <row r="179" spans="1:28" ht="15.75">
      <c r="A179" s="343" t="s">
        <v>228</v>
      </c>
      <c r="B179" s="82"/>
      <c r="C179" s="232"/>
      <c r="D179" s="82"/>
      <c r="E179" s="82"/>
      <c r="F179" s="82"/>
      <c r="G179" s="82"/>
      <c r="H179" s="82"/>
      <c r="I179" s="82"/>
      <c r="J179" s="82"/>
      <c r="K179" s="82"/>
      <c r="L179" s="82"/>
      <c r="M179" s="82"/>
      <c r="N179" s="939">
        <f>(599+2*(599))*1.02</f>
        <v>1832.94</v>
      </c>
      <c r="O179" s="143"/>
      <c r="P179" s="144"/>
      <c r="Q179" s="144"/>
      <c r="R179" s="144"/>
      <c r="S179" s="158"/>
      <c r="T179" s="82"/>
      <c r="U179" s="339"/>
      <c r="V179" s="82"/>
      <c r="W179" s="82"/>
      <c r="X179" s="80"/>
      <c r="Y179" s="80"/>
      <c r="Z179" s="80"/>
      <c r="AA179" s="80"/>
      <c r="AB179" s="80"/>
    </row>
    <row r="180" spans="1:28" ht="15.75">
      <c r="A180" s="344" t="s">
        <v>229</v>
      </c>
      <c r="B180" s="99"/>
      <c r="C180" s="99"/>
      <c r="D180" s="233"/>
      <c r="E180" s="99"/>
      <c r="F180" s="99"/>
      <c r="G180" s="99"/>
      <c r="H180" s="99"/>
      <c r="I180" s="99"/>
      <c r="J180" s="99"/>
      <c r="K180" s="99"/>
      <c r="L180" s="99"/>
      <c r="M180" s="99"/>
      <c r="N180" s="942">
        <f>(1125+(2*1125))*1.02</f>
        <v>3442.5</v>
      </c>
      <c r="O180" s="236"/>
      <c r="P180" s="236"/>
      <c r="Q180" s="236"/>
      <c r="R180" s="236"/>
      <c r="S180" s="158"/>
      <c r="T180" s="82"/>
      <c r="U180" s="82"/>
      <c r="V180" s="82"/>
      <c r="W180" s="82"/>
      <c r="X180" s="80"/>
      <c r="Y180" s="80"/>
      <c r="Z180" s="80"/>
      <c r="AA180" s="80"/>
      <c r="AB180" s="80"/>
    </row>
    <row r="181" spans="1:28" ht="15.75">
      <c r="A181" s="237" t="s">
        <v>239</v>
      </c>
      <c r="B181" s="239"/>
      <c r="C181" s="239"/>
      <c r="D181" s="239"/>
      <c r="E181" s="239"/>
      <c r="F181" s="239"/>
      <c r="G181" s="239"/>
      <c r="H181" s="239"/>
      <c r="I181" s="239"/>
      <c r="J181" s="239"/>
      <c r="K181" s="239"/>
      <c r="L181" s="239"/>
      <c r="M181" s="239"/>
      <c r="N181" s="943">
        <f>SUM(N179:N180)</f>
        <v>5275.4400000000005</v>
      </c>
      <c r="O181" s="242"/>
      <c r="P181" s="244"/>
      <c r="Q181" s="244"/>
      <c r="R181" s="244"/>
      <c r="S181" s="158"/>
      <c r="T181" s="82"/>
      <c r="U181" s="82"/>
      <c r="V181" s="82"/>
      <c r="W181" s="82"/>
      <c r="X181" s="80"/>
      <c r="Y181" s="80"/>
      <c r="Z181" s="80"/>
      <c r="AA181" s="80"/>
      <c r="AB181" s="80"/>
    </row>
    <row r="182" spans="1:28" ht="15.75">
      <c r="A182" s="246" t="s">
        <v>241</v>
      </c>
      <c r="B182" s="354"/>
      <c r="C182" s="354"/>
      <c r="D182" s="354"/>
      <c r="E182" s="354"/>
      <c r="F182" s="354"/>
      <c r="G182" s="354"/>
      <c r="H182" s="354"/>
      <c r="I182" s="354"/>
      <c r="J182" s="354"/>
      <c r="K182" s="354"/>
      <c r="L182" s="354"/>
      <c r="M182" s="354"/>
      <c r="N182" s="944">
        <f>SUM(N176+N181)</f>
        <v>249430.07749999998</v>
      </c>
      <c r="O182" s="250"/>
      <c r="P182" s="999">
        <f>P176+P181+0.8%</f>
        <v>0.17800000000000002</v>
      </c>
      <c r="Q182" s="999">
        <f>Q176+1%</f>
        <v>0.16800000000000004</v>
      </c>
      <c r="R182" s="999">
        <f>R176+R181+1%</f>
        <v>0.13200000000000001</v>
      </c>
      <c r="S182" s="355"/>
      <c r="T182" s="354"/>
      <c r="U182" s="354"/>
      <c r="V182" s="354"/>
      <c r="W182" s="354"/>
      <c r="X182" s="356"/>
      <c r="Y182" s="356"/>
      <c r="Z182" s="356"/>
      <c r="AA182" s="356"/>
      <c r="AB182" s="357"/>
    </row>
    <row r="183" spans="1:28" ht="53.25" customHeight="1">
      <c r="A183" s="313"/>
      <c r="B183" s="313"/>
      <c r="C183" s="313"/>
      <c r="D183" s="313"/>
      <c r="E183" s="313"/>
      <c r="F183" s="313"/>
      <c r="G183" s="313"/>
      <c r="H183" s="313"/>
      <c r="I183" s="313"/>
      <c r="J183" s="313"/>
      <c r="K183" s="313"/>
      <c r="L183" s="313"/>
      <c r="M183" s="313"/>
      <c r="N183" s="315"/>
      <c r="O183" s="315"/>
      <c r="P183" s="315"/>
      <c r="Q183" s="315"/>
      <c r="R183" s="315"/>
      <c r="S183" s="316"/>
      <c r="T183" s="313"/>
      <c r="U183" s="313"/>
      <c r="V183" s="313"/>
      <c r="W183" s="313"/>
      <c r="X183" s="317"/>
      <c r="Y183" s="317"/>
      <c r="Z183" s="317"/>
      <c r="AA183" s="317"/>
      <c r="AB183" s="265"/>
    </row>
    <row r="184" spans="1:28" ht="15.75">
      <c r="A184" s="323" t="s">
        <v>325</v>
      </c>
      <c r="B184" s="131" t="s">
        <v>125</v>
      </c>
      <c r="C184" s="131" t="s">
        <v>126</v>
      </c>
      <c r="D184" s="131" t="s">
        <v>127</v>
      </c>
      <c r="E184" s="131" t="s">
        <v>128</v>
      </c>
      <c r="F184" s="131" t="s">
        <v>129</v>
      </c>
      <c r="G184" s="131" t="s">
        <v>130</v>
      </c>
      <c r="H184" s="131" t="s">
        <v>131</v>
      </c>
      <c r="I184" s="131" t="s">
        <v>132</v>
      </c>
      <c r="J184" s="131" t="s">
        <v>133</v>
      </c>
      <c r="K184" s="131" t="s">
        <v>134</v>
      </c>
      <c r="L184" s="131" t="s">
        <v>135</v>
      </c>
      <c r="M184" s="131" t="s">
        <v>136</v>
      </c>
      <c r="N184" s="132" t="s">
        <v>137</v>
      </c>
      <c r="O184" s="133" t="s">
        <v>138</v>
      </c>
      <c r="P184" s="134" t="s">
        <v>1</v>
      </c>
      <c r="Q184" s="134" t="s">
        <v>71</v>
      </c>
      <c r="R184" s="134" t="s">
        <v>78</v>
      </c>
      <c r="S184" s="136"/>
      <c r="T184" s="138"/>
      <c r="U184" s="91" t="s">
        <v>249</v>
      </c>
      <c r="V184" s="91" t="s">
        <v>140</v>
      </c>
      <c r="W184" s="121" t="s">
        <v>141</v>
      </c>
      <c r="X184" s="140"/>
      <c r="Y184" s="140"/>
      <c r="Z184" s="140"/>
      <c r="AA184" s="140"/>
      <c r="AB184" s="140"/>
    </row>
    <row r="185" spans="1:28" ht="15.75">
      <c r="A185" s="141" t="s">
        <v>142</v>
      </c>
      <c r="B185" s="82"/>
      <c r="C185" s="82"/>
      <c r="D185" s="82"/>
      <c r="E185" s="82"/>
      <c r="F185" s="82"/>
      <c r="G185" s="82"/>
      <c r="H185" s="82"/>
      <c r="I185" s="82"/>
      <c r="J185" s="82"/>
      <c r="K185" s="82"/>
      <c r="L185" s="82"/>
      <c r="M185" s="82"/>
      <c r="N185" s="142"/>
      <c r="O185" s="143"/>
      <c r="P185" s="144"/>
      <c r="Q185" s="144"/>
      <c r="R185" s="144"/>
      <c r="S185" s="158"/>
      <c r="T185" s="146" t="s">
        <v>143</v>
      </c>
      <c r="U185" s="946">
        <v>4.0000000000000002E-4</v>
      </c>
      <c r="V185" s="946">
        <v>4.0000000000000002E-4</v>
      </c>
      <c r="W185" s="946">
        <v>2.0000000000000001E-4</v>
      </c>
      <c r="X185" s="80"/>
      <c r="Y185" s="80"/>
      <c r="Z185" s="80"/>
      <c r="AA185" s="80"/>
      <c r="AB185" s="80"/>
    </row>
    <row r="186" spans="1:28" ht="15.75">
      <c r="A186" s="95" t="s">
        <v>41</v>
      </c>
      <c r="B186" s="149"/>
      <c r="C186" s="149"/>
      <c r="D186" s="149"/>
      <c r="E186" s="149"/>
      <c r="F186" s="149"/>
      <c r="G186" s="149"/>
      <c r="H186" s="149"/>
      <c r="I186" s="149"/>
      <c r="J186" s="149"/>
      <c r="K186" s="149"/>
      <c r="L186" s="149"/>
      <c r="M186" s="149"/>
      <c r="N186" s="939">
        <f>SUM(N187:N221)*0.25</f>
        <v>49229.364999999998</v>
      </c>
      <c r="O186" s="143" t="s">
        <v>145</v>
      </c>
      <c r="P186" s="188">
        <v>0.08</v>
      </c>
      <c r="Q186" s="188">
        <v>0.08</v>
      </c>
      <c r="R186" s="188">
        <v>0.08</v>
      </c>
      <c r="S186" s="158"/>
      <c r="T186" s="146" t="s">
        <v>146</v>
      </c>
      <c r="U186" s="954">
        <v>2438253</v>
      </c>
      <c r="V186" s="954">
        <v>6759463</v>
      </c>
      <c r="W186" s="954">
        <v>28131584</v>
      </c>
      <c r="X186" s="80"/>
      <c r="Y186" s="80"/>
      <c r="Z186" s="80"/>
      <c r="AA186" s="80"/>
      <c r="AB186" s="80"/>
    </row>
    <row r="187" spans="1:28" ht="15.75">
      <c r="A187" s="95" t="s">
        <v>293</v>
      </c>
      <c r="B187" s="82"/>
      <c r="C187" s="82"/>
      <c r="D187" s="82"/>
      <c r="E187" s="82"/>
      <c r="F187" s="82"/>
      <c r="G187" s="82"/>
      <c r="H187" s="82"/>
      <c r="I187" s="82"/>
      <c r="J187" s="82"/>
      <c r="K187" s="82"/>
      <c r="L187" s="82"/>
      <c r="M187" s="82"/>
      <c r="N187" s="939">
        <f>X194+U201</f>
        <v>10800</v>
      </c>
      <c r="O187" s="143" t="s">
        <v>145</v>
      </c>
      <c r="P187" s="188">
        <f>(U185*$N$5)/1000</f>
        <v>5.7600000000000004E-3</v>
      </c>
      <c r="Q187" s="188">
        <f>N187*U185/1000</f>
        <v>4.3200000000000001E-3</v>
      </c>
      <c r="R187" s="188">
        <f>(W185*$N$5)/1000</f>
        <v>2.8800000000000002E-3</v>
      </c>
      <c r="S187" s="158"/>
      <c r="T187" s="146" t="s">
        <v>152</v>
      </c>
      <c r="U187" s="946">
        <v>8.0000000000000004E-4</v>
      </c>
      <c r="V187" s="946">
        <v>8.0000000000000004E-4</v>
      </c>
      <c r="W187" s="946">
        <v>4.0000000000000002E-4</v>
      </c>
      <c r="X187" s="80"/>
      <c r="Y187" s="80"/>
      <c r="Z187" s="80"/>
      <c r="AA187" s="80"/>
      <c r="AB187" s="80"/>
    </row>
    <row r="188" spans="1:28" ht="15.75">
      <c r="A188" s="82" t="s">
        <v>153</v>
      </c>
      <c r="B188" s="82"/>
      <c r="C188" s="82"/>
      <c r="D188" s="82"/>
      <c r="E188" s="156"/>
      <c r="F188" s="82"/>
      <c r="G188" s="82"/>
      <c r="H188" s="82"/>
      <c r="I188" s="156"/>
      <c r="J188" s="82"/>
      <c r="K188" s="82"/>
      <c r="L188" s="156"/>
      <c r="M188" s="82"/>
      <c r="N188" s="939"/>
      <c r="O188" s="143"/>
      <c r="P188" s="144"/>
      <c r="Q188" s="144"/>
      <c r="R188" s="144"/>
      <c r="S188" s="158"/>
      <c r="T188" s="82"/>
      <c r="U188" s="82"/>
      <c r="V188" s="82"/>
      <c r="W188" s="80"/>
      <c r="X188" s="80"/>
      <c r="Y188" s="80"/>
      <c r="Z188" s="80"/>
      <c r="AA188" s="80"/>
      <c r="AB188" s="80"/>
    </row>
    <row r="189" spans="1:28" ht="15.75">
      <c r="A189" s="82" t="s">
        <v>155</v>
      </c>
      <c r="B189" s="82"/>
      <c r="C189" s="82"/>
      <c r="D189" s="82"/>
      <c r="E189" s="156"/>
      <c r="F189" s="82"/>
      <c r="G189" s="82"/>
      <c r="H189" s="82"/>
      <c r="I189" s="156"/>
      <c r="J189" s="82"/>
      <c r="K189" s="82"/>
      <c r="L189" s="156"/>
      <c r="M189" s="82"/>
      <c r="N189" s="939"/>
      <c r="O189" s="143"/>
      <c r="P189" s="144"/>
      <c r="Q189" s="144"/>
      <c r="R189" s="144"/>
      <c r="S189" s="158"/>
      <c r="T189" s="146" t="s">
        <v>164</v>
      </c>
      <c r="U189" s="947">
        <f>SUM(N186:N220)*0.05</f>
        <v>11721.46825</v>
      </c>
      <c r="V189" s="82"/>
      <c r="W189" s="345" t="s">
        <v>158</v>
      </c>
      <c r="X189" s="346"/>
      <c r="Y189" s="346"/>
      <c r="Z189" s="1"/>
      <c r="AA189" s="1"/>
      <c r="AB189" s="80"/>
    </row>
    <row r="190" spans="1:28" ht="15.75">
      <c r="A190" s="82" t="s">
        <v>159</v>
      </c>
      <c r="B190" s="82"/>
      <c r="C190" s="82"/>
      <c r="D190" s="82"/>
      <c r="E190" s="156"/>
      <c r="F190" s="82"/>
      <c r="G190" s="82"/>
      <c r="H190" s="82"/>
      <c r="I190" s="156"/>
      <c r="J190" s="82"/>
      <c r="K190" s="82"/>
      <c r="L190" s="156"/>
      <c r="M190" s="82"/>
      <c r="N190" s="939"/>
      <c r="O190" s="143"/>
      <c r="P190" s="144"/>
      <c r="Q190" s="144"/>
      <c r="R190" s="144"/>
      <c r="S190" s="158"/>
      <c r="T190" s="146" t="s">
        <v>326</v>
      </c>
      <c r="U190" s="947">
        <f>4915*4</f>
        <v>19660</v>
      </c>
      <c r="V190" s="82"/>
      <c r="W190" s="347" t="s">
        <v>161</v>
      </c>
      <c r="X190" s="147">
        <v>10</v>
      </c>
      <c r="Y190" s="346"/>
      <c r="Z190" s="1"/>
      <c r="AA190" s="1"/>
      <c r="AB190" s="80"/>
    </row>
    <row r="191" spans="1:28" ht="15.75">
      <c r="A191" s="82" t="s">
        <v>162</v>
      </c>
      <c r="B191" s="82"/>
      <c r="C191" s="82"/>
      <c r="D191" s="82"/>
      <c r="E191" s="156"/>
      <c r="F191" s="82"/>
      <c r="G191" s="82"/>
      <c r="H191" s="82"/>
      <c r="I191" s="156"/>
      <c r="J191" s="82"/>
      <c r="K191" s="82"/>
      <c r="L191" s="156"/>
      <c r="M191" s="82"/>
      <c r="N191" s="939"/>
      <c r="O191" s="143"/>
      <c r="P191" s="144"/>
      <c r="Q191" s="144"/>
      <c r="R191" s="144"/>
      <c r="S191" s="158"/>
      <c r="T191" s="201"/>
      <c r="U191" s="947">
        <f>11550*4</f>
        <v>46200</v>
      </c>
      <c r="V191" s="82"/>
      <c r="W191" s="347" t="s">
        <v>165</v>
      </c>
      <c r="X191" s="147">
        <v>4</v>
      </c>
      <c r="Y191" s="346"/>
      <c r="Z191" s="1"/>
      <c r="AA191" s="1"/>
      <c r="AB191" s="80"/>
    </row>
    <row r="192" spans="1:28" ht="15.75">
      <c r="A192" s="82" t="s">
        <v>166</v>
      </c>
      <c r="B192" s="82"/>
      <c r="C192" s="82"/>
      <c r="D192" s="82"/>
      <c r="E192" s="156"/>
      <c r="F192" s="82"/>
      <c r="G192" s="82"/>
      <c r="H192" s="82"/>
      <c r="I192" s="156"/>
      <c r="J192" s="82"/>
      <c r="K192" s="82"/>
      <c r="L192" s="156"/>
      <c r="M192" s="82"/>
      <c r="N192" s="939"/>
      <c r="O192" s="143"/>
      <c r="P192" s="144"/>
      <c r="Q192" s="144"/>
      <c r="R192" s="144"/>
      <c r="S192" s="158"/>
      <c r="T192" s="201"/>
      <c r="U192" s="947">
        <v>30000</v>
      </c>
      <c r="V192" s="82"/>
      <c r="W192" s="347" t="s">
        <v>168</v>
      </c>
      <c r="X192" s="147">
        <v>3</v>
      </c>
      <c r="Y192" s="346"/>
      <c r="Z192" s="1"/>
      <c r="AA192" s="1"/>
      <c r="AB192" s="80"/>
    </row>
    <row r="193" spans="1:28" ht="15.75">
      <c r="A193" s="82" t="s">
        <v>169</v>
      </c>
      <c r="B193" s="82"/>
      <c r="C193" s="82"/>
      <c r="D193" s="82"/>
      <c r="E193" s="156"/>
      <c r="F193" s="82"/>
      <c r="G193" s="82"/>
      <c r="H193" s="82"/>
      <c r="I193" s="156"/>
      <c r="J193" s="82"/>
      <c r="K193" s="82"/>
      <c r="L193" s="156"/>
      <c r="M193" s="82"/>
      <c r="N193" s="939"/>
      <c r="O193" s="143"/>
      <c r="P193" s="144"/>
      <c r="Q193" s="144"/>
      <c r="R193" s="144"/>
      <c r="S193" s="158"/>
      <c r="T193" s="146" t="s">
        <v>178</v>
      </c>
      <c r="U193" s="948">
        <v>17330362</v>
      </c>
      <c r="V193" s="82"/>
      <c r="W193" s="347" t="s">
        <v>172</v>
      </c>
      <c r="X193" s="947">
        <v>40</v>
      </c>
      <c r="Y193" s="346"/>
      <c r="Z193" s="1"/>
      <c r="AA193" s="1"/>
      <c r="AB193" s="80"/>
    </row>
    <row r="194" spans="1:28" ht="15.75">
      <c r="A194" s="82" t="s">
        <v>173</v>
      </c>
      <c r="B194" s="82"/>
      <c r="C194" s="82"/>
      <c r="D194" s="82"/>
      <c r="E194" s="156"/>
      <c r="F194" s="82"/>
      <c r="G194" s="82"/>
      <c r="H194" s="82"/>
      <c r="I194" s="156"/>
      <c r="J194" s="82"/>
      <c r="K194" s="82"/>
      <c r="L194" s="156"/>
      <c r="M194" s="82"/>
      <c r="N194" s="939"/>
      <c r="O194" s="143"/>
      <c r="P194" s="144"/>
      <c r="Q194" s="144"/>
      <c r="R194" s="144"/>
      <c r="S194" s="158"/>
      <c r="T194" s="82"/>
      <c r="U194" s="82"/>
      <c r="V194" s="82"/>
      <c r="W194" s="347" t="s">
        <v>175</v>
      </c>
      <c r="X194" s="947">
        <f>(X190*X191*X192*X193)</f>
        <v>4800</v>
      </c>
      <c r="Y194" s="346"/>
      <c r="Z194" s="1"/>
      <c r="AA194" s="1"/>
      <c r="AB194" s="80"/>
    </row>
    <row r="195" spans="1:28" ht="15.75">
      <c r="A195" s="82" t="s">
        <v>177</v>
      </c>
      <c r="B195" s="82"/>
      <c r="C195" s="82"/>
      <c r="D195" s="82"/>
      <c r="E195" s="156"/>
      <c r="F195" s="82"/>
      <c r="G195" s="82"/>
      <c r="H195" s="82"/>
      <c r="I195" s="156"/>
      <c r="J195" s="82"/>
      <c r="K195" s="82"/>
      <c r="L195" s="156"/>
      <c r="M195" s="82"/>
      <c r="N195" s="939"/>
      <c r="O195" s="143"/>
      <c r="P195" s="144"/>
      <c r="Q195" s="144"/>
      <c r="R195" s="144"/>
      <c r="S195" s="158"/>
      <c r="T195" s="1"/>
      <c r="U195" s="1"/>
      <c r="V195" s="1"/>
      <c r="W195" s="346"/>
      <c r="X195" s="346"/>
      <c r="Y195" s="346"/>
      <c r="Z195" s="346"/>
      <c r="AA195" s="346"/>
      <c r="AB195" s="1"/>
    </row>
    <row r="196" spans="1:28" ht="15.75">
      <c r="A196" s="82" t="s">
        <v>179</v>
      </c>
      <c r="B196" s="82"/>
      <c r="C196" s="82"/>
      <c r="D196" s="82"/>
      <c r="E196" s="156"/>
      <c r="F196" s="82"/>
      <c r="G196" s="82"/>
      <c r="H196" s="82"/>
      <c r="I196" s="156"/>
      <c r="J196" s="82"/>
      <c r="K196" s="82"/>
      <c r="L196" s="156"/>
      <c r="M196" s="82"/>
      <c r="N196" s="939"/>
      <c r="O196" s="143"/>
      <c r="P196" s="144"/>
      <c r="Q196" s="144"/>
      <c r="R196" s="144"/>
      <c r="S196" s="158"/>
      <c r="T196" s="345" t="s">
        <v>191</v>
      </c>
      <c r="U196" s="346"/>
      <c r="V196" s="1"/>
      <c r="W196" s="345" t="s">
        <v>182</v>
      </c>
      <c r="X196" s="346"/>
      <c r="Y196" s="346"/>
      <c r="Z196" s="346"/>
      <c r="AA196" s="346"/>
      <c r="AB196" s="1"/>
    </row>
    <row r="197" spans="1:28" ht="15.75">
      <c r="A197" s="82" t="s">
        <v>304</v>
      </c>
      <c r="B197" s="82"/>
      <c r="C197" s="82"/>
      <c r="D197" s="82"/>
      <c r="E197" s="156"/>
      <c r="F197" s="82"/>
      <c r="G197" s="82"/>
      <c r="H197" s="82"/>
      <c r="I197" s="156"/>
      <c r="J197" s="82"/>
      <c r="K197" s="82"/>
      <c r="L197" s="156"/>
      <c r="M197" s="82"/>
      <c r="N197" s="939"/>
      <c r="O197" s="143"/>
      <c r="P197" s="144"/>
      <c r="Q197" s="144"/>
      <c r="R197" s="144"/>
      <c r="S197" s="158"/>
      <c r="T197" s="347" t="s">
        <v>161</v>
      </c>
      <c r="U197" s="147">
        <v>10</v>
      </c>
      <c r="V197" s="1"/>
      <c r="W197" s="347" t="s">
        <v>161</v>
      </c>
      <c r="X197" s="949">
        <v>10</v>
      </c>
      <c r="Y197" s="346"/>
      <c r="Z197" s="346"/>
      <c r="AA197" s="346"/>
      <c r="AB197" s="1"/>
    </row>
    <row r="198" spans="1:28" ht="15.75">
      <c r="A198" s="95" t="s">
        <v>184</v>
      </c>
      <c r="B198" s="82"/>
      <c r="C198" s="82"/>
      <c r="D198" s="82"/>
      <c r="E198" s="82"/>
      <c r="F198" s="82"/>
      <c r="G198" s="82"/>
      <c r="H198" s="82"/>
      <c r="I198" s="82"/>
      <c r="J198" s="82"/>
      <c r="K198" s="82"/>
      <c r="L198" s="82"/>
      <c r="M198" s="82"/>
      <c r="N198" s="939">
        <f>X201</f>
        <v>24000</v>
      </c>
      <c r="O198" s="143" t="s">
        <v>145</v>
      </c>
      <c r="P198" s="188">
        <f>N198*0.0004/1000</f>
        <v>9.5999999999999992E-3</v>
      </c>
      <c r="Q198" s="188">
        <f>N198*U185/1000</f>
        <v>9.5999999999999992E-3</v>
      </c>
      <c r="R198" s="188">
        <f>N198*0.0003/1000</f>
        <v>7.1999999999999989E-3</v>
      </c>
      <c r="S198" s="158"/>
      <c r="T198" s="347" t="s">
        <v>165</v>
      </c>
      <c r="U198" s="147">
        <v>4</v>
      </c>
      <c r="V198" s="1"/>
      <c r="W198" s="347" t="s">
        <v>165</v>
      </c>
      <c r="X198" s="949">
        <v>4</v>
      </c>
      <c r="Y198" s="346"/>
      <c r="Z198" s="346"/>
      <c r="AA198" s="346"/>
      <c r="AB198" s="1"/>
    </row>
    <row r="199" spans="1:28" ht="15.75">
      <c r="A199" s="82" t="s">
        <v>153</v>
      </c>
      <c r="B199" s="82"/>
      <c r="C199" s="82"/>
      <c r="D199" s="82"/>
      <c r="E199" s="82"/>
      <c r="F199" s="191"/>
      <c r="G199" s="82"/>
      <c r="H199" s="82"/>
      <c r="I199" s="82"/>
      <c r="J199" s="82"/>
      <c r="K199" s="82"/>
      <c r="L199" s="82"/>
      <c r="M199" s="191"/>
      <c r="N199" s="939"/>
      <c r="O199" s="143"/>
      <c r="P199" s="144"/>
      <c r="Q199" s="144"/>
      <c r="R199" s="144"/>
      <c r="S199" s="158"/>
      <c r="T199" s="347" t="s">
        <v>168</v>
      </c>
      <c r="U199" s="147">
        <v>3</v>
      </c>
      <c r="V199" s="82"/>
      <c r="W199" s="347" t="s">
        <v>168</v>
      </c>
      <c r="X199" s="949">
        <v>2</v>
      </c>
      <c r="Y199" s="346"/>
      <c r="Z199" s="346"/>
      <c r="AA199" s="346"/>
      <c r="AB199" s="80"/>
    </row>
    <row r="200" spans="1:28" ht="15.75">
      <c r="A200" s="82" t="s">
        <v>155</v>
      </c>
      <c r="B200" s="82"/>
      <c r="C200" s="82"/>
      <c r="D200" s="82"/>
      <c r="E200" s="82"/>
      <c r="F200" s="191"/>
      <c r="G200" s="82"/>
      <c r="H200" s="82"/>
      <c r="I200" s="82"/>
      <c r="J200" s="82"/>
      <c r="K200" s="82"/>
      <c r="L200" s="82"/>
      <c r="M200" s="191"/>
      <c r="N200" s="939"/>
      <c r="O200" s="143"/>
      <c r="P200" s="144"/>
      <c r="Q200" s="144"/>
      <c r="R200" s="144"/>
      <c r="S200" s="158"/>
      <c r="T200" s="347" t="s">
        <v>172</v>
      </c>
      <c r="U200" s="947">
        <v>50</v>
      </c>
      <c r="V200" s="82"/>
      <c r="W200" s="347" t="s">
        <v>172</v>
      </c>
      <c r="X200" s="951">
        <v>300</v>
      </c>
      <c r="Y200" s="346"/>
      <c r="Z200" s="346"/>
      <c r="AA200" s="346"/>
      <c r="AB200" s="80"/>
    </row>
    <row r="201" spans="1:28" ht="15.75">
      <c r="A201" s="82" t="s">
        <v>159</v>
      </c>
      <c r="B201" s="82"/>
      <c r="C201" s="82"/>
      <c r="D201" s="82"/>
      <c r="E201" s="82"/>
      <c r="F201" s="191"/>
      <c r="G201" s="82"/>
      <c r="H201" s="82"/>
      <c r="I201" s="82"/>
      <c r="J201" s="82"/>
      <c r="K201" s="82"/>
      <c r="L201" s="82"/>
      <c r="M201" s="191"/>
      <c r="N201" s="939"/>
      <c r="O201" s="143"/>
      <c r="P201" s="144"/>
      <c r="Q201" s="144"/>
      <c r="R201" s="144"/>
      <c r="S201" s="158"/>
      <c r="T201" s="347" t="s">
        <v>175</v>
      </c>
      <c r="U201" s="947">
        <f>(U197*U198*U199*U200)</f>
        <v>6000</v>
      </c>
      <c r="V201" s="82"/>
      <c r="W201" s="347" t="s">
        <v>175</v>
      </c>
      <c r="X201" s="951">
        <f>(X197*X198*X199*X200)</f>
        <v>24000</v>
      </c>
      <c r="Y201" s="346"/>
      <c r="Z201" s="346"/>
      <c r="AA201" s="346"/>
      <c r="AB201" s="80"/>
    </row>
    <row r="202" spans="1:28" ht="15.75">
      <c r="A202" s="82" t="s">
        <v>162</v>
      </c>
      <c r="B202" s="82"/>
      <c r="C202" s="82"/>
      <c r="D202" s="82"/>
      <c r="E202" s="82"/>
      <c r="F202" s="191"/>
      <c r="G202" s="82"/>
      <c r="H202" s="82"/>
      <c r="I202" s="82"/>
      <c r="J202" s="82"/>
      <c r="K202" s="82"/>
      <c r="L202" s="82"/>
      <c r="M202" s="191"/>
      <c r="N202" s="939"/>
      <c r="O202" s="143"/>
      <c r="P202" s="144"/>
      <c r="Q202" s="144"/>
      <c r="R202" s="144"/>
      <c r="S202" s="158"/>
      <c r="T202" s="1"/>
      <c r="U202" s="1"/>
      <c r="V202" s="1"/>
      <c r="W202" s="1"/>
      <c r="X202" s="1"/>
      <c r="Y202" s="1"/>
      <c r="Z202" s="1"/>
      <c r="AA202" s="1"/>
      <c r="AB202" s="1"/>
    </row>
    <row r="203" spans="1:28" ht="15.75">
      <c r="A203" s="82" t="s">
        <v>166</v>
      </c>
      <c r="B203" s="82"/>
      <c r="C203" s="82"/>
      <c r="D203" s="82"/>
      <c r="E203" s="82"/>
      <c r="F203" s="191"/>
      <c r="G203" s="82"/>
      <c r="H203" s="82"/>
      <c r="I203" s="82"/>
      <c r="J203" s="82"/>
      <c r="K203" s="82"/>
      <c r="L203" s="82"/>
      <c r="M203" s="191"/>
      <c r="N203" s="939"/>
      <c r="O203" s="143"/>
      <c r="P203" s="144"/>
      <c r="Q203" s="144"/>
      <c r="R203" s="144"/>
      <c r="S203" s="158"/>
      <c r="T203" s="146" t="s">
        <v>309</v>
      </c>
      <c r="U203" s="201"/>
      <c r="V203" s="201"/>
      <c r="W203" s="201"/>
      <c r="X203" s="206"/>
      <c r="Y203" s="80"/>
      <c r="Z203" s="80"/>
      <c r="AA203" s="80"/>
      <c r="AB203" s="80"/>
    </row>
    <row r="204" spans="1:28" ht="15.75">
      <c r="A204" s="82" t="s">
        <v>169</v>
      </c>
      <c r="B204" s="82"/>
      <c r="C204" s="82"/>
      <c r="D204" s="82"/>
      <c r="E204" s="82"/>
      <c r="F204" s="191"/>
      <c r="G204" s="82"/>
      <c r="H204" s="82"/>
      <c r="I204" s="82"/>
      <c r="J204" s="82"/>
      <c r="K204" s="82"/>
      <c r="L204" s="82"/>
      <c r="M204" s="191"/>
      <c r="N204" s="939"/>
      <c r="O204" s="143"/>
      <c r="P204" s="144"/>
      <c r="Q204" s="144"/>
      <c r="R204" s="144"/>
      <c r="S204" s="158"/>
      <c r="T204" s="347" t="s">
        <v>310</v>
      </c>
      <c r="U204" s="206"/>
      <c r="V204" s="201"/>
      <c r="W204" s="201"/>
      <c r="X204" s="206"/>
      <c r="Y204" s="80"/>
      <c r="Z204" s="80"/>
      <c r="AA204" s="80"/>
      <c r="AB204" s="80"/>
    </row>
    <row r="205" spans="1:28" ht="15.75">
      <c r="A205" s="82" t="s">
        <v>173</v>
      </c>
      <c r="B205" s="82"/>
      <c r="C205" s="82"/>
      <c r="D205" s="82"/>
      <c r="E205" s="82"/>
      <c r="F205" s="191"/>
      <c r="G205" s="82"/>
      <c r="H205" s="82"/>
      <c r="I205" s="82"/>
      <c r="J205" s="82"/>
      <c r="K205" s="82"/>
      <c r="L205" s="82"/>
      <c r="M205" s="191"/>
      <c r="N205" s="939"/>
      <c r="O205" s="143"/>
      <c r="P205" s="144"/>
      <c r="Q205" s="144"/>
      <c r="R205" s="144"/>
      <c r="S205" s="158"/>
      <c r="T205" s="347" t="s">
        <v>327</v>
      </c>
      <c r="U205" s="290"/>
      <c r="V205" s="952">
        <f>U193*0.03</f>
        <v>519910.86</v>
      </c>
      <c r="W205" s="216"/>
      <c r="X205" s="206"/>
      <c r="Y205" s="80"/>
      <c r="Z205" s="80"/>
      <c r="AA205" s="80"/>
      <c r="AB205" s="80"/>
    </row>
    <row r="206" spans="1:28" ht="15.75">
      <c r="A206" s="82" t="s">
        <v>177</v>
      </c>
      <c r="B206" s="82"/>
      <c r="C206" s="82"/>
      <c r="D206" s="82"/>
      <c r="E206" s="82"/>
      <c r="F206" s="191"/>
      <c r="G206" s="82"/>
      <c r="H206" s="82"/>
      <c r="I206" s="82"/>
      <c r="J206" s="82"/>
      <c r="K206" s="82"/>
      <c r="L206" s="82"/>
      <c r="M206" s="191"/>
      <c r="N206" s="939"/>
      <c r="O206" s="143"/>
      <c r="P206" s="144"/>
      <c r="Q206" s="144"/>
      <c r="R206" s="144"/>
      <c r="S206" s="158"/>
      <c r="T206" s="347" t="s">
        <v>312</v>
      </c>
      <c r="U206" s="214"/>
      <c r="V206" s="212">
        <f>N227/U193</f>
        <v>1.4401852944560534E-2</v>
      </c>
      <c r="W206" s="201"/>
      <c r="X206" s="206"/>
      <c r="Y206" s="80"/>
      <c r="Z206" s="80"/>
      <c r="AA206" s="80"/>
      <c r="AB206" s="80"/>
    </row>
    <row r="207" spans="1:28" ht="15.75">
      <c r="A207" s="82" t="s">
        <v>179</v>
      </c>
      <c r="B207" s="82"/>
      <c r="C207" s="82"/>
      <c r="D207" s="82"/>
      <c r="E207" s="82"/>
      <c r="F207" s="191"/>
      <c r="G207" s="82"/>
      <c r="H207" s="82"/>
      <c r="I207" s="82"/>
      <c r="J207" s="82"/>
      <c r="K207" s="82"/>
      <c r="L207" s="82"/>
      <c r="M207" s="191"/>
      <c r="N207" s="939"/>
      <c r="O207" s="143"/>
      <c r="P207" s="144"/>
      <c r="Q207" s="144"/>
      <c r="R207" s="144"/>
      <c r="S207" s="158"/>
      <c r="T207" s="146" t="s">
        <v>203</v>
      </c>
      <c r="U207" s="214"/>
      <c r="V207" s="214" t="s">
        <v>204</v>
      </c>
      <c r="W207" s="201"/>
      <c r="X207" s="206"/>
      <c r="Y207" s="80"/>
      <c r="Z207" s="80"/>
      <c r="AA207" s="80"/>
      <c r="AB207" s="80"/>
    </row>
    <row r="208" spans="1:28" ht="15.75">
      <c r="A208" s="82" t="s">
        <v>183</v>
      </c>
      <c r="B208" s="82"/>
      <c r="C208" s="82"/>
      <c r="D208" s="82"/>
      <c r="E208" s="82"/>
      <c r="F208" s="191"/>
      <c r="G208" s="82"/>
      <c r="H208" s="82"/>
      <c r="I208" s="82"/>
      <c r="J208" s="82"/>
      <c r="K208" s="82"/>
      <c r="L208" s="82"/>
      <c r="M208" s="191"/>
      <c r="N208" s="939"/>
      <c r="O208" s="143"/>
      <c r="P208" s="144"/>
      <c r="Q208" s="144"/>
      <c r="R208" s="144"/>
      <c r="S208" s="158"/>
      <c r="T208" s="146" t="s">
        <v>207</v>
      </c>
      <c r="U208" s="214"/>
      <c r="V208" s="214" t="s">
        <v>208</v>
      </c>
      <c r="W208" s="201"/>
      <c r="X208" s="206"/>
      <c r="Y208" s="80"/>
      <c r="Z208" s="80"/>
      <c r="AA208" s="80"/>
      <c r="AB208" s="80"/>
    </row>
    <row r="209" spans="1:28" ht="15.75">
      <c r="A209" s="95" t="s">
        <v>199</v>
      </c>
      <c r="B209" s="82"/>
      <c r="C209" s="82"/>
      <c r="D209" s="82"/>
      <c r="E209" s="82"/>
      <c r="F209" s="82"/>
      <c r="G209" s="82"/>
      <c r="H209" s="82"/>
      <c r="I209" s="82"/>
      <c r="J209" s="82"/>
      <c r="K209" s="82"/>
      <c r="L209" s="82"/>
      <c r="M209" s="82"/>
      <c r="N209" s="939"/>
      <c r="O209" s="143" t="s">
        <v>145</v>
      </c>
      <c r="P209" s="188">
        <f>((SUM(N210:N215))*0.08%)/1000</f>
        <v>3.1632E-2</v>
      </c>
      <c r="Q209" s="188">
        <f>((SUM(N210:N214)-N213)*0.0008)/1000</f>
        <v>2.0216000000000001E-2</v>
      </c>
      <c r="R209" s="188">
        <f>(((SUM(N210:N214))-N213-N215)*W187)/1000</f>
        <v>6.9080000000000001E-3</v>
      </c>
      <c r="S209" s="158"/>
      <c r="T209" s="82"/>
      <c r="U209" s="82"/>
      <c r="V209" s="82"/>
      <c r="W209" s="80"/>
      <c r="X209" s="80"/>
      <c r="Y209" s="80"/>
      <c r="Z209" s="80"/>
      <c r="AA209" s="80"/>
      <c r="AB209" s="80"/>
    </row>
    <row r="210" spans="1:28" ht="15.75">
      <c r="A210" s="82" t="s">
        <v>201</v>
      </c>
      <c r="B210" s="82"/>
      <c r="C210" s="82"/>
      <c r="D210" s="82"/>
      <c r="E210" s="82"/>
      <c r="F210" s="82"/>
      <c r="G210" s="82"/>
      <c r="H210" s="82"/>
      <c r="I210" s="82"/>
      <c r="J210" s="82"/>
      <c r="K210" s="201"/>
      <c r="L210" s="82"/>
      <c r="M210" s="82"/>
      <c r="N210" s="940">
        <v>8000</v>
      </c>
      <c r="O210" s="143"/>
      <c r="P210" s="144"/>
      <c r="Q210" s="144"/>
      <c r="R210" s="144"/>
      <c r="S210" s="158"/>
      <c r="T210" s="82"/>
      <c r="U210" s="82"/>
      <c r="V210" s="82"/>
      <c r="W210" s="80"/>
      <c r="X210" s="80"/>
      <c r="Y210" s="80"/>
      <c r="Z210" s="80"/>
      <c r="AA210" s="80"/>
      <c r="AB210" s="80"/>
    </row>
    <row r="211" spans="1:28" ht="15.75">
      <c r="A211" s="82" t="s">
        <v>328</v>
      </c>
      <c r="B211" s="82"/>
      <c r="C211" s="82"/>
      <c r="D211" s="201"/>
      <c r="E211" s="201"/>
      <c r="F211" s="82"/>
      <c r="G211" s="201"/>
      <c r="H211" s="82"/>
      <c r="I211" s="82"/>
      <c r="J211" s="201"/>
      <c r="K211" s="201"/>
      <c r="L211" s="82"/>
      <c r="M211" s="82"/>
      <c r="N211" s="940">
        <v>1500</v>
      </c>
      <c r="O211" s="143"/>
      <c r="P211" s="144"/>
      <c r="Q211" s="144"/>
      <c r="R211" s="144"/>
      <c r="S211" s="158"/>
      <c r="T211" s="82"/>
      <c r="U211" s="82"/>
      <c r="V211" s="82"/>
      <c r="W211" s="80"/>
      <c r="X211" s="80"/>
      <c r="Y211" s="80"/>
      <c r="Z211" s="80"/>
      <c r="AA211" s="80"/>
      <c r="AB211" s="80"/>
    </row>
    <row r="212" spans="1:28" ht="15.75">
      <c r="A212" s="82" t="s">
        <v>209</v>
      </c>
      <c r="B212" s="82"/>
      <c r="C212" s="82"/>
      <c r="D212" s="82"/>
      <c r="E212" s="201"/>
      <c r="F212" s="82"/>
      <c r="G212" s="82"/>
      <c r="H212" s="82"/>
      <c r="I212" s="82"/>
      <c r="J212" s="82"/>
      <c r="K212" s="82"/>
      <c r="L212" s="82"/>
      <c r="M212" s="82"/>
      <c r="N212" s="940">
        <v>8000</v>
      </c>
      <c r="O212" s="143"/>
      <c r="P212" s="144"/>
      <c r="Q212" s="144"/>
      <c r="R212" s="144"/>
      <c r="S212" s="158"/>
      <c r="T212" s="82"/>
      <c r="U212" s="82"/>
      <c r="V212" s="82"/>
      <c r="W212" s="80"/>
      <c r="X212" s="80"/>
      <c r="Y212" s="80"/>
      <c r="Z212" s="80"/>
      <c r="AA212" s="80"/>
      <c r="AB212" s="80"/>
    </row>
    <row r="213" spans="1:28" ht="15.75">
      <c r="A213" s="82" t="s">
        <v>210</v>
      </c>
      <c r="B213" s="82"/>
      <c r="C213" s="82"/>
      <c r="D213" s="82"/>
      <c r="E213" s="82"/>
      <c r="F213" s="82"/>
      <c r="G213" s="82"/>
      <c r="H213" s="82"/>
      <c r="I213" s="82"/>
      <c r="J213" s="201"/>
      <c r="K213" s="82"/>
      <c r="L213" s="82"/>
      <c r="M213" s="82"/>
      <c r="N213" s="940">
        <v>6270</v>
      </c>
      <c r="O213" s="143"/>
      <c r="P213" s="144"/>
      <c r="Q213" s="144"/>
      <c r="R213" s="144"/>
      <c r="S213" s="158"/>
      <c r="T213" s="82"/>
      <c r="U213" s="82"/>
      <c r="V213" s="82"/>
      <c r="W213" s="80"/>
      <c r="X213" s="80"/>
      <c r="Y213" s="80"/>
      <c r="Z213" s="80"/>
      <c r="AA213" s="80"/>
      <c r="AB213" s="80"/>
    </row>
    <row r="214" spans="1:28" ht="15.75">
      <c r="A214" s="82" t="s">
        <v>211</v>
      </c>
      <c r="B214" s="82"/>
      <c r="C214" s="82"/>
      <c r="D214" s="82"/>
      <c r="E214" s="201"/>
      <c r="F214" s="201"/>
      <c r="G214" s="82"/>
      <c r="H214" s="82"/>
      <c r="I214" s="82"/>
      <c r="J214" s="82"/>
      <c r="K214" s="82"/>
      <c r="L214" s="82"/>
      <c r="M214" s="82"/>
      <c r="N214" s="940">
        <v>7770</v>
      </c>
      <c r="O214" s="143"/>
      <c r="P214" s="144"/>
      <c r="Q214" s="144"/>
      <c r="R214" s="144"/>
      <c r="S214" s="158"/>
      <c r="T214" s="82"/>
      <c r="U214" s="82"/>
      <c r="V214" s="82"/>
      <c r="W214" s="80"/>
      <c r="X214" s="80"/>
      <c r="Y214" s="80"/>
      <c r="Z214" s="80"/>
      <c r="AA214" s="80"/>
      <c r="AB214" s="80"/>
    </row>
    <row r="215" spans="1:28" ht="15.75">
      <c r="A215" s="82" t="s">
        <v>213</v>
      </c>
      <c r="B215" s="82"/>
      <c r="C215" s="82"/>
      <c r="D215" s="82"/>
      <c r="E215" s="82"/>
      <c r="F215" s="82"/>
      <c r="G215" s="82"/>
      <c r="H215" s="82"/>
      <c r="I215" s="82"/>
      <c r="J215" s="82"/>
      <c r="K215" s="82"/>
      <c r="L215" s="201"/>
      <c r="M215" s="82"/>
      <c r="N215" s="940">
        <v>8000</v>
      </c>
      <c r="O215" s="143"/>
      <c r="P215" s="144"/>
      <c r="Q215" s="144"/>
      <c r="R215" s="144"/>
      <c r="S215" s="158"/>
      <c r="T215" s="82"/>
      <c r="U215" s="82"/>
      <c r="V215" s="82"/>
      <c r="W215" s="80"/>
      <c r="X215" s="80"/>
      <c r="Y215" s="80"/>
      <c r="Z215" s="80"/>
      <c r="AA215" s="80"/>
      <c r="AB215" s="80"/>
    </row>
    <row r="216" spans="1:28" ht="15.75">
      <c r="A216" s="95" t="s">
        <v>315</v>
      </c>
      <c r="B216" s="82"/>
      <c r="C216" s="82"/>
      <c r="D216" s="82"/>
      <c r="E216" s="82"/>
      <c r="F216" s="82"/>
      <c r="G216" s="82"/>
      <c r="H216" s="82"/>
      <c r="I216" s="82"/>
      <c r="J216" s="82"/>
      <c r="K216" s="82"/>
      <c r="L216" s="82"/>
      <c r="M216" s="82"/>
      <c r="N216" s="939">
        <v>95860</v>
      </c>
      <c r="O216" s="143"/>
      <c r="P216" s="144"/>
      <c r="Q216" s="144"/>
      <c r="R216" s="144"/>
      <c r="S216" s="338"/>
      <c r="T216" s="339"/>
      <c r="U216" s="82"/>
      <c r="V216" s="82"/>
      <c r="W216" s="80"/>
      <c r="X216" s="80"/>
      <c r="Y216" s="80"/>
      <c r="Z216" s="80"/>
      <c r="AA216" s="80"/>
      <c r="AB216" s="80"/>
    </row>
    <row r="217" spans="1:28" ht="15.75">
      <c r="A217" s="82" t="s">
        <v>316</v>
      </c>
      <c r="B217" s="340"/>
      <c r="C217" s="340"/>
      <c r="D217" s="82"/>
      <c r="E217" s="82"/>
      <c r="F217" s="340"/>
      <c r="G217" s="340"/>
      <c r="H217" s="82"/>
      <c r="I217" s="82"/>
      <c r="J217" s="341"/>
      <c r="K217" s="341"/>
      <c r="L217" s="341"/>
      <c r="M217" s="82"/>
      <c r="N217" s="939"/>
      <c r="O217" s="939">
        <f>(U190/4)/(650708.65)*1000</f>
        <v>7.5533036175252928</v>
      </c>
      <c r="P217" s="188">
        <v>5.0000000000000001E-4</v>
      </c>
      <c r="Q217" s="188">
        <v>1E-3</v>
      </c>
      <c r="R217" s="188">
        <v>3.6999999999999999E-4</v>
      </c>
      <c r="S217" s="167"/>
      <c r="T217" s="80"/>
      <c r="U217" s="82"/>
      <c r="V217" s="82"/>
      <c r="W217" s="80"/>
      <c r="X217" s="80"/>
      <c r="Y217" s="80"/>
      <c r="Z217" s="80"/>
      <c r="AA217" s="80"/>
      <c r="AB217" s="80"/>
    </row>
    <row r="218" spans="1:28" ht="15.75">
      <c r="A218" s="82" t="s">
        <v>317</v>
      </c>
      <c r="B218" s="341"/>
      <c r="C218" s="341"/>
      <c r="D218" s="340"/>
      <c r="E218" s="340"/>
      <c r="F218" s="82"/>
      <c r="G218" s="82"/>
      <c r="H218" s="340"/>
      <c r="I218" s="340"/>
      <c r="J218" s="341"/>
      <c r="K218" s="82"/>
      <c r="L218" s="82"/>
      <c r="M218" s="82"/>
      <c r="N218" s="939"/>
      <c r="O218" s="939">
        <f>(U191/4)/(88096.8)*1000</f>
        <v>131.10578363799817</v>
      </c>
      <c r="P218" s="188">
        <v>5.0000000000000001E-3</v>
      </c>
      <c r="Q218" s="188">
        <v>5.0000000000000001E-3</v>
      </c>
      <c r="R218" s="188">
        <v>4.2300000000000003E-3</v>
      </c>
      <c r="S218" s="167"/>
      <c r="T218" s="80"/>
      <c r="U218" s="82"/>
      <c r="V218" s="82"/>
      <c r="W218" s="80"/>
      <c r="X218" s="80"/>
      <c r="Y218" s="80"/>
      <c r="Z218" s="80"/>
      <c r="AA218" s="80"/>
      <c r="AB218" s="80"/>
    </row>
    <row r="219" spans="1:28" ht="15.75">
      <c r="A219" s="82" t="s">
        <v>318</v>
      </c>
      <c r="B219" s="341"/>
      <c r="C219" s="82"/>
      <c r="D219" s="82"/>
      <c r="E219" s="82"/>
      <c r="F219" s="340"/>
      <c r="G219" s="340"/>
      <c r="H219" s="341"/>
      <c r="I219" s="341"/>
      <c r="J219" s="82"/>
      <c r="K219" s="82"/>
      <c r="L219" s="340"/>
      <c r="M219" s="340"/>
      <c r="N219" s="939"/>
      <c r="O219" s="939">
        <f>(U192/4)/(262358.89)*1000</f>
        <v>28.586795743799644</v>
      </c>
      <c r="P219" s="188">
        <v>2.8500000000000001E-2</v>
      </c>
      <c r="Q219" s="188">
        <v>2.9000000000000001E-2</v>
      </c>
      <c r="R219" s="188">
        <v>2.1850000000000001E-2</v>
      </c>
      <c r="S219" s="167"/>
      <c r="T219" s="80"/>
      <c r="U219" s="82"/>
      <c r="V219" s="82"/>
      <c r="W219" s="80"/>
      <c r="X219" s="80"/>
      <c r="Y219" s="80"/>
      <c r="Z219" s="80"/>
      <c r="AA219" s="80"/>
      <c r="AB219" s="80"/>
    </row>
    <row r="220" spans="1:28" ht="15.75">
      <c r="A220" s="95" t="s">
        <v>214</v>
      </c>
      <c r="B220" s="82"/>
      <c r="C220" s="82"/>
      <c r="D220" s="82"/>
      <c r="E220" s="82"/>
      <c r="F220" s="82"/>
      <c r="G220" s="82"/>
      <c r="H220" s="82"/>
      <c r="I220" s="82"/>
      <c r="J220" s="82"/>
      <c r="K220" s="82"/>
      <c r="L220" s="82"/>
      <c r="M220" s="82"/>
      <c r="N220" s="940">
        <v>15000</v>
      </c>
      <c r="O220" s="143"/>
      <c r="P220" s="188">
        <f>2%+(0.1-0.0992)%</f>
        <v>2.0008000000000001E-2</v>
      </c>
      <c r="Q220" s="188">
        <f>2%-0.0136%</f>
        <v>1.9864E-2</v>
      </c>
      <c r="R220" s="188">
        <f>1%-0.0438%</f>
        <v>9.5620000000000011E-3</v>
      </c>
      <c r="S220" s="158"/>
      <c r="T220" s="82"/>
      <c r="U220" s="82"/>
      <c r="V220" s="82"/>
      <c r="W220" s="80"/>
      <c r="X220" s="80"/>
      <c r="Y220" s="80"/>
      <c r="Z220" s="80"/>
      <c r="AA220" s="80"/>
      <c r="AB220" s="80"/>
    </row>
    <row r="221" spans="1:28" ht="15.75">
      <c r="A221" s="304" t="s">
        <v>216</v>
      </c>
      <c r="B221" s="306"/>
      <c r="C221" s="306"/>
      <c r="D221" s="306"/>
      <c r="E221" s="306"/>
      <c r="F221" s="306"/>
      <c r="G221" s="306"/>
      <c r="H221" s="306"/>
      <c r="I221" s="306"/>
      <c r="J221" s="306"/>
      <c r="K221" s="306"/>
      <c r="L221" s="306"/>
      <c r="M221" s="306"/>
      <c r="N221" s="942">
        <v>11717.46</v>
      </c>
      <c r="O221" s="236"/>
      <c r="P221" s="945"/>
      <c r="Q221" s="945"/>
      <c r="R221" s="945"/>
      <c r="S221" s="158"/>
      <c r="T221" s="82"/>
      <c r="U221" s="82"/>
      <c r="V221" s="82"/>
      <c r="W221" s="80"/>
      <c r="X221" s="80"/>
      <c r="Y221" s="80"/>
      <c r="Z221" s="80"/>
      <c r="AA221" s="80"/>
      <c r="AB221" s="80"/>
    </row>
    <row r="222" spans="1:28" ht="15.75">
      <c r="A222" s="342" t="s">
        <v>219</v>
      </c>
      <c r="B222" s="99"/>
      <c r="C222" s="99"/>
      <c r="D222" s="99"/>
      <c r="E222" s="99"/>
      <c r="F222" s="99"/>
      <c r="G222" s="99"/>
      <c r="H222" s="99"/>
      <c r="I222" s="99"/>
      <c r="J222" s="99"/>
      <c r="K222" s="99"/>
      <c r="L222" s="99"/>
      <c r="M222" s="99"/>
      <c r="N222" s="942">
        <f>SUM(N185:N221)</f>
        <v>246146.82499999998</v>
      </c>
      <c r="O222" s="236"/>
      <c r="P222" s="945">
        <f>SUM(P185:P221)</f>
        <v>0.18099999999999999</v>
      </c>
      <c r="Q222" s="945">
        <f>SUM(Q185:Q221)</f>
        <v>0.16900000000000001</v>
      </c>
      <c r="R222" s="945">
        <f>SUM(R185:R221)</f>
        <v>0.13300000000000001</v>
      </c>
      <c r="S222" s="158"/>
      <c r="T222" s="82"/>
      <c r="U222" s="82"/>
      <c r="V222" s="82"/>
      <c r="W222" s="80"/>
      <c r="X222" s="80"/>
      <c r="Y222" s="80"/>
      <c r="Z222" s="80"/>
      <c r="AA222" s="80"/>
      <c r="AB222" s="80"/>
    </row>
    <row r="223" spans="1:28" ht="15.75">
      <c r="A223" s="141" t="s">
        <v>225</v>
      </c>
      <c r="B223" s="82"/>
      <c r="C223" s="82"/>
      <c r="D223" s="82"/>
      <c r="E223" s="82"/>
      <c r="F223" s="82"/>
      <c r="G223" s="82"/>
      <c r="H223" s="82"/>
      <c r="I223" s="82"/>
      <c r="J223" s="82"/>
      <c r="K223" s="82"/>
      <c r="L223" s="82"/>
      <c r="M223" s="82"/>
      <c r="N223" s="939"/>
      <c r="O223" s="143"/>
      <c r="P223" s="144"/>
      <c r="Q223" s="144"/>
      <c r="R223" s="144"/>
      <c r="S223" s="158"/>
      <c r="T223" s="82"/>
      <c r="U223" s="82"/>
      <c r="V223" s="82"/>
      <c r="W223" s="80"/>
      <c r="X223" s="80"/>
      <c r="Y223" s="80"/>
      <c r="Z223" s="80"/>
      <c r="AA223" s="80"/>
      <c r="AB223" s="80"/>
    </row>
    <row r="224" spans="1:28" ht="15.75">
      <c r="A224" s="95" t="s">
        <v>226</v>
      </c>
      <c r="B224" s="82"/>
      <c r="C224" s="82"/>
      <c r="D224" s="82"/>
      <c r="E224" s="82"/>
      <c r="F224" s="82"/>
      <c r="G224" s="82"/>
      <c r="H224" s="82"/>
      <c r="I224" s="82"/>
      <c r="J224" s="82"/>
      <c r="K224" s="82"/>
      <c r="L224" s="82"/>
      <c r="M224" s="82"/>
      <c r="N224" s="939"/>
      <c r="O224" s="143"/>
      <c r="P224" s="144"/>
      <c r="Q224" s="144"/>
      <c r="R224" s="144"/>
      <c r="S224" s="158"/>
      <c r="T224" s="82"/>
      <c r="U224" s="339"/>
      <c r="V224" s="82"/>
      <c r="W224" s="80"/>
      <c r="X224" s="80"/>
      <c r="Y224" s="80"/>
      <c r="Z224" s="80"/>
      <c r="AA224" s="80"/>
      <c r="AB224" s="80"/>
    </row>
    <row r="225" spans="1:28" ht="15.75">
      <c r="A225" s="344" t="s">
        <v>229</v>
      </c>
      <c r="B225" s="99"/>
      <c r="C225" s="99"/>
      <c r="D225" s="233"/>
      <c r="E225" s="99"/>
      <c r="F225" s="99"/>
      <c r="G225" s="99"/>
      <c r="H225" s="99"/>
      <c r="I225" s="99"/>
      <c r="J225" s="99"/>
      <c r="K225" s="99"/>
      <c r="L225" s="99"/>
      <c r="M225" s="99"/>
      <c r="N225" s="942">
        <f>(1125+(2*1125))*1.02</f>
        <v>3442.5</v>
      </c>
      <c r="O225" s="236"/>
      <c r="P225" s="236"/>
      <c r="Q225" s="236"/>
      <c r="R225" s="236"/>
      <c r="S225" s="158"/>
      <c r="T225" s="82"/>
      <c r="U225" s="82"/>
      <c r="V225" s="82"/>
      <c r="W225" s="80"/>
      <c r="X225" s="80"/>
      <c r="Y225" s="80"/>
      <c r="Z225" s="80"/>
      <c r="AA225" s="80"/>
      <c r="AB225" s="80"/>
    </row>
    <row r="226" spans="1:28" ht="15.75">
      <c r="A226" s="237" t="s">
        <v>239</v>
      </c>
      <c r="B226" s="239"/>
      <c r="C226" s="239"/>
      <c r="D226" s="239"/>
      <c r="E226" s="239"/>
      <c r="F226" s="239"/>
      <c r="G226" s="239"/>
      <c r="H226" s="239"/>
      <c r="I226" s="239"/>
      <c r="J226" s="239"/>
      <c r="K226" s="239"/>
      <c r="L226" s="239"/>
      <c r="M226" s="239"/>
      <c r="N226" s="943">
        <f>SUM(N225)</f>
        <v>3442.5</v>
      </c>
      <c r="O226" s="242"/>
      <c r="P226" s="244"/>
      <c r="Q226" s="244"/>
      <c r="R226" s="244"/>
      <c r="S226" s="158"/>
      <c r="T226" s="82"/>
      <c r="U226" s="82"/>
      <c r="V226" s="82"/>
      <c r="W226" s="80"/>
      <c r="X226" s="80"/>
      <c r="Y226" s="80"/>
      <c r="Z226" s="80"/>
      <c r="AA226" s="80"/>
      <c r="AB226" s="80"/>
    </row>
    <row r="227" spans="1:28" ht="15.75">
      <c r="A227" s="141" t="s">
        <v>241</v>
      </c>
      <c r="B227" s="95"/>
      <c r="C227" s="95"/>
      <c r="D227" s="95"/>
      <c r="E227" s="95"/>
      <c r="F227" s="95"/>
      <c r="G227" s="95"/>
      <c r="H227" s="95"/>
      <c r="I227" s="95"/>
      <c r="J227" s="95"/>
      <c r="K227" s="95"/>
      <c r="L227" s="95"/>
      <c r="M227" s="95"/>
      <c r="N227" s="939">
        <f>SUM(N222+N226)</f>
        <v>249589.32499999998</v>
      </c>
      <c r="O227" s="143"/>
      <c r="P227" s="188">
        <f>P222+P226+0.9%</f>
        <v>0.19</v>
      </c>
      <c r="Q227" s="188">
        <f>Q222+1%</f>
        <v>0.17900000000000002</v>
      </c>
      <c r="R227" s="188">
        <f>R222+R226+1%</f>
        <v>0.14300000000000002</v>
      </c>
      <c r="S227" s="358"/>
      <c r="T227" s="95"/>
      <c r="U227" s="95"/>
      <c r="V227" s="95"/>
      <c r="W227" s="357"/>
      <c r="X227" s="357"/>
      <c r="Y227" s="357"/>
      <c r="Z227" s="357"/>
      <c r="AA227" s="357"/>
      <c r="AB227" s="357"/>
    </row>
    <row r="228" spans="1:28" ht="15.75">
      <c r="A228" s="82"/>
      <c r="B228" s="82"/>
      <c r="C228" s="82"/>
      <c r="D228" s="82"/>
      <c r="E228" s="82"/>
      <c r="F228" s="82"/>
      <c r="G228" s="82"/>
      <c r="H228" s="82"/>
      <c r="I228" s="82"/>
      <c r="J228" s="82"/>
      <c r="K228" s="82"/>
      <c r="L228" s="82"/>
      <c r="M228" s="82"/>
      <c r="N228" s="143"/>
      <c r="O228" s="143"/>
      <c r="P228" s="143"/>
      <c r="Q228" s="143"/>
      <c r="R228" s="143"/>
      <c r="S228" s="82"/>
      <c r="T228" s="82"/>
      <c r="U228" s="82"/>
      <c r="V228" s="82"/>
      <c r="W228" s="80"/>
      <c r="X228" s="80"/>
      <c r="Y228" s="80"/>
      <c r="Z228" s="80"/>
      <c r="AA228" s="80"/>
      <c r="AB228" s="80"/>
    </row>
    <row r="229" spans="1:28" ht="15.75">
      <c r="A229" s="80"/>
      <c r="B229" s="80"/>
      <c r="C229" s="80"/>
      <c r="D229" s="80"/>
      <c r="E229" s="80"/>
      <c r="F229" s="80"/>
      <c r="G229" s="80"/>
      <c r="H229" s="80"/>
      <c r="I229" s="80"/>
      <c r="J229" s="80"/>
      <c r="K229" s="80"/>
      <c r="L229" s="80"/>
      <c r="M229" s="80"/>
      <c r="N229" s="143"/>
      <c r="O229" s="143"/>
      <c r="P229" s="143"/>
      <c r="Q229" s="143"/>
      <c r="R229" s="143"/>
      <c r="S229" s="80"/>
      <c r="T229" s="80"/>
      <c r="U229" s="80"/>
      <c r="V229" s="80"/>
      <c r="W229" s="80"/>
      <c r="X229" s="80"/>
      <c r="Y229" s="80"/>
      <c r="Z229" s="80"/>
      <c r="AA229" s="80"/>
      <c r="AB229" s="80"/>
    </row>
    <row r="230" spans="1:28" ht="15.75">
      <c r="A230" s="80"/>
      <c r="B230" s="80"/>
      <c r="C230" s="80"/>
      <c r="D230" s="80"/>
      <c r="E230" s="80"/>
      <c r="F230" s="80"/>
      <c r="G230" s="80"/>
      <c r="H230" s="80"/>
      <c r="I230" s="80"/>
      <c r="J230" s="80"/>
      <c r="K230" s="80"/>
      <c r="L230" s="80"/>
      <c r="M230" s="80"/>
      <c r="N230" s="143"/>
      <c r="O230" s="143"/>
      <c r="P230" s="143"/>
      <c r="Q230" s="143"/>
      <c r="R230" s="143"/>
      <c r="S230" s="80"/>
      <c r="T230" s="80"/>
      <c r="U230" s="80"/>
      <c r="V230" s="80"/>
      <c r="W230" s="80"/>
      <c r="X230" s="80"/>
      <c r="Y230" s="80"/>
      <c r="Z230" s="80"/>
      <c r="AA230" s="80"/>
      <c r="AB230" s="80"/>
    </row>
    <row r="231" spans="1:28" ht="15.75">
      <c r="A231" s="80"/>
      <c r="B231" s="80"/>
      <c r="C231" s="80"/>
      <c r="D231" s="80"/>
      <c r="E231" s="80"/>
      <c r="F231" s="80"/>
      <c r="G231" s="80"/>
      <c r="H231" s="80"/>
      <c r="I231" s="80"/>
      <c r="J231" s="80"/>
      <c r="K231" s="80"/>
      <c r="L231" s="80"/>
      <c r="M231" s="80"/>
      <c r="N231" s="143"/>
      <c r="O231" s="143"/>
      <c r="P231" s="143"/>
      <c r="Q231" s="143"/>
      <c r="R231" s="143"/>
      <c r="S231" s="80"/>
      <c r="T231" s="80"/>
      <c r="U231" s="80"/>
      <c r="V231" s="80"/>
      <c r="W231" s="80"/>
      <c r="X231" s="80"/>
      <c r="Y231" s="80"/>
      <c r="Z231" s="80"/>
      <c r="AA231" s="80"/>
      <c r="AB231" s="80"/>
    </row>
    <row r="232" spans="1:28" ht="15.75">
      <c r="A232" s="80"/>
      <c r="B232" s="80"/>
      <c r="C232" s="80"/>
      <c r="D232" s="80"/>
      <c r="E232" s="80"/>
      <c r="F232" s="80"/>
      <c r="G232" s="80"/>
      <c r="H232" s="80"/>
      <c r="I232" s="80"/>
      <c r="J232" s="80"/>
      <c r="K232" s="80"/>
      <c r="L232" s="80"/>
      <c r="M232" s="80"/>
      <c r="N232" s="143"/>
      <c r="O232" s="143"/>
      <c r="P232" s="143"/>
      <c r="Q232" s="143"/>
      <c r="R232" s="143"/>
      <c r="S232" s="80"/>
      <c r="T232" s="80"/>
      <c r="U232" s="80"/>
      <c r="V232" s="80"/>
      <c r="W232" s="80"/>
      <c r="X232" s="80"/>
      <c r="Y232" s="80"/>
      <c r="Z232" s="80"/>
      <c r="AA232" s="80"/>
      <c r="AB232" s="80"/>
    </row>
    <row r="233" spans="1:28" ht="15.75">
      <c r="A233" s="80"/>
      <c r="B233" s="80"/>
      <c r="C233" s="80"/>
      <c r="D233" s="80"/>
      <c r="E233" s="80"/>
      <c r="F233" s="80"/>
      <c r="G233" s="80"/>
      <c r="H233" s="80"/>
      <c r="I233" s="80"/>
      <c r="J233" s="80"/>
      <c r="K233" s="80"/>
      <c r="L233" s="80"/>
      <c r="M233" s="80"/>
      <c r="N233" s="143"/>
      <c r="O233" s="143"/>
      <c r="P233" s="143"/>
      <c r="Q233" s="143"/>
      <c r="R233" s="143"/>
      <c r="S233" s="80"/>
      <c r="T233" s="80"/>
      <c r="U233" s="80"/>
      <c r="V233" s="80"/>
      <c r="W233" s="80"/>
      <c r="X233" s="80"/>
      <c r="Y233" s="80"/>
      <c r="Z233" s="80"/>
      <c r="AA233" s="80"/>
      <c r="AB233" s="80"/>
    </row>
    <row r="234" spans="1:28" ht="15.75">
      <c r="A234" s="80"/>
      <c r="B234" s="80"/>
      <c r="C234" s="80"/>
      <c r="D234" s="80"/>
      <c r="E234" s="80"/>
      <c r="F234" s="80"/>
      <c r="G234" s="80"/>
      <c r="H234" s="80"/>
      <c r="I234" s="80"/>
      <c r="J234" s="80"/>
      <c r="K234" s="80"/>
      <c r="L234" s="80"/>
      <c r="M234" s="80"/>
      <c r="N234" s="143"/>
      <c r="O234" s="143"/>
      <c r="P234" s="143"/>
      <c r="Q234" s="143"/>
      <c r="R234" s="143"/>
      <c r="S234" s="80"/>
      <c r="T234" s="80"/>
      <c r="U234" s="80"/>
      <c r="V234" s="80"/>
      <c r="W234" s="80"/>
      <c r="X234" s="80"/>
      <c r="Y234" s="80"/>
      <c r="Z234" s="80"/>
      <c r="AA234" s="80"/>
      <c r="AB234" s="80"/>
    </row>
    <row r="235" spans="1:28" ht="15.75">
      <c r="A235" s="80"/>
      <c r="B235" s="80"/>
      <c r="C235" s="80"/>
      <c r="D235" s="80"/>
      <c r="E235" s="80"/>
      <c r="F235" s="80"/>
      <c r="G235" s="80"/>
      <c r="H235" s="80"/>
      <c r="I235" s="80"/>
      <c r="J235" s="80"/>
      <c r="K235" s="80"/>
      <c r="L235" s="80"/>
      <c r="M235" s="80"/>
      <c r="N235" s="143"/>
      <c r="O235" s="143"/>
      <c r="P235" s="143"/>
      <c r="Q235" s="143"/>
      <c r="R235" s="143"/>
      <c r="S235" s="80"/>
      <c r="T235" s="80"/>
      <c r="U235" s="80"/>
      <c r="V235" s="80"/>
      <c r="W235" s="80"/>
      <c r="X235" s="80"/>
      <c r="Y235" s="80"/>
      <c r="Z235" s="80"/>
      <c r="AA235" s="80"/>
      <c r="AB235" s="80"/>
    </row>
    <row r="236" spans="1:28" ht="15.75">
      <c r="A236" s="80"/>
      <c r="B236" s="80"/>
      <c r="C236" s="80"/>
      <c r="D236" s="80"/>
      <c r="E236" s="80"/>
      <c r="F236" s="80"/>
      <c r="G236" s="80"/>
      <c r="H236" s="80"/>
      <c r="I236" s="80"/>
      <c r="J236" s="80"/>
      <c r="K236" s="80"/>
      <c r="L236" s="80"/>
      <c r="M236" s="80"/>
      <c r="N236" s="143"/>
      <c r="O236" s="143"/>
      <c r="P236" s="143"/>
      <c r="Q236" s="143"/>
      <c r="R236" s="143"/>
      <c r="S236" s="80"/>
      <c r="T236" s="80"/>
      <c r="U236" s="80"/>
      <c r="V236" s="80"/>
      <c r="W236" s="80"/>
      <c r="X236" s="80"/>
      <c r="Y236" s="80"/>
      <c r="Z236" s="80"/>
      <c r="AA236" s="80"/>
      <c r="AB236" s="80"/>
    </row>
    <row r="237" spans="1:28" ht="15.75">
      <c r="A237" s="80"/>
      <c r="B237" s="80"/>
      <c r="C237" s="80"/>
      <c r="D237" s="80"/>
      <c r="E237" s="80"/>
      <c r="F237" s="80"/>
      <c r="G237" s="80"/>
      <c r="H237" s="80"/>
      <c r="I237" s="80"/>
      <c r="J237" s="80"/>
      <c r="K237" s="80"/>
      <c r="L237" s="80"/>
      <c r="M237" s="80"/>
      <c r="N237" s="143"/>
      <c r="O237" s="143"/>
      <c r="P237" s="143"/>
      <c r="Q237" s="143"/>
      <c r="R237" s="143"/>
      <c r="S237" s="80"/>
      <c r="T237" s="80"/>
      <c r="U237" s="80"/>
      <c r="V237" s="80"/>
      <c r="W237" s="80"/>
      <c r="X237" s="80"/>
      <c r="Y237" s="80"/>
      <c r="Z237" s="80"/>
      <c r="AA237" s="80"/>
      <c r="AB237" s="80"/>
    </row>
    <row r="238" spans="1:28" ht="15.75">
      <c r="A238" s="80"/>
      <c r="B238" s="80"/>
      <c r="C238" s="80"/>
      <c r="D238" s="80"/>
      <c r="E238" s="80"/>
      <c r="F238" s="80"/>
      <c r="G238" s="80"/>
      <c r="H238" s="80"/>
      <c r="I238" s="80"/>
      <c r="J238" s="80"/>
      <c r="K238" s="80"/>
      <c r="L238" s="80"/>
      <c r="M238" s="80"/>
      <c r="N238" s="143"/>
      <c r="O238" s="143"/>
      <c r="P238" s="143"/>
      <c r="Q238" s="143"/>
      <c r="R238" s="143"/>
      <c r="S238" s="80"/>
      <c r="T238" s="80"/>
      <c r="U238" s="80"/>
      <c r="V238" s="80"/>
      <c r="W238" s="80"/>
      <c r="X238" s="80"/>
      <c r="Y238" s="80"/>
      <c r="Z238" s="80"/>
      <c r="AA238" s="80"/>
      <c r="AB238" s="80"/>
    </row>
    <row r="239" spans="1:28" ht="15.75">
      <c r="A239" s="80"/>
      <c r="B239" s="80"/>
      <c r="C239" s="80"/>
      <c r="D239" s="80"/>
      <c r="E239" s="80"/>
      <c r="F239" s="80"/>
      <c r="G239" s="80"/>
      <c r="H239" s="80"/>
      <c r="I239" s="80"/>
      <c r="J239" s="80"/>
      <c r="K239" s="80"/>
      <c r="L239" s="80"/>
      <c r="M239" s="80"/>
      <c r="N239" s="143"/>
      <c r="O239" s="143"/>
      <c r="P239" s="143"/>
      <c r="Q239" s="143"/>
      <c r="R239" s="143"/>
      <c r="S239" s="80"/>
      <c r="T239" s="80"/>
      <c r="U239" s="80"/>
      <c r="V239" s="80"/>
      <c r="W239" s="80"/>
      <c r="X239" s="80"/>
      <c r="Y239" s="80"/>
      <c r="Z239" s="80"/>
      <c r="AA239" s="80"/>
      <c r="AB239" s="80"/>
    </row>
    <row r="240" spans="1:28" ht="15.75">
      <c r="A240" s="80"/>
      <c r="B240" s="80"/>
      <c r="C240" s="80"/>
      <c r="D240" s="80"/>
      <c r="E240" s="80"/>
      <c r="F240" s="80"/>
      <c r="G240" s="80"/>
      <c r="H240" s="80"/>
      <c r="I240" s="80"/>
      <c r="J240" s="80"/>
      <c r="K240" s="80"/>
      <c r="L240" s="80"/>
      <c r="M240" s="80"/>
      <c r="N240" s="143"/>
      <c r="O240" s="143"/>
      <c r="P240" s="143"/>
      <c r="Q240" s="143"/>
      <c r="R240" s="143"/>
      <c r="S240" s="80"/>
      <c r="T240" s="80"/>
      <c r="U240" s="80"/>
      <c r="V240" s="80"/>
      <c r="W240" s="80"/>
      <c r="X240" s="80"/>
      <c r="Y240" s="80"/>
      <c r="Z240" s="80"/>
      <c r="AA240" s="80"/>
      <c r="AB240" s="80"/>
    </row>
    <row r="241" spans="1:28" ht="15.75">
      <c r="A241" s="80"/>
      <c r="B241" s="80"/>
      <c r="C241" s="80"/>
      <c r="D241" s="80"/>
      <c r="E241" s="80"/>
      <c r="F241" s="80"/>
      <c r="G241" s="80"/>
      <c r="H241" s="80"/>
      <c r="I241" s="80"/>
      <c r="J241" s="80"/>
      <c r="K241" s="80"/>
      <c r="L241" s="80"/>
      <c r="M241" s="80"/>
      <c r="N241" s="143"/>
      <c r="O241" s="143"/>
      <c r="P241" s="143"/>
      <c r="Q241" s="143"/>
      <c r="R241" s="143"/>
      <c r="S241" s="80"/>
      <c r="T241" s="80"/>
      <c r="U241" s="80"/>
      <c r="V241" s="80"/>
      <c r="W241" s="80"/>
      <c r="X241" s="80"/>
      <c r="Y241" s="80"/>
      <c r="Z241" s="80"/>
      <c r="AA241" s="80"/>
      <c r="AB241" s="80"/>
    </row>
    <row r="242" spans="1:28" ht="15.75">
      <c r="A242" s="80"/>
      <c r="B242" s="80"/>
      <c r="C242" s="80"/>
      <c r="D242" s="80"/>
      <c r="E242" s="80"/>
      <c r="F242" s="80"/>
      <c r="G242" s="80"/>
      <c r="H242" s="80"/>
      <c r="I242" s="80"/>
      <c r="J242" s="80"/>
      <c r="K242" s="80"/>
      <c r="L242" s="80"/>
      <c r="M242" s="80"/>
      <c r="N242" s="143"/>
      <c r="O242" s="143"/>
      <c r="P242" s="143"/>
      <c r="Q242" s="143"/>
      <c r="R242" s="143"/>
      <c r="S242" s="80"/>
      <c r="T242" s="80"/>
      <c r="U242" s="80"/>
      <c r="V242" s="80"/>
      <c r="W242" s="80"/>
      <c r="X242" s="80"/>
      <c r="Y242" s="80"/>
      <c r="Z242" s="80"/>
      <c r="AA242" s="80"/>
      <c r="AB242" s="80"/>
    </row>
    <row r="243" spans="1:28" ht="15.75">
      <c r="A243" s="80"/>
      <c r="B243" s="80"/>
      <c r="C243" s="80"/>
      <c r="D243" s="80"/>
      <c r="E243" s="80"/>
      <c r="F243" s="80"/>
      <c r="G243" s="80"/>
      <c r="H243" s="80"/>
      <c r="I243" s="80"/>
      <c r="J243" s="80"/>
      <c r="K243" s="80"/>
      <c r="L243" s="80"/>
      <c r="M243" s="80"/>
      <c r="N243" s="143"/>
      <c r="O243" s="143"/>
      <c r="P243" s="143"/>
      <c r="Q243" s="143"/>
      <c r="R243" s="143"/>
      <c r="S243" s="80"/>
      <c r="T243" s="80"/>
      <c r="U243" s="80"/>
      <c r="V243" s="80"/>
      <c r="W243" s="80"/>
      <c r="X243" s="80"/>
      <c r="Y243" s="80"/>
      <c r="Z243" s="80"/>
      <c r="AA243" s="80"/>
      <c r="AB243" s="80"/>
    </row>
    <row r="244" spans="1:28" ht="15.75">
      <c r="A244" s="80"/>
      <c r="B244" s="80"/>
      <c r="C244" s="80"/>
      <c r="D244" s="80"/>
      <c r="E244" s="80"/>
      <c r="F244" s="80"/>
      <c r="G244" s="80"/>
      <c r="H244" s="80"/>
      <c r="I244" s="80"/>
      <c r="J244" s="80"/>
      <c r="K244" s="80"/>
      <c r="L244" s="80"/>
      <c r="M244" s="80"/>
      <c r="N244" s="143"/>
      <c r="O244" s="143"/>
      <c r="P244" s="143"/>
      <c r="Q244" s="143"/>
      <c r="R244" s="143"/>
      <c r="S244" s="80"/>
      <c r="T244" s="80"/>
      <c r="U244" s="80"/>
      <c r="V244" s="80"/>
      <c r="W244" s="80"/>
      <c r="X244" s="80"/>
      <c r="Y244" s="80"/>
      <c r="Z244" s="80"/>
      <c r="AA244" s="80"/>
      <c r="AB244" s="80"/>
    </row>
    <row r="245" spans="1:28" ht="15.75">
      <c r="A245" s="80"/>
      <c r="B245" s="80"/>
      <c r="C245" s="80"/>
      <c r="D245" s="80"/>
      <c r="E245" s="80"/>
      <c r="F245" s="80"/>
      <c r="G245" s="80"/>
      <c r="H245" s="80"/>
      <c r="I245" s="80"/>
      <c r="J245" s="80"/>
      <c r="K245" s="80"/>
      <c r="L245" s="80"/>
      <c r="M245" s="80"/>
      <c r="N245" s="143"/>
      <c r="O245" s="143"/>
      <c r="P245" s="143"/>
      <c r="Q245" s="143"/>
      <c r="R245" s="143"/>
      <c r="S245" s="80"/>
      <c r="T245" s="80"/>
      <c r="U245" s="80"/>
      <c r="V245" s="80"/>
      <c r="W245" s="80"/>
      <c r="X245" s="80"/>
      <c r="Y245" s="80"/>
      <c r="Z245" s="80"/>
      <c r="AA245" s="80"/>
      <c r="AB245" s="80"/>
    </row>
    <row r="246" spans="1:28" ht="15.75">
      <c r="A246" s="80"/>
      <c r="B246" s="80"/>
      <c r="C246" s="80"/>
      <c r="D246" s="80"/>
      <c r="E246" s="80"/>
      <c r="F246" s="80"/>
      <c r="G246" s="80"/>
      <c r="H246" s="80"/>
      <c r="I246" s="80"/>
      <c r="J246" s="80"/>
      <c r="K246" s="80"/>
      <c r="L246" s="80"/>
      <c r="M246" s="80"/>
      <c r="N246" s="143"/>
      <c r="O246" s="143"/>
      <c r="P246" s="143"/>
      <c r="Q246" s="143"/>
      <c r="R246" s="143"/>
      <c r="S246" s="80"/>
      <c r="T246" s="80"/>
      <c r="U246" s="80"/>
      <c r="V246" s="80"/>
      <c r="W246" s="80"/>
      <c r="X246" s="80"/>
      <c r="Y246" s="80"/>
      <c r="Z246" s="80"/>
      <c r="AA246" s="80"/>
      <c r="AB246" s="80"/>
    </row>
    <row r="247" spans="1:28" ht="15.75">
      <c r="A247" s="80"/>
      <c r="B247" s="80"/>
      <c r="C247" s="80"/>
      <c r="D247" s="80"/>
      <c r="E247" s="80"/>
      <c r="F247" s="80"/>
      <c r="G247" s="80"/>
      <c r="H247" s="80"/>
      <c r="I247" s="80"/>
      <c r="J247" s="80"/>
      <c r="K247" s="80"/>
      <c r="L247" s="80"/>
      <c r="M247" s="80"/>
      <c r="N247" s="143"/>
      <c r="O247" s="143"/>
      <c r="P247" s="143"/>
      <c r="Q247" s="143"/>
      <c r="R247" s="143"/>
      <c r="S247" s="80"/>
      <c r="T247" s="80"/>
      <c r="U247" s="80"/>
      <c r="V247" s="80"/>
      <c r="W247" s="80"/>
      <c r="X247" s="80"/>
      <c r="Y247" s="80"/>
      <c r="Z247" s="80"/>
      <c r="AA247" s="80"/>
      <c r="AB247" s="80"/>
    </row>
    <row r="248" spans="1:28" ht="15.75">
      <c r="A248" s="80"/>
      <c r="B248" s="80"/>
      <c r="C248" s="80"/>
      <c r="D248" s="80"/>
      <c r="E248" s="80"/>
      <c r="F248" s="80"/>
      <c r="G248" s="80"/>
      <c r="H248" s="80"/>
      <c r="I248" s="80"/>
      <c r="J248" s="80"/>
      <c r="K248" s="80"/>
      <c r="L248" s="80"/>
      <c r="M248" s="80"/>
      <c r="N248" s="143"/>
      <c r="O248" s="143"/>
      <c r="P248" s="143"/>
      <c r="Q248" s="143"/>
      <c r="R248" s="143"/>
      <c r="S248" s="80"/>
      <c r="T248" s="80"/>
      <c r="U248" s="80"/>
      <c r="V248" s="80"/>
      <c r="W248" s="80"/>
      <c r="X248" s="80"/>
      <c r="Y248" s="80"/>
      <c r="Z248" s="80"/>
      <c r="AA248" s="80"/>
      <c r="AB248" s="80"/>
    </row>
    <row r="249" spans="1:28" ht="15.75">
      <c r="A249" s="80"/>
      <c r="B249" s="80"/>
      <c r="C249" s="80"/>
      <c r="D249" s="80"/>
      <c r="E249" s="80"/>
      <c r="F249" s="80"/>
      <c r="G249" s="80"/>
      <c r="H249" s="80"/>
      <c r="I249" s="80"/>
      <c r="J249" s="80"/>
      <c r="K249" s="80"/>
      <c r="L249" s="80"/>
      <c r="M249" s="80"/>
      <c r="N249" s="143"/>
      <c r="O249" s="143"/>
      <c r="P249" s="143"/>
      <c r="Q249" s="143"/>
      <c r="R249" s="143"/>
      <c r="S249" s="80"/>
      <c r="T249" s="80"/>
      <c r="U249" s="80"/>
      <c r="V249" s="80"/>
      <c r="W249" s="80"/>
      <c r="X249" s="80"/>
      <c r="Y249" s="80"/>
      <c r="Z249" s="80"/>
      <c r="AA249" s="80"/>
      <c r="AB249" s="80"/>
    </row>
    <row r="250" spans="1:28" ht="15.75">
      <c r="A250" s="80"/>
      <c r="B250" s="80"/>
      <c r="C250" s="80"/>
      <c r="D250" s="80"/>
      <c r="E250" s="80"/>
      <c r="F250" s="80"/>
      <c r="G250" s="80"/>
      <c r="H250" s="80"/>
      <c r="I250" s="80"/>
      <c r="J250" s="80"/>
      <c r="K250" s="80"/>
      <c r="L250" s="80"/>
      <c r="M250" s="80"/>
      <c r="N250" s="143"/>
      <c r="O250" s="143"/>
      <c r="P250" s="143"/>
      <c r="Q250" s="143"/>
      <c r="R250" s="143"/>
      <c r="S250" s="80"/>
      <c r="T250" s="80"/>
      <c r="U250" s="80"/>
      <c r="V250" s="80"/>
      <c r="W250" s="80"/>
      <c r="X250" s="80"/>
      <c r="Y250" s="80"/>
      <c r="Z250" s="80"/>
      <c r="AA250" s="80"/>
      <c r="AB250" s="80"/>
    </row>
    <row r="251" spans="1:28" ht="15.75">
      <c r="A251" s="80"/>
      <c r="B251" s="80"/>
      <c r="C251" s="80"/>
      <c r="D251" s="80"/>
      <c r="E251" s="80"/>
      <c r="F251" s="80"/>
      <c r="G251" s="80"/>
      <c r="H251" s="80"/>
      <c r="I251" s="80"/>
      <c r="J251" s="80"/>
      <c r="K251" s="80"/>
      <c r="L251" s="80"/>
      <c r="M251" s="80"/>
      <c r="N251" s="143"/>
      <c r="O251" s="143"/>
      <c r="P251" s="143"/>
      <c r="Q251" s="143"/>
      <c r="R251" s="143"/>
      <c r="S251" s="80"/>
      <c r="T251" s="80"/>
      <c r="U251" s="80"/>
      <c r="V251" s="80"/>
      <c r="W251" s="80"/>
      <c r="X251" s="80"/>
      <c r="Y251" s="80"/>
      <c r="Z251" s="80"/>
      <c r="AA251" s="80"/>
      <c r="AB251" s="80"/>
    </row>
    <row r="252" spans="1:28" ht="15.75">
      <c r="A252" s="80"/>
      <c r="B252" s="80"/>
      <c r="C252" s="80"/>
      <c r="D252" s="80"/>
      <c r="E252" s="80"/>
      <c r="F252" s="80"/>
      <c r="G252" s="80"/>
      <c r="H252" s="80"/>
      <c r="I252" s="80"/>
      <c r="J252" s="80"/>
      <c r="K252" s="80"/>
      <c r="L252" s="80"/>
      <c r="M252" s="80"/>
      <c r="N252" s="143"/>
      <c r="O252" s="143"/>
      <c r="P252" s="143"/>
      <c r="Q252" s="143"/>
      <c r="R252" s="143"/>
      <c r="S252" s="80"/>
      <c r="T252" s="80"/>
      <c r="U252" s="80"/>
      <c r="V252" s="80"/>
      <c r="W252" s="80"/>
      <c r="X252" s="80"/>
      <c r="Y252" s="80"/>
      <c r="Z252" s="80"/>
      <c r="AA252" s="80"/>
      <c r="AB252" s="80"/>
    </row>
    <row r="253" spans="1:28" ht="15.75">
      <c r="A253" s="80"/>
      <c r="B253" s="80"/>
      <c r="C253" s="80"/>
      <c r="D253" s="80"/>
      <c r="E253" s="80"/>
      <c r="F253" s="80"/>
      <c r="G253" s="80"/>
      <c r="H253" s="80"/>
      <c r="I253" s="80"/>
      <c r="J253" s="80"/>
      <c r="K253" s="80"/>
      <c r="L253" s="80"/>
      <c r="M253" s="80"/>
      <c r="N253" s="143"/>
      <c r="O253" s="143"/>
      <c r="P253" s="143"/>
      <c r="Q253" s="143"/>
      <c r="R253" s="143"/>
      <c r="S253" s="80"/>
      <c r="T253" s="80"/>
      <c r="U253" s="80"/>
      <c r="V253" s="80"/>
      <c r="W253" s="80"/>
      <c r="X253" s="80"/>
      <c r="Y253" s="80"/>
      <c r="Z253" s="80"/>
      <c r="AA253" s="80"/>
      <c r="AB253" s="80"/>
    </row>
    <row r="254" spans="1:28" ht="15.75">
      <c r="A254" s="80"/>
      <c r="B254" s="80"/>
      <c r="C254" s="80"/>
      <c r="D254" s="80"/>
      <c r="E254" s="80"/>
      <c r="F254" s="80"/>
      <c r="G254" s="80"/>
      <c r="H254" s="80"/>
      <c r="I254" s="80"/>
      <c r="J254" s="80"/>
      <c r="K254" s="80"/>
      <c r="L254" s="80"/>
      <c r="M254" s="80"/>
      <c r="N254" s="143"/>
      <c r="O254" s="143"/>
      <c r="P254" s="143"/>
      <c r="Q254" s="143"/>
      <c r="R254" s="143"/>
      <c r="S254" s="80"/>
      <c r="T254" s="80"/>
      <c r="U254" s="80"/>
      <c r="V254" s="80"/>
      <c r="W254" s="80"/>
      <c r="X254" s="80"/>
      <c r="Y254" s="80"/>
      <c r="Z254" s="80"/>
      <c r="AA254" s="80"/>
      <c r="AB254" s="80"/>
    </row>
    <row r="255" spans="1:28" ht="15.75">
      <c r="A255" s="80"/>
      <c r="B255" s="80"/>
      <c r="C255" s="80"/>
      <c r="D255" s="80"/>
      <c r="E255" s="80"/>
      <c r="F255" s="80"/>
      <c r="G255" s="80"/>
      <c r="H255" s="80"/>
      <c r="I255" s="80"/>
      <c r="J255" s="80"/>
      <c r="K255" s="80"/>
      <c r="L255" s="80"/>
      <c r="M255" s="80"/>
      <c r="N255" s="143"/>
      <c r="O255" s="143"/>
      <c r="P255" s="143"/>
      <c r="Q255" s="143"/>
      <c r="R255" s="143"/>
      <c r="S255" s="80"/>
      <c r="T255" s="80"/>
      <c r="U255" s="80"/>
      <c r="V255" s="80"/>
      <c r="W255" s="80"/>
      <c r="X255" s="80"/>
      <c r="Y255" s="80"/>
      <c r="Z255" s="80"/>
      <c r="AA255" s="80"/>
      <c r="AB255" s="80"/>
    </row>
    <row r="256" spans="1:28" ht="15.75">
      <c r="A256" s="80"/>
      <c r="B256" s="80"/>
      <c r="C256" s="80"/>
      <c r="D256" s="80"/>
      <c r="E256" s="80"/>
      <c r="F256" s="80"/>
      <c r="G256" s="80"/>
      <c r="H256" s="80"/>
      <c r="I256" s="80"/>
      <c r="J256" s="80"/>
      <c r="K256" s="80"/>
      <c r="L256" s="80"/>
      <c r="M256" s="80"/>
      <c r="N256" s="143"/>
      <c r="O256" s="143"/>
      <c r="P256" s="143"/>
      <c r="Q256" s="143"/>
      <c r="R256" s="143"/>
      <c r="S256" s="80"/>
      <c r="T256" s="80"/>
      <c r="U256" s="80"/>
      <c r="V256" s="80"/>
      <c r="W256" s="80"/>
      <c r="X256" s="80"/>
      <c r="Y256" s="80"/>
      <c r="Z256" s="80"/>
      <c r="AA256" s="80"/>
      <c r="AB256" s="80"/>
    </row>
    <row r="257" spans="1:28" ht="15.75">
      <c r="A257" s="80"/>
      <c r="B257" s="80"/>
      <c r="C257" s="80"/>
      <c r="D257" s="80"/>
      <c r="E257" s="80"/>
      <c r="F257" s="80"/>
      <c r="G257" s="80"/>
      <c r="H257" s="80"/>
      <c r="I257" s="80"/>
      <c r="J257" s="80"/>
      <c r="K257" s="80"/>
      <c r="L257" s="80"/>
      <c r="M257" s="80"/>
      <c r="N257" s="143"/>
      <c r="O257" s="143"/>
      <c r="P257" s="143"/>
      <c r="Q257" s="143"/>
      <c r="R257" s="143"/>
      <c r="S257" s="80"/>
      <c r="T257" s="80"/>
      <c r="U257" s="80"/>
      <c r="V257" s="80"/>
      <c r="W257" s="80"/>
      <c r="X257" s="80"/>
      <c r="Y257" s="80"/>
      <c r="Z257" s="80"/>
      <c r="AA257" s="80"/>
      <c r="AB257" s="80"/>
    </row>
    <row r="258" spans="1:28" ht="15.75">
      <c r="A258" s="80"/>
      <c r="B258" s="80"/>
      <c r="C258" s="80"/>
      <c r="D258" s="80"/>
      <c r="E258" s="80"/>
      <c r="F258" s="80"/>
      <c r="G258" s="80"/>
      <c r="H258" s="80"/>
      <c r="I258" s="80"/>
      <c r="J258" s="80"/>
      <c r="K258" s="80"/>
      <c r="L258" s="80"/>
      <c r="M258" s="80"/>
      <c r="N258" s="143"/>
      <c r="O258" s="143"/>
      <c r="P258" s="143"/>
      <c r="Q258" s="143"/>
      <c r="R258" s="143"/>
      <c r="S258" s="80"/>
      <c r="T258" s="80"/>
      <c r="U258" s="80"/>
      <c r="V258" s="80"/>
      <c r="W258" s="80"/>
      <c r="X258" s="80"/>
      <c r="Y258" s="80"/>
      <c r="Z258" s="80"/>
      <c r="AA258" s="80"/>
      <c r="AB258" s="80"/>
    </row>
    <row r="259" spans="1:28" ht="15.75">
      <c r="A259" s="80"/>
      <c r="B259" s="80"/>
      <c r="C259" s="80"/>
      <c r="D259" s="80"/>
      <c r="E259" s="80"/>
      <c r="F259" s="80"/>
      <c r="G259" s="80"/>
      <c r="H259" s="80"/>
      <c r="I259" s="80"/>
      <c r="J259" s="80"/>
      <c r="K259" s="80"/>
      <c r="L259" s="80"/>
      <c r="M259" s="80"/>
      <c r="N259" s="143"/>
      <c r="O259" s="143"/>
      <c r="P259" s="143"/>
      <c r="Q259" s="143"/>
      <c r="R259" s="143"/>
      <c r="S259" s="80"/>
      <c r="T259" s="80"/>
      <c r="U259" s="80"/>
      <c r="V259" s="80"/>
      <c r="W259" s="80"/>
      <c r="X259" s="80"/>
      <c r="Y259" s="80"/>
      <c r="Z259" s="80"/>
      <c r="AA259" s="80"/>
      <c r="AB259" s="80"/>
    </row>
    <row r="260" spans="1:28" ht="15.75">
      <c r="A260" s="80"/>
      <c r="B260" s="80"/>
      <c r="C260" s="80"/>
      <c r="D260" s="80"/>
      <c r="E260" s="80"/>
      <c r="F260" s="80"/>
      <c r="G260" s="80"/>
      <c r="H260" s="80"/>
      <c r="I260" s="80"/>
      <c r="J260" s="80"/>
      <c r="K260" s="80"/>
      <c r="L260" s="80"/>
      <c r="M260" s="80"/>
      <c r="N260" s="143"/>
      <c r="O260" s="143"/>
      <c r="P260" s="143"/>
      <c r="Q260" s="143"/>
      <c r="R260" s="143"/>
      <c r="S260" s="80"/>
      <c r="T260" s="80"/>
      <c r="U260" s="80"/>
      <c r="V260" s="80"/>
      <c r="W260" s="80"/>
      <c r="X260" s="80"/>
      <c r="Y260" s="80"/>
      <c r="Z260" s="80"/>
      <c r="AA260" s="80"/>
      <c r="AB260" s="80"/>
    </row>
    <row r="261" spans="1:28" ht="15.75">
      <c r="A261" s="80"/>
      <c r="B261" s="80"/>
      <c r="C261" s="80"/>
      <c r="D261" s="80"/>
      <c r="E261" s="80"/>
      <c r="F261" s="80"/>
      <c r="G261" s="80"/>
      <c r="H261" s="80"/>
      <c r="I261" s="80"/>
      <c r="J261" s="80"/>
      <c r="K261" s="80"/>
      <c r="L261" s="80"/>
      <c r="M261" s="80"/>
      <c r="N261" s="143"/>
      <c r="O261" s="143"/>
      <c r="P261" s="143"/>
      <c r="Q261" s="143"/>
      <c r="R261" s="143"/>
      <c r="S261" s="80"/>
      <c r="T261" s="80"/>
      <c r="U261" s="80"/>
      <c r="V261" s="80"/>
      <c r="W261" s="80"/>
      <c r="X261" s="80"/>
      <c r="Y261" s="80"/>
      <c r="Z261" s="80"/>
      <c r="AA261" s="80"/>
      <c r="AB261" s="80"/>
    </row>
    <row r="262" spans="1:28" ht="15.75">
      <c r="A262" s="80"/>
      <c r="B262" s="80"/>
      <c r="C262" s="80"/>
      <c r="D262" s="80"/>
      <c r="E262" s="80"/>
      <c r="F262" s="80"/>
      <c r="G262" s="80"/>
      <c r="H262" s="80"/>
      <c r="I262" s="80"/>
      <c r="J262" s="80"/>
      <c r="K262" s="80"/>
      <c r="L262" s="80"/>
      <c r="M262" s="80"/>
      <c r="N262" s="143"/>
      <c r="O262" s="143"/>
      <c r="P262" s="143"/>
      <c r="Q262" s="143"/>
      <c r="R262" s="143"/>
      <c r="S262" s="80"/>
      <c r="T262" s="80"/>
      <c r="U262" s="80"/>
      <c r="V262" s="80"/>
      <c r="W262" s="80"/>
      <c r="X262" s="80"/>
      <c r="Y262" s="80"/>
      <c r="Z262" s="80"/>
      <c r="AA262" s="80"/>
      <c r="AB262" s="80"/>
    </row>
    <row r="263" spans="1:28" ht="15.75">
      <c r="A263" s="80"/>
      <c r="B263" s="80"/>
      <c r="C263" s="80"/>
      <c r="D263" s="80"/>
      <c r="E263" s="80"/>
      <c r="F263" s="80"/>
      <c r="G263" s="80"/>
      <c r="H263" s="80"/>
      <c r="I263" s="80"/>
      <c r="J263" s="80"/>
      <c r="K263" s="80"/>
      <c r="L263" s="80"/>
      <c r="M263" s="80"/>
      <c r="N263" s="143"/>
      <c r="O263" s="143"/>
      <c r="P263" s="143"/>
      <c r="Q263" s="143"/>
      <c r="R263" s="143"/>
      <c r="S263" s="80"/>
      <c r="T263" s="80"/>
      <c r="U263" s="80"/>
      <c r="V263" s="80"/>
      <c r="W263" s="80"/>
      <c r="X263" s="80"/>
      <c r="Y263" s="80"/>
      <c r="Z263" s="80"/>
      <c r="AA263" s="80"/>
      <c r="AB263" s="80"/>
    </row>
    <row r="264" spans="1:28" ht="15.75">
      <c r="A264" s="80"/>
      <c r="B264" s="80"/>
      <c r="C264" s="80"/>
      <c r="D264" s="80"/>
      <c r="E264" s="80"/>
      <c r="F264" s="80"/>
      <c r="G264" s="80"/>
      <c r="H264" s="80"/>
      <c r="I264" s="80"/>
      <c r="J264" s="80"/>
      <c r="K264" s="80"/>
      <c r="L264" s="80"/>
      <c r="M264" s="80"/>
      <c r="N264" s="143"/>
      <c r="O264" s="143"/>
      <c r="P264" s="143"/>
      <c r="Q264" s="143"/>
      <c r="R264" s="143"/>
      <c r="S264" s="80"/>
      <c r="T264" s="80"/>
      <c r="U264" s="80"/>
      <c r="V264" s="80"/>
      <c r="W264" s="80"/>
      <c r="X264" s="80"/>
      <c r="Y264" s="80"/>
      <c r="Z264" s="80"/>
      <c r="AA264" s="80"/>
      <c r="AB264" s="80"/>
    </row>
    <row r="265" spans="1:28" ht="15.75">
      <c r="A265" s="80"/>
      <c r="B265" s="80"/>
      <c r="C265" s="80"/>
      <c r="D265" s="80"/>
      <c r="E265" s="80"/>
      <c r="F265" s="80"/>
      <c r="G265" s="80"/>
      <c r="H265" s="80"/>
      <c r="I265" s="80"/>
      <c r="J265" s="80"/>
      <c r="K265" s="80"/>
      <c r="L265" s="80"/>
      <c r="M265" s="80"/>
      <c r="N265" s="143"/>
      <c r="O265" s="143"/>
      <c r="P265" s="143"/>
      <c r="Q265" s="143"/>
      <c r="R265" s="143"/>
      <c r="S265" s="80"/>
      <c r="T265" s="80"/>
      <c r="U265" s="80"/>
      <c r="V265" s="80"/>
      <c r="W265" s="80"/>
      <c r="X265" s="80"/>
      <c r="Y265" s="80"/>
      <c r="Z265" s="80"/>
      <c r="AA265" s="80"/>
      <c r="AB265" s="80"/>
    </row>
    <row r="266" spans="1:28" ht="15.75">
      <c r="A266" s="80"/>
      <c r="B266" s="80"/>
      <c r="C266" s="80"/>
      <c r="D266" s="80"/>
      <c r="E266" s="80"/>
      <c r="F266" s="80"/>
      <c r="G266" s="80"/>
      <c r="H266" s="80"/>
      <c r="I266" s="80"/>
      <c r="J266" s="80"/>
      <c r="K266" s="80"/>
      <c r="L266" s="80"/>
      <c r="M266" s="80"/>
      <c r="N266" s="143"/>
      <c r="O266" s="143"/>
      <c r="P266" s="143"/>
      <c r="Q266" s="143"/>
      <c r="R266" s="143"/>
      <c r="S266" s="80"/>
      <c r="T266" s="80"/>
      <c r="U266" s="80"/>
      <c r="V266" s="80"/>
      <c r="W266" s="80"/>
      <c r="X266" s="80"/>
      <c r="Y266" s="80"/>
      <c r="Z266" s="80"/>
      <c r="AA266" s="80"/>
      <c r="AB266" s="80"/>
    </row>
    <row r="267" spans="1:28" ht="15.75">
      <c r="A267" s="80"/>
      <c r="B267" s="80"/>
      <c r="C267" s="80"/>
      <c r="D267" s="80"/>
      <c r="E267" s="80"/>
      <c r="F267" s="80"/>
      <c r="G267" s="80"/>
      <c r="H267" s="80"/>
      <c r="I267" s="80"/>
      <c r="J267" s="80"/>
      <c r="K267" s="80"/>
      <c r="L267" s="80"/>
      <c r="M267" s="80"/>
      <c r="N267" s="143"/>
      <c r="O267" s="143"/>
      <c r="P267" s="143"/>
      <c r="Q267" s="143"/>
      <c r="R267" s="143"/>
      <c r="S267" s="80"/>
      <c r="T267" s="80"/>
      <c r="U267" s="80"/>
      <c r="V267" s="80"/>
      <c r="W267" s="80"/>
      <c r="X267" s="80"/>
      <c r="Y267" s="80"/>
      <c r="Z267" s="80"/>
      <c r="AA267" s="80"/>
      <c r="AB267" s="80"/>
    </row>
    <row r="268" spans="1:28" ht="15.75">
      <c r="A268" s="80"/>
      <c r="B268" s="80"/>
      <c r="C268" s="80"/>
      <c r="D268" s="80"/>
      <c r="E268" s="80"/>
      <c r="F268" s="80"/>
      <c r="G268" s="80"/>
      <c r="H268" s="80"/>
      <c r="I268" s="80"/>
      <c r="J268" s="80"/>
      <c r="K268" s="80"/>
      <c r="L268" s="80"/>
      <c r="M268" s="80"/>
      <c r="N268" s="143"/>
      <c r="O268" s="143"/>
      <c r="P268" s="143"/>
      <c r="Q268" s="143"/>
      <c r="R268" s="143"/>
      <c r="S268" s="80"/>
      <c r="T268" s="80"/>
      <c r="U268" s="80"/>
      <c r="V268" s="80"/>
      <c r="W268" s="80"/>
      <c r="X268" s="80"/>
      <c r="Y268" s="80"/>
      <c r="Z268" s="80"/>
      <c r="AA268" s="80"/>
      <c r="AB268" s="80"/>
    </row>
    <row r="269" spans="1:28" ht="15.75">
      <c r="A269" s="80"/>
      <c r="B269" s="80"/>
      <c r="C269" s="80"/>
      <c r="D269" s="80"/>
      <c r="E269" s="80"/>
      <c r="F269" s="80"/>
      <c r="G269" s="80"/>
      <c r="H269" s="80"/>
      <c r="I269" s="80"/>
      <c r="J269" s="80"/>
      <c r="K269" s="80"/>
      <c r="L269" s="80"/>
      <c r="M269" s="80"/>
      <c r="N269" s="143"/>
      <c r="O269" s="143"/>
      <c r="P269" s="143"/>
      <c r="Q269" s="143"/>
      <c r="R269" s="143"/>
      <c r="S269" s="80"/>
      <c r="T269" s="80"/>
      <c r="U269" s="80"/>
      <c r="V269" s="80"/>
      <c r="W269" s="80"/>
      <c r="X269" s="80"/>
      <c r="Y269" s="80"/>
      <c r="Z269" s="80"/>
      <c r="AA269" s="80"/>
      <c r="AB269" s="80"/>
    </row>
    <row r="270" spans="1:28" ht="15.75">
      <c r="A270" s="80"/>
      <c r="B270" s="80"/>
      <c r="C270" s="80"/>
      <c r="D270" s="80"/>
      <c r="E270" s="80"/>
      <c r="F270" s="80"/>
      <c r="G270" s="80"/>
      <c r="H270" s="80"/>
      <c r="I270" s="80"/>
      <c r="J270" s="80"/>
      <c r="K270" s="80"/>
      <c r="L270" s="80"/>
      <c r="M270" s="80"/>
      <c r="N270" s="143"/>
      <c r="O270" s="143"/>
      <c r="P270" s="143"/>
      <c r="Q270" s="143"/>
      <c r="R270" s="143"/>
      <c r="S270" s="80"/>
      <c r="T270" s="80"/>
      <c r="U270" s="80"/>
      <c r="V270" s="80"/>
      <c r="W270" s="80"/>
      <c r="X270" s="80"/>
      <c r="Y270" s="80"/>
      <c r="Z270" s="80"/>
      <c r="AA270" s="80"/>
      <c r="AB270" s="80"/>
    </row>
    <row r="271" spans="1:28" ht="15.75">
      <c r="A271" s="80"/>
      <c r="B271" s="80"/>
      <c r="C271" s="80"/>
      <c r="D271" s="80"/>
      <c r="E271" s="80"/>
      <c r="F271" s="80"/>
      <c r="G271" s="80"/>
      <c r="H271" s="80"/>
      <c r="I271" s="80"/>
      <c r="J271" s="80"/>
      <c r="K271" s="80"/>
      <c r="L271" s="80"/>
      <c r="M271" s="80"/>
      <c r="N271" s="143"/>
      <c r="O271" s="143"/>
      <c r="P271" s="143"/>
      <c r="Q271" s="143"/>
      <c r="R271" s="143"/>
      <c r="S271" s="80"/>
      <c r="T271" s="80"/>
      <c r="U271" s="80"/>
      <c r="V271" s="80"/>
      <c r="W271" s="80"/>
      <c r="X271" s="80"/>
      <c r="Y271" s="80"/>
      <c r="Z271" s="80"/>
      <c r="AA271" s="80"/>
      <c r="AB271" s="80"/>
    </row>
    <row r="272" spans="1:28" ht="15.75">
      <c r="A272" s="80"/>
      <c r="B272" s="80"/>
      <c r="C272" s="80"/>
      <c r="D272" s="80"/>
      <c r="E272" s="80"/>
      <c r="F272" s="80"/>
      <c r="G272" s="80"/>
      <c r="H272" s="80"/>
      <c r="I272" s="80"/>
      <c r="J272" s="80"/>
      <c r="K272" s="80"/>
      <c r="L272" s="80"/>
      <c r="M272" s="80"/>
      <c r="N272" s="143"/>
      <c r="O272" s="143"/>
      <c r="P272" s="143"/>
      <c r="Q272" s="143"/>
      <c r="R272" s="143"/>
      <c r="S272" s="80"/>
      <c r="T272" s="80"/>
      <c r="U272" s="80"/>
      <c r="V272" s="80"/>
      <c r="W272" s="80"/>
      <c r="X272" s="80"/>
      <c r="Y272" s="80"/>
      <c r="Z272" s="80"/>
      <c r="AA272" s="80"/>
      <c r="AB272" s="80"/>
    </row>
    <row r="273" spans="1:28" ht="15.75">
      <c r="A273" s="80"/>
      <c r="B273" s="80"/>
      <c r="C273" s="80"/>
      <c r="D273" s="80"/>
      <c r="E273" s="80"/>
      <c r="F273" s="80"/>
      <c r="G273" s="80"/>
      <c r="H273" s="80"/>
      <c r="I273" s="80"/>
      <c r="J273" s="80"/>
      <c r="K273" s="80"/>
      <c r="L273" s="80"/>
      <c r="M273" s="80"/>
      <c r="N273" s="143"/>
      <c r="O273" s="143"/>
      <c r="P273" s="143"/>
      <c r="Q273" s="143"/>
      <c r="R273" s="143"/>
      <c r="S273" s="80"/>
      <c r="T273" s="80"/>
      <c r="U273" s="80"/>
      <c r="V273" s="80"/>
      <c r="W273" s="80"/>
      <c r="X273" s="80"/>
      <c r="Y273" s="80"/>
      <c r="Z273" s="80"/>
      <c r="AA273" s="80"/>
      <c r="AB273" s="80"/>
    </row>
    <row r="274" spans="1:28" ht="15.75">
      <c r="A274" s="80"/>
      <c r="B274" s="80"/>
      <c r="C274" s="80"/>
      <c r="D274" s="80"/>
      <c r="E274" s="80"/>
      <c r="F274" s="80"/>
      <c r="G274" s="80"/>
      <c r="H274" s="80"/>
      <c r="I274" s="80"/>
      <c r="J274" s="80"/>
      <c r="K274" s="80"/>
      <c r="L274" s="80"/>
      <c r="M274" s="80"/>
      <c r="N274" s="143"/>
      <c r="O274" s="143"/>
      <c r="P274" s="143"/>
      <c r="Q274" s="143"/>
      <c r="R274" s="143"/>
      <c r="S274" s="80"/>
      <c r="T274" s="80"/>
      <c r="U274" s="80"/>
      <c r="V274" s="80"/>
      <c r="W274" s="80"/>
      <c r="X274" s="80"/>
      <c r="Y274" s="80"/>
      <c r="Z274" s="80"/>
      <c r="AA274" s="80"/>
      <c r="AB274" s="80"/>
    </row>
    <row r="275" spans="1:28" ht="15.75">
      <c r="A275" s="80"/>
      <c r="B275" s="80"/>
      <c r="C275" s="80"/>
      <c r="D275" s="80"/>
      <c r="E275" s="80"/>
      <c r="F275" s="80"/>
      <c r="G275" s="80"/>
      <c r="H275" s="80"/>
      <c r="I275" s="80"/>
      <c r="J275" s="80"/>
      <c r="K275" s="80"/>
      <c r="L275" s="80"/>
      <c r="M275" s="80"/>
      <c r="N275" s="143"/>
      <c r="O275" s="143"/>
      <c r="P275" s="143"/>
      <c r="Q275" s="143"/>
      <c r="R275" s="143"/>
      <c r="S275" s="80"/>
      <c r="T275" s="80"/>
      <c r="U275" s="80"/>
      <c r="V275" s="80"/>
      <c r="W275" s="80"/>
      <c r="X275" s="80"/>
      <c r="Y275" s="80"/>
      <c r="Z275" s="80"/>
      <c r="AA275" s="80"/>
      <c r="AB275" s="80"/>
    </row>
    <row r="276" spans="1:28" ht="15.75">
      <c r="A276" s="80"/>
      <c r="B276" s="80"/>
      <c r="C276" s="80"/>
      <c r="D276" s="80"/>
      <c r="E276" s="80"/>
      <c r="F276" s="80"/>
      <c r="G276" s="80"/>
      <c r="H276" s="80"/>
      <c r="I276" s="80"/>
      <c r="J276" s="80"/>
      <c r="K276" s="80"/>
      <c r="L276" s="80"/>
      <c r="M276" s="80"/>
      <c r="N276" s="143"/>
      <c r="O276" s="143"/>
      <c r="P276" s="143"/>
      <c r="Q276" s="143"/>
      <c r="R276" s="143"/>
      <c r="S276" s="80"/>
      <c r="T276" s="80"/>
      <c r="U276" s="80"/>
      <c r="V276" s="80"/>
      <c r="W276" s="80"/>
      <c r="X276" s="80"/>
      <c r="Y276" s="80"/>
      <c r="Z276" s="80"/>
      <c r="AA276" s="80"/>
      <c r="AB276" s="80"/>
    </row>
    <row r="277" spans="1:28" ht="15.75">
      <c r="A277" s="80"/>
      <c r="B277" s="80"/>
      <c r="C277" s="80"/>
      <c r="D277" s="80"/>
      <c r="E277" s="80"/>
      <c r="F277" s="80"/>
      <c r="G277" s="80"/>
      <c r="H277" s="80"/>
      <c r="I277" s="80"/>
      <c r="J277" s="80"/>
      <c r="K277" s="80"/>
      <c r="L277" s="80"/>
      <c r="M277" s="80"/>
      <c r="N277" s="143"/>
      <c r="O277" s="143"/>
      <c r="P277" s="143"/>
      <c r="Q277" s="143"/>
      <c r="R277" s="143"/>
      <c r="S277" s="80"/>
      <c r="T277" s="80"/>
      <c r="U277" s="80"/>
      <c r="V277" s="80"/>
      <c r="W277" s="80"/>
      <c r="X277" s="80"/>
      <c r="Y277" s="80"/>
      <c r="Z277" s="80"/>
      <c r="AA277" s="80"/>
      <c r="AB277" s="80"/>
    </row>
    <row r="278" spans="1:28" ht="15.75">
      <c r="A278" s="80"/>
      <c r="B278" s="80"/>
      <c r="C278" s="80"/>
      <c r="D278" s="80"/>
      <c r="E278" s="80"/>
      <c r="F278" s="80"/>
      <c r="G278" s="80"/>
      <c r="H278" s="80"/>
      <c r="I278" s="80"/>
      <c r="J278" s="80"/>
      <c r="K278" s="80"/>
      <c r="L278" s="80"/>
      <c r="M278" s="80"/>
      <c r="N278" s="143"/>
      <c r="O278" s="143"/>
      <c r="P278" s="143"/>
      <c r="Q278" s="143"/>
      <c r="R278" s="143"/>
      <c r="S278" s="80"/>
      <c r="T278" s="80"/>
      <c r="U278" s="80"/>
      <c r="V278" s="80"/>
      <c r="W278" s="80"/>
      <c r="X278" s="80"/>
      <c r="Y278" s="80"/>
      <c r="Z278" s="80"/>
      <c r="AA278" s="80"/>
      <c r="AB278" s="80"/>
    </row>
    <row r="279" spans="1:28" ht="15.75">
      <c r="A279" s="80"/>
      <c r="B279" s="80"/>
      <c r="C279" s="80"/>
      <c r="D279" s="80"/>
      <c r="E279" s="80"/>
      <c r="F279" s="80"/>
      <c r="G279" s="80"/>
      <c r="H279" s="80"/>
      <c r="I279" s="80"/>
      <c r="J279" s="80"/>
      <c r="K279" s="80"/>
      <c r="L279" s="80"/>
      <c r="M279" s="80"/>
      <c r="N279" s="143"/>
      <c r="O279" s="143"/>
      <c r="P279" s="143"/>
      <c r="Q279" s="143"/>
      <c r="R279" s="143"/>
      <c r="S279" s="80"/>
      <c r="T279" s="80"/>
      <c r="U279" s="80"/>
      <c r="V279" s="80"/>
      <c r="W279" s="80"/>
      <c r="X279" s="80"/>
      <c r="Y279" s="80"/>
      <c r="Z279" s="80"/>
      <c r="AA279" s="80"/>
      <c r="AB279" s="80"/>
    </row>
    <row r="280" spans="1:28" ht="15.75">
      <c r="A280" s="80"/>
      <c r="B280" s="80"/>
      <c r="C280" s="80"/>
      <c r="D280" s="80"/>
      <c r="E280" s="80"/>
      <c r="F280" s="80"/>
      <c r="G280" s="80"/>
      <c r="H280" s="80"/>
      <c r="I280" s="80"/>
      <c r="J280" s="80"/>
      <c r="K280" s="80"/>
      <c r="L280" s="80"/>
      <c r="M280" s="80"/>
      <c r="N280" s="143"/>
      <c r="O280" s="143"/>
      <c r="P280" s="143"/>
      <c r="Q280" s="143"/>
      <c r="R280" s="143"/>
      <c r="S280" s="80"/>
      <c r="T280" s="80"/>
      <c r="U280" s="80"/>
      <c r="V280" s="80"/>
      <c r="W280" s="80"/>
      <c r="X280" s="80"/>
      <c r="Y280" s="80"/>
      <c r="Z280" s="80"/>
      <c r="AA280" s="80"/>
      <c r="AB280" s="80"/>
    </row>
    <row r="281" spans="1:28" ht="15.75">
      <c r="A281" s="80"/>
      <c r="B281" s="80"/>
      <c r="C281" s="80"/>
      <c r="D281" s="80"/>
      <c r="E281" s="80"/>
      <c r="F281" s="80"/>
      <c r="G281" s="80"/>
      <c r="H281" s="80"/>
      <c r="I281" s="80"/>
      <c r="J281" s="80"/>
      <c r="K281" s="80"/>
      <c r="L281" s="80"/>
      <c r="M281" s="80"/>
      <c r="N281" s="143"/>
      <c r="O281" s="143"/>
      <c r="P281" s="143"/>
      <c r="Q281" s="143"/>
      <c r="R281" s="143"/>
      <c r="S281" s="80"/>
      <c r="T281" s="80"/>
      <c r="U281" s="80"/>
      <c r="V281" s="80"/>
      <c r="W281" s="80"/>
      <c r="X281" s="80"/>
      <c r="Y281" s="80"/>
      <c r="Z281" s="80"/>
      <c r="AA281" s="80"/>
      <c r="AB281" s="80"/>
    </row>
    <row r="282" spans="1:28" ht="15.75">
      <c r="A282" s="80"/>
      <c r="B282" s="80"/>
      <c r="C282" s="80"/>
      <c r="D282" s="80"/>
      <c r="E282" s="80"/>
      <c r="F282" s="80"/>
      <c r="G282" s="80"/>
      <c r="H282" s="80"/>
      <c r="I282" s="80"/>
      <c r="J282" s="80"/>
      <c r="K282" s="80"/>
      <c r="L282" s="80"/>
      <c r="M282" s="80"/>
      <c r="N282" s="143"/>
      <c r="O282" s="143"/>
      <c r="P282" s="143"/>
      <c r="Q282" s="143"/>
      <c r="R282" s="143"/>
      <c r="S282" s="80"/>
      <c r="T282" s="80"/>
      <c r="U282" s="80"/>
      <c r="V282" s="80"/>
      <c r="W282" s="80"/>
      <c r="X282" s="80"/>
      <c r="Y282" s="80"/>
      <c r="Z282" s="80"/>
      <c r="AA282" s="80"/>
      <c r="AB282" s="80"/>
    </row>
    <row r="283" spans="1:28" ht="15.75">
      <c r="A283" s="80"/>
      <c r="B283" s="80"/>
      <c r="C283" s="80"/>
      <c r="D283" s="80"/>
      <c r="E283" s="80"/>
      <c r="F283" s="80"/>
      <c r="G283" s="80"/>
      <c r="H283" s="80"/>
      <c r="I283" s="80"/>
      <c r="J283" s="80"/>
      <c r="K283" s="80"/>
      <c r="L283" s="80"/>
      <c r="M283" s="80"/>
      <c r="N283" s="143"/>
      <c r="O283" s="143"/>
      <c r="P283" s="143"/>
      <c r="Q283" s="143"/>
      <c r="R283" s="143"/>
      <c r="S283" s="80"/>
      <c r="T283" s="80"/>
      <c r="U283" s="80"/>
      <c r="V283" s="80"/>
      <c r="W283" s="80"/>
      <c r="X283" s="80"/>
      <c r="Y283" s="80"/>
      <c r="Z283" s="80"/>
      <c r="AA283" s="80"/>
      <c r="AB283" s="80"/>
    </row>
    <row r="284" spans="1:28" ht="15.75">
      <c r="A284" s="80"/>
      <c r="B284" s="80"/>
      <c r="C284" s="80"/>
      <c r="D284" s="80"/>
      <c r="E284" s="80"/>
      <c r="F284" s="80"/>
      <c r="G284" s="80"/>
      <c r="H284" s="80"/>
      <c r="I284" s="80"/>
      <c r="J284" s="80"/>
      <c r="K284" s="80"/>
      <c r="L284" s="80"/>
      <c r="M284" s="80"/>
      <c r="N284" s="143"/>
      <c r="O284" s="143"/>
      <c r="P284" s="143"/>
      <c r="Q284" s="143"/>
      <c r="R284" s="143"/>
      <c r="S284" s="80"/>
      <c r="T284" s="80"/>
      <c r="U284" s="80"/>
      <c r="V284" s="80"/>
      <c r="W284" s="80"/>
      <c r="X284" s="80"/>
      <c r="Y284" s="80"/>
      <c r="Z284" s="80"/>
      <c r="AA284" s="80"/>
      <c r="AB284" s="80"/>
    </row>
    <row r="285" spans="1:28" ht="15.75">
      <c r="A285" s="80"/>
      <c r="B285" s="80"/>
      <c r="C285" s="80"/>
      <c r="D285" s="80"/>
      <c r="E285" s="80"/>
      <c r="F285" s="80"/>
      <c r="G285" s="80"/>
      <c r="H285" s="80"/>
      <c r="I285" s="80"/>
      <c r="J285" s="80"/>
      <c r="K285" s="80"/>
      <c r="L285" s="80"/>
      <c r="M285" s="80"/>
      <c r="N285" s="143"/>
      <c r="O285" s="143"/>
      <c r="P285" s="143"/>
      <c r="Q285" s="143"/>
      <c r="R285" s="143"/>
      <c r="S285" s="80"/>
      <c r="T285" s="80"/>
      <c r="U285" s="80"/>
      <c r="V285" s="80"/>
      <c r="W285" s="80"/>
      <c r="X285" s="80"/>
      <c r="Y285" s="80"/>
      <c r="Z285" s="80"/>
      <c r="AA285" s="80"/>
      <c r="AB285" s="80"/>
    </row>
    <row r="286" spans="1:28" ht="15.75">
      <c r="A286" s="80"/>
      <c r="B286" s="80"/>
      <c r="C286" s="80"/>
      <c r="D286" s="80"/>
      <c r="E286" s="80"/>
      <c r="F286" s="80"/>
      <c r="G286" s="80"/>
      <c r="H286" s="80"/>
      <c r="I286" s="80"/>
      <c r="J286" s="80"/>
      <c r="K286" s="80"/>
      <c r="L286" s="80"/>
      <c r="M286" s="80"/>
      <c r="N286" s="143"/>
      <c r="O286" s="143"/>
      <c r="P286" s="143"/>
      <c r="Q286" s="143"/>
      <c r="R286" s="143"/>
      <c r="S286" s="80"/>
      <c r="T286" s="80"/>
      <c r="U286" s="80"/>
      <c r="V286" s="80"/>
      <c r="W286" s="80"/>
      <c r="X286" s="80"/>
      <c r="Y286" s="80"/>
      <c r="Z286" s="80"/>
      <c r="AA286" s="80"/>
      <c r="AB286" s="80"/>
    </row>
    <row r="287" spans="1:28" ht="15.75">
      <c r="A287" s="80"/>
      <c r="B287" s="80"/>
      <c r="C287" s="80"/>
      <c r="D287" s="80"/>
      <c r="E287" s="80"/>
      <c r="F287" s="80"/>
      <c r="G287" s="80"/>
      <c r="H287" s="80"/>
      <c r="I287" s="80"/>
      <c r="J287" s="80"/>
      <c r="K287" s="80"/>
      <c r="L287" s="80"/>
      <c r="M287" s="80"/>
      <c r="N287" s="143"/>
      <c r="O287" s="143"/>
      <c r="P287" s="143"/>
      <c r="Q287" s="143"/>
      <c r="R287" s="143"/>
      <c r="S287" s="80"/>
      <c r="T287" s="80"/>
      <c r="U287" s="80"/>
      <c r="V287" s="80"/>
      <c r="W287" s="80"/>
      <c r="X287" s="80"/>
      <c r="Y287" s="80"/>
      <c r="Z287" s="80"/>
      <c r="AA287" s="80"/>
      <c r="AB287" s="80"/>
    </row>
    <row r="288" spans="1:28" ht="15.75">
      <c r="A288" s="80"/>
      <c r="B288" s="80"/>
      <c r="C288" s="80"/>
      <c r="D288" s="80"/>
      <c r="E288" s="80"/>
      <c r="F288" s="80"/>
      <c r="G288" s="80"/>
      <c r="H288" s="80"/>
      <c r="I288" s="80"/>
      <c r="J288" s="80"/>
      <c r="K288" s="80"/>
      <c r="L288" s="80"/>
      <c r="M288" s="80"/>
      <c r="N288" s="143"/>
      <c r="O288" s="143"/>
      <c r="P288" s="143"/>
      <c r="Q288" s="143"/>
      <c r="R288" s="143"/>
      <c r="S288" s="80"/>
      <c r="T288" s="80"/>
      <c r="U288" s="80"/>
      <c r="V288" s="80"/>
      <c r="W288" s="80"/>
      <c r="X288" s="80"/>
      <c r="Y288" s="80"/>
      <c r="Z288" s="80"/>
      <c r="AA288" s="80"/>
      <c r="AB288" s="80"/>
    </row>
    <row r="289" spans="1:28" ht="15.75">
      <c r="A289" s="80"/>
      <c r="B289" s="80"/>
      <c r="C289" s="80"/>
      <c r="D289" s="80"/>
      <c r="E289" s="80"/>
      <c r="F289" s="80"/>
      <c r="G289" s="80"/>
      <c r="H289" s="80"/>
      <c r="I289" s="80"/>
      <c r="J289" s="80"/>
      <c r="K289" s="80"/>
      <c r="L289" s="80"/>
      <c r="M289" s="80"/>
      <c r="N289" s="143"/>
      <c r="O289" s="143"/>
      <c r="P289" s="143"/>
      <c r="Q289" s="143"/>
      <c r="R289" s="143"/>
      <c r="S289" s="80"/>
      <c r="T289" s="80"/>
      <c r="U289" s="80"/>
      <c r="V289" s="80"/>
      <c r="W289" s="80"/>
      <c r="X289" s="80"/>
      <c r="Y289" s="80"/>
      <c r="Z289" s="80"/>
      <c r="AA289" s="80"/>
      <c r="AB289" s="80"/>
    </row>
    <row r="290" spans="1:28" ht="15.75">
      <c r="A290" s="80"/>
      <c r="B290" s="80"/>
      <c r="C290" s="80"/>
      <c r="D290" s="80"/>
      <c r="E290" s="80"/>
      <c r="F290" s="80"/>
      <c r="G290" s="80"/>
      <c r="H290" s="80"/>
      <c r="I290" s="80"/>
      <c r="J290" s="80"/>
      <c r="K290" s="80"/>
      <c r="L290" s="80"/>
      <c r="M290" s="80"/>
      <c r="N290" s="143"/>
      <c r="O290" s="143"/>
      <c r="P290" s="143"/>
      <c r="Q290" s="143"/>
      <c r="R290" s="143"/>
      <c r="S290" s="80"/>
      <c r="T290" s="80"/>
      <c r="U290" s="80"/>
      <c r="V290" s="80"/>
      <c r="W290" s="80"/>
      <c r="X290" s="80"/>
      <c r="Y290" s="80"/>
      <c r="Z290" s="80"/>
      <c r="AA290" s="80"/>
      <c r="AB290" s="80"/>
    </row>
    <row r="291" spans="1:28" ht="15.75">
      <c r="A291" s="80"/>
      <c r="B291" s="80"/>
      <c r="C291" s="80"/>
      <c r="D291" s="80"/>
      <c r="E291" s="80"/>
      <c r="F291" s="80"/>
      <c r="G291" s="80"/>
      <c r="H291" s="80"/>
      <c r="I291" s="80"/>
      <c r="J291" s="80"/>
      <c r="K291" s="80"/>
      <c r="L291" s="80"/>
      <c r="M291" s="80"/>
      <c r="N291" s="143"/>
      <c r="O291" s="143"/>
      <c r="P291" s="143"/>
      <c r="Q291" s="143"/>
      <c r="R291" s="143"/>
      <c r="S291" s="80"/>
      <c r="T291" s="80"/>
      <c r="U291" s="80"/>
      <c r="V291" s="80"/>
      <c r="W291" s="80"/>
      <c r="X291" s="80"/>
      <c r="Y291" s="80"/>
      <c r="Z291" s="80"/>
      <c r="AA291" s="80"/>
      <c r="AB291" s="80"/>
    </row>
    <row r="292" spans="1:28" ht="15.75">
      <c r="A292" s="80"/>
      <c r="B292" s="80"/>
      <c r="C292" s="80"/>
      <c r="D292" s="80"/>
      <c r="E292" s="80"/>
      <c r="F292" s="80"/>
      <c r="G292" s="80"/>
      <c r="H292" s="80"/>
      <c r="I292" s="80"/>
      <c r="J292" s="80"/>
      <c r="K292" s="80"/>
      <c r="L292" s="80"/>
      <c r="M292" s="80"/>
      <c r="N292" s="143"/>
      <c r="O292" s="143"/>
      <c r="P292" s="143"/>
      <c r="Q292" s="143"/>
      <c r="R292" s="143"/>
      <c r="S292" s="80"/>
      <c r="T292" s="80"/>
      <c r="U292" s="80"/>
      <c r="V292" s="80"/>
      <c r="W292" s="80"/>
      <c r="X292" s="80"/>
      <c r="Y292" s="80"/>
      <c r="Z292" s="80"/>
      <c r="AA292" s="80"/>
      <c r="AB292" s="80"/>
    </row>
    <row r="293" spans="1:28" ht="15.75">
      <c r="A293" s="80"/>
      <c r="B293" s="80"/>
      <c r="C293" s="80"/>
      <c r="D293" s="80"/>
      <c r="E293" s="80"/>
      <c r="F293" s="80"/>
      <c r="G293" s="80"/>
      <c r="H293" s="80"/>
      <c r="I293" s="80"/>
      <c r="J293" s="80"/>
      <c r="K293" s="80"/>
      <c r="L293" s="80"/>
      <c r="M293" s="80"/>
      <c r="N293" s="143"/>
      <c r="O293" s="143"/>
      <c r="P293" s="143"/>
      <c r="Q293" s="143"/>
      <c r="R293" s="143"/>
      <c r="S293" s="80"/>
      <c r="T293" s="80"/>
      <c r="U293" s="80"/>
      <c r="V293" s="80"/>
      <c r="W293" s="80"/>
      <c r="X293" s="80"/>
      <c r="Y293" s="80"/>
      <c r="Z293" s="80"/>
      <c r="AA293" s="80"/>
      <c r="AB293" s="80"/>
    </row>
    <row r="294" spans="1:28" ht="15.75">
      <c r="A294" s="80"/>
      <c r="B294" s="80"/>
      <c r="C294" s="80"/>
      <c r="D294" s="80"/>
      <c r="E294" s="80"/>
      <c r="F294" s="80"/>
      <c r="G294" s="80"/>
      <c r="H294" s="80"/>
      <c r="I294" s="80"/>
      <c r="J294" s="80"/>
      <c r="K294" s="80"/>
      <c r="L294" s="80"/>
      <c r="M294" s="80"/>
      <c r="N294" s="143"/>
      <c r="O294" s="143"/>
      <c r="P294" s="143"/>
      <c r="Q294" s="143"/>
      <c r="R294" s="143"/>
      <c r="S294" s="80"/>
      <c r="T294" s="80"/>
      <c r="U294" s="80"/>
      <c r="V294" s="80"/>
      <c r="W294" s="80"/>
      <c r="X294" s="80"/>
      <c r="Y294" s="80"/>
      <c r="Z294" s="80"/>
      <c r="AA294" s="80"/>
      <c r="AB294" s="80"/>
    </row>
    <row r="295" spans="1:28" ht="15.75">
      <c r="A295" s="80"/>
      <c r="B295" s="80"/>
      <c r="C295" s="80"/>
      <c r="D295" s="80"/>
      <c r="E295" s="80"/>
      <c r="F295" s="80"/>
      <c r="G295" s="80"/>
      <c r="H295" s="80"/>
      <c r="I295" s="80"/>
      <c r="J295" s="80"/>
      <c r="K295" s="80"/>
      <c r="L295" s="80"/>
      <c r="M295" s="80"/>
      <c r="N295" s="143"/>
      <c r="O295" s="143"/>
      <c r="P295" s="143"/>
      <c r="Q295" s="143"/>
      <c r="R295" s="143"/>
      <c r="S295" s="80"/>
      <c r="T295" s="80"/>
      <c r="U295" s="80"/>
      <c r="V295" s="80"/>
      <c r="W295" s="80"/>
      <c r="X295" s="80"/>
      <c r="Y295" s="80"/>
      <c r="Z295" s="80"/>
      <c r="AA295" s="80"/>
      <c r="AB295" s="80"/>
    </row>
    <row r="296" spans="1:28" ht="15.75">
      <c r="A296" s="80"/>
      <c r="B296" s="80"/>
      <c r="C296" s="80"/>
      <c r="D296" s="80"/>
      <c r="E296" s="80"/>
      <c r="F296" s="80"/>
      <c r="G296" s="80"/>
      <c r="H296" s="80"/>
      <c r="I296" s="80"/>
      <c r="J296" s="80"/>
      <c r="K296" s="80"/>
      <c r="L296" s="80"/>
      <c r="M296" s="80"/>
      <c r="N296" s="143"/>
      <c r="O296" s="143"/>
      <c r="P296" s="143"/>
      <c r="Q296" s="143"/>
      <c r="R296" s="143"/>
      <c r="S296" s="80"/>
      <c r="T296" s="80"/>
      <c r="U296" s="80"/>
      <c r="V296" s="80"/>
      <c r="W296" s="80"/>
      <c r="X296" s="80"/>
      <c r="Y296" s="80"/>
      <c r="Z296" s="80"/>
      <c r="AA296" s="80"/>
      <c r="AB296" s="80"/>
    </row>
    <row r="297" spans="1:28" ht="15.75">
      <c r="A297" s="80"/>
      <c r="B297" s="80"/>
      <c r="C297" s="80"/>
      <c r="D297" s="80"/>
      <c r="E297" s="80"/>
      <c r="F297" s="80"/>
      <c r="G297" s="80"/>
      <c r="H297" s="80"/>
      <c r="I297" s="80"/>
      <c r="J297" s="80"/>
      <c r="K297" s="80"/>
      <c r="L297" s="80"/>
      <c r="M297" s="80"/>
      <c r="N297" s="143"/>
      <c r="O297" s="143"/>
      <c r="P297" s="143"/>
      <c r="Q297" s="143"/>
      <c r="R297" s="143"/>
      <c r="S297" s="80"/>
      <c r="T297" s="80"/>
      <c r="U297" s="80"/>
      <c r="V297" s="80"/>
      <c r="W297" s="80"/>
      <c r="X297" s="80"/>
      <c r="Y297" s="80"/>
      <c r="Z297" s="80"/>
      <c r="AA297" s="80"/>
      <c r="AB297" s="80"/>
    </row>
    <row r="298" spans="1:28" ht="15.75">
      <c r="A298" s="80"/>
      <c r="B298" s="80"/>
      <c r="C298" s="80"/>
      <c r="D298" s="80"/>
      <c r="E298" s="80"/>
      <c r="F298" s="80"/>
      <c r="G298" s="80"/>
      <c r="H298" s="80"/>
      <c r="I298" s="80"/>
      <c r="J298" s="80"/>
      <c r="K298" s="80"/>
      <c r="L298" s="80"/>
      <c r="M298" s="80"/>
      <c r="N298" s="143"/>
      <c r="O298" s="143"/>
      <c r="P298" s="143"/>
      <c r="Q298" s="143"/>
      <c r="R298" s="143"/>
      <c r="S298" s="80"/>
      <c r="T298" s="80"/>
      <c r="U298" s="80"/>
      <c r="V298" s="80"/>
      <c r="W298" s="80"/>
      <c r="X298" s="80"/>
      <c r="Y298" s="80"/>
      <c r="Z298" s="80"/>
      <c r="AA298" s="80"/>
      <c r="AB298" s="80"/>
    </row>
    <row r="299" spans="1:28" ht="15.75">
      <c r="A299" s="80"/>
      <c r="B299" s="80"/>
      <c r="C299" s="80"/>
      <c r="D299" s="80"/>
      <c r="E299" s="80"/>
      <c r="F299" s="80"/>
      <c r="G299" s="80"/>
      <c r="H299" s="80"/>
      <c r="I299" s="80"/>
      <c r="J299" s="80"/>
      <c r="K299" s="80"/>
      <c r="L299" s="80"/>
      <c r="M299" s="80"/>
      <c r="N299" s="143"/>
      <c r="O299" s="143"/>
      <c r="P299" s="143"/>
      <c r="Q299" s="143"/>
      <c r="R299" s="143"/>
      <c r="S299" s="80"/>
      <c r="T299" s="80"/>
      <c r="U299" s="80"/>
      <c r="V299" s="80"/>
      <c r="W299" s="80"/>
      <c r="X299" s="80"/>
      <c r="Y299" s="80"/>
      <c r="Z299" s="80"/>
      <c r="AA299" s="80"/>
      <c r="AB299" s="80"/>
    </row>
    <row r="300" spans="1:28" ht="15.75">
      <c r="A300" s="80"/>
      <c r="B300" s="80"/>
      <c r="C300" s="80"/>
      <c r="D300" s="80"/>
      <c r="E300" s="80"/>
      <c r="F300" s="80"/>
      <c r="G300" s="80"/>
      <c r="H300" s="80"/>
      <c r="I300" s="80"/>
      <c r="J300" s="80"/>
      <c r="K300" s="80"/>
      <c r="L300" s="80"/>
      <c r="M300" s="80"/>
      <c r="N300" s="143"/>
      <c r="O300" s="143"/>
      <c r="P300" s="143"/>
      <c r="Q300" s="143"/>
      <c r="R300" s="143"/>
      <c r="S300" s="80"/>
      <c r="T300" s="80"/>
      <c r="U300" s="80"/>
      <c r="V300" s="80"/>
      <c r="W300" s="80"/>
      <c r="X300" s="80"/>
      <c r="Y300" s="80"/>
      <c r="Z300" s="80"/>
      <c r="AA300" s="80"/>
      <c r="AB300" s="80"/>
    </row>
    <row r="301" spans="1:28" ht="15.75">
      <c r="A301" s="80"/>
      <c r="B301" s="80"/>
      <c r="C301" s="80"/>
      <c r="D301" s="80"/>
      <c r="E301" s="80"/>
      <c r="F301" s="80"/>
      <c r="G301" s="80"/>
      <c r="H301" s="80"/>
      <c r="I301" s="80"/>
      <c r="J301" s="80"/>
      <c r="K301" s="80"/>
      <c r="L301" s="80"/>
      <c r="M301" s="80"/>
      <c r="N301" s="143"/>
      <c r="O301" s="143"/>
      <c r="P301" s="143"/>
      <c r="Q301" s="143"/>
      <c r="R301" s="143"/>
      <c r="S301" s="80"/>
      <c r="T301" s="80"/>
      <c r="U301" s="80"/>
      <c r="V301" s="80"/>
      <c r="W301" s="80"/>
      <c r="X301" s="80"/>
      <c r="Y301" s="80"/>
      <c r="Z301" s="80"/>
      <c r="AA301" s="80"/>
      <c r="AB301" s="80"/>
    </row>
    <row r="302" spans="1:28" ht="15.75">
      <c r="A302" s="80"/>
      <c r="B302" s="80"/>
      <c r="C302" s="80"/>
      <c r="D302" s="80"/>
      <c r="E302" s="80"/>
      <c r="F302" s="80"/>
      <c r="G302" s="80"/>
      <c r="H302" s="80"/>
      <c r="I302" s="80"/>
      <c r="J302" s="80"/>
      <c r="K302" s="80"/>
      <c r="L302" s="80"/>
      <c r="M302" s="80"/>
      <c r="N302" s="143"/>
      <c r="O302" s="143"/>
      <c r="P302" s="143"/>
      <c r="Q302" s="143"/>
      <c r="R302" s="143"/>
      <c r="S302" s="80"/>
      <c r="T302" s="80"/>
      <c r="U302" s="80"/>
      <c r="V302" s="80"/>
      <c r="W302" s="80"/>
      <c r="X302" s="80"/>
      <c r="Y302" s="80"/>
      <c r="Z302" s="80"/>
      <c r="AA302" s="80"/>
      <c r="AB302" s="80"/>
    </row>
    <row r="303" spans="1:28" ht="15.75">
      <c r="A303" s="80"/>
      <c r="B303" s="80"/>
      <c r="C303" s="80"/>
      <c r="D303" s="80"/>
      <c r="E303" s="80"/>
      <c r="F303" s="80"/>
      <c r="G303" s="80"/>
      <c r="H303" s="80"/>
      <c r="I303" s="80"/>
      <c r="J303" s="80"/>
      <c r="K303" s="80"/>
      <c r="L303" s="80"/>
      <c r="M303" s="80"/>
      <c r="N303" s="143"/>
      <c r="O303" s="143"/>
      <c r="P303" s="143"/>
      <c r="Q303" s="143"/>
      <c r="R303" s="143"/>
      <c r="S303" s="80"/>
      <c r="T303" s="80"/>
      <c r="U303" s="80"/>
      <c r="V303" s="80"/>
      <c r="W303" s="80"/>
      <c r="X303" s="80"/>
      <c r="Y303" s="80"/>
      <c r="Z303" s="80"/>
      <c r="AA303" s="80"/>
      <c r="AB303" s="80"/>
    </row>
    <row r="304" spans="1:28" ht="15.75">
      <c r="A304" s="80"/>
      <c r="B304" s="80"/>
      <c r="C304" s="80"/>
      <c r="D304" s="80"/>
      <c r="E304" s="80"/>
      <c r="F304" s="80"/>
      <c r="G304" s="80"/>
      <c r="H304" s="80"/>
      <c r="I304" s="80"/>
      <c r="J304" s="80"/>
      <c r="K304" s="80"/>
      <c r="L304" s="80"/>
      <c r="M304" s="80"/>
      <c r="N304" s="143"/>
      <c r="O304" s="143"/>
      <c r="P304" s="143"/>
      <c r="Q304" s="143"/>
      <c r="R304" s="143"/>
      <c r="S304" s="80"/>
      <c r="T304" s="80"/>
      <c r="U304" s="80"/>
      <c r="V304" s="80"/>
      <c r="W304" s="80"/>
      <c r="X304" s="80"/>
      <c r="Y304" s="80"/>
      <c r="Z304" s="80"/>
      <c r="AA304" s="80"/>
      <c r="AB304" s="80"/>
    </row>
    <row r="305" spans="1:28" ht="15.75">
      <c r="A305" s="80"/>
      <c r="B305" s="80"/>
      <c r="C305" s="80"/>
      <c r="D305" s="80"/>
      <c r="E305" s="80"/>
      <c r="F305" s="80"/>
      <c r="G305" s="80"/>
      <c r="H305" s="80"/>
      <c r="I305" s="80"/>
      <c r="J305" s="80"/>
      <c r="K305" s="80"/>
      <c r="L305" s="80"/>
      <c r="M305" s="80"/>
      <c r="N305" s="143"/>
      <c r="O305" s="143"/>
      <c r="P305" s="143"/>
      <c r="Q305" s="143"/>
      <c r="R305" s="143"/>
      <c r="S305" s="80"/>
      <c r="T305" s="80"/>
      <c r="U305" s="80"/>
      <c r="V305" s="80"/>
      <c r="W305" s="80"/>
      <c r="X305" s="80"/>
      <c r="Y305" s="80"/>
      <c r="Z305" s="80"/>
      <c r="AA305" s="80"/>
      <c r="AB305" s="80"/>
    </row>
    <row r="306" spans="1:28" ht="15.75">
      <c r="A306" s="80"/>
      <c r="B306" s="80"/>
      <c r="C306" s="80"/>
      <c r="D306" s="80"/>
      <c r="E306" s="80"/>
      <c r="F306" s="80"/>
      <c r="G306" s="80"/>
      <c r="H306" s="80"/>
      <c r="I306" s="80"/>
      <c r="J306" s="80"/>
      <c r="K306" s="80"/>
      <c r="L306" s="80"/>
      <c r="M306" s="80"/>
      <c r="N306" s="143"/>
      <c r="O306" s="143"/>
      <c r="P306" s="143"/>
      <c r="Q306" s="143"/>
      <c r="R306" s="143"/>
      <c r="S306" s="80"/>
      <c r="T306" s="80"/>
      <c r="U306" s="80"/>
      <c r="V306" s="80"/>
      <c r="W306" s="80"/>
      <c r="X306" s="80"/>
      <c r="Y306" s="80"/>
      <c r="Z306" s="80"/>
      <c r="AA306" s="80"/>
      <c r="AB306" s="80"/>
    </row>
    <row r="307" spans="1:28" ht="15.75">
      <c r="A307" s="80"/>
      <c r="B307" s="80"/>
      <c r="C307" s="80"/>
      <c r="D307" s="80"/>
      <c r="E307" s="80"/>
      <c r="F307" s="80"/>
      <c r="G307" s="80"/>
      <c r="H307" s="80"/>
      <c r="I307" s="80"/>
      <c r="J307" s="80"/>
      <c r="K307" s="80"/>
      <c r="L307" s="80"/>
      <c r="M307" s="80"/>
      <c r="N307" s="143"/>
      <c r="O307" s="143"/>
      <c r="P307" s="143"/>
      <c r="Q307" s="143"/>
      <c r="R307" s="143"/>
      <c r="S307" s="80"/>
      <c r="T307" s="80"/>
      <c r="U307" s="80"/>
      <c r="V307" s="80"/>
      <c r="W307" s="80"/>
      <c r="X307" s="80"/>
      <c r="Y307" s="80"/>
      <c r="Z307" s="80"/>
      <c r="AA307" s="80"/>
      <c r="AB307" s="80"/>
    </row>
    <row r="308" spans="1:28" ht="15.75">
      <c r="A308" s="80"/>
      <c r="B308" s="80"/>
      <c r="C308" s="80"/>
      <c r="D308" s="80"/>
      <c r="E308" s="80"/>
      <c r="F308" s="80"/>
      <c r="G308" s="80"/>
      <c r="H308" s="80"/>
      <c r="I308" s="80"/>
      <c r="J308" s="80"/>
      <c r="K308" s="80"/>
      <c r="L308" s="80"/>
      <c r="M308" s="80"/>
      <c r="N308" s="143"/>
      <c r="O308" s="143"/>
      <c r="P308" s="143"/>
      <c r="Q308" s="143"/>
      <c r="R308" s="143"/>
      <c r="S308" s="80"/>
      <c r="T308" s="80"/>
      <c r="U308" s="80"/>
      <c r="V308" s="80"/>
      <c r="W308" s="80"/>
      <c r="X308" s="80"/>
      <c r="Y308" s="80"/>
      <c r="Z308" s="80"/>
      <c r="AA308" s="80"/>
      <c r="AB308" s="80"/>
    </row>
    <row r="309" spans="1:28" ht="15.75">
      <c r="A309" s="80"/>
      <c r="B309" s="80"/>
      <c r="C309" s="80"/>
      <c r="D309" s="80"/>
      <c r="E309" s="80"/>
      <c r="F309" s="80"/>
      <c r="G309" s="80"/>
      <c r="H309" s="80"/>
      <c r="I309" s="80"/>
      <c r="J309" s="80"/>
      <c r="K309" s="80"/>
      <c r="L309" s="80"/>
      <c r="M309" s="80"/>
      <c r="N309" s="143"/>
      <c r="O309" s="143"/>
      <c r="P309" s="143"/>
      <c r="Q309" s="143"/>
      <c r="R309" s="143"/>
      <c r="S309" s="80"/>
      <c r="T309" s="80"/>
      <c r="U309" s="80"/>
      <c r="V309" s="80"/>
      <c r="W309" s="80"/>
      <c r="X309" s="80"/>
      <c r="Y309" s="80"/>
      <c r="Z309" s="80"/>
      <c r="AA309" s="80"/>
      <c r="AB309" s="80"/>
    </row>
    <row r="310" spans="1:28" ht="15.75">
      <c r="A310" s="80"/>
      <c r="B310" s="80"/>
      <c r="C310" s="80"/>
      <c r="D310" s="80"/>
      <c r="E310" s="80"/>
      <c r="F310" s="80"/>
      <c r="G310" s="80"/>
      <c r="H310" s="80"/>
      <c r="I310" s="80"/>
      <c r="J310" s="80"/>
      <c r="K310" s="80"/>
      <c r="L310" s="80"/>
      <c r="M310" s="80"/>
      <c r="N310" s="143"/>
      <c r="O310" s="143"/>
      <c r="P310" s="143"/>
      <c r="Q310" s="143"/>
      <c r="R310" s="143"/>
      <c r="S310" s="80"/>
      <c r="T310" s="80"/>
      <c r="U310" s="80"/>
      <c r="V310" s="80"/>
      <c r="W310" s="80"/>
      <c r="X310" s="80"/>
      <c r="Y310" s="80"/>
      <c r="Z310" s="80"/>
      <c r="AA310" s="80"/>
      <c r="AB310" s="80"/>
    </row>
    <row r="311" spans="1:28" ht="15.75">
      <c r="A311" s="80"/>
      <c r="B311" s="80"/>
      <c r="C311" s="80"/>
      <c r="D311" s="80"/>
      <c r="E311" s="80"/>
      <c r="F311" s="80"/>
      <c r="G311" s="80"/>
      <c r="H311" s="80"/>
      <c r="I311" s="80"/>
      <c r="J311" s="80"/>
      <c r="K311" s="80"/>
      <c r="L311" s="80"/>
      <c r="M311" s="80"/>
      <c r="N311" s="143"/>
      <c r="O311" s="143"/>
      <c r="P311" s="143"/>
      <c r="Q311" s="143"/>
      <c r="R311" s="143"/>
      <c r="S311" s="80"/>
      <c r="T311" s="80"/>
      <c r="U311" s="80"/>
      <c r="V311" s="80"/>
      <c r="W311" s="80"/>
      <c r="X311" s="80"/>
      <c r="Y311" s="80"/>
      <c r="Z311" s="80"/>
      <c r="AA311" s="80"/>
      <c r="AB311" s="80"/>
    </row>
    <row r="312" spans="1:28" ht="15.75">
      <c r="A312" s="80"/>
      <c r="B312" s="80"/>
      <c r="C312" s="80"/>
      <c r="D312" s="80"/>
      <c r="E312" s="80"/>
      <c r="F312" s="80"/>
      <c r="G312" s="80"/>
      <c r="H312" s="80"/>
      <c r="I312" s="80"/>
      <c r="J312" s="80"/>
      <c r="K312" s="80"/>
      <c r="L312" s="80"/>
      <c r="M312" s="80"/>
      <c r="N312" s="143"/>
      <c r="O312" s="143"/>
      <c r="P312" s="143"/>
      <c r="Q312" s="143"/>
      <c r="R312" s="143"/>
      <c r="S312" s="80"/>
      <c r="T312" s="80"/>
      <c r="U312" s="80"/>
      <c r="V312" s="80"/>
      <c r="W312" s="80"/>
      <c r="X312" s="80"/>
      <c r="Y312" s="80"/>
      <c r="Z312" s="80"/>
      <c r="AA312" s="80"/>
      <c r="AB312" s="80"/>
    </row>
    <row r="313" spans="1:28" ht="15.75">
      <c r="A313" s="80"/>
      <c r="B313" s="80"/>
      <c r="C313" s="80"/>
      <c r="D313" s="80"/>
      <c r="E313" s="80"/>
      <c r="F313" s="80"/>
      <c r="G313" s="80"/>
      <c r="H313" s="80"/>
      <c r="I313" s="80"/>
      <c r="J313" s="80"/>
      <c r="K313" s="80"/>
      <c r="L313" s="80"/>
      <c r="M313" s="80"/>
      <c r="N313" s="143"/>
      <c r="O313" s="143"/>
      <c r="P313" s="143"/>
      <c r="Q313" s="143"/>
      <c r="R313" s="143"/>
      <c r="S313" s="80"/>
      <c r="T313" s="80"/>
      <c r="U313" s="80"/>
      <c r="V313" s="80"/>
      <c r="W313" s="80"/>
      <c r="X313" s="80"/>
      <c r="Y313" s="80"/>
      <c r="Z313" s="80"/>
      <c r="AA313" s="80"/>
      <c r="AB313" s="80"/>
    </row>
    <row r="314" spans="1:28" ht="15.75">
      <c r="A314" s="80"/>
      <c r="B314" s="80"/>
      <c r="C314" s="80"/>
      <c r="D314" s="80"/>
      <c r="E314" s="80"/>
      <c r="F314" s="80"/>
      <c r="G314" s="80"/>
      <c r="H314" s="80"/>
      <c r="I314" s="80"/>
      <c r="J314" s="80"/>
      <c r="K314" s="80"/>
      <c r="L314" s="80"/>
      <c r="M314" s="80"/>
      <c r="N314" s="143"/>
      <c r="O314" s="143"/>
      <c r="P314" s="143"/>
      <c r="Q314" s="143"/>
      <c r="R314" s="143"/>
      <c r="S314" s="80"/>
      <c r="T314" s="80"/>
      <c r="U314" s="80"/>
      <c r="V314" s="80"/>
      <c r="W314" s="80"/>
      <c r="X314" s="80"/>
      <c r="Y314" s="80"/>
      <c r="Z314" s="80"/>
      <c r="AA314" s="80"/>
      <c r="AB314" s="80"/>
    </row>
    <row r="315" spans="1:28" ht="15.75">
      <c r="A315" s="80"/>
      <c r="B315" s="80"/>
      <c r="C315" s="80"/>
      <c r="D315" s="80"/>
      <c r="E315" s="80"/>
      <c r="F315" s="80"/>
      <c r="G315" s="80"/>
      <c r="H315" s="80"/>
      <c r="I315" s="80"/>
      <c r="J315" s="80"/>
      <c r="K315" s="80"/>
      <c r="L315" s="80"/>
      <c r="M315" s="80"/>
      <c r="N315" s="143"/>
      <c r="O315" s="143"/>
      <c r="P315" s="143"/>
      <c r="Q315" s="143"/>
      <c r="R315" s="143"/>
      <c r="S315" s="80"/>
      <c r="T315" s="80"/>
      <c r="U315" s="80"/>
      <c r="V315" s="80"/>
      <c r="W315" s="80"/>
      <c r="X315" s="80"/>
      <c r="Y315" s="80"/>
      <c r="Z315" s="80"/>
      <c r="AA315" s="80"/>
      <c r="AB315" s="80"/>
    </row>
    <row r="316" spans="1:28" ht="15.75">
      <c r="A316" s="80"/>
      <c r="B316" s="80"/>
      <c r="C316" s="80"/>
      <c r="D316" s="80"/>
      <c r="E316" s="80"/>
      <c r="F316" s="80"/>
      <c r="G316" s="80"/>
      <c r="H316" s="80"/>
      <c r="I316" s="80"/>
      <c r="J316" s="80"/>
      <c r="K316" s="80"/>
      <c r="L316" s="80"/>
      <c r="M316" s="80"/>
      <c r="N316" s="143"/>
      <c r="O316" s="143"/>
      <c r="P316" s="143"/>
      <c r="Q316" s="143"/>
      <c r="R316" s="143"/>
      <c r="S316" s="80"/>
      <c r="T316" s="80"/>
      <c r="U316" s="80"/>
      <c r="V316" s="80"/>
      <c r="W316" s="80"/>
      <c r="X316" s="80"/>
      <c r="Y316" s="80"/>
      <c r="Z316" s="80"/>
      <c r="AA316" s="80"/>
      <c r="AB316" s="80"/>
    </row>
    <row r="317" spans="1:28" ht="15.75">
      <c r="A317" s="80"/>
      <c r="B317" s="80"/>
      <c r="C317" s="80"/>
      <c r="D317" s="80"/>
      <c r="E317" s="80"/>
      <c r="F317" s="80"/>
      <c r="G317" s="80"/>
      <c r="H317" s="80"/>
      <c r="I317" s="80"/>
      <c r="J317" s="80"/>
      <c r="K317" s="80"/>
      <c r="L317" s="80"/>
      <c r="M317" s="80"/>
      <c r="N317" s="143"/>
      <c r="O317" s="143"/>
      <c r="P317" s="143"/>
      <c r="Q317" s="143"/>
      <c r="R317" s="143"/>
      <c r="S317" s="80"/>
      <c r="T317" s="80"/>
      <c r="U317" s="80"/>
      <c r="V317" s="80"/>
      <c r="W317" s="80"/>
      <c r="X317" s="80"/>
      <c r="Y317" s="80"/>
      <c r="Z317" s="80"/>
      <c r="AA317" s="80"/>
      <c r="AB317" s="80"/>
    </row>
    <row r="318" spans="1:28" ht="15.75">
      <c r="A318" s="80"/>
      <c r="B318" s="80"/>
      <c r="C318" s="80"/>
      <c r="D318" s="80"/>
      <c r="E318" s="80"/>
      <c r="F318" s="80"/>
      <c r="G318" s="80"/>
      <c r="H318" s="80"/>
      <c r="I318" s="80"/>
      <c r="J318" s="80"/>
      <c r="K318" s="80"/>
      <c r="L318" s="80"/>
      <c r="M318" s="80"/>
      <c r="N318" s="143"/>
      <c r="O318" s="143"/>
      <c r="P318" s="143"/>
      <c r="Q318" s="143"/>
      <c r="R318" s="143"/>
      <c r="S318" s="80"/>
      <c r="T318" s="80"/>
      <c r="U318" s="80"/>
      <c r="V318" s="80"/>
      <c r="W318" s="80"/>
      <c r="X318" s="80"/>
      <c r="Y318" s="80"/>
      <c r="Z318" s="80"/>
      <c r="AA318" s="80"/>
      <c r="AB318" s="80"/>
    </row>
    <row r="319" spans="1:28" ht="15.75">
      <c r="A319" s="80"/>
      <c r="B319" s="80"/>
      <c r="C319" s="80"/>
      <c r="D319" s="80"/>
      <c r="E319" s="80"/>
      <c r="F319" s="80"/>
      <c r="G319" s="80"/>
      <c r="H319" s="80"/>
      <c r="I319" s="80"/>
      <c r="J319" s="80"/>
      <c r="K319" s="80"/>
      <c r="L319" s="80"/>
      <c r="M319" s="80"/>
      <c r="N319" s="143"/>
      <c r="O319" s="143"/>
      <c r="P319" s="143"/>
      <c r="Q319" s="143"/>
      <c r="R319" s="143"/>
      <c r="S319" s="80"/>
      <c r="T319" s="80"/>
      <c r="U319" s="80"/>
      <c r="V319" s="80"/>
      <c r="W319" s="80"/>
      <c r="X319" s="80"/>
      <c r="Y319" s="80"/>
      <c r="Z319" s="80"/>
      <c r="AA319" s="80"/>
      <c r="AB319" s="80"/>
    </row>
    <row r="320" spans="1:28" ht="15.75">
      <c r="A320" s="80"/>
      <c r="B320" s="80"/>
      <c r="C320" s="80"/>
      <c r="D320" s="80"/>
      <c r="E320" s="80"/>
      <c r="F320" s="80"/>
      <c r="G320" s="80"/>
      <c r="H320" s="80"/>
      <c r="I320" s="80"/>
      <c r="J320" s="80"/>
      <c r="K320" s="80"/>
      <c r="L320" s="80"/>
      <c r="M320" s="80"/>
      <c r="N320" s="143"/>
      <c r="O320" s="143"/>
      <c r="P320" s="143"/>
      <c r="Q320" s="143"/>
      <c r="R320" s="143"/>
      <c r="S320" s="80"/>
      <c r="T320" s="80"/>
      <c r="U320" s="80"/>
      <c r="V320" s="80"/>
      <c r="W320" s="80"/>
      <c r="X320" s="80"/>
      <c r="Y320" s="80"/>
      <c r="Z320" s="80"/>
      <c r="AA320" s="80"/>
      <c r="AB320" s="80"/>
    </row>
    <row r="321" spans="1:28" ht="15.75">
      <c r="A321" s="80"/>
      <c r="B321" s="80"/>
      <c r="C321" s="80"/>
      <c r="D321" s="80"/>
      <c r="E321" s="80"/>
      <c r="F321" s="80"/>
      <c r="G321" s="80"/>
      <c r="H321" s="80"/>
      <c r="I321" s="80"/>
      <c r="J321" s="80"/>
      <c r="K321" s="80"/>
      <c r="L321" s="80"/>
      <c r="M321" s="80"/>
      <c r="N321" s="143"/>
      <c r="O321" s="143"/>
      <c r="P321" s="143"/>
      <c r="Q321" s="143"/>
      <c r="R321" s="143"/>
      <c r="S321" s="80"/>
      <c r="T321" s="80"/>
      <c r="U321" s="80"/>
      <c r="V321" s="80"/>
      <c r="W321" s="80"/>
      <c r="X321" s="80"/>
      <c r="Y321" s="80"/>
      <c r="Z321" s="80"/>
      <c r="AA321" s="80"/>
      <c r="AB321" s="80"/>
    </row>
    <row r="322" spans="1:28" ht="15.75">
      <c r="A322" s="80"/>
      <c r="B322" s="80"/>
      <c r="C322" s="80"/>
      <c r="D322" s="80"/>
      <c r="E322" s="80"/>
      <c r="F322" s="80"/>
      <c r="G322" s="80"/>
      <c r="H322" s="80"/>
      <c r="I322" s="80"/>
      <c r="J322" s="80"/>
      <c r="K322" s="80"/>
      <c r="L322" s="80"/>
      <c r="M322" s="80"/>
      <c r="N322" s="143"/>
      <c r="O322" s="143"/>
      <c r="P322" s="143"/>
      <c r="Q322" s="143"/>
      <c r="R322" s="143"/>
      <c r="S322" s="80"/>
      <c r="T322" s="80"/>
      <c r="U322" s="80"/>
      <c r="V322" s="80"/>
      <c r="W322" s="80"/>
      <c r="X322" s="80"/>
      <c r="Y322" s="80"/>
      <c r="Z322" s="80"/>
      <c r="AA322" s="80"/>
      <c r="AB322" s="80"/>
    </row>
    <row r="323" spans="1:28" ht="15.75">
      <c r="A323" s="80"/>
      <c r="B323" s="80"/>
      <c r="C323" s="80"/>
      <c r="D323" s="80"/>
      <c r="E323" s="80"/>
      <c r="F323" s="80"/>
      <c r="G323" s="80"/>
      <c r="H323" s="80"/>
      <c r="I323" s="80"/>
      <c r="J323" s="80"/>
      <c r="K323" s="80"/>
      <c r="L323" s="80"/>
      <c r="M323" s="80"/>
      <c r="N323" s="143"/>
      <c r="O323" s="143"/>
      <c r="P323" s="143"/>
      <c r="Q323" s="143"/>
      <c r="R323" s="143"/>
      <c r="S323" s="80"/>
      <c r="T323" s="80"/>
      <c r="U323" s="80"/>
      <c r="V323" s="80"/>
      <c r="W323" s="80"/>
      <c r="X323" s="80"/>
      <c r="Y323" s="80"/>
      <c r="Z323" s="80"/>
      <c r="AA323" s="80"/>
      <c r="AB323" s="80"/>
    </row>
    <row r="324" spans="1:28" ht="15.75">
      <c r="A324" s="80"/>
      <c r="B324" s="80"/>
      <c r="C324" s="80"/>
      <c r="D324" s="80"/>
      <c r="E324" s="80"/>
      <c r="F324" s="80"/>
      <c r="G324" s="80"/>
      <c r="H324" s="80"/>
      <c r="I324" s="80"/>
      <c r="J324" s="80"/>
      <c r="K324" s="80"/>
      <c r="L324" s="80"/>
      <c r="M324" s="80"/>
      <c r="N324" s="143"/>
      <c r="O324" s="143"/>
      <c r="P324" s="143"/>
      <c r="Q324" s="143"/>
      <c r="R324" s="143"/>
      <c r="S324" s="80"/>
      <c r="T324" s="80"/>
      <c r="U324" s="80"/>
      <c r="V324" s="80"/>
      <c r="W324" s="80"/>
      <c r="X324" s="80"/>
      <c r="Y324" s="80"/>
      <c r="Z324" s="80"/>
      <c r="AA324" s="80"/>
      <c r="AB324" s="80"/>
    </row>
    <row r="325" spans="1:28" ht="15.75">
      <c r="A325" s="80"/>
      <c r="B325" s="80"/>
      <c r="C325" s="80"/>
      <c r="D325" s="80"/>
      <c r="E325" s="80"/>
      <c r="F325" s="80"/>
      <c r="G325" s="80"/>
      <c r="H325" s="80"/>
      <c r="I325" s="80"/>
      <c r="J325" s="80"/>
      <c r="K325" s="80"/>
      <c r="L325" s="80"/>
      <c r="M325" s="80"/>
      <c r="N325" s="143"/>
      <c r="O325" s="143"/>
      <c r="P325" s="143"/>
      <c r="Q325" s="143"/>
      <c r="R325" s="143"/>
      <c r="S325" s="80"/>
      <c r="T325" s="80"/>
      <c r="U325" s="80"/>
      <c r="V325" s="80"/>
      <c r="W325" s="80"/>
      <c r="X325" s="80"/>
      <c r="Y325" s="80"/>
      <c r="Z325" s="80"/>
      <c r="AA325" s="80"/>
      <c r="AB325" s="80"/>
    </row>
    <row r="326" spans="1:28" ht="15.75">
      <c r="A326" s="80"/>
      <c r="B326" s="80"/>
      <c r="C326" s="80"/>
      <c r="D326" s="80"/>
      <c r="E326" s="80"/>
      <c r="F326" s="80"/>
      <c r="G326" s="80"/>
      <c r="H326" s="80"/>
      <c r="I326" s="80"/>
      <c r="J326" s="80"/>
      <c r="K326" s="80"/>
      <c r="L326" s="80"/>
      <c r="M326" s="80"/>
      <c r="N326" s="143"/>
      <c r="O326" s="143"/>
      <c r="P326" s="143"/>
      <c r="Q326" s="143"/>
      <c r="R326" s="143"/>
      <c r="S326" s="80"/>
      <c r="T326" s="80"/>
      <c r="U326" s="80"/>
      <c r="V326" s="80"/>
      <c r="W326" s="80"/>
      <c r="X326" s="80"/>
      <c r="Y326" s="80"/>
      <c r="Z326" s="80"/>
      <c r="AA326" s="80"/>
      <c r="AB326" s="80"/>
    </row>
    <row r="327" spans="1:28" ht="15.75">
      <c r="A327" s="80"/>
      <c r="B327" s="80"/>
      <c r="C327" s="80"/>
      <c r="D327" s="80"/>
      <c r="E327" s="80"/>
      <c r="F327" s="80"/>
      <c r="G327" s="80"/>
      <c r="H327" s="80"/>
      <c r="I327" s="80"/>
      <c r="J327" s="80"/>
      <c r="K327" s="80"/>
      <c r="L327" s="80"/>
      <c r="M327" s="80"/>
      <c r="N327" s="143"/>
      <c r="O327" s="143"/>
      <c r="P327" s="143"/>
      <c r="Q327" s="143"/>
      <c r="R327" s="143"/>
      <c r="S327" s="80"/>
      <c r="T327" s="80"/>
      <c r="U327" s="80"/>
      <c r="V327" s="80"/>
      <c r="W327" s="80"/>
      <c r="X327" s="80"/>
      <c r="Y327" s="80"/>
      <c r="Z327" s="80"/>
      <c r="AA327" s="80"/>
      <c r="AB327" s="80"/>
    </row>
    <row r="328" spans="1:28" ht="15.75">
      <c r="A328" s="80"/>
      <c r="B328" s="80"/>
      <c r="C328" s="80"/>
      <c r="D328" s="80"/>
      <c r="E328" s="80"/>
      <c r="F328" s="80"/>
      <c r="G328" s="80"/>
      <c r="H328" s="80"/>
      <c r="I328" s="80"/>
      <c r="J328" s="80"/>
      <c r="K328" s="80"/>
      <c r="L328" s="80"/>
      <c r="M328" s="80"/>
      <c r="N328" s="143"/>
      <c r="O328" s="143"/>
      <c r="P328" s="143"/>
      <c r="Q328" s="143"/>
      <c r="R328" s="143"/>
      <c r="S328" s="80"/>
      <c r="T328" s="80"/>
      <c r="U328" s="80"/>
      <c r="V328" s="80"/>
      <c r="W328" s="80"/>
      <c r="X328" s="80"/>
      <c r="Y328" s="80"/>
      <c r="Z328" s="80"/>
      <c r="AA328" s="80"/>
      <c r="AB328" s="80"/>
    </row>
    <row r="329" spans="1:28" ht="15.75">
      <c r="A329" s="80"/>
      <c r="B329" s="80"/>
      <c r="C329" s="80"/>
      <c r="D329" s="80"/>
      <c r="E329" s="80"/>
      <c r="F329" s="80"/>
      <c r="G329" s="80"/>
      <c r="H329" s="80"/>
      <c r="I329" s="80"/>
      <c r="J329" s="80"/>
      <c r="K329" s="80"/>
      <c r="L329" s="80"/>
      <c r="M329" s="80"/>
      <c r="N329" s="143"/>
      <c r="O329" s="143"/>
      <c r="P329" s="143"/>
      <c r="Q329" s="143"/>
      <c r="R329" s="143"/>
      <c r="S329" s="80"/>
      <c r="T329" s="80"/>
      <c r="U329" s="80"/>
      <c r="V329" s="80"/>
      <c r="W329" s="80"/>
      <c r="X329" s="80"/>
      <c r="Y329" s="80"/>
      <c r="Z329" s="80"/>
      <c r="AA329" s="80"/>
      <c r="AB329" s="80"/>
    </row>
    <row r="330" spans="1:28" ht="15.75">
      <c r="A330" s="80"/>
      <c r="B330" s="80"/>
      <c r="C330" s="80"/>
      <c r="D330" s="80"/>
      <c r="E330" s="80"/>
      <c r="F330" s="80"/>
      <c r="G330" s="80"/>
      <c r="H330" s="80"/>
      <c r="I330" s="80"/>
      <c r="J330" s="80"/>
      <c r="K330" s="80"/>
      <c r="L330" s="80"/>
      <c r="M330" s="80"/>
      <c r="N330" s="143"/>
      <c r="O330" s="143"/>
      <c r="P330" s="143"/>
      <c r="Q330" s="143"/>
      <c r="R330" s="143"/>
      <c r="S330" s="80"/>
      <c r="T330" s="80"/>
      <c r="U330" s="80"/>
      <c r="V330" s="80"/>
      <c r="W330" s="80"/>
      <c r="X330" s="80"/>
      <c r="Y330" s="80"/>
      <c r="Z330" s="80"/>
      <c r="AA330" s="80"/>
      <c r="AB330" s="80"/>
    </row>
    <row r="331" spans="1:28" ht="15.75">
      <c r="A331" s="80"/>
      <c r="B331" s="80"/>
      <c r="C331" s="80"/>
      <c r="D331" s="80"/>
      <c r="E331" s="80"/>
      <c r="F331" s="80"/>
      <c r="G331" s="80"/>
      <c r="H331" s="80"/>
      <c r="I331" s="80"/>
      <c r="J331" s="80"/>
      <c r="K331" s="80"/>
      <c r="L331" s="80"/>
      <c r="M331" s="80"/>
      <c r="N331" s="143"/>
      <c r="O331" s="143"/>
      <c r="P331" s="143"/>
      <c r="Q331" s="143"/>
      <c r="R331" s="143"/>
      <c r="S331" s="80"/>
      <c r="T331" s="80"/>
      <c r="U331" s="80"/>
      <c r="V331" s="80"/>
      <c r="W331" s="80"/>
      <c r="X331" s="80"/>
      <c r="Y331" s="80"/>
      <c r="Z331" s="80"/>
      <c r="AA331" s="80"/>
      <c r="AB331" s="80"/>
    </row>
    <row r="332" spans="1:28" ht="15.75">
      <c r="A332" s="80"/>
      <c r="B332" s="80"/>
      <c r="C332" s="80"/>
      <c r="D332" s="80"/>
      <c r="E332" s="80"/>
      <c r="F332" s="80"/>
      <c r="G332" s="80"/>
      <c r="H332" s="80"/>
      <c r="I332" s="80"/>
      <c r="J332" s="80"/>
      <c r="K332" s="80"/>
      <c r="L332" s="80"/>
      <c r="M332" s="80"/>
      <c r="N332" s="143"/>
      <c r="O332" s="143"/>
      <c r="P332" s="143"/>
      <c r="Q332" s="143"/>
      <c r="R332" s="143"/>
      <c r="S332" s="80"/>
      <c r="T332" s="80"/>
      <c r="U332" s="80"/>
      <c r="V332" s="80"/>
      <c r="W332" s="80"/>
      <c r="X332" s="80"/>
      <c r="Y332" s="80"/>
      <c r="Z332" s="80"/>
      <c r="AA332" s="80"/>
      <c r="AB332" s="80"/>
    </row>
    <row r="333" spans="1:28" ht="15.75">
      <c r="A333" s="80"/>
      <c r="B333" s="80"/>
      <c r="C333" s="80"/>
      <c r="D333" s="80"/>
      <c r="E333" s="80"/>
      <c r="F333" s="80"/>
      <c r="G333" s="80"/>
      <c r="H333" s="80"/>
      <c r="I333" s="80"/>
      <c r="J333" s="80"/>
      <c r="K333" s="80"/>
      <c r="L333" s="80"/>
      <c r="M333" s="80"/>
      <c r="N333" s="143"/>
      <c r="O333" s="143"/>
      <c r="P333" s="143"/>
      <c r="Q333" s="143"/>
      <c r="R333" s="143"/>
      <c r="S333" s="80"/>
      <c r="T333" s="80"/>
      <c r="U333" s="80"/>
      <c r="V333" s="80"/>
      <c r="W333" s="80"/>
      <c r="X333" s="80"/>
      <c r="Y333" s="80"/>
      <c r="Z333" s="80"/>
      <c r="AA333" s="80"/>
      <c r="AB333" s="80"/>
    </row>
    <row r="334" spans="1:28" ht="15.75">
      <c r="A334" s="80"/>
      <c r="B334" s="80"/>
      <c r="C334" s="80"/>
      <c r="D334" s="80"/>
      <c r="E334" s="80"/>
      <c r="F334" s="80"/>
      <c r="G334" s="80"/>
      <c r="H334" s="80"/>
      <c r="I334" s="80"/>
      <c r="J334" s="80"/>
      <c r="K334" s="80"/>
      <c r="L334" s="80"/>
      <c r="M334" s="80"/>
      <c r="N334" s="143"/>
      <c r="O334" s="143"/>
      <c r="P334" s="143"/>
      <c r="Q334" s="143"/>
      <c r="R334" s="143"/>
      <c r="S334" s="80"/>
      <c r="T334" s="80"/>
      <c r="U334" s="80"/>
      <c r="V334" s="80"/>
      <c r="W334" s="80"/>
      <c r="X334" s="80"/>
      <c r="Y334" s="80"/>
      <c r="Z334" s="80"/>
      <c r="AA334" s="80"/>
      <c r="AB334" s="80"/>
    </row>
    <row r="335" spans="1:28" ht="15.75">
      <c r="A335" s="80"/>
      <c r="B335" s="80"/>
      <c r="C335" s="80"/>
      <c r="D335" s="80"/>
      <c r="E335" s="80"/>
      <c r="F335" s="80"/>
      <c r="G335" s="80"/>
      <c r="H335" s="80"/>
      <c r="I335" s="80"/>
      <c r="J335" s="80"/>
      <c r="K335" s="80"/>
      <c r="L335" s="80"/>
      <c r="M335" s="80"/>
      <c r="N335" s="143"/>
      <c r="O335" s="143"/>
      <c r="P335" s="143"/>
      <c r="Q335" s="143"/>
      <c r="R335" s="143"/>
      <c r="S335" s="80"/>
      <c r="T335" s="80"/>
      <c r="U335" s="80"/>
      <c r="V335" s="80"/>
      <c r="W335" s="80"/>
      <c r="X335" s="80"/>
      <c r="Y335" s="80"/>
      <c r="Z335" s="80"/>
      <c r="AA335" s="80"/>
      <c r="AB335" s="80"/>
    </row>
    <row r="336" spans="1:28" ht="15.75">
      <c r="A336" s="80"/>
      <c r="B336" s="80"/>
      <c r="C336" s="80"/>
      <c r="D336" s="80"/>
      <c r="E336" s="80"/>
      <c r="F336" s="80"/>
      <c r="G336" s="80"/>
      <c r="H336" s="80"/>
      <c r="I336" s="80"/>
      <c r="J336" s="80"/>
      <c r="K336" s="80"/>
      <c r="L336" s="80"/>
      <c r="M336" s="80"/>
      <c r="N336" s="143"/>
      <c r="O336" s="143"/>
      <c r="P336" s="143"/>
      <c r="Q336" s="143"/>
      <c r="R336" s="143"/>
      <c r="S336" s="80"/>
      <c r="T336" s="80"/>
      <c r="U336" s="80"/>
      <c r="V336" s="80"/>
      <c r="W336" s="80"/>
      <c r="X336" s="80"/>
      <c r="Y336" s="80"/>
      <c r="Z336" s="80"/>
      <c r="AA336" s="80"/>
      <c r="AB336" s="80"/>
    </row>
    <row r="337" spans="1:28" ht="15.75">
      <c r="A337" s="80"/>
      <c r="B337" s="80"/>
      <c r="C337" s="80"/>
      <c r="D337" s="80"/>
      <c r="E337" s="80"/>
      <c r="F337" s="80"/>
      <c r="G337" s="80"/>
      <c r="H337" s="80"/>
      <c r="I337" s="80"/>
      <c r="J337" s="80"/>
      <c r="K337" s="80"/>
      <c r="L337" s="80"/>
      <c r="M337" s="80"/>
      <c r="N337" s="143"/>
      <c r="O337" s="143"/>
      <c r="P337" s="143"/>
      <c r="Q337" s="143"/>
      <c r="R337" s="143"/>
      <c r="S337" s="80"/>
      <c r="T337" s="80"/>
      <c r="U337" s="80"/>
      <c r="V337" s="80"/>
      <c r="W337" s="80"/>
      <c r="X337" s="80"/>
      <c r="Y337" s="80"/>
      <c r="Z337" s="80"/>
      <c r="AA337" s="80"/>
      <c r="AB337" s="80"/>
    </row>
    <row r="338" spans="1:28" ht="15.75">
      <c r="A338" s="80"/>
      <c r="B338" s="80"/>
      <c r="C338" s="80"/>
      <c r="D338" s="80"/>
      <c r="E338" s="80"/>
      <c r="F338" s="80"/>
      <c r="G338" s="80"/>
      <c r="H338" s="80"/>
      <c r="I338" s="80"/>
      <c r="J338" s="80"/>
      <c r="K338" s="80"/>
      <c r="L338" s="80"/>
      <c r="M338" s="80"/>
      <c r="N338" s="143"/>
      <c r="O338" s="143"/>
      <c r="P338" s="143"/>
      <c r="Q338" s="143"/>
      <c r="R338" s="143"/>
      <c r="S338" s="80"/>
      <c r="T338" s="80"/>
      <c r="U338" s="80"/>
      <c r="V338" s="80"/>
      <c r="W338" s="80"/>
      <c r="X338" s="80"/>
      <c r="Y338" s="80"/>
      <c r="Z338" s="80"/>
      <c r="AA338" s="80"/>
      <c r="AB338" s="80"/>
    </row>
    <row r="339" spans="1:28" ht="15.75">
      <c r="A339" s="80"/>
      <c r="B339" s="80"/>
      <c r="C339" s="80"/>
      <c r="D339" s="80"/>
      <c r="E339" s="80"/>
      <c r="F339" s="80"/>
      <c r="G339" s="80"/>
      <c r="H339" s="80"/>
      <c r="I339" s="80"/>
      <c r="J339" s="80"/>
      <c r="K339" s="80"/>
      <c r="L339" s="80"/>
      <c r="M339" s="80"/>
      <c r="N339" s="143"/>
      <c r="O339" s="143"/>
      <c r="P339" s="143"/>
      <c r="Q339" s="143"/>
      <c r="R339" s="143"/>
      <c r="S339" s="80"/>
      <c r="T339" s="80"/>
      <c r="U339" s="80"/>
      <c r="V339" s="80"/>
      <c r="W339" s="80"/>
      <c r="X339" s="80"/>
      <c r="Y339" s="80"/>
      <c r="Z339" s="80"/>
      <c r="AA339" s="80"/>
      <c r="AB339" s="80"/>
    </row>
    <row r="340" spans="1:28" ht="15.75">
      <c r="A340" s="80"/>
      <c r="B340" s="80"/>
      <c r="C340" s="80"/>
      <c r="D340" s="80"/>
      <c r="E340" s="80"/>
      <c r="F340" s="80"/>
      <c r="G340" s="80"/>
      <c r="H340" s="80"/>
      <c r="I340" s="80"/>
      <c r="J340" s="80"/>
      <c r="K340" s="80"/>
      <c r="L340" s="80"/>
      <c r="M340" s="80"/>
      <c r="N340" s="143"/>
      <c r="O340" s="143"/>
      <c r="P340" s="143"/>
      <c r="Q340" s="143"/>
      <c r="R340" s="143"/>
      <c r="S340" s="80"/>
      <c r="T340" s="80"/>
      <c r="U340" s="80"/>
      <c r="V340" s="80"/>
      <c r="W340" s="80"/>
      <c r="X340" s="80"/>
      <c r="Y340" s="80"/>
      <c r="Z340" s="80"/>
      <c r="AA340" s="80"/>
      <c r="AB340" s="80"/>
    </row>
    <row r="341" spans="1:28" ht="15.75">
      <c r="A341" s="80"/>
      <c r="B341" s="80"/>
      <c r="C341" s="80"/>
      <c r="D341" s="80"/>
      <c r="E341" s="80"/>
      <c r="F341" s="80"/>
      <c r="G341" s="80"/>
      <c r="H341" s="80"/>
      <c r="I341" s="80"/>
      <c r="J341" s="80"/>
      <c r="K341" s="80"/>
      <c r="L341" s="80"/>
      <c r="M341" s="80"/>
      <c r="N341" s="143"/>
      <c r="O341" s="143"/>
      <c r="P341" s="143"/>
      <c r="Q341" s="143"/>
      <c r="R341" s="143"/>
      <c r="S341" s="80"/>
      <c r="T341" s="80"/>
      <c r="U341" s="80"/>
      <c r="V341" s="80"/>
      <c r="W341" s="80"/>
      <c r="X341" s="80"/>
      <c r="Y341" s="80"/>
      <c r="Z341" s="80"/>
      <c r="AA341" s="80"/>
      <c r="AB341" s="80"/>
    </row>
    <row r="342" spans="1:28" ht="15.75">
      <c r="A342" s="80"/>
      <c r="B342" s="80"/>
      <c r="C342" s="80"/>
      <c r="D342" s="80"/>
      <c r="E342" s="80"/>
      <c r="F342" s="80"/>
      <c r="G342" s="80"/>
      <c r="H342" s="80"/>
      <c r="I342" s="80"/>
      <c r="J342" s="80"/>
      <c r="K342" s="80"/>
      <c r="L342" s="80"/>
      <c r="M342" s="80"/>
      <c r="N342" s="143"/>
      <c r="O342" s="143"/>
      <c r="P342" s="143"/>
      <c r="Q342" s="143"/>
      <c r="R342" s="143"/>
      <c r="S342" s="80"/>
      <c r="T342" s="80"/>
      <c r="U342" s="80"/>
      <c r="V342" s="80"/>
      <c r="W342" s="80"/>
      <c r="X342" s="80"/>
      <c r="Y342" s="80"/>
      <c r="Z342" s="80"/>
      <c r="AA342" s="80"/>
      <c r="AB342" s="80"/>
    </row>
    <row r="343" spans="1:28" ht="15.75">
      <c r="A343" s="80"/>
      <c r="B343" s="80"/>
      <c r="C343" s="80"/>
      <c r="D343" s="80"/>
      <c r="E343" s="80"/>
      <c r="F343" s="80"/>
      <c r="G343" s="80"/>
      <c r="H343" s="80"/>
      <c r="I343" s="80"/>
      <c r="J343" s="80"/>
      <c r="K343" s="80"/>
      <c r="L343" s="80"/>
      <c r="M343" s="80"/>
      <c r="N343" s="143"/>
      <c r="O343" s="143"/>
      <c r="P343" s="143"/>
      <c r="Q343" s="143"/>
      <c r="R343" s="143"/>
      <c r="S343" s="80"/>
      <c r="T343" s="80"/>
      <c r="U343" s="80"/>
      <c r="V343" s="80"/>
      <c r="W343" s="80"/>
      <c r="X343" s="80"/>
      <c r="Y343" s="80"/>
      <c r="Z343" s="80"/>
      <c r="AA343" s="80"/>
      <c r="AB343" s="80"/>
    </row>
    <row r="344" spans="1:28" ht="15.75">
      <c r="A344" s="80"/>
      <c r="B344" s="80"/>
      <c r="C344" s="80"/>
      <c r="D344" s="80"/>
      <c r="E344" s="80"/>
      <c r="F344" s="80"/>
      <c r="G344" s="80"/>
      <c r="H344" s="80"/>
      <c r="I344" s="80"/>
      <c r="J344" s="80"/>
      <c r="K344" s="80"/>
      <c r="L344" s="80"/>
      <c r="M344" s="80"/>
      <c r="N344" s="143"/>
      <c r="O344" s="143"/>
      <c r="P344" s="143"/>
      <c r="Q344" s="143"/>
      <c r="R344" s="143"/>
      <c r="S344" s="80"/>
      <c r="T344" s="80"/>
      <c r="U344" s="80"/>
      <c r="V344" s="80"/>
      <c r="W344" s="80"/>
      <c r="X344" s="80"/>
      <c r="Y344" s="80"/>
      <c r="Z344" s="80"/>
      <c r="AA344" s="80"/>
      <c r="AB344" s="80"/>
    </row>
    <row r="345" spans="1:28" ht="15.75">
      <c r="A345" s="80"/>
      <c r="B345" s="80"/>
      <c r="C345" s="80"/>
      <c r="D345" s="80"/>
      <c r="E345" s="80"/>
      <c r="F345" s="80"/>
      <c r="G345" s="80"/>
      <c r="H345" s="80"/>
      <c r="I345" s="80"/>
      <c r="J345" s="80"/>
      <c r="K345" s="80"/>
      <c r="L345" s="80"/>
      <c r="M345" s="80"/>
      <c r="N345" s="143"/>
      <c r="O345" s="143"/>
      <c r="P345" s="143"/>
      <c r="Q345" s="143"/>
      <c r="R345" s="143"/>
      <c r="S345" s="80"/>
      <c r="T345" s="80"/>
      <c r="U345" s="80"/>
      <c r="V345" s="80"/>
      <c r="W345" s="80"/>
      <c r="X345" s="80"/>
      <c r="Y345" s="80"/>
      <c r="Z345" s="80"/>
      <c r="AA345" s="80"/>
      <c r="AB345" s="80"/>
    </row>
    <row r="346" spans="1:28" ht="15.75">
      <c r="A346" s="80"/>
      <c r="B346" s="80"/>
      <c r="C346" s="80"/>
      <c r="D346" s="80"/>
      <c r="E346" s="80"/>
      <c r="F346" s="80"/>
      <c r="G346" s="80"/>
      <c r="H346" s="80"/>
      <c r="I346" s="80"/>
      <c r="J346" s="80"/>
      <c r="K346" s="80"/>
      <c r="L346" s="80"/>
      <c r="M346" s="80"/>
      <c r="N346" s="143"/>
      <c r="O346" s="143"/>
      <c r="P346" s="143"/>
      <c r="Q346" s="143"/>
      <c r="R346" s="143"/>
      <c r="S346" s="80"/>
      <c r="T346" s="80"/>
      <c r="U346" s="80"/>
      <c r="V346" s="80"/>
      <c r="W346" s="80"/>
      <c r="X346" s="80"/>
      <c r="Y346" s="80"/>
      <c r="Z346" s="80"/>
      <c r="AA346" s="80"/>
      <c r="AB346" s="80"/>
    </row>
    <row r="347" spans="1:28" ht="15.75">
      <c r="A347" s="80"/>
      <c r="B347" s="80"/>
      <c r="C347" s="80"/>
      <c r="D347" s="80"/>
      <c r="E347" s="80"/>
      <c r="F347" s="80"/>
      <c r="G347" s="80"/>
      <c r="H347" s="80"/>
      <c r="I347" s="80"/>
      <c r="J347" s="80"/>
      <c r="K347" s="80"/>
      <c r="L347" s="80"/>
      <c r="M347" s="80"/>
      <c r="N347" s="143"/>
      <c r="O347" s="143"/>
      <c r="P347" s="143"/>
      <c r="Q347" s="143"/>
      <c r="R347" s="143"/>
      <c r="S347" s="80"/>
      <c r="T347" s="80"/>
      <c r="U347" s="80"/>
      <c r="V347" s="80"/>
      <c r="W347" s="80"/>
      <c r="X347" s="80"/>
      <c r="Y347" s="80"/>
      <c r="Z347" s="80"/>
      <c r="AA347" s="80"/>
      <c r="AB347" s="80"/>
    </row>
    <row r="348" spans="1:28" ht="15.75">
      <c r="A348" s="80"/>
      <c r="B348" s="80"/>
      <c r="C348" s="80"/>
      <c r="D348" s="80"/>
      <c r="E348" s="80"/>
      <c r="F348" s="80"/>
      <c r="G348" s="80"/>
      <c r="H348" s="80"/>
      <c r="I348" s="80"/>
      <c r="J348" s="80"/>
      <c r="K348" s="80"/>
      <c r="L348" s="80"/>
      <c r="M348" s="80"/>
      <c r="N348" s="143"/>
      <c r="O348" s="143"/>
      <c r="P348" s="143"/>
      <c r="Q348" s="143"/>
      <c r="R348" s="143"/>
      <c r="S348" s="80"/>
      <c r="T348" s="80"/>
      <c r="U348" s="80"/>
      <c r="V348" s="80"/>
      <c r="W348" s="80"/>
      <c r="X348" s="80"/>
      <c r="Y348" s="80"/>
      <c r="Z348" s="80"/>
      <c r="AA348" s="80"/>
      <c r="AB348" s="80"/>
    </row>
    <row r="349" spans="1:28" ht="15.75">
      <c r="A349" s="80"/>
      <c r="B349" s="80"/>
      <c r="C349" s="80"/>
      <c r="D349" s="80"/>
      <c r="E349" s="80"/>
      <c r="F349" s="80"/>
      <c r="G349" s="80"/>
      <c r="H349" s="80"/>
      <c r="I349" s="80"/>
      <c r="J349" s="80"/>
      <c r="K349" s="80"/>
      <c r="L349" s="80"/>
      <c r="M349" s="80"/>
      <c r="N349" s="143"/>
      <c r="O349" s="143"/>
      <c r="P349" s="143"/>
      <c r="Q349" s="143"/>
      <c r="R349" s="143"/>
      <c r="S349" s="80"/>
      <c r="T349" s="80"/>
      <c r="U349" s="80"/>
      <c r="V349" s="80"/>
      <c r="W349" s="80"/>
      <c r="X349" s="80"/>
      <c r="Y349" s="80"/>
      <c r="Z349" s="80"/>
      <c r="AA349" s="80"/>
      <c r="AB349" s="80"/>
    </row>
    <row r="350" spans="1:28" ht="15.75">
      <c r="A350" s="80"/>
      <c r="B350" s="80"/>
      <c r="C350" s="80"/>
      <c r="D350" s="80"/>
      <c r="E350" s="80"/>
      <c r="F350" s="80"/>
      <c r="G350" s="80"/>
      <c r="H350" s="80"/>
      <c r="I350" s="80"/>
      <c r="J350" s="80"/>
      <c r="K350" s="80"/>
      <c r="L350" s="80"/>
      <c r="M350" s="80"/>
      <c r="N350" s="143"/>
      <c r="O350" s="143"/>
      <c r="P350" s="143"/>
      <c r="Q350" s="143"/>
      <c r="R350" s="143"/>
      <c r="S350" s="80"/>
      <c r="T350" s="80"/>
      <c r="U350" s="80"/>
      <c r="V350" s="80"/>
      <c r="W350" s="80"/>
      <c r="X350" s="80"/>
      <c r="Y350" s="80"/>
      <c r="Z350" s="80"/>
      <c r="AA350" s="80"/>
      <c r="AB350" s="80"/>
    </row>
    <row r="351" spans="1:28" ht="15.75">
      <c r="A351" s="80"/>
      <c r="B351" s="80"/>
      <c r="C351" s="80"/>
      <c r="D351" s="80"/>
      <c r="E351" s="80"/>
      <c r="F351" s="80"/>
      <c r="G351" s="80"/>
      <c r="H351" s="80"/>
      <c r="I351" s="80"/>
      <c r="J351" s="80"/>
      <c r="K351" s="80"/>
      <c r="L351" s="80"/>
      <c r="M351" s="80"/>
      <c r="N351" s="143"/>
      <c r="O351" s="143"/>
      <c r="P351" s="143"/>
      <c r="Q351" s="143"/>
      <c r="R351" s="143"/>
      <c r="S351" s="80"/>
      <c r="T351" s="80"/>
      <c r="U351" s="80"/>
      <c r="V351" s="80"/>
      <c r="W351" s="80"/>
      <c r="X351" s="80"/>
      <c r="Y351" s="80"/>
      <c r="Z351" s="80"/>
      <c r="AA351" s="80"/>
      <c r="AB351" s="80"/>
    </row>
    <row r="352" spans="1:28" ht="15.75">
      <c r="A352" s="80"/>
      <c r="B352" s="80"/>
      <c r="C352" s="80"/>
      <c r="D352" s="80"/>
      <c r="E352" s="80"/>
      <c r="F352" s="80"/>
      <c r="G352" s="80"/>
      <c r="H352" s="80"/>
      <c r="I352" s="80"/>
      <c r="J352" s="80"/>
      <c r="K352" s="80"/>
      <c r="L352" s="80"/>
      <c r="M352" s="80"/>
      <c r="N352" s="143"/>
      <c r="O352" s="143"/>
      <c r="P352" s="143"/>
      <c r="Q352" s="143"/>
      <c r="R352" s="143"/>
      <c r="S352" s="80"/>
      <c r="T352" s="80"/>
      <c r="U352" s="80"/>
      <c r="V352" s="80"/>
      <c r="W352" s="80"/>
      <c r="X352" s="80"/>
      <c r="Y352" s="80"/>
      <c r="Z352" s="80"/>
      <c r="AA352" s="80"/>
      <c r="AB352" s="80"/>
    </row>
    <row r="353" spans="1:28" ht="15.75">
      <c r="A353" s="80"/>
      <c r="B353" s="80"/>
      <c r="C353" s="80"/>
      <c r="D353" s="80"/>
      <c r="E353" s="80"/>
      <c r="F353" s="80"/>
      <c r="G353" s="80"/>
      <c r="H353" s="80"/>
      <c r="I353" s="80"/>
      <c r="J353" s="80"/>
      <c r="K353" s="80"/>
      <c r="L353" s="80"/>
      <c r="M353" s="80"/>
      <c r="N353" s="143"/>
      <c r="O353" s="143"/>
      <c r="P353" s="143"/>
      <c r="Q353" s="143"/>
      <c r="R353" s="143"/>
      <c r="S353" s="80"/>
      <c r="T353" s="80"/>
      <c r="U353" s="80"/>
      <c r="V353" s="80"/>
      <c r="W353" s="80"/>
      <c r="X353" s="80"/>
      <c r="Y353" s="80"/>
      <c r="Z353" s="80"/>
      <c r="AA353" s="80"/>
      <c r="AB353" s="80"/>
    </row>
    <row r="354" spans="1:28" ht="15.75">
      <c r="A354" s="80"/>
      <c r="B354" s="80"/>
      <c r="C354" s="80"/>
      <c r="D354" s="80"/>
      <c r="E354" s="80"/>
      <c r="F354" s="80"/>
      <c r="G354" s="80"/>
      <c r="H354" s="80"/>
      <c r="I354" s="80"/>
      <c r="J354" s="80"/>
      <c r="K354" s="80"/>
      <c r="L354" s="80"/>
      <c r="M354" s="80"/>
      <c r="N354" s="143"/>
      <c r="O354" s="143"/>
      <c r="P354" s="143"/>
      <c r="Q354" s="143"/>
      <c r="R354" s="143"/>
      <c r="S354" s="80"/>
      <c r="T354" s="80"/>
      <c r="U354" s="80"/>
      <c r="V354" s="80"/>
      <c r="W354" s="80"/>
      <c r="X354" s="80"/>
      <c r="Y354" s="80"/>
      <c r="Z354" s="80"/>
      <c r="AA354" s="80"/>
      <c r="AB354" s="80"/>
    </row>
    <row r="355" spans="1:28" ht="15.75">
      <c r="A355" s="80"/>
      <c r="B355" s="80"/>
      <c r="C355" s="80"/>
      <c r="D355" s="80"/>
      <c r="E355" s="80"/>
      <c r="F355" s="80"/>
      <c r="G355" s="80"/>
      <c r="H355" s="80"/>
      <c r="I355" s="80"/>
      <c r="J355" s="80"/>
      <c r="K355" s="80"/>
      <c r="L355" s="80"/>
      <c r="M355" s="80"/>
      <c r="N355" s="143"/>
      <c r="O355" s="143"/>
      <c r="P355" s="143"/>
      <c r="Q355" s="143"/>
      <c r="R355" s="143"/>
      <c r="S355" s="80"/>
      <c r="T355" s="80"/>
      <c r="U355" s="80"/>
      <c r="V355" s="80"/>
      <c r="W355" s="80"/>
      <c r="X355" s="80"/>
      <c r="Y355" s="80"/>
      <c r="Z355" s="80"/>
      <c r="AA355" s="80"/>
      <c r="AB355" s="80"/>
    </row>
    <row r="356" spans="1:28" ht="15.75">
      <c r="A356" s="80"/>
      <c r="B356" s="80"/>
      <c r="C356" s="80"/>
      <c r="D356" s="80"/>
      <c r="E356" s="80"/>
      <c r="F356" s="80"/>
      <c r="G356" s="80"/>
      <c r="H356" s="80"/>
      <c r="I356" s="80"/>
      <c r="J356" s="80"/>
      <c r="K356" s="80"/>
      <c r="L356" s="80"/>
      <c r="M356" s="80"/>
      <c r="N356" s="143"/>
      <c r="O356" s="143"/>
      <c r="P356" s="143"/>
      <c r="Q356" s="143"/>
      <c r="R356" s="143"/>
      <c r="S356" s="80"/>
      <c r="T356" s="80"/>
      <c r="U356" s="80"/>
      <c r="V356" s="80"/>
      <c r="W356" s="80"/>
      <c r="X356" s="80"/>
      <c r="Y356" s="80"/>
      <c r="Z356" s="80"/>
      <c r="AA356" s="80"/>
      <c r="AB356" s="80"/>
    </row>
    <row r="357" spans="1:28" ht="15.75">
      <c r="A357" s="80"/>
      <c r="B357" s="80"/>
      <c r="C357" s="80"/>
      <c r="D357" s="80"/>
      <c r="E357" s="80"/>
      <c r="F357" s="80"/>
      <c r="G357" s="80"/>
      <c r="H357" s="80"/>
      <c r="I357" s="80"/>
      <c r="J357" s="80"/>
      <c r="K357" s="80"/>
      <c r="L357" s="80"/>
      <c r="M357" s="80"/>
      <c r="N357" s="143"/>
      <c r="O357" s="143"/>
      <c r="P357" s="143"/>
      <c r="Q357" s="143"/>
      <c r="R357" s="143"/>
      <c r="S357" s="80"/>
      <c r="T357" s="80"/>
      <c r="U357" s="80"/>
      <c r="V357" s="80"/>
      <c r="W357" s="80"/>
      <c r="X357" s="80"/>
      <c r="Y357" s="80"/>
      <c r="Z357" s="80"/>
      <c r="AA357" s="80"/>
      <c r="AB357" s="80"/>
    </row>
    <row r="358" spans="1:28" ht="15.75">
      <c r="A358" s="80"/>
      <c r="B358" s="80"/>
      <c r="C358" s="80"/>
      <c r="D358" s="80"/>
      <c r="E358" s="80"/>
      <c r="F358" s="80"/>
      <c r="G358" s="80"/>
      <c r="H358" s="80"/>
      <c r="I358" s="80"/>
      <c r="J358" s="80"/>
      <c r="K358" s="80"/>
      <c r="L358" s="80"/>
      <c r="M358" s="80"/>
      <c r="N358" s="143"/>
      <c r="O358" s="143"/>
      <c r="P358" s="143"/>
      <c r="Q358" s="143"/>
      <c r="R358" s="143"/>
      <c r="S358" s="80"/>
      <c r="T358" s="80"/>
      <c r="U358" s="80"/>
      <c r="V358" s="80"/>
      <c r="W358" s="80"/>
      <c r="X358" s="80"/>
      <c r="Y358" s="80"/>
      <c r="Z358" s="80"/>
      <c r="AA358" s="80"/>
      <c r="AB358" s="80"/>
    </row>
    <row r="359" spans="1:28" ht="15.75">
      <c r="A359" s="80"/>
      <c r="B359" s="80"/>
      <c r="C359" s="80"/>
      <c r="D359" s="80"/>
      <c r="E359" s="80"/>
      <c r="F359" s="80"/>
      <c r="G359" s="80"/>
      <c r="H359" s="80"/>
      <c r="I359" s="80"/>
      <c r="J359" s="80"/>
      <c r="K359" s="80"/>
      <c r="L359" s="80"/>
      <c r="M359" s="80"/>
      <c r="N359" s="143"/>
      <c r="O359" s="143"/>
      <c r="P359" s="143"/>
      <c r="Q359" s="143"/>
      <c r="R359" s="143"/>
      <c r="S359" s="80"/>
      <c r="T359" s="80"/>
      <c r="U359" s="80"/>
      <c r="V359" s="80"/>
      <c r="W359" s="80"/>
      <c r="X359" s="80"/>
      <c r="Y359" s="80"/>
      <c r="Z359" s="80"/>
      <c r="AA359" s="80"/>
      <c r="AB359" s="80"/>
    </row>
    <row r="360" spans="1:28" ht="15.75">
      <c r="A360" s="80"/>
      <c r="B360" s="80"/>
      <c r="C360" s="80"/>
      <c r="D360" s="80"/>
      <c r="E360" s="80"/>
      <c r="F360" s="80"/>
      <c r="G360" s="80"/>
      <c r="H360" s="80"/>
      <c r="I360" s="80"/>
      <c r="J360" s="80"/>
      <c r="K360" s="80"/>
      <c r="L360" s="80"/>
      <c r="M360" s="80"/>
      <c r="N360" s="143"/>
      <c r="O360" s="143"/>
      <c r="P360" s="143"/>
      <c r="Q360" s="143"/>
      <c r="R360" s="143"/>
      <c r="S360" s="80"/>
      <c r="T360" s="80"/>
      <c r="U360" s="80"/>
      <c r="V360" s="80"/>
      <c r="W360" s="80"/>
      <c r="X360" s="80"/>
      <c r="Y360" s="80"/>
      <c r="Z360" s="80"/>
      <c r="AA360" s="80"/>
      <c r="AB360" s="80"/>
    </row>
    <row r="361" spans="1:28" ht="15.75">
      <c r="A361" s="80"/>
      <c r="B361" s="80"/>
      <c r="C361" s="80"/>
      <c r="D361" s="80"/>
      <c r="E361" s="80"/>
      <c r="F361" s="80"/>
      <c r="G361" s="80"/>
      <c r="H361" s="80"/>
      <c r="I361" s="80"/>
      <c r="J361" s="80"/>
      <c r="K361" s="80"/>
      <c r="L361" s="80"/>
      <c r="M361" s="80"/>
      <c r="N361" s="143"/>
      <c r="O361" s="143"/>
      <c r="P361" s="143"/>
      <c r="Q361" s="143"/>
      <c r="R361" s="143"/>
      <c r="S361" s="80"/>
      <c r="T361" s="80"/>
      <c r="U361" s="80"/>
      <c r="V361" s="80"/>
      <c r="W361" s="80"/>
      <c r="X361" s="80"/>
      <c r="Y361" s="80"/>
      <c r="Z361" s="80"/>
      <c r="AA361" s="80"/>
      <c r="AB361" s="80"/>
    </row>
    <row r="362" spans="1:28" ht="15.75">
      <c r="A362" s="80"/>
      <c r="B362" s="80"/>
      <c r="C362" s="80"/>
      <c r="D362" s="80"/>
      <c r="E362" s="80"/>
      <c r="F362" s="80"/>
      <c r="G362" s="80"/>
      <c r="H362" s="80"/>
      <c r="I362" s="80"/>
      <c r="J362" s="80"/>
      <c r="K362" s="80"/>
      <c r="L362" s="80"/>
      <c r="M362" s="80"/>
      <c r="N362" s="143"/>
      <c r="O362" s="143"/>
      <c r="P362" s="143"/>
      <c r="Q362" s="143"/>
      <c r="R362" s="143"/>
      <c r="S362" s="80"/>
      <c r="T362" s="80"/>
      <c r="U362" s="80"/>
      <c r="V362" s="80"/>
      <c r="W362" s="80"/>
      <c r="X362" s="80"/>
      <c r="Y362" s="80"/>
      <c r="Z362" s="80"/>
      <c r="AA362" s="80"/>
      <c r="AB362" s="80"/>
    </row>
    <row r="363" spans="1:28" ht="15.75">
      <c r="A363" s="80"/>
      <c r="B363" s="80"/>
      <c r="C363" s="80"/>
      <c r="D363" s="80"/>
      <c r="E363" s="80"/>
      <c r="F363" s="80"/>
      <c r="G363" s="80"/>
      <c r="H363" s="80"/>
      <c r="I363" s="80"/>
      <c r="J363" s="80"/>
      <c r="K363" s="80"/>
      <c r="L363" s="80"/>
      <c r="M363" s="80"/>
      <c r="N363" s="143"/>
      <c r="O363" s="143"/>
      <c r="P363" s="143"/>
      <c r="Q363" s="143"/>
      <c r="R363" s="143"/>
      <c r="S363" s="80"/>
      <c r="T363" s="80"/>
      <c r="U363" s="80"/>
      <c r="V363" s="80"/>
      <c r="W363" s="80"/>
      <c r="X363" s="80"/>
      <c r="Y363" s="80"/>
      <c r="Z363" s="80"/>
      <c r="AA363" s="80"/>
      <c r="AB363" s="80"/>
    </row>
    <row r="364" spans="1:28" ht="15.75">
      <c r="A364" s="80"/>
      <c r="B364" s="80"/>
      <c r="C364" s="80"/>
      <c r="D364" s="80"/>
      <c r="E364" s="80"/>
      <c r="F364" s="80"/>
      <c r="G364" s="80"/>
      <c r="H364" s="80"/>
      <c r="I364" s="80"/>
      <c r="J364" s="80"/>
      <c r="K364" s="80"/>
      <c r="L364" s="80"/>
      <c r="M364" s="80"/>
      <c r="N364" s="143"/>
      <c r="O364" s="143"/>
      <c r="P364" s="143"/>
      <c r="Q364" s="143"/>
      <c r="R364" s="143"/>
      <c r="S364" s="80"/>
      <c r="T364" s="80"/>
      <c r="U364" s="80"/>
      <c r="V364" s="80"/>
      <c r="W364" s="80"/>
      <c r="X364" s="80"/>
      <c r="Y364" s="80"/>
      <c r="Z364" s="80"/>
      <c r="AA364" s="80"/>
      <c r="AB364" s="80"/>
    </row>
    <row r="365" spans="1:28" ht="15.75">
      <c r="A365" s="80"/>
      <c r="B365" s="80"/>
      <c r="C365" s="80"/>
      <c r="D365" s="80"/>
      <c r="E365" s="80"/>
      <c r="F365" s="80"/>
      <c r="G365" s="80"/>
      <c r="H365" s="80"/>
      <c r="I365" s="80"/>
      <c r="J365" s="80"/>
      <c r="K365" s="80"/>
      <c r="L365" s="80"/>
      <c r="M365" s="80"/>
      <c r="N365" s="143"/>
      <c r="O365" s="143"/>
      <c r="P365" s="143"/>
      <c r="Q365" s="143"/>
      <c r="R365" s="143"/>
      <c r="S365" s="80"/>
      <c r="T365" s="80"/>
      <c r="U365" s="80"/>
      <c r="V365" s="80"/>
      <c r="W365" s="80"/>
      <c r="X365" s="80"/>
      <c r="Y365" s="80"/>
      <c r="Z365" s="80"/>
      <c r="AA365" s="80"/>
      <c r="AB365" s="80"/>
    </row>
    <row r="366" spans="1:28" ht="15.75">
      <c r="A366" s="80"/>
      <c r="B366" s="80"/>
      <c r="C366" s="80"/>
      <c r="D366" s="80"/>
      <c r="E366" s="80"/>
      <c r="F366" s="80"/>
      <c r="G366" s="80"/>
      <c r="H366" s="80"/>
      <c r="I366" s="80"/>
      <c r="J366" s="80"/>
      <c r="K366" s="80"/>
      <c r="L366" s="80"/>
      <c r="M366" s="80"/>
      <c r="N366" s="143"/>
      <c r="O366" s="143"/>
      <c r="P366" s="143"/>
      <c r="Q366" s="143"/>
      <c r="R366" s="143"/>
      <c r="S366" s="80"/>
      <c r="T366" s="80"/>
      <c r="U366" s="80"/>
      <c r="V366" s="80"/>
      <c r="W366" s="80"/>
      <c r="X366" s="80"/>
      <c r="Y366" s="80"/>
      <c r="Z366" s="80"/>
      <c r="AA366" s="80"/>
      <c r="AB366" s="80"/>
    </row>
    <row r="367" spans="1:28" ht="15.75">
      <c r="A367" s="80"/>
      <c r="B367" s="80"/>
      <c r="C367" s="80"/>
      <c r="D367" s="80"/>
      <c r="E367" s="80"/>
      <c r="F367" s="80"/>
      <c r="G367" s="80"/>
      <c r="H367" s="80"/>
      <c r="I367" s="80"/>
      <c r="J367" s="80"/>
      <c r="K367" s="80"/>
      <c r="L367" s="80"/>
      <c r="M367" s="80"/>
      <c r="N367" s="143"/>
      <c r="O367" s="143"/>
      <c r="P367" s="143"/>
      <c r="Q367" s="143"/>
      <c r="R367" s="143"/>
      <c r="S367" s="80"/>
      <c r="T367" s="80"/>
      <c r="U367" s="80"/>
      <c r="V367" s="80"/>
      <c r="W367" s="80"/>
      <c r="X367" s="80"/>
      <c r="Y367" s="80"/>
      <c r="Z367" s="80"/>
      <c r="AA367" s="80"/>
      <c r="AB367" s="80"/>
    </row>
    <row r="368" spans="1:28" ht="15.75">
      <c r="A368" s="80"/>
      <c r="B368" s="80"/>
      <c r="C368" s="80"/>
      <c r="D368" s="80"/>
      <c r="E368" s="80"/>
      <c r="F368" s="80"/>
      <c r="G368" s="80"/>
      <c r="H368" s="80"/>
      <c r="I368" s="80"/>
      <c r="J368" s="80"/>
      <c r="K368" s="80"/>
      <c r="L368" s="80"/>
      <c r="M368" s="80"/>
      <c r="N368" s="143"/>
      <c r="O368" s="143"/>
      <c r="P368" s="143"/>
      <c r="Q368" s="143"/>
      <c r="R368" s="143"/>
      <c r="S368" s="80"/>
      <c r="T368" s="80"/>
      <c r="U368" s="80"/>
      <c r="V368" s="80"/>
      <c r="W368" s="80"/>
      <c r="X368" s="80"/>
      <c r="Y368" s="80"/>
      <c r="Z368" s="80"/>
      <c r="AA368" s="80"/>
      <c r="AB368" s="80"/>
    </row>
    <row r="369" spans="1:28" ht="15.75">
      <c r="A369" s="80"/>
      <c r="B369" s="80"/>
      <c r="C369" s="80"/>
      <c r="D369" s="80"/>
      <c r="E369" s="80"/>
      <c r="F369" s="80"/>
      <c r="G369" s="80"/>
      <c r="H369" s="80"/>
      <c r="I369" s="80"/>
      <c r="J369" s="80"/>
      <c r="K369" s="80"/>
      <c r="L369" s="80"/>
      <c r="M369" s="80"/>
      <c r="N369" s="143"/>
      <c r="O369" s="143"/>
      <c r="P369" s="143"/>
      <c r="Q369" s="143"/>
      <c r="R369" s="143"/>
      <c r="S369" s="80"/>
      <c r="T369" s="80"/>
      <c r="U369" s="80"/>
      <c r="V369" s="80"/>
      <c r="W369" s="80"/>
      <c r="X369" s="80"/>
      <c r="Y369" s="80"/>
      <c r="Z369" s="80"/>
      <c r="AA369" s="80"/>
      <c r="AB369" s="80"/>
    </row>
    <row r="370" spans="1:28" ht="15.75">
      <c r="A370" s="80"/>
      <c r="B370" s="80"/>
      <c r="C370" s="80"/>
      <c r="D370" s="80"/>
      <c r="E370" s="80"/>
      <c r="F370" s="80"/>
      <c r="G370" s="80"/>
      <c r="H370" s="80"/>
      <c r="I370" s="80"/>
      <c r="J370" s="80"/>
      <c r="K370" s="80"/>
      <c r="L370" s="80"/>
      <c r="M370" s="80"/>
      <c r="N370" s="143"/>
      <c r="O370" s="143"/>
      <c r="P370" s="143"/>
      <c r="Q370" s="143"/>
      <c r="R370" s="143"/>
      <c r="S370" s="80"/>
      <c r="T370" s="80"/>
      <c r="U370" s="80"/>
      <c r="V370" s="80"/>
      <c r="W370" s="80"/>
      <c r="X370" s="80"/>
      <c r="Y370" s="80"/>
      <c r="Z370" s="80"/>
      <c r="AA370" s="80"/>
      <c r="AB370" s="80"/>
    </row>
    <row r="371" spans="1:28" ht="15.75">
      <c r="A371" s="80"/>
      <c r="B371" s="80"/>
      <c r="C371" s="80"/>
      <c r="D371" s="80"/>
      <c r="E371" s="80"/>
      <c r="F371" s="80"/>
      <c r="G371" s="80"/>
      <c r="H371" s="80"/>
      <c r="I371" s="80"/>
      <c r="J371" s="80"/>
      <c r="K371" s="80"/>
      <c r="L371" s="80"/>
      <c r="M371" s="80"/>
      <c r="N371" s="143"/>
      <c r="O371" s="143"/>
      <c r="P371" s="143"/>
      <c r="Q371" s="143"/>
      <c r="R371" s="143"/>
      <c r="S371" s="80"/>
      <c r="T371" s="80"/>
      <c r="U371" s="80"/>
      <c r="V371" s="80"/>
      <c r="W371" s="80"/>
      <c r="X371" s="80"/>
      <c r="Y371" s="80"/>
      <c r="Z371" s="80"/>
      <c r="AA371" s="80"/>
      <c r="AB371" s="80"/>
    </row>
    <row r="372" spans="1:28" ht="15.75">
      <c r="A372" s="80"/>
      <c r="B372" s="80"/>
      <c r="C372" s="80"/>
      <c r="D372" s="80"/>
      <c r="E372" s="80"/>
      <c r="F372" s="80"/>
      <c r="G372" s="80"/>
      <c r="H372" s="80"/>
      <c r="I372" s="80"/>
      <c r="J372" s="80"/>
      <c r="K372" s="80"/>
      <c r="L372" s="80"/>
      <c r="M372" s="80"/>
      <c r="N372" s="143"/>
      <c r="O372" s="143"/>
      <c r="P372" s="143"/>
      <c r="Q372" s="143"/>
      <c r="R372" s="143"/>
      <c r="S372" s="80"/>
      <c r="T372" s="80"/>
      <c r="U372" s="80"/>
      <c r="V372" s="80"/>
      <c r="W372" s="80"/>
      <c r="X372" s="80"/>
      <c r="Y372" s="80"/>
      <c r="Z372" s="80"/>
      <c r="AA372" s="80"/>
      <c r="AB372" s="80"/>
    </row>
    <row r="373" spans="1:28" ht="15.75">
      <c r="A373" s="80"/>
      <c r="B373" s="80"/>
      <c r="C373" s="80"/>
      <c r="D373" s="80"/>
      <c r="E373" s="80"/>
      <c r="F373" s="80"/>
      <c r="G373" s="80"/>
      <c r="H373" s="80"/>
      <c r="I373" s="80"/>
      <c r="J373" s="80"/>
      <c r="K373" s="80"/>
      <c r="L373" s="80"/>
      <c r="M373" s="80"/>
      <c r="N373" s="143"/>
      <c r="O373" s="143"/>
      <c r="P373" s="143"/>
      <c r="Q373" s="143"/>
      <c r="R373" s="143"/>
      <c r="S373" s="80"/>
      <c r="T373" s="80"/>
      <c r="U373" s="80"/>
      <c r="V373" s="80"/>
      <c r="W373" s="80"/>
      <c r="X373" s="80"/>
      <c r="Y373" s="80"/>
      <c r="Z373" s="80"/>
      <c r="AA373" s="80"/>
      <c r="AB373" s="80"/>
    </row>
    <row r="374" spans="1:28" ht="15.75">
      <c r="A374" s="80"/>
      <c r="B374" s="80"/>
      <c r="C374" s="80"/>
      <c r="D374" s="80"/>
      <c r="E374" s="80"/>
      <c r="F374" s="80"/>
      <c r="G374" s="80"/>
      <c r="H374" s="80"/>
      <c r="I374" s="80"/>
      <c r="J374" s="80"/>
      <c r="K374" s="80"/>
      <c r="L374" s="80"/>
      <c r="M374" s="80"/>
      <c r="N374" s="143"/>
      <c r="O374" s="143"/>
      <c r="P374" s="143"/>
      <c r="Q374" s="143"/>
      <c r="R374" s="143"/>
      <c r="S374" s="80"/>
      <c r="T374" s="80"/>
      <c r="U374" s="80"/>
      <c r="V374" s="80"/>
      <c r="W374" s="80"/>
      <c r="X374" s="80"/>
      <c r="Y374" s="80"/>
      <c r="Z374" s="80"/>
      <c r="AA374" s="80"/>
      <c r="AB374" s="80"/>
    </row>
    <row r="375" spans="1:28" ht="15.75">
      <c r="A375" s="80"/>
      <c r="B375" s="80"/>
      <c r="C375" s="80"/>
      <c r="D375" s="80"/>
      <c r="E375" s="80"/>
      <c r="F375" s="80"/>
      <c r="G375" s="80"/>
      <c r="H375" s="80"/>
      <c r="I375" s="80"/>
      <c r="J375" s="80"/>
      <c r="K375" s="80"/>
      <c r="L375" s="80"/>
      <c r="M375" s="80"/>
      <c r="N375" s="143"/>
      <c r="O375" s="143"/>
      <c r="P375" s="143"/>
      <c r="Q375" s="143"/>
      <c r="R375" s="143"/>
      <c r="S375" s="80"/>
      <c r="T375" s="80"/>
      <c r="U375" s="80"/>
      <c r="V375" s="80"/>
      <c r="W375" s="80"/>
      <c r="X375" s="80"/>
      <c r="Y375" s="80"/>
      <c r="Z375" s="80"/>
      <c r="AA375" s="80"/>
      <c r="AB375" s="80"/>
    </row>
    <row r="376" spans="1:28" ht="15.75">
      <c r="A376" s="80"/>
      <c r="B376" s="80"/>
      <c r="C376" s="80"/>
      <c r="D376" s="80"/>
      <c r="E376" s="80"/>
      <c r="F376" s="80"/>
      <c r="G376" s="80"/>
      <c r="H376" s="80"/>
      <c r="I376" s="80"/>
      <c r="J376" s="80"/>
      <c r="K376" s="80"/>
      <c r="L376" s="80"/>
      <c r="M376" s="80"/>
      <c r="N376" s="143"/>
      <c r="O376" s="143"/>
      <c r="P376" s="143"/>
      <c r="Q376" s="143"/>
      <c r="R376" s="143"/>
      <c r="S376" s="80"/>
      <c r="T376" s="80"/>
      <c r="U376" s="80"/>
      <c r="V376" s="80"/>
      <c r="W376" s="80"/>
      <c r="X376" s="80"/>
      <c r="Y376" s="80"/>
      <c r="Z376" s="80"/>
      <c r="AA376" s="80"/>
      <c r="AB376" s="80"/>
    </row>
    <row r="377" spans="1:28" ht="15.75">
      <c r="A377" s="80"/>
      <c r="B377" s="80"/>
      <c r="C377" s="80"/>
      <c r="D377" s="80"/>
      <c r="E377" s="80"/>
      <c r="F377" s="80"/>
      <c r="G377" s="80"/>
      <c r="H377" s="80"/>
      <c r="I377" s="80"/>
      <c r="J377" s="80"/>
      <c r="K377" s="80"/>
      <c r="L377" s="80"/>
      <c r="M377" s="80"/>
      <c r="N377" s="143"/>
      <c r="O377" s="143"/>
      <c r="P377" s="143"/>
      <c r="Q377" s="143"/>
      <c r="R377" s="143"/>
      <c r="S377" s="80"/>
      <c r="T377" s="80"/>
      <c r="U377" s="80"/>
      <c r="V377" s="80"/>
      <c r="W377" s="80"/>
      <c r="X377" s="80"/>
      <c r="Y377" s="80"/>
      <c r="Z377" s="80"/>
      <c r="AA377" s="80"/>
      <c r="AB377" s="80"/>
    </row>
    <row r="378" spans="1:28" ht="15.75">
      <c r="A378" s="80"/>
      <c r="B378" s="80"/>
      <c r="C378" s="80"/>
      <c r="D378" s="80"/>
      <c r="E378" s="80"/>
      <c r="F378" s="80"/>
      <c r="G378" s="80"/>
      <c r="H378" s="80"/>
      <c r="I378" s="80"/>
      <c r="J378" s="80"/>
      <c r="K378" s="80"/>
      <c r="L378" s="80"/>
      <c r="M378" s="80"/>
      <c r="N378" s="143"/>
      <c r="O378" s="143"/>
      <c r="P378" s="143"/>
      <c r="Q378" s="143"/>
      <c r="R378" s="143"/>
      <c r="S378" s="80"/>
      <c r="T378" s="80"/>
      <c r="U378" s="80"/>
      <c r="V378" s="80"/>
      <c r="W378" s="80"/>
      <c r="X378" s="80"/>
      <c r="Y378" s="80"/>
      <c r="Z378" s="80"/>
      <c r="AA378" s="80"/>
      <c r="AB378" s="80"/>
    </row>
    <row r="379" spans="1:28" ht="15.75">
      <c r="A379" s="80"/>
      <c r="B379" s="80"/>
      <c r="C379" s="80"/>
      <c r="D379" s="80"/>
      <c r="E379" s="80"/>
      <c r="F379" s="80"/>
      <c r="G379" s="80"/>
      <c r="H379" s="80"/>
      <c r="I379" s="80"/>
      <c r="J379" s="80"/>
      <c r="K379" s="80"/>
      <c r="L379" s="80"/>
      <c r="M379" s="80"/>
      <c r="N379" s="143"/>
      <c r="O379" s="143"/>
      <c r="P379" s="143"/>
      <c r="Q379" s="143"/>
      <c r="R379" s="143"/>
      <c r="S379" s="80"/>
      <c r="T379" s="80"/>
      <c r="U379" s="80"/>
      <c r="V379" s="80"/>
      <c r="W379" s="80"/>
      <c r="X379" s="80"/>
      <c r="Y379" s="80"/>
      <c r="Z379" s="80"/>
      <c r="AA379" s="80"/>
      <c r="AB379" s="80"/>
    </row>
    <row r="380" spans="1:28" ht="15.75">
      <c r="A380" s="80"/>
      <c r="B380" s="80"/>
      <c r="C380" s="80"/>
      <c r="D380" s="80"/>
      <c r="E380" s="80"/>
      <c r="F380" s="80"/>
      <c r="G380" s="80"/>
      <c r="H380" s="80"/>
      <c r="I380" s="80"/>
      <c r="J380" s="80"/>
      <c r="K380" s="80"/>
      <c r="L380" s="80"/>
      <c r="M380" s="80"/>
      <c r="N380" s="143"/>
      <c r="O380" s="143"/>
      <c r="P380" s="143"/>
      <c r="Q380" s="143"/>
      <c r="R380" s="143"/>
      <c r="S380" s="80"/>
      <c r="T380" s="80"/>
      <c r="U380" s="80"/>
      <c r="V380" s="80"/>
      <c r="W380" s="80"/>
      <c r="X380" s="80"/>
      <c r="Y380" s="80"/>
      <c r="Z380" s="80"/>
      <c r="AA380" s="80"/>
      <c r="AB380" s="80"/>
    </row>
    <row r="381" spans="1:28" ht="15.75">
      <c r="A381" s="80"/>
      <c r="B381" s="80"/>
      <c r="C381" s="80"/>
      <c r="D381" s="80"/>
      <c r="E381" s="80"/>
      <c r="F381" s="80"/>
      <c r="G381" s="80"/>
      <c r="H381" s="80"/>
      <c r="I381" s="80"/>
      <c r="J381" s="80"/>
      <c r="K381" s="80"/>
      <c r="L381" s="80"/>
      <c r="M381" s="80"/>
      <c r="N381" s="143"/>
      <c r="O381" s="143"/>
      <c r="P381" s="143"/>
      <c r="Q381" s="143"/>
      <c r="R381" s="143"/>
      <c r="S381" s="80"/>
      <c r="T381" s="80"/>
      <c r="U381" s="80"/>
      <c r="V381" s="80"/>
      <c r="W381" s="80"/>
      <c r="X381" s="80"/>
      <c r="Y381" s="80"/>
      <c r="Z381" s="80"/>
      <c r="AA381" s="80"/>
      <c r="AB381" s="80"/>
    </row>
    <row r="382" spans="1:28" ht="15.75">
      <c r="A382" s="80"/>
      <c r="B382" s="80"/>
      <c r="C382" s="80"/>
      <c r="D382" s="80"/>
      <c r="E382" s="80"/>
      <c r="F382" s="80"/>
      <c r="G382" s="80"/>
      <c r="H382" s="80"/>
      <c r="I382" s="80"/>
      <c r="J382" s="80"/>
      <c r="K382" s="80"/>
      <c r="L382" s="80"/>
      <c r="M382" s="80"/>
      <c r="N382" s="143"/>
      <c r="O382" s="143"/>
      <c r="P382" s="143"/>
      <c r="Q382" s="143"/>
      <c r="R382" s="143"/>
      <c r="S382" s="80"/>
      <c r="T382" s="80"/>
      <c r="U382" s="80"/>
      <c r="V382" s="80"/>
      <c r="W382" s="80"/>
      <c r="X382" s="80"/>
      <c r="Y382" s="80"/>
      <c r="Z382" s="80"/>
      <c r="AA382" s="80"/>
      <c r="AB382" s="80"/>
    </row>
    <row r="383" spans="1:28" ht="15.75">
      <c r="A383" s="80"/>
      <c r="B383" s="80"/>
      <c r="C383" s="80"/>
      <c r="D383" s="80"/>
      <c r="E383" s="80"/>
      <c r="F383" s="80"/>
      <c r="G383" s="80"/>
      <c r="H383" s="80"/>
      <c r="I383" s="80"/>
      <c r="J383" s="80"/>
      <c r="K383" s="80"/>
      <c r="L383" s="80"/>
      <c r="M383" s="80"/>
      <c r="N383" s="143"/>
      <c r="O383" s="143"/>
      <c r="P383" s="143"/>
      <c r="Q383" s="143"/>
      <c r="R383" s="143"/>
      <c r="S383" s="80"/>
      <c r="T383" s="80"/>
      <c r="U383" s="80"/>
      <c r="V383" s="80"/>
      <c r="W383" s="80"/>
      <c r="X383" s="80"/>
      <c r="Y383" s="80"/>
      <c r="Z383" s="80"/>
      <c r="AA383" s="80"/>
      <c r="AB383" s="80"/>
    </row>
    <row r="384" spans="1:28" ht="15.75">
      <c r="A384" s="80"/>
      <c r="B384" s="80"/>
      <c r="C384" s="80"/>
      <c r="D384" s="80"/>
      <c r="E384" s="80"/>
      <c r="F384" s="80"/>
      <c r="G384" s="80"/>
      <c r="H384" s="80"/>
      <c r="I384" s="80"/>
      <c r="J384" s="80"/>
      <c r="K384" s="80"/>
      <c r="L384" s="80"/>
      <c r="M384" s="80"/>
      <c r="N384" s="143"/>
      <c r="O384" s="143"/>
      <c r="P384" s="143"/>
      <c r="Q384" s="143"/>
      <c r="R384" s="143"/>
      <c r="S384" s="80"/>
      <c r="T384" s="80"/>
      <c r="U384" s="80"/>
      <c r="V384" s="80"/>
      <c r="W384" s="80"/>
      <c r="X384" s="80"/>
      <c r="Y384" s="80"/>
      <c r="Z384" s="80"/>
      <c r="AA384" s="80"/>
      <c r="AB384" s="80"/>
    </row>
    <row r="385" spans="1:28" ht="15.75">
      <c r="A385" s="80"/>
      <c r="B385" s="80"/>
      <c r="C385" s="80"/>
      <c r="D385" s="80"/>
      <c r="E385" s="80"/>
      <c r="F385" s="80"/>
      <c r="G385" s="80"/>
      <c r="H385" s="80"/>
      <c r="I385" s="80"/>
      <c r="J385" s="80"/>
      <c r="K385" s="80"/>
      <c r="L385" s="80"/>
      <c r="M385" s="80"/>
      <c r="N385" s="143"/>
      <c r="O385" s="143"/>
      <c r="P385" s="143"/>
      <c r="Q385" s="143"/>
      <c r="R385" s="143"/>
      <c r="S385" s="80"/>
      <c r="T385" s="80"/>
      <c r="U385" s="80"/>
      <c r="V385" s="80"/>
      <c r="W385" s="80"/>
      <c r="X385" s="80"/>
      <c r="Y385" s="80"/>
      <c r="Z385" s="80"/>
      <c r="AA385" s="80"/>
      <c r="AB385" s="80"/>
    </row>
    <row r="386" spans="1:28" ht="15.75">
      <c r="A386" s="80"/>
      <c r="B386" s="80"/>
      <c r="C386" s="80"/>
      <c r="D386" s="80"/>
      <c r="E386" s="80"/>
      <c r="F386" s="80"/>
      <c r="G386" s="80"/>
      <c r="H386" s="80"/>
      <c r="I386" s="80"/>
      <c r="J386" s="80"/>
      <c r="K386" s="80"/>
      <c r="L386" s="80"/>
      <c r="M386" s="80"/>
      <c r="N386" s="143"/>
      <c r="O386" s="143"/>
      <c r="P386" s="143"/>
      <c r="Q386" s="143"/>
      <c r="R386" s="143"/>
      <c r="S386" s="80"/>
      <c r="T386" s="80"/>
      <c r="U386" s="80"/>
      <c r="V386" s="80"/>
      <c r="W386" s="80"/>
      <c r="X386" s="80"/>
      <c r="Y386" s="80"/>
      <c r="Z386" s="80"/>
      <c r="AA386" s="80"/>
      <c r="AB386" s="80"/>
    </row>
    <row r="387" spans="1:28" ht="15.75">
      <c r="A387" s="80"/>
      <c r="B387" s="80"/>
      <c r="C387" s="80"/>
      <c r="D387" s="80"/>
      <c r="E387" s="80"/>
      <c r="F387" s="80"/>
      <c r="G387" s="80"/>
      <c r="H387" s="80"/>
      <c r="I387" s="80"/>
      <c r="J387" s="80"/>
      <c r="K387" s="80"/>
      <c r="L387" s="80"/>
      <c r="M387" s="80"/>
      <c r="N387" s="143"/>
      <c r="O387" s="143"/>
      <c r="P387" s="143"/>
      <c r="Q387" s="143"/>
      <c r="R387" s="143"/>
      <c r="S387" s="80"/>
      <c r="T387" s="80"/>
      <c r="U387" s="80"/>
      <c r="V387" s="80"/>
      <c r="W387" s="80"/>
      <c r="X387" s="80"/>
      <c r="Y387" s="80"/>
      <c r="Z387" s="80"/>
      <c r="AA387" s="80"/>
      <c r="AB387" s="80"/>
    </row>
    <row r="388" spans="1:28" ht="15.75">
      <c r="A388" s="80"/>
      <c r="B388" s="80"/>
      <c r="C388" s="80"/>
      <c r="D388" s="80"/>
      <c r="E388" s="80"/>
      <c r="F388" s="80"/>
      <c r="G388" s="80"/>
      <c r="H388" s="80"/>
      <c r="I388" s="80"/>
      <c r="J388" s="80"/>
      <c r="K388" s="80"/>
      <c r="L388" s="80"/>
      <c r="M388" s="80"/>
      <c r="N388" s="143"/>
      <c r="O388" s="143"/>
      <c r="P388" s="143"/>
      <c r="Q388" s="143"/>
      <c r="R388" s="143"/>
      <c r="S388" s="80"/>
      <c r="T388" s="80"/>
      <c r="U388" s="80"/>
      <c r="V388" s="80"/>
      <c r="W388" s="80"/>
      <c r="X388" s="80"/>
      <c r="Y388" s="80"/>
      <c r="Z388" s="80"/>
      <c r="AA388" s="80"/>
      <c r="AB388" s="80"/>
    </row>
    <row r="389" spans="1:28" ht="15.75">
      <c r="A389" s="80"/>
      <c r="B389" s="80"/>
      <c r="C389" s="80"/>
      <c r="D389" s="80"/>
      <c r="E389" s="80"/>
      <c r="F389" s="80"/>
      <c r="G389" s="80"/>
      <c r="H389" s="80"/>
      <c r="I389" s="80"/>
      <c r="J389" s="80"/>
      <c r="K389" s="80"/>
      <c r="L389" s="80"/>
      <c r="M389" s="80"/>
      <c r="N389" s="143"/>
      <c r="O389" s="143"/>
      <c r="P389" s="143"/>
      <c r="Q389" s="143"/>
      <c r="R389" s="143"/>
      <c r="S389" s="80"/>
      <c r="T389" s="80"/>
      <c r="U389" s="80"/>
      <c r="V389" s="80"/>
      <c r="W389" s="80"/>
      <c r="X389" s="80"/>
      <c r="Y389" s="80"/>
      <c r="Z389" s="80"/>
      <c r="AA389" s="80"/>
      <c r="AB389" s="80"/>
    </row>
    <row r="390" spans="1:28" ht="15.75">
      <c r="A390" s="80"/>
      <c r="B390" s="80"/>
      <c r="C390" s="80"/>
      <c r="D390" s="80"/>
      <c r="E390" s="80"/>
      <c r="F390" s="80"/>
      <c r="G390" s="80"/>
      <c r="H390" s="80"/>
      <c r="I390" s="80"/>
      <c r="J390" s="80"/>
      <c r="K390" s="80"/>
      <c r="L390" s="80"/>
      <c r="M390" s="80"/>
      <c r="N390" s="143"/>
      <c r="O390" s="143"/>
      <c r="P390" s="143"/>
      <c r="Q390" s="143"/>
      <c r="R390" s="143"/>
      <c r="S390" s="80"/>
      <c r="T390" s="80"/>
      <c r="U390" s="80"/>
      <c r="V390" s="80"/>
      <c r="W390" s="80"/>
      <c r="X390" s="80"/>
      <c r="Y390" s="80"/>
      <c r="Z390" s="80"/>
      <c r="AA390" s="80"/>
      <c r="AB390" s="80"/>
    </row>
    <row r="391" spans="1:28" ht="15.75">
      <c r="A391" s="80"/>
      <c r="B391" s="80"/>
      <c r="C391" s="80"/>
      <c r="D391" s="80"/>
      <c r="E391" s="80"/>
      <c r="F391" s="80"/>
      <c r="G391" s="80"/>
      <c r="H391" s="80"/>
      <c r="I391" s="80"/>
      <c r="J391" s="80"/>
      <c r="K391" s="80"/>
      <c r="L391" s="80"/>
      <c r="M391" s="80"/>
      <c r="N391" s="143"/>
      <c r="O391" s="143"/>
      <c r="P391" s="143"/>
      <c r="Q391" s="143"/>
      <c r="R391" s="143"/>
      <c r="S391" s="80"/>
      <c r="T391" s="80"/>
      <c r="U391" s="80"/>
      <c r="V391" s="80"/>
      <c r="W391" s="80"/>
      <c r="X391" s="80"/>
      <c r="Y391" s="80"/>
      <c r="Z391" s="80"/>
      <c r="AA391" s="80"/>
      <c r="AB391" s="80"/>
    </row>
    <row r="392" spans="1:28" ht="15.75">
      <c r="A392" s="80"/>
      <c r="B392" s="80"/>
      <c r="C392" s="80"/>
      <c r="D392" s="80"/>
      <c r="E392" s="80"/>
      <c r="F392" s="80"/>
      <c r="G392" s="80"/>
      <c r="H392" s="80"/>
      <c r="I392" s="80"/>
      <c r="J392" s="80"/>
      <c r="K392" s="80"/>
      <c r="L392" s="80"/>
      <c r="M392" s="80"/>
      <c r="N392" s="143"/>
      <c r="O392" s="143"/>
      <c r="P392" s="143"/>
      <c r="Q392" s="143"/>
      <c r="R392" s="143"/>
      <c r="S392" s="80"/>
      <c r="T392" s="80"/>
      <c r="U392" s="80"/>
      <c r="V392" s="80"/>
      <c r="W392" s="80"/>
      <c r="X392" s="80"/>
      <c r="Y392" s="80"/>
      <c r="Z392" s="80"/>
      <c r="AA392" s="80"/>
      <c r="AB392" s="80"/>
    </row>
    <row r="393" spans="1:28" ht="15.75">
      <c r="A393" s="80"/>
      <c r="B393" s="80"/>
      <c r="C393" s="80"/>
      <c r="D393" s="80"/>
      <c r="E393" s="80"/>
      <c r="F393" s="80"/>
      <c r="G393" s="80"/>
      <c r="H393" s="80"/>
      <c r="I393" s="80"/>
      <c r="J393" s="80"/>
      <c r="K393" s="80"/>
      <c r="L393" s="80"/>
      <c r="M393" s="80"/>
      <c r="N393" s="143"/>
      <c r="O393" s="143"/>
      <c r="P393" s="143"/>
      <c r="Q393" s="143"/>
      <c r="R393" s="143"/>
      <c r="S393" s="80"/>
      <c r="T393" s="80"/>
      <c r="U393" s="80"/>
      <c r="V393" s="80"/>
      <c r="W393" s="80"/>
      <c r="X393" s="80"/>
      <c r="Y393" s="80"/>
      <c r="Z393" s="80"/>
      <c r="AA393" s="80"/>
      <c r="AB393" s="80"/>
    </row>
    <row r="394" spans="1:28" ht="15.75">
      <c r="A394" s="80"/>
      <c r="B394" s="80"/>
      <c r="C394" s="80"/>
      <c r="D394" s="80"/>
      <c r="E394" s="80"/>
      <c r="F394" s="80"/>
      <c r="G394" s="80"/>
      <c r="H394" s="80"/>
      <c r="I394" s="80"/>
      <c r="J394" s="80"/>
      <c r="K394" s="80"/>
      <c r="L394" s="80"/>
      <c r="M394" s="80"/>
      <c r="N394" s="143"/>
      <c r="O394" s="143"/>
      <c r="P394" s="143"/>
      <c r="Q394" s="143"/>
      <c r="R394" s="143"/>
      <c r="S394" s="80"/>
      <c r="T394" s="80"/>
      <c r="U394" s="80"/>
      <c r="V394" s="80"/>
      <c r="W394" s="80"/>
      <c r="X394" s="80"/>
      <c r="Y394" s="80"/>
      <c r="Z394" s="80"/>
      <c r="AA394" s="80"/>
      <c r="AB394" s="80"/>
    </row>
    <row r="395" spans="1:28" ht="15.75">
      <c r="A395" s="80"/>
      <c r="B395" s="80"/>
      <c r="C395" s="80"/>
      <c r="D395" s="80"/>
      <c r="E395" s="80"/>
      <c r="F395" s="80"/>
      <c r="G395" s="80"/>
      <c r="H395" s="80"/>
      <c r="I395" s="80"/>
      <c r="J395" s="80"/>
      <c r="K395" s="80"/>
      <c r="L395" s="80"/>
      <c r="M395" s="80"/>
      <c r="N395" s="143"/>
      <c r="O395" s="143"/>
      <c r="P395" s="143"/>
      <c r="Q395" s="143"/>
      <c r="R395" s="143"/>
      <c r="S395" s="80"/>
      <c r="T395" s="80"/>
      <c r="U395" s="80"/>
      <c r="V395" s="80"/>
      <c r="W395" s="80"/>
      <c r="X395" s="80"/>
      <c r="Y395" s="80"/>
      <c r="Z395" s="80"/>
      <c r="AA395" s="80"/>
      <c r="AB395" s="80"/>
    </row>
    <row r="396" spans="1:28" ht="15.75">
      <c r="A396" s="80"/>
      <c r="B396" s="80"/>
      <c r="C396" s="80"/>
      <c r="D396" s="80"/>
      <c r="E396" s="80"/>
      <c r="F396" s="80"/>
      <c r="G396" s="80"/>
      <c r="H396" s="80"/>
      <c r="I396" s="80"/>
      <c r="J396" s="80"/>
      <c r="K396" s="80"/>
      <c r="L396" s="80"/>
      <c r="M396" s="80"/>
      <c r="N396" s="143"/>
      <c r="O396" s="143"/>
      <c r="P396" s="143"/>
      <c r="Q396" s="143"/>
      <c r="R396" s="143"/>
      <c r="S396" s="80"/>
      <c r="T396" s="80"/>
      <c r="U396" s="80"/>
      <c r="V396" s="80"/>
      <c r="W396" s="80"/>
      <c r="X396" s="80"/>
      <c r="Y396" s="80"/>
      <c r="Z396" s="80"/>
      <c r="AA396" s="80"/>
      <c r="AB396" s="80"/>
    </row>
    <row r="397" spans="1:28" ht="15.75">
      <c r="A397" s="80"/>
      <c r="B397" s="80"/>
      <c r="C397" s="80"/>
      <c r="D397" s="80"/>
      <c r="E397" s="80"/>
      <c r="F397" s="80"/>
      <c r="G397" s="80"/>
      <c r="H397" s="80"/>
      <c r="I397" s="80"/>
      <c r="J397" s="80"/>
      <c r="K397" s="80"/>
      <c r="L397" s="80"/>
      <c r="M397" s="80"/>
      <c r="N397" s="143"/>
      <c r="O397" s="143"/>
      <c r="P397" s="143"/>
      <c r="Q397" s="143"/>
      <c r="R397" s="143"/>
      <c r="S397" s="80"/>
      <c r="T397" s="80"/>
      <c r="U397" s="80"/>
      <c r="V397" s="80"/>
      <c r="W397" s="80"/>
      <c r="X397" s="80"/>
      <c r="Y397" s="80"/>
      <c r="Z397" s="80"/>
      <c r="AA397" s="80"/>
      <c r="AB397" s="80"/>
    </row>
    <row r="398" spans="1:28" ht="15.75">
      <c r="A398" s="80"/>
      <c r="B398" s="80"/>
      <c r="C398" s="80"/>
      <c r="D398" s="80"/>
      <c r="E398" s="80"/>
      <c r="F398" s="80"/>
      <c r="G398" s="80"/>
      <c r="H398" s="80"/>
      <c r="I398" s="80"/>
      <c r="J398" s="80"/>
      <c r="K398" s="80"/>
      <c r="L398" s="80"/>
      <c r="M398" s="80"/>
      <c r="N398" s="143"/>
      <c r="O398" s="143"/>
      <c r="P398" s="143"/>
      <c r="Q398" s="143"/>
      <c r="R398" s="143"/>
      <c r="S398" s="80"/>
      <c r="T398" s="80"/>
      <c r="U398" s="80"/>
      <c r="V398" s="80"/>
      <c r="W398" s="80"/>
      <c r="X398" s="80"/>
      <c r="Y398" s="80"/>
      <c r="Z398" s="80"/>
      <c r="AA398" s="80"/>
      <c r="AB398" s="80"/>
    </row>
    <row r="399" spans="1:28" ht="15.75">
      <c r="A399" s="80"/>
      <c r="B399" s="80"/>
      <c r="C399" s="80"/>
      <c r="D399" s="80"/>
      <c r="E399" s="80"/>
      <c r="F399" s="80"/>
      <c r="G399" s="80"/>
      <c r="H399" s="80"/>
      <c r="I399" s="80"/>
      <c r="J399" s="80"/>
      <c r="K399" s="80"/>
      <c r="L399" s="80"/>
      <c r="M399" s="80"/>
      <c r="N399" s="143"/>
      <c r="O399" s="143"/>
      <c r="P399" s="143"/>
      <c r="Q399" s="143"/>
      <c r="R399" s="143"/>
      <c r="S399" s="80"/>
      <c r="T399" s="80"/>
      <c r="U399" s="80"/>
      <c r="V399" s="80"/>
      <c r="W399" s="80"/>
      <c r="X399" s="80"/>
      <c r="Y399" s="80"/>
      <c r="Z399" s="80"/>
      <c r="AA399" s="80"/>
      <c r="AB399" s="80"/>
    </row>
    <row r="400" spans="1:28" ht="15.75">
      <c r="A400" s="80"/>
      <c r="B400" s="80"/>
      <c r="C400" s="80"/>
      <c r="D400" s="80"/>
      <c r="E400" s="80"/>
      <c r="F400" s="80"/>
      <c r="G400" s="80"/>
      <c r="H400" s="80"/>
      <c r="I400" s="80"/>
      <c r="J400" s="80"/>
      <c r="K400" s="80"/>
      <c r="L400" s="80"/>
      <c r="M400" s="80"/>
      <c r="N400" s="143"/>
      <c r="O400" s="143"/>
      <c r="P400" s="143"/>
      <c r="Q400" s="143"/>
      <c r="R400" s="143"/>
      <c r="S400" s="80"/>
      <c r="T400" s="80"/>
      <c r="U400" s="80"/>
      <c r="V400" s="80"/>
      <c r="W400" s="80"/>
      <c r="X400" s="80"/>
      <c r="Y400" s="80"/>
      <c r="Z400" s="80"/>
      <c r="AA400" s="80"/>
      <c r="AB400" s="80"/>
    </row>
    <row r="401" spans="1:28" ht="15.75">
      <c r="A401" s="80"/>
      <c r="B401" s="80"/>
      <c r="C401" s="80"/>
      <c r="D401" s="80"/>
      <c r="E401" s="80"/>
      <c r="F401" s="80"/>
      <c r="G401" s="80"/>
      <c r="H401" s="80"/>
      <c r="I401" s="80"/>
      <c r="J401" s="80"/>
      <c r="K401" s="80"/>
      <c r="L401" s="80"/>
      <c r="M401" s="80"/>
      <c r="N401" s="143"/>
      <c r="O401" s="143"/>
      <c r="P401" s="143"/>
      <c r="Q401" s="143"/>
      <c r="R401" s="143"/>
      <c r="S401" s="80"/>
      <c r="T401" s="80"/>
      <c r="U401" s="80"/>
      <c r="V401" s="80"/>
      <c r="W401" s="80"/>
      <c r="X401" s="80"/>
      <c r="Y401" s="80"/>
      <c r="Z401" s="80"/>
      <c r="AA401" s="80"/>
      <c r="AB401" s="80"/>
    </row>
    <row r="402" spans="1:28" ht="15.75">
      <c r="A402" s="80"/>
      <c r="B402" s="80"/>
      <c r="C402" s="80"/>
      <c r="D402" s="80"/>
      <c r="E402" s="80"/>
      <c r="F402" s="80"/>
      <c r="G402" s="80"/>
      <c r="H402" s="80"/>
      <c r="I402" s="80"/>
      <c r="J402" s="80"/>
      <c r="K402" s="80"/>
      <c r="L402" s="80"/>
      <c r="M402" s="80"/>
      <c r="N402" s="143"/>
      <c r="O402" s="143"/>
      <c r="P402" s="143"/>
      <c r="Q402" s="143"/>
      <c r="R402" s="143"/>
      <c r="S402" s="80"/>
      <c r="T402" s="80"/>
      <c r="U402" s="80"/>
      <c r="V402" s="80"/>
      <c r="W402" s="80"/>
      <c r="X402" s="80"/>
      <c r="Y402" s="80"/>
      <c r="Z402" s="80"/>
      <c r="AA402" s="80"/>
      <c r="AB402" s="80"/>
    </row>
    <row r="403" spans="1:28" ht="15.75">
      <c r="A403" s="80"/>
      <c r="B403" s="80"/>
      <c r="C403" s="80"/>
      <c r="D403" s="80"/>
      <c r="E403" s="80"/>
      <c r="F403" s="80"/>
      <c r="G403" s="80"/>
      <c r="H403" s="80"/>
      <c r="I403" s="80"/>
      <c r="J403" s="80"/>
      <c r="K403" s="80"/>
      <c r="L403" s="80"/>
      <c r="M403" s="80"/>
      <c r="N403" s="143"/>
      <c r="O403" s="143"/>
      <c r="P403" s="143"/>
      <c r="Q403" s="143"/>
      <c r="R403" s="143"/>
      <c r="S403" s="80"/>
      <c r="T403" s="80"/>
      <c r="U403" s="80"/>
      <c r="V403" s="80"/>
      <c r="W403" s="80"/>
      <c r="X403" s="80"/>
      <c r="Y403" s="80"/>
      <c r="Z403" s="80"/>
      <c r="AA403" s="80"/>
      <c r="AB403" s="80"/>
    </row>
    <row r="404" spans="1:28" ht="15.75">
      <c r="A404" s="80"/>
      <c r="B404" s="80"/>
      <c r="C404" s="80"/>
      <c r="D404" s="80"/>
      <c r="E404" s="80"/>
      <c r="F404" s="80"/>
      <c r="G404" s="80"/>
      <c r="H404" s="80"/>
      <c r="I404" s="80"/>
      <c r="J404" s="80"/>
      <c r="K404" s="80"/>
      <c r="L404" s="80"/>
      <c r="M404" s="80"/>
      <c r="N404" s="143"/>
      <c r="O404" s="143"/>
      <c r="P404" s="143"/>
      <c r="Q404" s="143"/>
      <c r="R404" s="143"/>
      <c r="S404" s="80"/>
      <c r="T404" s="80"/>
      <c r="U404" s="80"/>
      <c r="V404" s="80"/>
      <c r="W404" s="80"/>
      <c r="X404" s="80"/>
      <c r="Y404" s="80"/>
      <c r="Z404" s="80"/>
      <c r="AA404" s="80"/>
      <c r="AB404" s="80"/>
    </row>
    <row r="405" spans="1:28" ht="15.75">
      <c r="A405" s="80"/>
      <c r="B405" s="80"/>
      <c r="C405" s="80"/>
      <c r="D405" s="80"/>
      <c r="E405" s="80"/>
      <c r="F405" s="80"/>
      <c r="G405" s="80"/>
      <c r="H405" s="80"/>
      <c r="I405" s="80"/>
      <c r="J405" s="80"/>
      <c r="K405" s="80"/>
      <c r="L405" s="80"/>
      <c r="M405" s="80"/>
      <c r="N405" s="143"/>
      <c r="O405" s="143"/>
      <c r="P405" s="143"/>
      <c r="Q405" s="143"/>
      <c r="R405" s="143"/>
      <c r="S405" s="80"/>
      <c r="T405" s="80"/>
      <c r="U405" s="80"/>
      <c r="V405" s="80"/>
      <c r="W405" s="80"/>
      <c r="X405" s="80"/>
      <c r="Y405" s="80"/>
      <c r="Z405" s="80"/>
      <c r="AA405" s="80"/>
      <c r="AB405" s="80"/>
    </row>
    <row r="406" spans="1:28" ht="15.75">
      <c r="A406" s="80"/>
      <c r="B406" s="80"/>
      <c r="C406" s="80"/>
      <c r="D406" s="80"/>
      <c r="E406" s="80"/>
      <c r="F406" s="80"/>
      <c r="G406" s="80"/>
      <c r="H406" s="80"/>
      <c r="I406" s="80"/>
      <c r="J406" s="80"/>
      <c r="K406" s="80"/>
      <c r="L406" s="80"/>
      <c r="M406" s="80"/>
      <c r="N406" s="143"/>
      <c r="O406" s="143"/>
      <c r="P406" s="143"/>
      <c r="Q406" s="143"/>
      <c r="R406" s="143"/>
      <c r="S406" s="80"/>
      <c r="T406" s="80"/>
      <c r="U406" s="80"/>
      <c r="V406" s="80"/>
      <c r="W406" s="80"/>
      <c r="X406" s="80"/>
      <c r="Y406" s="80"/>
      <c r="Z406" s="80"/>
      <c r="AA406" s="80"/>
      <c r="AB406" s="80"/>
    </row>
    <row r="407" spans="1:28" ht="15.75">
      <c r="A407" s="80"/>
      <c r="B407" s="80"/>
      <c r="C407" s="80"/>
      <c r="D407" s="80"/>
      <c r="E407" s="80"/>
      <c r="F407" s="80"/>
      <c r="G407" s="80"/>
      <c r="H407" s="80"/>
      <c r="I407" s="80"/>
      <c r="J407" s="80"/>
      <c r="K407" s="80"/>
      <c r="L407" s="80"/>
      <c r="M407" s="80"/>
      <c r="N407" s="143"/>
      <c r="O407" s="143"/>
      <c r="P407" s="143"/>
      <c r="Q407" s="143"/>
      <c r="R407" s="143"/>
      <c r="S407" s="80"/>
      <c r="T407" s="80"/>
      <c r="U407" s="80"/>
      <c r="V407" s="80"/>
      <c r="W407" s="80"/>
      <c r="X407" s="80"/>
      <c r="Y407" s="80"/>
      <c r="Z407" s="80"/>
      <c r="AA407" s="80"/>
      <c r="AB407" s="80"/>
    </row>
    <row r="408" spans="1:28" ht="15.75">
      <c r="A408" s="80"/>
      <c r="B408" s="80"/>
      <c r="C408" s="80"/>
      <c r="D408" s="80"/>
      <c r="E408" s="80"/>
      <c r="F408" s="80"/>
      <c r="G408" s="80"/>
      <c r="H408" s="80"/>
      <c r="I408" s="80"/>
      <c r="J408" s="80"/>
      <c r="K408" s="80"/>
      <c r="L408" s="80"/>
      <c r="M408" s="80"/>
      <c r="N408" s="143"/>
      <c r="O408" s="143"/>
      <c r="P408" s="143"/>
      <c r="Q408" s="143"/>
      <c r="R408" s="143"/>
      <c r="S408" s="80"/>
      <c r="T408" s="80"/>
      <c r="U408" s="80"/>
      <c r="V408" s="80"/>
      <c r="W408" s="80"/>
      <c r="X408" s="80"/>
      <c r="Y408" s="80"/>
      <c r="Z408" s="80"/>
      <c r="AA408" s="80"/>
      <c r="AB408" s="80"/>
    </row>
    <row r="409" spans="1:28" ht="15.75">
      <c r="A409" s="80"/>
      <c r="B409" s="80"/>
      <c r="C409" s="80"/>
      <c r="D409" s="80"/>
      <c r="E409" s="80"/>
      <c r="F409" s="80"/>
      <c r="G409" s="80"/>
      <c r="H409" s="80"/>
      <c r="I409" s="80"/>
      <c r="J409" s="80"/>
      <c r="K409" s="80"/>
      <c r="L409" s="80"/>
      <c r="M409" s="80"/>
      <c r="N409" s="143"/>
      <c r="O409" s="143"/>
      <c r="P409" s="143"/>
      <c r="Q409" s="143"/>
      <c r="R409" s="143"/>
      <c r="S409" s="80"/>
      <c r="T409" s="80"/>
      <c r="U409" s="80"/>
      <c r="V409" s="80"/>
      <c r="W409" s="80"/>
      <c r="X409" s="80"/>
      <c r="Y409" s="80"/>
      <c r="Z409" s="80"/>
      <c r="AA409" s="80"/>
      <c r="AB409" s="80"/>
    </row>
    <row r="410" spans="1:28" ht="15.75">
      <c r="A410" s="80"/>
      <c r="B410" s="80"/>
      <c r="C410" s="80"/>
      <c r="D410" s="80"/>
      <c r="E410" s="80"/>
      <c r="F410" s="80"/>
      <c r="G410" s="80"/>
      <c r="H410" s="80"/>
      <c r="I410" s="80"/>
      <c r="J410" s="80"/>
      <c r="K410" s="80"/>
      <c r="L410" s="80"/>
      <c r="M410" s="80"/>
      <c r="N410" s="143"/>
      <c r="O410" s="143"/>
      <c r="P410" s="143"/>
      <c r="Q410" s="143"/>
      <c r="R410" s="143"/>
      <c r="S410" s="80"/>
      <c r="T410" s="80"/>
      <c r="U410" s="80"/>
      <c r="V410" s="80"/>
      <c r="W410" s="80"/>
      <c r="X410" s="80"/>
      <c r="Y410" s="80"/>
      <c r="Z410" s="80"/>
      <c r="AA410" s="80"/>
      <c r="AB410" s="80"/>
    </row>
    <row r="411" spans="1:28" ht="15.75">
      <c r="A411" s="80"/>
      <c r="B411" s="80"/>
      <c r="C411" s="80"/>
      <c r="D411" s="80"/>
      <c r="E411" s="80"/>
      <c r="F411" s="80"/>
      <c r="G411" s="80"/>
      <c r="H411" s="80"/>
      <c r="I411" s="80"/>
      <c r="J411" s="80"/>
      <c r="K411" s="80"/>
      <c r="L411" s="80"/>
      <c r="M411" s="80"/>
      <c r="N411" s="143"/>
      <c r="O411" s="143"/>
      <c r="P411" s="143"/>
      <c r="Q411" s="143"/>
      <c r="R411" s="143"/>
      <c r="S411" s="80"/>
      <c r="T411" s="80"/>
      <c r="U411" s="80"/>
      <c r="V411" s="80"/>
      <c r="W411" s="80"/>
      <c r="X411" s="80"/>
      <c r="Y411" s="80"/>
      <c r="Z411" s="80"/>
      <c r="AA411" s="80"/>
      <c r="AB411" s="80"/>
    </row>
    <row r="412" spans="1:28" ht="15.75">
      <c r="A412" s="80"/>
      <c r="B412" s="80"/>
      <c r="C412" s="80"/>
      <c r="D412" s="80"/>
      <c r="E412" s="80"/>
      <c r="F412" s="80"/>
      <c r="G412" s="80"/>
      <c r="H412" s="80"/>
      <c r="I412" s="80"/>
      <c r="J412" s="80"/>
      <c r="K412" s="80"/>
      <c r="L412" s="80"/>
      <c r="M412" s="80"/>
      <c r="N412" s="143"/>
      <c r="O412" s="143"/>
      <c r="P412" s="143"/>
      <c r="Q412" s="143"/>
      <c r="R412" s="143"/>
      <c r="S412" s="80"/>
      <c r="T412" s="80"/>
      <c r="U412" s="80"/>
      <c r="V412" s="80"/>
      <c r="W412" s="80"/>
      <c r="X412" s="80"/>
      <c r="Y412" s="80"/>
      <c r="Z412" s="80"/>
      <c r="AA412" s="80"/>
      <c r="AB412" s="80"/>
    </row>
    <row r="413" spans="1:28" ht="15.75">
      <c r="A413" s="80"/>
      <c r="B413" s="80"/>
      <c r="C413" s="80"/>
      <c r="D413" s="80"/>
      <c r="E413" s="80"/>
      <c r="F413" s="80"/>
      <c r="G413" s="80"/>
      <c r="H413" s="80"/>
      <c r="I413" s="80"/>
      <c r="J413" s="80"/>
      <c r="K413" s="80"/>
      <c r="L413" s="80"/>
      <c r="M413" s="80"/>
      <c r="N413" s="143"/>
      <c r="O413" s="143"/>
      <c r="P413" s="143"/>
      <c r="Q413" s="143"/>
      <c r="R413" s="143"/>
      <c r="S413" s="80"/>
      <c r="T413" s="80"/>
      <c r="U413" s="80"/>
      <c r="V413" s="80"/>
      <c r="W413" s="80"/>
      <c r="X413" s="80"/>
      <c r="Y413" s="80"/>
      <c r="Z413" s="80"/>
      <c r="AA413" s="80"/>
      <c r="AB413" s="80"/>
    </row>
    <row r="414" spans="1:28" ht="15.75">
      <c r="A414" s="80"/>
      <c r="B414" s="80"/>
      <c r="C414" s="80"/>
      <c r="D414" s="80"/>
      <c r="E414" s="80"/>
      <c r="F414" s="80"/>
      <c r="G414" s="80"/>
      <c r="H414" s="80"/>
      <c r="I414" s="80"/>
      <c r="J414" s="80"/>
      <c r="K414" s="80"/>
      <c r="L414" s="80"/>
      <c r="M414" s="80"/>
      <c r="N414" s="143"/>
      <c r="O414" s="143"/>
      <c r="P414" s="143"/>
      <c r="Q414" s="143"/>
      <c r="R414" s="143"/>
      <c r="S414" s="80"/>
      <c r="T414" s="80"/>
      <c r="U414" s="80"/>
      <c r="V414" s="80"/>
      <c r="W414" s="80"/>
      <c r="X414" s="80"/>
      <c r="Y414" s="80"/>
      <c r="Z414" s="80"/>
      <c r="AA414" s="80"/>
      <c r="AB414" s="80"/>
    </row>
    <row r="415" spans="1:28" ht="15.75">
      <c r="A415" s="80"/>
      <c r="B415" s="80"/>
      <c r="C415" s="80"/>
      <c r="D415" s="80"/>
      <c r="E415" s="80"/>
      <c r="F415" s="80"/>
      <c r="G415" s="80"/>
      <c r="H415" s="80"/>
      <c r="I415" s="80"/>
      <c r="J415" s="80"/>
      <c r="K415" s="80"/>
      <c r="L415" s="80"/>
      <c r="M415" s="80"/>
      <c r="N415" s="143"/>
      <c r="O415" s="143"/>
      <c r="P415" s="143"/>
      <c r="Q415" s="143"/>
      <c r="R415" s="143"/>
      <c r="S415" s="80"/>
      <c r="T415" s="80"/>
      <c r="U415" s="80"/>
      <c r="V415" s="80"/>
      <c r="W415" s="80"/>
      <c r="X415" s="80"/>
      <c r="Y415" s="80"/>
      <c r="Z415" s="80"/>
      <c r="AA415" s="80"/>
      <c r="AB415" s="80"/>
    </row>
    <row r="416" spans="1:28" ht="15.75">
      <c r="A416" s="80"/>
      <c r="B416" s="80"/>
      <c r="C416" s="80"/>
      <c r="D416" s="80"/>
      <c r="E416" s="80"/>
      <c r="F416" s="80"/>
      <c r="G416" s="80"/>
      <c r="H416" s="80"/>
      <c r="I416" s="80"/>
      <c r="J416" s="80"/>
      <c r="K416" s="80"/>
      <c r="L416" s="80"/>
      <c r="M416" s="80"/>
      <c r="N416" s="143"/>
      <c r="O416" s="143"/>
      <c r="P416" s="143"/>
      <c r="Q416" s="143"/>
      <c r="R416" s="143"/>
      <c r="S416" s="80"/>
      <c r="T416" s="80"/>
      <c r="U416" s="80"/>
      <c r="V416" s="80"/>
      <c r="W416" s="80"/>
      <c r="X416" s="80"/>
      <c r="Y416" s="80"/>
      <c r="Z416" s="80"/>
      <c r="AA416" s="80"/>
      <c r="AB416" s="80"/>
    </row>
    <row r="417" spans="1:28" ht="15.75">
      <c r="A417" s="80"/>
      <c r="B417" s="80"/>
      <c r="C417" s="80"/>
      <c r="D417" s="80"/>
      <c r="E417" s="80"/>
      <c r="F417" s="80"/>
      <c r="G417" s="80"/>
      <c r="H417" s="80"/>
      <c r="I417" s="80"/>
      <c r="J417" s="80"/>
      <c r="K417" s="80"/>
      <c r="L417" s="80"/>
      <c r="M417" s="80"/>
      <c r="N417" s="143"/>
      <c r="O417" s="143"/>
      <c r="P417" s="143"/>
      <c r="Q417" s="143"/>
      <c r="R417" s="143"/>
      <c r="S417" s="80"/>
      <c r="T417" s="80"/>
      <c r="U417" s="80"/>
      <c r="V417" s="80"/>
      <c r="W417" s="80"/>
      <c r="X417" s="80"/>
      <c r="Y417" s="80"/>
      <c r="Z417" s="80"/>
      <c r="AA417" s="80"/>
      <c r="AB417" s="80"/>
    </row>
    <row r="418" spans="1:28" ht="15.75">
      <c r="A418" s="80"/>
      <c r="B418" s="80"/>
      <c r="C418" s="80"/>
      <c r="D418" s="80"/>
      <c r="E418" s="80"/>
      <c r="F418" s="80"/>
      <c r="G418" s="80"/>
      <c r="H418" s="80"/>
      <c r="I418" s="80"/>
      <c r="J418" s="80"/>
      <c r="K418" s="80"/>
      <c r="L418" s="80"/>
      <c r="M418" s="80"/>
      <c r="N418" s="143"/>
      <c r="O418" s="143"/>
      <c r="P418" s="143"/>
      <c r="Q418" s="143"/>
      <c r="R418" s="143"/>
      <c r="S418" s="80"/>
      <c r="T418" s="80"/>
      <c r="U418" s="80"/>
      <c r="V418" s="80"/>
      <c r="W418" s="80"/>
      <c r="X418" s="80"/>
      <c r="Y418" s="80"/>
      <c r="Z418" s="80"/>
      <c r="AA418" s="80"/>
      <c r="AB418" s="80"/>
    </row>
    <row r="419" spans="1:28" ht="15.75">
      <c r="A419" s="80"/>
      <c r="B419" s="80"/>
      <c r="C419" s="80"/>
      <c r="D419" s="80"/>
      <c r="E419" s="80"/>
      <c r="F419" s="80"/>
      <c r="G419" s="80"/>
      <c r="H419" s="80"/>
      <c r="I419" s="80"/>
      <c r="J419" s="80"/>
      <c r="K419" s="80"/>
      <c r="L419" s="80"/>
      <c r="M419" s="80"/>
      <c r="N419" s="143"/>
      <c r="O419" s="143"/>
      <c r="P419" s="143"/>
      <c r="Q419" s="143"/>
      <c r="R419" s="143"/>
      <c r="S419" s="80"/>
      <c r="T419" s="80"/>
      <c r="U419" s="80"/>
      <c r="V419" s="80"/>
      <c r="W419" s="80"/>
      <c r="X419" s="80"/>
      <c r="Y419" s="80"/>
      <c r="Z419" s="80"/>
      <c r="AA419" s="80"/>
      <c r="AB419" s="80"/>
    </row>
    <row r="420" spans="1:28" ht="15.75">
      <c r="A420" s="80"/>
      <c r="B420" s="80"/>
      <c r="C420" s="80"/>
      <c r="D420" s="80"/>
      <c r="E420" s="80"/>
      <c r="F420" s="80"/>
      <c r="G420" s="80"/>
      <c r="H420" s="80"/>
      <c r="I420" s="80"/>
      <c r="J420" s="80"/>
      <c r="K420" s="80"/>
      <c r="L420" s="80"/>
      <c r="M420" s="80"/>
      <c r="N420" s="143"/>
      <c r="O420" s="143"/>
      <c r="P420" s="143"/>
      <c r="Q420" s="143"/>
      <c r="R420" s="143"/>
      <c r="S420" s="80"/>
      <c r="T420" s="80"/>
      <c r="U420" s="80"/>
      <c r="V420" s="80"/>
      <c r="W420" s="80"/>
      <c r="X420" s="80"/>
      <c r="Y420" s="80"/>
      <c r="Z420" s="80"/>
      <c r="AA420" s="80"/>
      <c r="AB420" s="80"/>
    </row>
    <row r="421" spans="1:28" ht="15.75">
      <c r="A421" s="80"/>
      <c r="B421" s="80"/>
      <c r="C421" s="80"/>
      <c r="D421" s="80"/>
      <c r="E421" s="80"/>
      <c r="F421" s="80"/>
      <c r="G421" s="80"/>
      <c r="H421" s="80"/>
      <c r="I421" s="80"/>
      <c r="J421" s="80"/>
      <c r="K421" s="80"/>
      <c r="L421" s="80"/>
      <c r="M421" s="80"/>
      <c r="N421" s="143"/>
      <c r="O421" s="143"/>
      <c r="P421" s="143"/>
      <c r="Q421" s="143"/>
      <c r="R421" s="143"/>
      <c r="S421" s="80"/>
      <c r="T421" s="80"/>
      <c r="U421" s="80"/>
      <c r="V421" s="80"/>
      <c r="W421" s="80"/>
      <c r="X421" s="80"/>
      <c r="Y421" s="80"/>
      <c r="Z421" s="80"/>
      <c r="AA421" s="80"/>
      <c r="AB421" s="80"/>
    </row>
    <row r="422" spans="1:28" ht="15.75">
      <c r="A422" s="80"/>
      <c r="B422" s="80"/>
      <c r="C422" s="80"/>
      <c r="D422" s="80"/>
      <c r="E422" s="80"/>
      <c r="F422" s="80"/>
      <c r="G422" s="80"/>
      <c r="H422" s="80"/>
      <c r="I422" s="80"/>
      <c r="J422" s="80"/>
      <c r="K422" s="80"/>
      <c r="L422" s="80"/>
      <c r="M422" s="80"/>
      <c r="N422" s="143"/>
      <c r="O422" s="143"/>
      <c r="P422" s="143"/>
      <c r="Q422" s="143"/>
      <c r="R422" s="143"/>
      <c r="S422" s="80"/>
      <c r="T422" s="80"/>
      <c r="U422" s="80"/>
      <c r="V422" s="80"/>
      <c r="W422" s="80"/>
      <c r="X422" s="80"/>
      <c r="Y422" s="80"/>
      <c r="Z422" s="80"/>
      <c r="AA422" s="80"/>
      <c r="AB422" s="80"/>
    </row>
    <row r="423" spans="1:28" ht="15.75">
      <c r="A423" s="80"/>
      <c r="B423" s="80"/>
      <c r="C423" s="80"/>
      <c r="D423" s="80"/>
      <c r="E423" s="80"/>
      <c r="F423" s="80"/>
      <c r="G423" s="80"/>
      <c r="H423" s="80"/>
      <c r="I423" s="80"/>
      <c r="J423" s="80"/>
      <c r="K423" s="80"/>
      <c r="L423" s="80"/>
      <c r="M423" s="80"/>
      <c r="N423" s="143"/>
      <c r="O423" s="143"/>
      <c r="P423" s="143"/>
      <c r="Q423" s="143"/>
      <c r="R423" s="143"/>
      <c r="S423" s="80"/>
      <c r="T423" s="80"/>
      <c r="U423" s="80"/>
      <c r="V423" s="80"/>
      <c r="W423" s="80"/>
      <c r="X423" s="80"/>
      <c r="Y423" s="80"/>
      <c r="Z423" s="80"/>
      <c r="AA423" s="80"/>
      <c r="AB423" s="80"/>
    </row>
    <row r="424" spans="1:28" ht="15.75">
      <c r="A424" s="80"/>
      <c r="B424" s="80"/>
      <c r="C424" s="80"/>
      <c r="D424" s="80"/>
      <c r="E424" s="80"/>
      <c r="F424" s="80"/>
      <c r="G424" s="80"/>
      <c r="H424" s="80"/>
      <c r="I424" s="80"/>
      <c r="J424" s="80"/>
      <c r="K424" s="80"/>
      <c r="L424" s="80"/>
      <c r="M424" s="80"/>
      <c r="N424" s="143"/>
      <c r="O424" s="143"/>
      <c r="P424" s="143"/>
      <c r="Q424" s="143"/>
      <c r="R424" s="143"/>
      <c r="S424" s="80"/>
      <c r="T424" s="80"/>
      <c r="U424" s="80"/>
      <c r="V424" s="80"/>
      <c r="W424" s="80"/>
      <c r="X424" s="80"/>
      <c r="Y424" s="80"/>
      <c r="Z424" s="80"/>
      <c r="AA424" s="80"/>
      <c r="AB424" s="80"/>
    </row>
    <row r="425" spans="1:28" ht="15.75">
      <c r="A425" s="80"/>
      <c r="B425" s="80"/>
      <c r="C425" s="80"/>
      <c r="D425" s="80"/>
      <c r="E425" s="80"/>
      <c r="F425" s="80"/>
      <c r="G425" s="80"/>
      <c r="H425" s="80"/>
      <c r="I425" s="80"/>
      <c r="J425" s="80"/>
      <c r="K425" s="80"/>
      <c r="L425" s="80"/>
      <c r="M425" s="80"/>
      <c r="N425" s="143"/>
      <c r="O425" s="143"/>
      <c r="P425" s="143"/>
      <c r="Q425" s="143"/>
      <c r="R425" s="143"/>
      <c r="S425" s="80"/>
      <c r="T425" s="80"/>
      <c r="U425" s="80"/>
      <c r="V425" s="80"/>
      <c r="W425" s="80"/>
      <c r="X425" s="80"/>
      <c r="Y425" s="80"/>
      <c r="Z425" s="80"/>
      <c r="AA425" s="80"/>
      <c r="AB425" s="80"/>
    </row>
    <row r="426" spans="1:28" ht="15.75">
      <c r="A426" s="80"/>
      <c r="B426" s="80"/>
      <c r="C426" s="80"/>
      <c r="D426" s="80"/>
      <c r="E426" s="80"/>
      <c r="F426" s="80"/>
      <c r="G426" s="80"/>
      <c r="H426" s="80"/>
      <c r="I426" s="80"/>
      <c r="J426" s="80"/>
      <c r="K426" s="80"/>
      <c r="L426" s="80"/>
      <c r="M426" s="80"/>
      <c r="N426" s="143"/>
      <c r="O426" s="143"/>
      <c r="P426" s="143"/>
      <c r="Q426" s="143"/>
      <c r="R426" s="143"/>
      <c r="S426" s="80"/>
      <c r="T426" s="80"/>
      <c r="U426" s="80"/>
      <c r="V426" s="80"/>
      <c r="W426" s="80"/>
      <c r="X426" s="80"/>
      <c r="Y426" s="80"/>
      <c r="Z426" s="80"/>
      <c r="AA426" s="80"/>
      <c r="AB426" s="80"/>
    </row>
    <row r="427" spans="1:28" ht="15.75">
      <c r="A427" s="80"/>
      <c r="B427" s="80"/>
      <c r="C427" s="80"/>
      <c r="D427" s="80"/>
      <c r="E427" s="80"/>
      <c r="F427" s="80"/>
      <c r="G427" s="80"/>
      <c r="H427" s="80"/>
      <c r="I427" s="80"/>
      <c r="J427" s="80"/>
      <c r="K427" s="80"/>
      <c r="L427" s="80"/>
      <c r="M427" s="80"/>
      <c r="N427" s="143"/>
      <c r="O427" s="143"/>
      <c r="P427" s="143"/>
      <c r="Q427" s="143"/>
      <c r="R427" s="143"/>
      <c r="S427" s="80"/>
      <c r="T427" s="80"/>
      <c r="U427" s="80"/>
      <c r="V427" s="80"/>
      <c r="W427" s="80"/>
      <c r="X427" s="80"/>
      <c r="Y427" s="80"/>
      <c r="Z427" s="80"/>
      <c r="AA427" s="80"/>
      <c r="AB427" s="80"/>
    </row>
    <row r="428" spans="1:28" ht="15.75">
      <c r="A428" s="80"/>
      <c r="B428" s="80"/>
      <c r="C428" s="80"/>
      <c r="D428" s="80"/>
      <c r="E428" s="80"/>
      <c r="F428" s="80"/>
      <c r="G428" s="80"/>
      <c r="H428" s="80"/>
      <c r="I428" s="80"/>
      <c r="J428" s="80"/>
      <c r="K428" s="80"/>
      <c r="L428" s="80"/>
      <c r="M428" s="80"/>
      <c r="N428" s="143"/>
      <c r="O428" s="143"/>
      <c r="P428" s="143"/>
      <c r="Q428" s="143"/>
      <c r="R428" s="143"/>
      <c r="S428" s="80"/>
      <c r="T428" s="80"/>
      <c r="U428" s="80"/>
      <c r="V428" s="80"/>
      <c r="W428" s="80"/>
      <c r="X428" s="80"/>
      <c r="Y428" s="80"/>
      <c r="Z428" s="80"/>
      <c r="AA428" s="80"/>
      <c r="AB428" s="80"/>
    </row>
    <row r="429" spans="1:28" ht="15.75">
      <c r="A429" s="80"/>
      <c r="B429" s="80"/>
      <c r="C429" s="80"/>
      <c r="D429" s="80"/>
      <c r="E429" s="80"/>
      <c r="F429" s="80"/>
      <c r="G429" s="80"/>
      <c r="H429" s="80"/>
      <c r="I429" s="80"/>
      <c r="J429" s="80"/>
      <c r="K429" s="80"/>
      <c r="L429" s="80"/>
      <c r="M429" s="80"/>
      <c r="N429" s="143"/>
      <c r="O429" s="143"/>
      <c r="P429" s="143"/>
      <c r="Q429" s="143"/>
      <c r="R429" s="143"/>
      <c r="S429" s="80"/>
      <c r="T429" s="80"/>
      <c r="U429" s="80"/>
      <c r="V429" s="80"/>
      <c r="W429" s="80"/>
      <c r="X429" s="80"/>
      <c r="Y429" s="80"/>
      <c r="Z429" s="80"/>
      <c r="AA429" s="80"/>
      <c r="AB429" s="80"/>
    </row>
    <row r="430" spans="1:28" ht="15.75">
      <c r="A430" s="80"/>
      <c r="B430" s="80"/>
      <c r="C430" s="80"/>
      <c r="D430" s="80"/>
      <c r="E430" s="80"/>
      <c r="F430" s="80"/>
      <c r="G430" s="80"/>
      <c r="H430" s="80"/>
      <c r="I430" s="80"/>
      <c r="J430" s="80"/>
      <c r="K430" s="80"/>
      <c r="L430" s="80"/>
      <c r="M430" s="80"/>
      <c r="N430" s="143"/>
      <c r="O430" s="143"/>
      <c r="P430" s="143"/>
      <c r="Q430" s="143"/>
      <c r="R430" s="143"/>
      <c r="S430" s="80"/>
      <c r="T430" s="80"/>
      <c r="U430" s="80"/>
      <c r="V430" s="80"/>
      <c r="W430" s="80"/>
      <c r="X430" s="80"/>
      <c r="Y430" s="80"/>
      <c r="Z430" s="80"/>
      <c r="AA430" s="80"/>
      <c r="AB430" s="80"/>
    </row>
    <row r="431" spans="1:28" ht="15.75">
      <c r="A431" s="80"/>
      <c r="B431" s="80"/>
      <c r="C431" s="80"/>
      <c r="D431" s="80"/>
      <c r="E431" s="80"/>
      <c r="F431" s="80"/>
      <c r="G431" s="80"/>
      <c r="H431" s="80"/>
      <c r="I431" s="80"/>
      <c r="J431" s="80"/>
      <c r="K431" s="80"/>
      <c r="L431" s="80"/>
      <c r="M431" s="80"/>
      <c r="N431" s="143"/>
      <c r="O431" s="143"/>
      <c r="P431" s="143"/>
      <c r="Q431" s="143"/>
      <c r="R431" s="143"/>
      <c r="S431" s="80"/>
      <c r="T431" s="80"/>
      <c r="U431" s="80"/>
      <c r="V431" s="80"/>
      <c r="W431" s="80"/>
      <c r="X431" s="80"/>
      <c r="Y431" s="80"/>
      <c r="Z431" s="80"/>
      <c r="AA431" s="80"/>
      <c r="AB431" s="80"/>
    </row>
    <row r="432" spans="1:28" ht="15.75">
      <c r="A432" s="80"/>
      <c r="B432" s="80"/>
      <c r="C432" s="80"/>
      <c r="D432" s="80"/>
      <c r="E432" s="80"/>
      <c r="F432" s="80"/>
      <c r="G432" s="80"/>
      <c r="H432" s="80"/>
      <c r="I432" s="80"/>
      <c r="J432" s="80"/>
      <c r="K432" s="80"/>
      <c r="L432" s="80"/>
      <c r="M432" s="80"/>
      <c r="N432" s="143"/>
      <c r="O432" s="143"/>
      <c r="P432" s="143"/>
      <c r="Q432" s="143"/>
      <c r="R432" s="143"/>
      <c r="S432" s="80"/>
      <c r="T432" s="80"/>
      <c r="U432" s="80"/>
      <c r="V432" s="80"/>
      <c r="W432" s="80"/>
      <c r="X432" s="80"/>
      <c r="Y432" s="80"/>
      <c r="Z432" s="80"/>
      <c r="AA432" s="80"/>
      <c r="AB432" s="80"/>
    </row>
    <row r="433" spans="1:28" ht="15.75">
      <c r="A433" s="80"/>
      <c r="B433" s="80"/>
      <c r="C433" s="80"/>
      <c r="D433" s="80"/>
      <c r="E433" s="80"/>
      <c r="F433" s="80"/>
      <c r="G433" s="80"/>
      <c r="H433" s="80"/>
      <c r="I433" s="80"/>
      <c r="J433" s="80"/>
      <c r="K433" s="80"/>
      <c r="L433" s="80"/>
      <c r="M433" s="80"/>
      <c r="N433" s="143"/>
      <c r="O433" s="143"/>
      <c r="P433" s="143"/>
      <c r="Q433" s="143"/>
      <c r="R433" s="143"/>
      <c r="S433" s="80"/>
      <c r="T433" s="80"/>
      <c r="U433" s="80"/>
      <c r="V433" s="80"/>
      <c r="W433" s="80"/>
      <c r="X433" s="80"/>
      <c r="Y433" s="80"/>
      <c r="Z433" s="80"/>
      <c r="AA433" s="80"/>
      <c r="AB433" s="80"/>
    </row>
    <row r="434" spans="1:28" ht="15.75">
      <c r="A434" s="80"/>
      <c r="B434" s="80"/>
      <c r="C434" s="80"/>
      <c r="D434" s="80"/>
      <c r="E434" s="80"/>
      <c r="F434" s="80"/>
      <c r="G434" s="80"/>
      <c r="H434" s="80"/>
      <c r="I434" s="80"/>
      <c r="J434" s="80"/>
      <c r="K434" s="80"/>
      <c r="L434" s="80"/>
      <c r="M434" s="80"/>
      <c r="N434" s="143"/>
      <c r="O434" s="143"/>
      <c r="P434" s="143"/>
      <c r="Q434" s="143"/>
      <c r="R434" s="143"/>
      <c r="S434" s="80"/>
      <c r="T434" s="80"/>
      <c r="U434" s="80"/>
      <c r="V434" s="80"/>
      <c r="W434" s="80"/>
      <c r="X434" s="80"/>
      <c r="Y434" s="80"/>
      <c r="Z434" s="80"/>
      <c r="AA434" s="80"/>
      <c r="AB434" s="80"/>
    </row>
    <row r="435" spans="1:28" ht="15.75">
      <c r="A435" s="80"/>
      <c r="B435" s="80"/>
      <c r="C435" s="80"/>
      <c r="D435" s="80"/>
      <c r="E435" s="80"/>
      <c r="F435" s="80"/>
      <c r="G435" s="80"/>
      <c r="H435" s="80"/>
      <c r="I435" s="80"/>
      <c r="J435" s="80"/>
      <c r="K435" s="80"/>
      <c r="L435" s="80"/>
      <c r="M435" s="80"/>
      <c r="N435" s="143"/>
      <c r="O435" s="143"/>
      <c r="P435" s="143"/>
      <c r="Q435" s="143"/>
      <c r="R435" s="143"/>
      <c r="S435" s="80"/>
      <c r="T435" s="80"/>
      <c r="U435" s="80"/>
      <c r="V435" s="80"/>
      <c r="W435" s="80"/>
      <c r="X435" s="80"/>
      <c r="Y435" s="80"/>
      <c r="Z435" s="80"/>
      <c r="AA435" s="80"/>
      <c r="AB435" s="80"/>
    </row>
    <row r="436" spans="1:28" ht="15.75">
      <c r="A436" s="80"/>
      <c r="B436" s="80"/>
      <c r="C436" s="80"/>
      <c r="D436" s="80"/>
      <c r="E436" s="80"/>
      <c r="F436" s="80"/>
      <c r="G436" s="80"/>
      <c r="H436" s="80"/>
      <c r="I436" s="80"/>
      <c r="J436" s="80"/>
      <c r="K436" s="80"/>
      <c r="L436" s="80"/>
      <c r="M436" s="80"/>
      <c r="N436" s="143"/>
      <c r="O436" s="143"/>
      <c r="P436" s="143"/>
      <c r="Q436" s="143"/>
      <c r="R436" s="143"/>
      <c r="S436" s="80"/>
      <c r="T436" s="80"/>
      <c r="U436" s="80"/>
      <c r="V436" s="80"/>
      <c r="W436" s="80"/>
      <c r="X436" s="80"/>
      <c r="Y436" s="80"/>
      <c r="Z436" s="80"/>
      <c r="AA436" s="80"/>
      <c r="AB436" s="80"/>
    </row>
    <row r="437" spans="1:28" ht="15.75">
      <c r="A437" s="80"/>
      <c r="B437" s="80"/>
      <c r="C437" s="80"/>
      <c r="D437" s="80"/>
      <c r="E437" s="80"/>
      <c r="F437" s="80"/>
      <c r="G437" s="80"/>
      <c r="H437" s="80"/>
      <c r="I437" s="80"/>
      <c r="J437" s="80"/>
      <c r="K437" s="80"/>
      <c r="L437" s="80"/>
      <c r="M437" s="80"/>
      <c r="N437" s="143"/>
      <c r="O437" s="143"/>
      <c r="P437" s="143"/>
      <c r="Q437" s="143"/>
      <c r="R437" s="143"/>
      <c r="S437" s="80"/>
      <c r="T437" s="80"/>
      <c r="U437" s="80"/>
      <c r="V437" s="80"/>
      <c r="W437" s="80"/>
      <c r="X437" s="80"/>
      <c r="Y437" s="80"/>
      <c r="Z437" s="80"/>
      <c r="AA437" s="80"/>
      <c r="AB437" s="80"/>
    </row>
    <row r="438" spans="1:28" ht="15.75">
      <c r="A438" s="80"/>
      <c r="B438" s="80"/>
      <c r="C438" s="80"/>
      <c r="D438" s="80"/>
      <c r="E438" s="80"/>
      <c r="F438" s="80"/>
      <c r="G438" s="80"/>
      <c r="H438" s="80"/>
      <c r="I438" s="80"/>
      <c r="J438" s="80"/>
      <c r="K438" s="80"/>
      <c r="L438" s="80"/>
      <c r="M438" s="80"/>
      <c r="N438" s="143"/>
      <c r="O438" s="143"/>
      <c r="P438" s="143"/>
      <c r="Q438" s="143"/>
      <c r="R438" s="143"/>
      <c r="S438" s="80"/>
      <c r="T438" s="80"/>
      <c r="U438" s="80"/>
      <c r="V438" s="80"/>
      <c r="W438" s="80"/>
      <c r="X438" s="80"/>
      <c r="Y438" s="80"/>
      <c r="Z438" s="80"/>
      <c r="AA438" s="80"/>
      <c r="AB438" s="80"/>
    </row>
    <row r="439" spans="1:28" ht="15.75">
      <c r="A439" s="80"/>
      <c r="B439" s="80"/>
      <c r="C439" s="80"/>
      <c r="D439" s="80"/>
      <c r="E439" s="80"/>
      <c r="F439" s="80"/>
      <c r="G439" s="80"/>
      <c r="H439" s="80"/>
      <c r="I439" s="80"/>
      <c r="J439" s="80"/>
      <c r="K439" s="80"/>
      <c r="L439" s="80"/>
      <c r="M439" s="80"/>
      <c r="N439" s="143"/>
      <c r="O439" s="143"/>
      <c r="P439" s="143"/>
      <c r="Q439" s="143"/>
      <c r="R439" s="143"/>
      <c r="S439" s="80"/>
      <c r="T439" s="80"/>
      <c r="U439" s="80"/>
      <c r="V439" s="80"/>
      <c r="W439" s="80"/>
      <c r="X439" s="80"/>
      <c r="Y439" s="80"/>
      <c r="Z439" s="80"/>
      <c r="AA439" s="80"/>
      <c r="AB439" s="80"/>
    </row>
    <row r="440" spans="1:28" ht="15.75">
      <c r="A440" s="80"/>
      <c r="B440" s="80"/>
      <c r="C440" s="80"/>
      <c r="D440" s="80"/>
      <c r="E440" s="80"/>
      <c r="F440" s="80"/>
      <c r="G440" s="80"/>
      <c r="H440" s="80"/>
      <c r="I440" s="80"/>
      <c r="J440" s="80"/>
      <c r="K440" s="80"/>
      <c r="L440" s="80"/>
      <c r="M440" s="80"/>
      <c r="N440" s="143"/>
      <c r="O440" s="143"/>
      <c r="P440" s="143"/>
      <c r="Q440" s="143"/>
      <c r="R440" s="143"/>
      <c r="S440" s="80"/>
      <c r="T440" s="80"/>
      <c r="U440" s="80"/>
      <c r="V440" s="80"/>
      <c r="W440" s="80"/>
      <c r="X440" s="80"/>
      <c r="Y440" s="80"/>
      <c r="Z440" s="80"/>
      <c r="AA440" s="80"/>
      <c r="AB440" s="80"/>
    </row>
    <row r="441" spans="1:28" ht="15.75">
      <c r="A441" s="80"/>
      <c r="B441" s="80"/>
      <c r="C441" s="80"/>
      <c r="D441" s="80"/>
      <c r="E441" s="80"/>
      <c r="F441" s="80"/>
      <c r="G441" s="80"/>
      <c r="H441" s="80"/>
      <c r="I441" s="80"/>
      <c r="J441" s="80"/>
      <c r="K441" s="80"/>
      <c r="L441" s="80"/>
      <c r="M441" s="80"/>
      <c r="N441" s="143"/>
      <c r="O441" s="143"/>
      <c r="P441" s="143"/>
      <c r="Q441" s="143"/>
      <c r="R441" s="143"/>
      <c r="S441" s="80"/>
      <c r="T441" s="80"/>
      <c r="U441" s="80"/>
      <c r="V441" s="80"/>
      <c r="W441" s="80"/>
      <c r="X441" s="80"/>
      <c r="Y441" s="80"/>
      <c r="Z441" s="80"/>
      <c r="AA441" s="80"/>
      <c r="AB441" s="80"/>
    </row>
    <row r="442" spans="1:28" ht="15.75">
      <c r="A442" s="80"/>
      <c r="B442" s="80"/>
      <c r="C442" s="80"/>
      <c r="D442" s="80"/>
      <c r="E442" s="80"/>
      <c r="F442" s="80"/>
      <c r="G442" s="80"/>
      <c r="H442" s="80"/>
      <c r="I442" s="80"/>
      <c r="J442" s="80"/>
      <c r="K442" s="80"/>
      <c r="L442" s="80"/>
      <c r="M442" s="80"/>
      <c r="N442" s="143"/>
      <c r="O442" s="143"/>
      <c r="P442" s="143"/>
      <c r="Q442" s="143"/>
      <c r="R442" s="143"/>
      <c r="S442" s="80"/>
      <c r="T442" s="80"/>
      <c r="U442" s="80"/>
      <c r="V442" s="80"/>
      <c r="W442" s="80"/>
      <c r="X442" s="80"/>
      <c r="Y442" s="80"/>
      <c r="Z442" s="80"/>
      <c r="AA442" s="80"/>
      <c r="AB442" s="80"/>
    </row>
    <row r="443" spans="1:28" ht="15.75">
      <c r="A443" s="80"/>
      <c r="B443" s="80"/>
      <c r="C443" s="80"/>
      <c r="D443" s="80"/>
      <c r="E443" s="80"/>
      <c r="F443" s="80"/>
      <c r="G443" s="80"/>
      <c r="H443" s="80"/>
      <c r="I443" s="80"/>
      <c r="J443" s="80"/>
      <c r="K443" s="80"/>
      <c r="L443" s="80"/>
      <c r="M443" s="80"/>
      <c r="N443" s="143"/>
      <c r="O443" s="143"/>
      <c r="P443" s="143"/>
      <c r="Q443" s="143"/>
      <c r="R443" s="143"/>
      <c r="S443" s="80"/>
      <c r="T443" s="80"/>
      <c r="U443" s="80"/>
      <c r="V443" s="80"/>
      <c r="W443" s="80"/>
      <c r="X443" s="80"/>
      <c r="Y443" s="80"/>
      <c r="Z443" s="80"/>
      <c r="AA443" s="80"/>
      <c r="AB443" s="80"/>
    </row>
    <row r="444" spans="1:28" ht="15.75">
      <c r="A444" s="80"/>
      <c r="B444" s="80"/>
      <c r="C444" s="80"/>
      <c r="D444" s="80"/>
      <c r="E444" s="80"/>
      <c r="F444" s="80"/>
      <c r="G444" s="80"/>
      <c r="H444" s="80"/>
      <c r="I444" s="80"/>
      <c r="J444" s="80"/>
      <c r="K444" s="80"/>
      <c r="L444" s="80"/>
      <c r="M444" s="80"/>
      <c r="N444" s="143"/>
      <c r="O444" s="143"/>
      <c r="P444" s="143"/>
      <c r="Q444" s="143"/>
      <c r="R444" s="143"/>
      <c r="S444" s="80"/>
      <c r="T444" s="80"/>
      <c r="U444" s="80"/>
      <c r="V444" s="80"/>
      <c r="W444" s="80"/>
      <c r="X444" s="80"/>
      <c r="Y444" s="80"/>
      <c r="Z444" s="80"/>
      <c r="AA444" s="80"/>
      <c r="AB444" s="80"/>
    </row>
    <row r="445" spans="1:28" ht="15.75">
      <c r="A445" s="80"/>
      <c r="B445" s="80"/>
      <c r="C445" s="80"/>
      <c r="D445" s="80"/>
      <c r="E445" s="80"/>
      <c r="F445" s="80"/>
      <c r="G445" s="80"/>
      <c r="H445" s="80"/>
      <c r="I445" s="80"/>
      <c r="J445" s="80"/>
      <c r="K445" s="80"/>
      <c r="L445" s="80"/>
      <c r="M445" s="80"/>
      <c r="N445" s="143"/>
      <c r="O445" s="143"/>
      <c r="P445" s="143"/>
      <c r="Q445" s="143"/>
      <c r="R445" s="143"/>
      <c r="S445" s="80"/>
      <c r="T445" s="80"/>
      <c r="U445" s="80"/>
      <c r="V445" s="80"/>
      <c r="W445" s="80"/>
      <c r="X445" s="80"/>
      <c r="Y445" s="80"/>
      <c r="Z445" s="80"/>
      <c r="AA445" s="80"/>
      <c r="AB445" s="80"/>
    </row>
    <row r="446" spans="1:28" ht="15.75">
      <c r="A446" s="80"/>
      <c r="B446" s="80"/>
      <c r="C446" s="80"/>
      <c r="D446" s="80"/>
      <c r="E446" s="80"/>
      <c r="F446" s="80"/>
      <c r="G446" s="80"/>
      <c r="H446" s="80"/>
      <c r="I446" s="80"/>
      <c r="J446" s="80"/>
      <c r="K446" s="80"/>
      <c r="L446" s="80"/>
      <c r="M446" s="80"/>
      <c r="N446" s="143"/>
      <c r="O446" s="143"/>
      <c r="P446" s="143"/>
      <c r="Q446" s="143"/>
      <c r="R446" s="143"/>
      <c r="S446" s="80"/>
      <c r="T446" s="80"/>
      <c r="U446" s="80"/>
      <c r="V446" s="80"/>
      <c r="W446" s="80"/>
      <c r="X446" s="80"/>
      <c r="Y446" s="80"/>
      <c r="Z446" s="80"/>
      <c r="AA446" s="80"/>
      <c r="AB446" s="80"/>
    </row>
    <row r="447" spans="1:28" ht="15.75">
      <c r="A447" s="80"/>
      <c r="B447" s="80"/>
      <c r="C447" s="80"/>
      <c r="D447" s="80"/>
      <c r="E447" s="80"/>
      <c r="F447" s="80"/>
      <c r="G447" s="80"/>
      <c r="H447" s="80"/>
      <c r="I447" s="80"/>
      <c r="J447" s="80"/>
      <c r="K447" s="80"/>
      <c r="L447" s="80"/>
      <c r="M447" s="80"/>
      <c r="N447" s="143"/>
      <c r="O447" s="143"/>
      <c r="P447" s="143"/>
      <c r="Q447" s="143"/>
      <c r="R447" s="143"/>
      <c r="S447" s="80"/>
      <c r="T447" s="80"/>
      <c r="U447" s="80"/>
      <c r="V447" s="80"/>
      <c r="W447" s="80"/>
      <c r="X447" s="80"/>
      <c r="Y447" s="80"/>
      <c r="Z447" s="80"/>
      <c r="AA447" s="80"/>
      <c r="AB447" s="80"/>
    </row>
    <row r="448" spans="1:28" ht="15.75">
      <c r="A448" s="80"/>
      <c r="B448" s="80"/>
      <c r="C448" s="80"/>
      <c r="D448" s="80"/>
      <c r="E448" s="80"/>
      <c r="F448" s="80"/>
      <c r="G448" s="80"/>
      <c r="H448" s="80"/>
      <c r="I448" s="80"/>
      <c r="J448" s="80"/>
      <c r="K448" s="80"/>
      <c r="L448" s="80"/>
      <c r="M448" s="80"/>
      <c r="N448" s="143"/>
      <c r="O448" s="143"/>
      <c r="P448" s="143"/>
      <c r="Q448" s="143"/>
      <c r="R448" s="143"/>
      <c r="S448" s="80"/>
      <c r="T448" s="80"/>
      <c r="U448" s="80"/>
      <c r="V448" s="80"/>
      <c r="W448" s="80"/>
      <c r="X448" s="80"/>
      <c r="Y448" s="80"/>
      <c r="Z448" s="80"/>
      <c r="AA448" s="80"/>
      <c r="AB448" s="80"/>
    </row>
    <row r="449" spans="1:28" ht="15.75">
      <c r="A449" s="80"/>
      <c r="B449" s="80"/>
      <c r="C449" s="80"/>
      <c r="D449" s="80"/>
      <c r="E449" s="80"/>
      <c r="F449" s="80"/>
      <c r="G449" s="80"/>
      <c r="H449" s="80"/>
      <c r="I449" s="80"/>
      <c r="J449" s="80"/>
      <c r="K449" s="80"/>
      <c r="L449" s="80"/>
      <c r="M449" s="80"/>
      <c r="N449" s="143"/>
      <c r="O449" s="143"/>
      <c r="P449" s="143"/>
      <c r="Q449" s="143"/>
      <c r="R449" s="143"/>
      <c r="S449" s="80"/>
      <c r="T449" s="80"/>
      <c r="U449" s="80"/>
      <c r="V449" s="80"/>
      <c r="W449" s="80"/>
      <c r="X449" s="80"/>
      <c r="Y449" s="80"/>
      <c r="Z449" s="80"/>
      <c r="AA449" s="80"/>
      <c r="AB449" s="80"/>
    </row>
    <row r="450" spans="1:28" ht="15.75">
      <c r="A450" s="80"/>
      <c r="B450" s="80"/>
      <c r="C450" s="80"/>
      <c r="D450" s="80"/>
      <c r="E450" s="80"/>
      <c r="F450" s="80"/>
      <c r="G450" s="80"/>
      <c r="H450" s="80"/>
      <c r="I450" s="80"/>
      <c r="J450" s="80"/>
      <c r="K450" s="80"/>
      <c r="L450" s="80"/>
      <c r="M450" s="80"/>
      <c r="N450" s="143"/>
      <c r="O450" s="143"/>
      <c r="P450" s="143"/>
      <c r="Q450" s="143"/>
      <c r="R450" s="143"/>
      <c r="S450" s="80"/>
      <c r="T450" s="80"/>
      <c r="U450" s="80"/>
      <c r="V450" s="80"/>
      <c r="W450" s="80"/>
      <c r="X450" s="80"/>
      <c r="Y450" s="80"/>
      <c r="Z450" s="80"/>
      <c r="AA450" s="80"/>
      <c r="AB450" s="80"/>
    </row>
    <row r="451" spans="1:28" ht="15.75">
      <c r="A451" s="80"/>
      <c r="B451" s="80"/>
      <c r="C451" s="80"/>
      <c r="D451" s="80"/>
      <c r="E451" s="80"/>
      <c r="F451" s="80"/>
      <c r="G451" s="80"/>
      <c r="H451" s="80"/>
      <c r="I451" s="80"/>
      <c r="J451" s="80"/>
      <c r="K451" s="80"/>
      <c r="L451" s="80"/>
      <c r="M451" s="80"/>
      <c r="N451" s="143"/>
      <c r="O451" s="143"/>
      <c r="P451" s="143"/>
      <c r="Q451" s="143"/>
      <c r="R451" s="143"/>
      <c r="S451" s="80"/>
      <c r="T451" s="80"/>
      <c r="U451" s="80"/>
      <c r="V451" s="80"/>
      <c r="W451" s="80"/>
      <c r="X451" s="80"/>
      <c r="Y451" s="80"/>
      <c r="Z451" s="80"/>
      <c r="AA451" s="80"/>
      <c r="AB451" s="80"/>
    </row>
    <row r="452" spans="1:28" ht="15.75">
      <c r="A452" s="80"/>
      <c r="B452" s="80"/>
      <c r="C452" s="80"/>
      <c r="D452" s="80"/>
      <c r="E452" s="80"/>
      <c r="F452" s="80"/>
      <c r="G452" s="80"/>
      <c r="H452" s="80"/>
      <c r="I452" s="80"/>
      <c r="J452" s="80"/>
      <c r="K452" s="80"/>
      <c r="L452" s="80"/>
      <c r="M452" s="80"/>
      <c r="N452" s="143"/>
      <c r="O452" s="143"/>
      <c r="P452" s="143"/>
      <c r="Q452" s="143"/>
      <c r="R452" s="143"/>
      <c r="S452" s="80"/>
      <c r="T452" s="80"/>
      <c r="U452" s="80"/>
      <c r="V452" s="80"/>
      <c r="W452" s="80"/>
      <c r="X452" s="80"/>
      <c r="Y452" s="80"/>
      <c r="Z452" s="80"/>
      <c r="AA452" s="80"/>
      <c r="AB452" s="80"/>
    </row>
    <row r="453" spans="1:28" ht="15.75">
      <c r="A453" s="80"/>
      <c r="B453" s="80"/>
      <c r="C453" s="80"/>
      <c r="D453" s="80"/>
      <c r="E453" s="80"/>
      <c r="F453" s="80"/>
      <c r="G453" s="80"/>
      <c r="H453" s="80"/>
      <c r="I453" s="80"/>
      <c r="J453" s="80"/>
      <c r="K453" s="80"/>
      <c r="L453" s="80"/>
      <c r="M453" s="80"/>
      <c r="N453" s="143"/>
      <c r="O453" s="143"/>
      <c r="P453" s="143"/>
      <c r="Q453" s="143"/>
      <c r="R453" s="143"/>
      <c r="S453" s="80"/>
      <c r="T453" s="80"/>
      <c r="U453" s="80"/>
      <c r="V453" s="80"/>
      <c r="W453" s="80"/>
      <c r="X453" s="80"/>
      <c r="Y453" s="80"/>
      <c r="Z453" s="80"/>
      <c r="AA453" s="80"/>
      <c r="AB453" s="80"/>
    </row>
    <row r="454" spans="1:28" ht="15.75">
      <c r="A454" s="80"/>
      <c r="B454" s="80"/>
      <c r="C454" s="80"/>
      <c r="D454" s="80"/>
      <c r="E454" s="80"/>
      <c r="F454" s="80"/>
      <c r="G454" s="80"/>
      <c r="H454" s="80"/>
      <c r="I454" s="80"/>
      <c r="J454" s="80"/>
      <c r="K454" s="80"/>
      <c r="L454" s="80"/>
      <c r="M454" s="80"/>
      <c r="N454" s="143"/>
      <c r="O454" s="143"/>
      <c r="P454" s="143"/>
      <c r="Q454" s="143"/>
      <c r="R454" s="143"/>
      <c r="S454" s="80"/>
      <c r="T454" s="80"/>
      <c r="U454" s="80"/>
      <c r="V454" s="80"/>
      <c r="W454" s="80"/>
      <c r="X454" s="80"/>
      <c r="Y454" s="80"/>
      <c r="Z454" s="80"/>
      <c r="AA454" s="80"/>
      <c r="AB454" s="80"/>
    </row>
    <row r="455" spans="1:28" ht="15.75">
      <c r="A455" s="80"/>
      <c r="B455" s="80"/>
      <c r="C455" s="80"/>
      <c r="D455" s="80"/>
      <c r="E455" s="80"/>
      <c r="F455" s="80"/>
      <c r="G455" s="80"/>
      <c r="H455" s="80"/>
      <c r="I455" s="80"/>
      <c r="J455" s="80"/>
      <c r="K455" s="80"/>
      <c r="L455" s="80"/>
      <c r="M455" s="80"/>
      <c r="N455" s="143"/>
      <c r="O455" s="143"/>
      <c r="P455" s="143"/>
      <c r="Q455" s="143"/>
      <c r="R455" s="143"/>
      <c r="S455" s="80"/>
      <c r="T455" s="80"/>
      <c r="U455" s="80"/>
      <c r="V455" s="80"/>
      <c r="W455" s="80"/>
      <c r="X455" s="80"/>
      <c r="Y455" s="80"/>
      <c r="Z455" s="80"/>
      <c r="AA455" s="80"/>
      <c r="AB455" s="80"/>
    </row>
    <row r="456" spans="1:28" ht="15.75">
      <c r="A456" s="80"/>
      <c r="B456" s="80"/>
      <c r="C456" s="80"/>
      <c r="D456" s="80"/>
      <c r="E456" s="80"/>
      <c r="F456" s="80"/>
      <c r="G456" s="80"/>
      <c r="H456" s="80"/>
      <c r="I456" s="80"/>
      <c r="J456" s="80"/>
      <c r="K456" s="80"/>
      <c r="L456" s="80"/>
      <c r="M456" s="80"/>
      <c r="N456" s="143"/>
      <c r="O456" s="143"/>
      <c r="P456" s="143"/>
      <c r="Q456" s="143"/>
      <c r="R456" s="143"/>
      <c r="S456" s="80"/>
      <c r="T456" s="80"/>
      <c r="U456" s="80"/>
      <c r="V456" s="80"/>
      <c r="W456" s="80"/>
      <c r="X456" s="80"/>
      <c r="Y456" s="80"/>
      <c r="Z456" s="80"/>
      <c r="AA456" s="80"/>
      <c r="AB456" s="80"/>
    </row>
    <row r="457" spans="1:28" ht="15.75">
      <c r="A457" s="80"/>
      <c r="B457" s="80"/>
      <c r="C457" s="80"/>
      <c r="D457" s="80"/>
      <c r="E457" s="80"/>
      <c r="F457" s="80"/>
      <c r="G457" s="80"/>
      <c r="H457" s="80"/>
      <c r="I457" s="80"/>
      <c r="J457" s="80"/>
      <c r="K457" s="80"/>
      <c r="L457" s="80"/>
      <c r="M457" s="80"/>
      <c r="N457" s="143"/>
      <c r="O457" s="143"/>
      <c r="P457" s="143"/>
      <c r="Q457" s="143"/>
      <c r="R457" s="143"/>
      <c r="S457" s="80"/>
      <c r="T457" s="80"/>
      <c r="U457" s="80"/>
      <c r="V457" s="80"/>
      <c r="W457" s="80"/>
      <c r="X457" s="80"/>
      <c r="Y457" s="80"/>
      <c r="Z457" s="80"/>
      <c r="AA457" s="80"/>
      <c r="AB457" s="80"/>
    </row>
    <row r="458" spans="1:28" ht="15.75">
      <c r="A458" s="80"/>
      <c r="B458" s="80"/>
      <c r="C458" s="80"/>
      <c r="D458" s="80"/>
      <c r="E458" s="80"/>
      <c r="F458" s="80"/>
      <c r="G458" s="80"/>
      <c r="H458" s="80"/>
      <c r="I458" s="80"/>
      <c r="J458" s="80"/>
      <c r="K458" s="80"/>
      <c r="L458" s="80"/>
      <c r="M458" s="80"/>
      <c r="N458" s="143"/>
      <c r="O458" s="143"/>
      <c r="P458" s="143"/>
      <c r="Q458" s="143"/>
      <c r="R458" s="143"/>
      <c r="S458" s="80"/>
      <c r="T458" s="80"/>
      <c r="U458" s="80"/>
      <c r="V458" s="80"/>
      <c r="W458" s="80"/>
      <c r="X458" s="80"/>
      <c r="Y458" s="80"/>
      <c r="Z458" s="80"/>
      <c r="AA458" s="80"/>
      <c r="AB458" s="80"/>
    </row>
    <row r="459" spans="1:28" ht="15.75">
      <c r="A459" s="80"/>
      <c r="B459" s="80"/>
      <c r="C459" s="80"/>
      <c r="D459" s="80"/>
      <c r="E459" s="80"/>
      <c r="F459" s="80"/>
      <c r="G459" s="80"/>
      <c r="H459" s="80"/>
      <c r="I459" s="80"/>
      <c r="J459" s="80"/>
      <c r="K459" s="80"/>
      <c r="L459" s="80"/>
      <c r="M459" s="80"/>
      <c r="N459" s="143"/>
      <c r="O459" s="143"/>
      <c r="P459" s="143"/>
      <c r="Q459" s="143"/>
      <c r="R459" s="143"/>
      <c r="S459" s="80"/>
      <c r="T459" s="80"/>
      <c r="U459" s="80"/>
      <c r="V459" s="80"/>
      <c r="W459" s="80"/>
      <c r="X459" s="80"/>
      <c r="Y459" s="80"/>
      <c r="Z459" s="80"/>
      <c r="AA459" s="80"/>
      <c r="AB459" s="80"/>
    </row>
    <row r="460" spans="1:28" ht="15.75">
      <c r="A460" s="80"/>
      <c r="B460" s="80"/>
      <c r="C460" s="80"/>
      <c r="D460" s="80"/>
      <c r="E460" s="80"/>
      <c r="F460" s="80"/>
      <c r="G460" s="80"/>
      <c r="H460" s="80"/>
      <c r="I460" s="80"/>
      <c r="J460" s="80"/>
      <c r="K460" s="80"/>
      <c r="L460" s="80"/>
      <c r="M460" s="80"/>
      <c r="N460" s="143"/>
      <c r="O460" s="143"/>
      <c r="P460" s="143"/>
      <c r="Q460" s="143"/>
      <c r="R460" s="143"/>
      <c r="S460" s="80"/>
      <c r="T460" s="80"/>
      <c r="U460" s="80"/>
      <c r="V460" s="80"/>
      <c r="W460" s="80"/>
      <c r="X460" s="80"/>
      <c r="Y460" s="80"/>
      <c r="Z460" s="80"/>
      <c r="AA460" s="80"/>
      <c r="AB460" s="80"/>
    </row>
    <row r="461" spans="1:28" ht="15.75">
      <c r="A461" s="80"/>
      <c r="B461" s="80"/>
      <c r="C461" s="80"/>
      <c r="D461" s="80"/>
      <c r="E461" s="80"/>
      <c r="F461" s="80"/>
      <c r="G461" s="80"/>
      <c r="H461" s="80"/>
      <c r="I461" s="80"/>
      <c r="J461" s="80"/>
      <c r="K461" s="80"/>
      <c r="L461" s="80"/>
      <c r="M461" s="80"/>
      <c r="N461" s="143"/>
      <c r="O461" s="143"/>
      <c r="P461" s="143"/>
      <c r="Q461" s="143"/>
      <c r="R461" s="143"/>
      <c r="S461" s="80"/>
      <c r="T461" s="80"/>
      <c r="U461" s="80"/>
      <c r="V461" s="80"/>
      <c r="W461" s="80"/>
      <c r="X461" s="80"/>
      <c r="Y461" s="80"/>
      <c r="Z461" s="80"/>
      <c r="AA461" s="80"/>
      <c r="AB461" s="80"/>
    </row>
    <row r="462" spans="1:28" ht="15.75">
      <c r="A462" s="80"/>
      <c r="B462" s="80"/>
      <c r="C462" s="80"/>
      <c r="D462" s="80"/>
      <c r="E462" s="80"/>
      <c r="F462" s="80"/>
      <c r="G462" s="80"/>
      <c r="H462" s="80"/>
      <c r="I462" s="80"/>
      <c r="J462" s="80"/>
      <c r="K462" s="80"/>
      <c r="L462" s="80"/>
      <c r="M462" s="80"/>
      <c r="N462" s="143"/>
      <c r="O462" s="143"/>
      <c r="P462" s="143"/>
      <c r="Q462" s="143"/>
      <c r="R462" s="143"/>
      <c r="S462" s="80"/>
      <c r="T462" s="80"/>
      <c r="U462" s="80"/>
      <c r="V462" s="80"/>
      <c r="W462" s="80"/>
      <c r="X462" s="80"/>
      <c r="Y462" s="80"/>
      <c r="Z462" s="80"/>
      <c r="AA462" s="80"/>
      <c r="AB462" s="80"/>
    </row>
    <row r="463" spans="1:28" ht="15.75">
      <c r="A463" s="80"/>
      <c r="B463" s="80"/>
      <c r="C463" s="80"/>
      <c r="D463" s="80"/>
      <c r="E463" s="80"/>
      <c r="F463" s="80"/>
      <c r="G463" s="80"/>
      <c r="H463" s="80"/>
      <c r="I463" s="80"/>
      <c r="J463" s="80"/>
      <c r="K463" s="80"/>
      <c r="L463" s="80"/>
      <c r="M463" s="80"/>
      <c r="N463" s="143"/>
      <c r="O463" s="143"/>
      <c r="P463" s="143"/>
      <c r="Q463" s="143"/>
      <c r="R463" s="143"/>
      <c r="S463" s="80"/>
      <c r="T463" s="80"/>
      <c r="U463" s="80"/>
      <c r="V463" s="80"/>
      <c r="W463" s="80"/>
      <c r="X463" s="80"/>
      <c r="Y463" s="80"/>
      <c r="Z463" s="80"/>
      <c r="AA463" s="80"/>
      <c r="AB463" s="80"/>
    </row>
    <row r="464" spans="1:28" ht="15.75">
      <c r="A464" s="80"/>
      <c r="B464" s="80"/>
      <c r="C464" s="80"/>
      <c r="D464" s="80"/>
      <c r="E464" s="80"/>
      <c r="F464" s="80"/>
      <c r="G464" s="80"/>
      <c r="H464" s="80"/>
      <c r="I464" s="80"/>
      <c r="J464" s="80"/>
      <c r="K464" s="80"/>
      <c r="L464" s="80"/>
      <c r="M464" s="80"/>
      <c r="N464" s="143"/>
      <c r="O464" s="143"/>
      <c r="P464" s="143"/>
      <c r="Q464" s="143"/>
      <c r="R464" s="143"/>
      <c r="S464" s="80"/>
      <c r="T464" s="80"/>
      <c r="U464" s="80"/>
      <c r="V464" s="80"/>
      <c r="W464" s="80"/>
      <c r="X464" s="80"/>
      <c r="Y464" s="80"/>
      <c r="Z464" s="80"/>
      <c r="AA464" s="80"/>
      <c r="AB464" s="80"/>
    </row>
    <row r="465" spans="1:28" ht="15.75">
      <c r="A465" s="80"/>
      <c r="B465" s="80"/>
      <c r="C465" s="80"/>
      <c r="D465" s="80"/>
      <c r="E465" s="80"/>
      <c r="F465" s="80"/>
      <c r="G465" s="80"/>
      <c r="H465" s="80"/>
      <c r="I465" s="80"/>
      <c r="J465" s="80"/>
      <c r="K465" s="80"/>
      <c r="L465" s="80"/>
      <c r="M465" s="80"/>
      <c r="N465" s="143"/>
      <c r="O465" s="143"/>
      <c r="P465" s="143"/>
      <c r="Q465" s="143"/>
      <c r="R465" s="143"/>
      <c r="S465" s="80"/>
      <c r="T465" s="80"/>
      <c r="U465" s="80"/>
      <c r="V465" s="80"/>
      <c r="W465" s="80"/>
      <c r="X465" s="80"/>
      <c r="Y465" s="80"/>
      <c r="Z465" s="80"/>
      <c r="AA465" s="80"/>
      <c r="AB465" s="80"/>
    </row>
    <row r="466" spans="1:28" ht="15.75">
      <c r="A466" s="80"/>
      <c r="B466" s="80"/>
      <c r="C466" s="80"/>
      <c r="D466" s="80"/>
      <c r="E466" s="80"/>
      <c r="F466" s="80"/>
      <c r="G466" s="80"/>
      <c r="H466" s="80"/>
      <c r="I466" s="80"/>
      <c r="J466" s="80"/>
      <c r="K466" s="80"/>
      <c r="L466" s="80"/>
      <c r="M466" s="80"/>
      <c r="N466" s="143"/>
      <c r="O466" s="143"/>
      <c r="P466" s="143"/>
      <c r="Q466" s="143"/>
      <c r="R466" s="143"/>
      <c r="S466" s="80"/>
      <c r="T466" s="80"/>
      <c r="U466" s="80"/>
      <c r="V466" s="80"/>
      <c r="W466" s="80"/>
      <c r="X466" s="80"/>
      <c r="Y466" s="80"/>
      <c r="Z466" s="80"/>
      <c r="AA466" s="80"/>
      <c r="AB466" s="80"/>
    </row>
    <row r="467" spans="1:28" ht="15.75">
      <c r="A467" s="80"/>
      <c r="B467" s="80"/>
      <c r="C467" s="80"/>
      <c r="D467" s="80"/>
      <c r="E467" s="80"/>
      <c r="F467" s="80"/>
      <c r="G467" s="80"/>
      <c r="H467" s="80"/>
      <c r="I467" s="80"/>
      <c r="J467" s="80"/>
      <c r="K467" s="80"/>
      <c r="L467" s="80"/>
      <c r="M467" s="80"/>
      <c r="N467" s="143"/>
      <c r="O467" s="143"/>
      <c r="P467" s="143"/>
      <c r="Q467" s="143"/>
      <c r="R467" s="143"/>
      <c r="S467" s="80"/>
      <c r="T467" s="80"/>
      <c r="U467" s="80"/>
      <c r="V467" s="80"/>
      <c r="W467" s="80"/>
      <c r="X467" s="80"/>
      <c r="Y467" s="80"/>
      <c r="Z467" s="80"/>
      <c r="AA467" s="80"/>
      <c r="AB467" s="80"/>
    </row>
    <row r="468" spans="1:28" ht="15.75">
      <c r="A468" s="80"/>
      <c r="B468" s="80"/>
      <c r="C468" s="80"/>
      <c r="D468" s="80"/>
      <c r="E468" s="80"/>
      <c r="F468" s="80"/>
      <c r="G468" s="80"/>
      <c r="H468" s="80"/>
      <c r="I468" s="80"/>
      <c r="J468" s="80"/>
      <c r="K468" s="80"/>
      <c r="L468" s="80"/>
      <c r="M468" s="80"/>
      <c r="N468" s="143"/>
      <c r="O468" s="143"/>
      <c r="P468" s="143"/>
      <c r="Q468" s="143"/>
      <c r="R468" s="143"/>
      <c r="S468" s="80"/>
      <c r="T468" s="80"/>
      <c r="U468" s="80"/>
      <c r="V468" s="80"/>
      <c r="W468" s="80"/>
      <c r="X468" s="80"/>
      <c r="Y468" s="80"/>
      <c r="Z468" s="80"/>
      <c r="AA468" s="80"/>
      <c r="AB468" s="80"/>
    </row>
    <row r="469" spans="1:28" ht="15.75">
      <c r="A469" s="80"/>
      <c r="B469" s="80"/>
      <c r="C469" s="80"/>
      <c r="D469" s="80"/>
      <c r="E469" s="80"/>
      <c r="F469" s="80"/>
      <c r="G469" s="80"/>
      <c r="H469" s="80"/>
      <c r="I469" s="80"/>
      <c r="J469" s="80"/>
      <c r="K469" s="80"/>
      <c r="L469" s="80"/>
      <c r="M469" s="80"/>
      <c r="N469" s="143"/>
      <c r="O469" s="143"/>
      <c r="P469" s="143"/>
      <c r="Q469" s="143"/>
      <c r="R469" s="143"/>
      <c r="S469" s="80"/>
      <c r="T469" s="80"/>
      <c r="U469" s="80"/>
      <c r="V469" s="80"/>
      <c r="W469" s="80"/>
      <c r="X469" s="80"/>
      <c r="Y469" s="80"/>
      <c r="Z469" s="80"/>
      <c r="AA469" s="80"/>
      <c r="AB469" s="80"/>
    </row>
    <row r="470" spans="1:28" ht="15.75">
      <c r="A470" s="80"/>
      <c r="B470" s="80"/>
      <c r="C470" s="80"/>
      <c r="D470" s="80"/>
      <c r="E470" s="80"/>
      <c r="F470" s="80"/>
      <c r="G470" s="80"/>
      <c r="H470" s="80"/>
      <c r="I470" s="80"/>
      <c r="J470" s="80"/>
      <c r="K470" s="80"/>
      <c r="L470" s="80"/>
      <c r="M470" s="80"/>
      <c r="N470" s="143"/>
      <c r="O470" s="143"/>
      <c r="P470" s="143"/>
      <c r="Q470" s="143"/>
      <c r="R470" s="143"/>
      <c r="S470" s="80"/>
      <c r="T470" s="80"/>
      <c r="U470" s="80"/>
      <c r="V470" s="80"/>
      <c r="W470" s="80"/>
      <c r="X470" s="80"/>
      <c r="Y470" s="80"/>
      <c r="Z470" s="80"/>
      <c r="AA470" s="80"/>
      <c r="AB470" s="80"/>
    </row>
    <row r="471" spans="1:28" ht="15.75">
      <c r="A471" s="80"/>
      <c r="B471" s="80"/>
      <c r="C471" s="80"/>
      <c r="D471" s="80"/>
      <c r="E471" s="80"/>
      <c r="F471" s="80"/>
      <c r="G471" s="80"/>
      <c r="H471" s="80"/>
      <c r="I471" s="80"/>
      <c r="J471" s="80"/>
      <c r="K471" s="80"/>
      <c r="L471" s="80"/>
      <c r="M471" s="80"/>
      <c r="N471" s="143"/>
      <c r="O471" s="143"/>
      <c r="P471" s="143"/>
      <c r="Q471" s="143"/>
      <c r="R471" s="143"/>
      <c r="S471" s="80"/>
      <c r="T471" s="80"/>
      <c r="U471" s="80"/>
      <c r="V471" s="80"/>
      <c r="W471" s="80"/>
      <c r="X471" s="80"/>
      <c r="Y471" s="80"/>
      <c r="Z471" s="80"/>
      <c r="AA471" s="80"/>
      <c r="AB471" s="80"/>
    </row>
    <row r="472" spans="1:28" ht="15.75">
      <c r="A472" s="80"/>
      <c r="B472" s="80"/>
      <c r="C472" s="80"/>
      <c r="D472" s="80"/>
      <c r="E472" s="80"/>
      <c r="F472" s="80"/>
      <c r="G472" s="80"/>
      <c r="H472" s="80"/>
      <c r="I472" s="80"/>
      <c r="J472" s="80"/>
      <c r="K472" s="80"/>
      <c r="L472" s="80"/>
      <c r="M472" s="80"/>
      <c r="N472" s="143"/>
      <c r="O472" s="143"/>
      <c r="P472" s="143"/>
      <c r="Q472" s="143"/>
      <c r="R472" s="143"/>
      <c r="S472" s="80"/>
      <c r="T472" s="80"/>
      <c r="U472" s="80"/>
      <c r="V472" s="80"/>
      <c r="W472" s="80"/>
      <c r="X472" s="80"/>
      <c r="Y472" s="80"/>
      <c r="Z472" s="80"/>
      <c r="AA472" s="80"/>
      <c r="AB472" s="80"/>
    </row>
    <row r="473" spans="1:28" ht="15.75">
      <c r="A473" s="80"/>
      <c r="B473" s="80"/>
      <c r="C473" s="80"/>
      <c r="D473" s="80"/>
      <c r="E473" s="80"/>
      <c r="F473" s="80"/>
      <c r="G473" s="80"/>
      <c r="H473" s="80"/>
      <c r="I473" s="80"/>
      <c r="J473" s="80"/>
      <c r="K473" s="80"/>
      <c r="L473" s="80"/>
      <c r="M473" s="80"/>
      <c r="N473" s="143"/>
      <c r="O473" s="143"/>
      <c r="P473" s="143"/>
      <c r="Q473" s="143"/>
      <c r="R473" s="143"/>
      <c r="S473" s="80"/>
      <c r="T473" s="80"/>
      <c r="U473" s="80"/>
      <c r="V473" s="80"/>
      <c r="W473" s="80"/>
      <c r="X473" s="80"/>
      <c r="Y473" s="80"/>
      <c r="Z473" s="80"/>
      <c r="AA473" s="80"/>
      <c r="AB473" s="80"/>
    </row>
    <row r="474" spans="1:28" ht="15.75">
      <c r="A474" s="80"/>
      <c r="B474" s="80"/>
      <c r="C474" s="80"/>
      <c r="D474" s="80"/>
      <c r="E474" s="80"/>
      <c r="F474" s="80"/>
      <c r="G474" s="80"/>
      <c r="H474" s="80"/>
      <c r="I474" s="80"/>
      <c r="J474" s="80"/>
      <c r="K474" s="80"/>
      <c r="L474" s="80"/>
      <c r="M474" s="80"/>
      <c r="N474" s="143"/>
      <c r="O474" s="143"/>
      <c r="P474" s="143"/>
      <c r="Q474" s="143"/>
      <c r="R474" s="143"/>
      <c r="S474" s="80"/>
      <c r="T474" s="80"/>
      <c r="U474" s="80"/>
      <c r="V474" s="80"/>
      <c r="W474" s="80"/>
      <c r="X474" s="80"/>
      <c r="Y474" s="80"/>
      <c r="Z474" s="80"/>
      <c r="AA474" s="80"/>
      <c r="AB474" s="80"/>
    </row>
    <row r="475" spans="1:28" ht="15.75">
      <c r="A475" s="80"/>
      <c r="B475" s="80"/>
      <c r="C475" s="80"/>
      <c r="D475" s="80"/>
      <c r="E475" s="80"/>
      <c r="F475" s="80"/>
      <c r="G475" s="80"/>
      <c r="H475" s="80"/>
      <c r="I475" s="80"/>
      <c r="J475" s="80"/>
      <c r="K475" s="80"/>
      <c r="L475" s="80"/>
      <c r="M475" s="80"/>
      <c r="N475" s="143"/>
      <c r="O475" s="143"/>
      <c r="P475" s="143"/>
      <c r="Q475" s="143"/>
      <c r="R475" s="143"/>
      <c r="S475" s="80"/>
      <c r="T475" s="80"/>
      <c r="U475" s="80"/>
      <c r="V475" s="80"/>
      <c r="W475" s="80"/>
      <c r="X475" s="80"/>
      <c r="Y475" s="80"/>
      <c r="Z475" s="80"/>
      <c r="AA475" s="80"/>
      <c r="AB475" s="80"/>
    </row>
    <row r="476" spans="1:28" ht="15.75">
      <c r="A476" s="80"/>
      <c r="B476" s="80"/>
      <c r="C476" s="80"/>
      <c r="D476" s="80"/>
      <c r="E476" s="80"/>
      <c r="F476" s="80"/>
      <c r="G476" s="80"/>
      <c r="H476" s="80"/>
      <c r="I476" s="80"/>
      <c r="J476" s="80"/>
      <c r="K476" s="80"/>
      <c r="L476" s="80"/>
      <c r="M476" s="80"/>
      <c r="N476" s="143"/>
      <c r="O476" s="143"/>
      <c r="P476" s="143"/>
      <c r="Q476" s="143"/>
      <c r="R476" s="143"/>
      <c r="S476" s="80"/>
      <c r="T476" s="80"/>
      <c r="U476" s="80"/>
      <c r="V476" s="80"/>
      <c r="W476" s="80"/>
      <c r="X476" s="80"/>
      <c r="Y476" s="80"/>
      <c r="Z476" s="80"/>
      <c r="AA476" s="80"/>
      <c r="AB476" s="80"/>
    </row>
    <row r="477" spans="1:28" ht="15.75">
      <c r="A477" s="80"/>
      <c r="B477" s="80"/>
      <c r="C477" s="80"/>
      <c r="D477" s="80"/>
      <c r="E477" s="80"/>
      <c r="F477" s="80"/>
      <c r="G477" s="80"/>
      <c r="H477" s="80"/>
      <c r="I477" s="80"/>
      <c r="J477" s="80"/>
      <c r="K477" s="80"/>
      <c r="L477" s="80"/>
      <c r="M477" s="80"/>
      <c r="N477" s="143"/>
      <c r="O477" s="143"/>
      <c r="P477" s="143"/>
      <c r="Q477" s="143"/>
      <c r="R477" s="143"/>
      <c r="S477" s="80"/>
      <c r="T477" s="80"/>
      <c r="U477" s="80"/>
      <c r="V477" s="80"/>
      <c r="W477" s="80"/>
      <c r="X477" s="80"/>
      <c r="Y477" s="80"/>
      <c r="Z477" s="80"/>
      <c r="AA477" s="80"/>
      <c r="AB477" s="80"/>
    </row>
    <row r="478" spans="1:28" ht="15.75">
      <c r="A478" s="80"/>
      <c r="B478" s="80"/>
      <c r="C478" s="80"/>
      <c r="D478" s="80"/>
      <c r="E478" s="80"/>
      <c r="F478" s="80"/>
      <c r="G478" s="80"/>
      <c r="H478" s="80"/>
      <c r="I478" s="80"/>
      <c r="J478" s="80"/>
      <c r="K478" s="80"/>
      <c r="L478" s="80"/>
      <c r="M478" s="80"/>
      <c r="N478" s="143"/>
      <c r="O478" s="143"/>
      <c r="P478" s="143"/>
      <c r="Q478" s="143"/>
      <c r="R478" s="143"/>
      <c r="S478" s="80"/>
      <c r="T478" s="80"/>
      <c r="U478" s="80"/>
      <c r="V478" s="80"/>
      <c r="W478" s="80"/>
      <c r="X478" s="80"/>
      <c r="Y478" s="80"/>
      <c r="Z478" s="80"/>
      <c r="AA478" s="80"/>
      <c r="AB478" s="80"/>
    </row>
    <row r="479" spans="1:28" ht="15.75">
      <c r="A479" s="80"/>
      <c r="B479" s="80"/>
      <c r="C479" s="80"/>
      <c r="D479" s="80"/>
      <c r="E479" s="80"/>
      <c r="F479" s="80"/>
      <c r="G479" s="80"/>
      <c r="H479" s="80"/>
      <c r="I479" s="80"/>
      <c r="J479" s="80"/>
      <c r="K479" s="80"/>
      <c r="L479" s="80"/>
      <c r="M479" s="80"/>
      <c r="N479" s="143"/>
      <c r="O479" s="143"/>
      <c r="P479" s="143"/>
      <c r="Q479" s="143"/>
      <c r="R479" s="143"/>
      <c r="S479" s="80"/>
      <c r="T479" s="80"/>
      <c r="U479" s="80"/>
      <c r="V479" s="80"/>
      <c r="W479" s="80"/>
      <c r="X479" s="80"/>
      <c r="Y479" s="80"/>
      <c r="Z479" s="80"/>
      <c r="AA479" s="80"/>
      <c r="AB479" s="80"/>
    </row>
    <row r="480" spans="1:28" ht="15.75">
      <c r="A480" s="80"/>
      <c r="B480" s="80"/>
      <c r="C480" s="80"/>
      <c r="D480" s="80"/>
      <c r="E480" s="80"/>
      <c r="F480" s="80"/>
      <c r="G480" s="80"/>
      <c r="H480" s="80"/>
      <c r="I480" s="80"/>
      <c r="J480" s="80"/>
      <c r="K480" s="80"/>
      <c r="L480" s="80"/>
      <c r="M480" s="80"/>
      <c r="N480" s="143"/>
      <c r="O480" s="143"/>
      <c r="P480" s="143"/>
      <c r="Q480" s="143"/>
      <c r="R480" s="143"/>
      <c r="S480" s="80"/>
      <c r="T480" s="80"/>
      <c r="U480" s="80"/>
      <c r="V480" s="80"/>
      <c r="W480" s="80"/>
      <c r="X480" s="80"/>
      <c r="Y480" s="80"/>
      <c r="Z480" s="80"/>
      <c r="AA480" s="80"/>
      <c r="AB480" s="80"/>
    </row>
    <row r="481" spans="1:28" ht="15.75">
      <c r="A481" s="80"/>
      <c r="B481" s="80"/>
      <c r="C481" s="80"/>
      <c r="D481" s="80"/>
      <c r="E481" s="80"/>
      <c r="F481" s="80"/>
      <c r="G481" s="80"/>
      <c r="H481" s="80"/>
      <c r="I481" s="80"/>
      <c r="J481" s="80"/>
      <c r="K481" s="80"/>
      <c r="L481" s="80"/>
      <c r="M481" s="80"/>
      <c r="N481" s="143"/>
      <c r="O481" s="143"/>
      <c r="P481" s="143"/>
      <c r="Q481" s="143"/>
      <c r="R481" s="143"/>
      <c r="S481" s="80"/>
      <c r="T481" s="80"/>
      <c r="U481" s="80"/>
      <c r="V481" s="80"/>
      <c r="W481" s="80"/>
      <c r="X481" s="80"/>
      <c r="Y481" s="80"/>
      <c r="Z481" s="80"/>
      <c r="AA481" s="80"/>
      <c r="AB481" s="80"/>
    </row>
    <row r="482" spans="1:28" ht="15.75">
      <c r="A482" s="80"/>
      <c r="B482" s="80"/>
      <c r="C482" s="80"/>
      <c r="D482" s="80"/>
      <c r="E482" s="80"/>
      <c r="F482" s="80"/>
      <c r="G482" s="80"/>
      <c r="H482" s="80"/>
      <c r="I482" s="80"/>
      <c r="J482" s="80"/>
      <c r="K482" s="80"/>
      <c r="L482" s="80"/>
      <c r="M482" s="80"/>
      <c r="N482" s="143"/>
      <c r="O482" s="143"/>
      <c r="P482" s="143"/>
      <c r="Q482" s="143"/>
      <c r="R482" s="143"/>
      <c r="S482" s="80"/>
      <c r="T482" s="80"/>
      <c r="U482" s="80"/>
      <c r="V482" s="80"/>
      <c r="W482" s="80"/>
      <c r="X482" s="80"/>
      <c r="Y482" s="80"/>
      <c r="Z482" s="80"/>
      <c r="AA482" s="80"/>
      <c r="AB482" s="80"/>
    </row>
    <row r="483" spans="1:28" ht="15.75">
      <c r="A483" s="80"/>
      <c r="B483" s="80"/>
      <c r="C483" s="80"/>
      <c r="D483" s="80"/>
      <c r="E483" s="80"/>
      <c r="F483" s="80"/>
      <c r="G483" s="80"/>
      <c r="H483" s="80"/>
      <c r="I483" s="80"/>
      <c r="J483" s="80"/>
      <c r="K483" s="80"/>
      <c r="L483" s="80"/>
      <c r="M483" s="80"/>
      <c r="N483" s="143"/>
      <c r="O483" s="143"/>
      <c r="P483" s="143"/>
      <c r="Q483" s="143"/>
      <c r="R483" s="143"/>
      <c r="S483" s="80"/>
      <c r="T483" s="80"/>
      <c r="U483" s="80"/>
      <c r="V483" s="80"/>
      <c r="W483" s="80"/>
      <c r="X483" s="80"/>
      <c r="Y483" s="80"/>
      <c r="Z483" s="80"/>
      <c r="AA483" s="80"/>
      <c r="AB483" s="80"/>
    </row>
    <row r="484" spans="1:28" ht="15.75">
      <c r="A484" s="80"/>
      <c r="B484" s="80"/>
      <c r="C484" s="80"/>
      <c r="D484" s="80"/>
      <c r="E484" s="80"/>
      <c r="F484" s="80"/>
      <c r="G484" s="80"/>
      <c r="H484" s="80"/>
      <c r="I484" s="80"/>
      <c r="J484" s="80"/>
      <c r="K484" s="80"/>
      <c r="L484" s="80"/>
      <c r="M484" s="80"/>
      <c r="N484" s="143"/>
      <c r="O484" s="143"/>
      <c r="P484" s="143"/>
      <c r="Q484" s="143"/>
      <c r="R484" s="143"/>
      <c r="S484" s="80"/>
      <c r="T484" s="80"/>
      <c r="U484" s="80"/>
      <c r="V484" s="80"/>
      <c r="W484" s="80"/>
      <c r="X484" s="80"/>
      <c r="Y484" s="80"/>
      <c r="Z484" s="80"/>
      <c r="AA484" s="80"/>
      <c r="AB484" s="80"/>
    </row>
    <row r="485" spans="1:28" ht="15.75">
      <c r="A485" s="80"/>
      <c r="B485" s="80"/>
      <c r="C485" s="80"/>
      <c r="D485" s="80"/>
      <c r="E485" s="80"/>
      <c r="F485" s="80"/>
      <c r="G485" s="80"/>
      <c r="H485" s="80"/>
      <c r="I485" s="80"/>
      <c r="J485" s="80"/>
      <c r="K485" s="80"/>
      <c r="L485" s="80"/>
      <c r="M485" s="80"/>
      <c r="N485" s="143"/>
      <c r="O485" s="143"/>
      <c r="P485" s="143"/>
      <c r="Q485" s="143"/>
      <c r="R485" s="143"/>
      <c r="S485" s="80"/>
      <c r="T485" s="80"/>
      <c r="U485" s="80"/>
      <c r="V485" s="80"/>
      <c r="W485" s="80"/>
      <c r="X485" s="80"/>
      <c r="Y485" s="80"/>
      <c r="Z485" s="80"/>
      <c r="AA485" s="80"/>
      <c r="AB485" s="80"/>
    </row>
    <row r="486" spans="1:28" ht="15.75">
      <c r="A486" s="80"/>
      <c r="B486" s="80"/>
      <c r="C486" s="80"/>
      <c r="D486" s="80"/>
      <c r="E486" s="80"/>
      <c r="F486" s="80"/>
      <c r="G486" s="80"/>
      <c r="H486" s="80"/>
      <c r="I486" s="80"/>
      <c r="J486" s="80"/>
      <c r="K486" s="80"/>
      <c r="L486" s="80"/>
      <c r="M486" s="80"/>
      <c r="N486" s="143"/>
      <c r="O486" s="143"/>
      <c r="P486" s="143"/>
      <c r="Q486" s="143"/>
      <c r="R486" s="143"/>
      <c r="S486" s="80"/>
      <c r="T486" s="80"/>
      <c r="U486" s="80"/>
      <c r="V486" s="80"/>
      <c r="W486" s="80"/>
      <c r="X486" s="80"/>
      <c r="Y486" s="80"/>
      <c r="Z486" s="80"/>
      <c r="AA486" s="80"/>
      <c r="AB486" s="80"/>
    </row>
    <row r="487" spans="1:28" ht="15.75">
      <c r="A487" s="80"/>
      <c r="B487" s="80"/>
      <c r="C487" s="80"/>
      <c r="D487" s="80"/>
      <c r="E487" s="80"/>
      <c r="F487" s="80"/>
      <c r="G487" s="80"/>
      <c r="H487" s="80"/>
      <c r="I487" s="80"/>
      <c r="J487" s="80"/>
      <c r="K487" s="80"/>
      <c r="L487" s="80"/>
      <c r="M487" s="80"/>
      <c r="N487" s="143"/>
      <c r="O487" s="143"/>
      <c r="P487" s="143"/>
      <c r="Q487" s="143"/>
      <c r="R487" s="143"/>
      <c r="S487" s="80"/>
      <c r="T487" s="80"/>
      <c r="U487" s="80"/>
      <c r="V487" s="80"/>
      <c r="W487" s="80"/>
      <c r="X487" s="80"/>
      <c r="Y487" s="80"/>
      <c r="Z487" s="80"/>
      <c r="AA487" s="80"/>
      <c r="AB487" s="80"/>
    </row>
    <row r="488" spans="1:28" ht="15.75">
      <c r="A488" s="80"/>
      <c r="B488" s="80"/>
      <c r="C488" s="80"/>
      <c r="D488" s="80"/>
      <c r="E488" s="80"/>
      <c r="F488" s="80"/>
      <c r="G488" s="80"/>
      <c r="H488" s="80"/>
      <c r="I488" s="80"/>
      <c r="J488" s="80"/>
      <c r="K488" s="80"/>
      <c r="L488" s="80"/>
      <c r="M488" s="80"/>
      <c r="N488" s="143"/>
      <c r="O488" s="143"/>
      <c r="P488" s="143"/>
      <c r="Q488" s="143"/>
      <c r="R488" s="143"/>
      <c r="S488" s="80"/>
      <c r="T488" s="80"/>
      <c r="U488" s="80"/>
      <c r="V488" s="80"/>
      <c r="W488" s="80"/>
      <c r="X488" s="80"/>
      <c r="Y488" s="80"/>
      <c r="Z488" s="80"/>
      <c r="AA488" s="80"/>
      <c r="AB488" s="80"/>
    </row>
    <row r="489" spans="1:28" ht="15.75">
      <c r="A489" s="80"/>
      <c r="B489" s="80"/>
      <c r="C489" s="80"/>
      <c r="D489" s="80"/>
      <c r="E489" s="80"/>
      <c r="F489" s="80"/>
      <c r="G489" s="80"/>
      <c r="H489" s="80"/>
      <c r="I489" s="80"/>
      <c r="J489" s="80"/>
      <c r="K489" s="80"/>
      <c r="L489" s="80"/>
      <c r="M489" s="80"/>
      <c r="N489" s="143"/>
      <c r="O489" s="143"/>
      <c r="P489" s="143"/>
      <c r="Q489" s="143"/>
      <c r="R489" s="143"/>
      <c r="S489" s="80"/>
      <c r="T489" s="80"/>
      <c r="U489" s="80"/>
      <c r="V489" s="80"/>
      <c r="W489" s="80"/>
      <c r="X489" s="80"/>
      <c r="Y489" s="80"/>
      <c r="Z489" s="80"/>
      <c r="AA489" s="80"/>
      <c r="AB489" s="80"/>
    </row>
    <row r="490" spans="1:28" ht="15.75">
      <c r="A490" s="80"/>
      <c r="B490" s="80"/>
      <c r="C490" s="80"/>
      <c r="D490" s="80"/>
      <c r="E490" s="80"/>
      <c r="F490" s="80"/>
      <c r="G490" s="80"/>
      <c r="H490" s="80"/>
      <c r="I490" s="80"/>
      <c r="J490" s="80"/>
      <c r="K490" s="80"/>
      <c r="L490" s="80"/>
      <c r="M490" s="80"/>
      <c r="N490" s="143"/>
      <c r="O490" s="143"/>
      <c r="P490" s="143"/>
      <c r="Q490" s="143"/>
      <c r="R490" s="143"/>
      <c r="S490" s="80"/>
      <c r="T490" s="80"/>
      <c r="U490" s="80"/>
      <c r="V490" s="80"/>
      <c r="W490" s="80"/>
      <c r="X490" s="80"/>
      <c r="Y490" s="80"/>
      <c r="Z490" s="80"/>
      <c r="AA490" s="80"/>
      <c r="AB490" s="80"/>
    </row>
    <row r="491" spans="1:28" ht="15.75">
      <c r="A491" s="80"/>
      <c r="B491" s="80"/>
      <c r="C491" s="80"/>
      <c r="D491" s="80"/>
      <c r="E491" s="80"/>
      <c r="F491" s="80"/>
      <c r="G491" s="80"/>
      <c r="H491" s="80"/>
      <c r="I491" s="80"/>
      <c r="J491" s="80"/>
      <c r="K491" s="80"/>
      <c r="L491" s="80"/>
      <c r="M491" s="80"/>
      <c r="N491" s="143"/>
      <c r="O491" s="143"/>
      <c r="P491" s="143"/>
      <c r="Q491" s="143"/>
      <c r="R491" s="143"/>
      <c r="S491" s="80"/>
      <c r="T491" s="80"/>
      <c r="U491" s="80"/>
      <c r="V491" s="80"/>
      <c r="W491" s="80"/>
      <c r="X491" s="80"/>
      <c r="Y491" s="80"/>
      <c r="Z491" s="80"/>
      <c r="AA491" s="80"/>
      <c r="AB491" s="80"/>
    </row>
    <row r="492" spans="1:28" ht="15.75">
      <c r="A492" s="80"/>
      <c r="B492" s="80"/>
      <c r="C492" s="80"/>
      <c r="D492" s="80"/>
      <c r="E492" s="80"/>
      <c r="F492" s="80"/>
      <c r="G492" s="80"/>
      <c r="H492" s="80"/>
      <c r="I492" s="80"/>
      <c r="J492" s="80"/>
      <c r="K492" s="80"/>
      <c r="L492" s="80"/>
      <c r="M492" s="80"/>
      <c r="N492" s="143"/>
      <c r="O492" s="143"/>
      <c r="P492" s="143"/>
      <c r="Q492" s="143"/>
      <c r="R492" s="143"/>
      <c r="S492" s="80"/>
      <c r="T492" s="80"/>
      <c r="U492" s="80"/>
      <c r="V492" s="80"/>
      <c r="W492" s="80"/>
      <c r="X492" s="80"/>
      <c r="Y492" s="80"/>
      <c r="Z492" s="80"/>
      <c r="AA492" s="80"/>
      <c r="AB492" s="80"/>
    </row>
    <row r="493" spans="1:28" ht="15.75">
      <c r="A493" s="80"/>
      <c r="B493" s="80"/>
      <c r="C493" s="80"/>
      <c r="D493" s="80"/>
      <c r="E493" s="80"/>
      <c r="F493" s="80"/>
      <c r="G493" s="80"/>
      <c r="H493" s="80"/>
      <c r="I493" s="80"/>
      <c r="J493" s="80"/>
      <c r="K493" s="80"/>
      <c r="L493" s="80"/>
      <c r="M493" s="80"/>
      <c r="N493" s="143"/>
      <c r="O493" s="143"/>
      <c r="P493" s="143"/>
      <c r="Q493" s="143"/>
      <c r="R493" s="143"/>
      <c r="S493" s="80"/>
      <c r="T493" s="80"/>
      <c r="U493" s="80"/>
      <c r="V493" s="80"/>
      <c r="W493" s="80"/>
      <c r="X493" s="80"/>
      <c r="Y493" s="80"/>
      <c r="Z493" s="80"/>
      <c r="AA493" s="80"/>
      <c r="AB493" s="80"/>
    </row>
    <row r="494" spans="1:28" ht="15.75">
      <c r="A494" s="80"/>
      <c r="B494" s="80"/>
      <c r="C494" s="80"/>
      <c r="D494" s="80"/>
      <c r="E494" s="80"/>
      <c r="F494" s="80"/>
      <c r="G494" s="80"/>
      <c r="H494" s="80"/>
      <c r="I494" s="80"/>
      <c r="J494" s="80"/>
      <c r="K494" s="80"/>
      <c r="L494" s="80"/>
      <c r="M494" s="80"/>
      <c r="N494" s="143"/>
      <c r="O494" s="143"/>
      <c r="P494" s="143"/>
      <c r="Q494" s="143"/>
      <c r="R494" s="143"/>
      <c r="S494" s="80"/>
      <c r="T494" s="80"/>
      <c r="U494" s="80"/>
      <c r="V494" s="80"/>
      <c r="W494" s="80"/>
      <c r="X494" s="80"/>
      <c r="Y494" s="80"/>
      <c r="Z494" s="80"/>
      <c r="AA494" s="80"/>
      <c r="AB494" s="80"/>
    </row>
    <row r="495" spans="1:28" ht="15.75">
      <c r="A495" s="80"/>
      <c r="B495" s="80"/>
      <c r="C495" s="80"/>
      <c r="D495" s="80"/>
      <c r="E495" s="80"/>
      <c r="F495" s="80"/>
      <c r="G495" s="80"/>
      <c r="H495" s="80"/>
      <c r="I495" s="80"/>
      <c r="J495" s="80"/>
      <c r="K495" s="80"/>
      <c r="L495" s="80"/>
      <c r="M495" s="80"/>
      <c r="N495" s="143"/>
      <c r="O495" s="143"/>
      <c r="P495" s="143"/>
      <c r="Q495" s="143"/>
      <c r="R495" s="143"/>
      <c r="S495" s="80"/>
      <c r="T495" s="80"/>
      <c r="U495" s="80"/>
      <c r="V495" s="80"/>
      <c r="W495" s="80"/>
      <c r="X495" s="80"/>
      <c r="Y495" s="80"/>
      <c r="Z495" s="80"/>
      <c r="AA495" s="80"/>
      <c r="AB495" s="80"/>
    </row>
    <row r="496" spans="1:28" ht="15.75">
      <c r="A496" s="80"/>
      <c r="B496" s="80"/>
      <c r="C496" s="80"/>
      <c r="D496" s="80"/>
      <c r="E496" s="80"/>
      <c r="F496" s="80"/>
      <c r="G496" s="80"/>
      <c r="H496" s="80"/>
      <c r="I496" s="80"/>
      <c r="J496" s="80"/>
      <c r="K496" s="80"/>
      <c r="L496" s="80"/>
      <c r="M496" s="80"/>
      <c r="N496" s="143"/>
      <c r="O496" s="143"/>
      <c r="P496" s="143"/>
      <c r="Q496" s="143"/>
      <c r="R496" s="143"/>
      <c r="S496" s="80"/>
      <c r="T496" s="80"/>
      <c r="U496" s="80"/>
      <c r="V496" s="80"/>
      <c r="W496" s="80"/>
      <c r="X496" s="80"/>
      <c r="Y496" s="80"/>
      <c r="Z496" s="80"/>
      <c r="AA496" s="80"/>
      <c r="AB496" s="80"/>
    </row>
    <row r="497" spans="1:28" ht="15.75">
      <c r="A497" s="80"/>
      <c r="B497" s="80"/>
      <c r="C497" s="80"/>
      <c r="D497" s="80"/>
      <c r="E497" s="80"/>
      <c r="F497" s="80"/>
      <c r="G497" s="80"/>
      <c r="H497" s="80"/>
      <c r="I497" s="80"/>
      <c r="J497" s="80"/>
      <c r="K497" s="80"/>
      <c r="L497" s="80"/>
      <c r="M497" s="80"/>
      <c r="N497" s="143"/>
      <c r="O497" s="143"/>
      <c r="P497" s="143"/>
      <c r="Q497" s="143"/>
      <c r="R497" s="143"/>
      <c r="S497" s="80"/>
      <c r="T497" s="80"/>
      <c r="U497" s="80"/>
      <c r="V497" s="80"/>
      <c r="W497" s="80"/>
      <c r="X497" s="80"/>
      <c r="Y497" s="80"/>
      <c r="Z497" s="80"/>
      <c r="AA497" s="80"/>
      <c r="AB497" s="80"/>
    </row>
    <row r="498" spans="1:28" ht="15.75">
      <c r="A498" s="80"/>
      <c r="B498" s="80"/>
      <c r="C498" s="80"/>
      <c r="D498" s="80"/>
      <c r="E498" s="80"/>
      <c r="F498" s="80"/>
      <c r="G498" s="80"/>
      <c r="H498" s="80"/>
      <c r="I498" s="80"/>
      <c r="J498" s="80"/>
      <c r="K498" s="80"/>
      <c r="L498" s="80"/>
      <c r="M498" s="80"/>
      <c r="N498" s="143"/>
      <c r="O498" s="143"/>
      <c r="P498" s="143"/>
      <c r="Q498" s="143"/>
      <c r="R498" s="143"/>
      <c r="S498" s="80"/>
      <c r="T498" s="80"/>
      <c r="U498" s="80"/>
      <c r="V498" s="80"/>
      <c r="W498" s="80"/>
      <c r="X498" s="80"/>
      <c r="Y498" s="80"/>
      <c r="Z498" s="80"/>
      <c r="AA498" s="80"/>
      <c r="AB498" s="80"/>
    </row>
    <row r="499" spans="1:28" ht="15.75">
      <c r="A499" s="80"/>
      <c r="B499" s="80"/>
      <c r="C499" s="80"/>
      <c r="D499" s="80"/>
      <c r="E499" s="80"/>
      <c r="F499" s="80"/>
      <c r="G499" s="80"/>
      <c r="H499" s="80"/>
      <c r="I499" s="80"/>
      <c r="J499" s="80"/>
      <c r="K499" s="80"/>
      <c r="L499" s="80"/>
      <c r="M499" s="80"/>
      <c r="N499" s="143"/>
      <c r="O499" s="143"/>
      <c r="P499" s="143"/>
      <c r="Q499" s="143"/>
      <c r="R499" s="143"/>
      <c r="S499" s="80"/>
      <c r="T499" s="80"/>
      <c r="U499" s="80"/>
      <c r="V499" s="80"/>
      <c r="W499" s="80"/>
      <c r="X499" s="80"/>
      <c r="Y499" s="80"/>
      <c r="Z499" s="80"/>
      <c r="AA499" s="80"/>
      <c r="AB499" s="80"/>
    </row>
    <row r="500" spans="1:28" ht="15.75">
      <c r="A500" s="80"/>
      <c r="B500" s="80"/>
      <c r="C500" s="80"/>
      <c r="D500" s="80"/>
      <c r="E500" s="80"/>
      <c r="F500" s="80"/>
      <c r="G500" s="80"/>
      <c r="H500" s="80"/>
      <c r="I500" s="80"/>
      <c r="J500" s="80"/>
      <c r="K500" s="80"/>
      <c r="L500" s="80"/>
      <c r="M500" s="80"/>
      <c r="N500" s="143"/>
      <c r="O500" s="143"/>
      <c r="P500" s="143"/>
      <c r="Q500" s="143"/>
      <c r="R500" s="143"/>
      <c r="S500" s="80"/>
      <c r="T500" s="80"/>
      <c r="U500" s="80"/>
      <c r="V500" s="80"/>
      <c r="W500" s="80"/>
      <c r="X500" s="80"/>
      <c r="Y500" s="80"/>
      <c r="Z500" s="80"/>
      <c r="AA500" s="80"/>
      <c r="AB500" s="80"/>
    </row>
    <row r="501" spans="1:28" ht="15.75">
      <c r="A501" s="80"/>
      <c r="B501" s="80"/>
      <c r="C501" s="80"/>
      <c r="D501" s="80"/>
      <c r="E501" s="80"/>
      <c r="F501" s="80"/>
      <c r="G501" s="80"/>
      <c r="H501" s="80"/>
      <c r="I501" s="80"/>
      <c r="J501" s="80"/>
      <c r="K501" s="80"/>
      <c r="L501" s="80"/>
      <c r="M501" s="80"/>
      <c r="N501" s="143"/>
      <c r="O501" s="143"/>
      <c r="P501" s="143"/>
      <c r="Q501" s="143"/>
      <c r="R501" s="143"/>
      <c r="S501" s="80"/>
      <c r="T501" s="80"/>
      <c r="U501" s="80"/>
      <c r="V501" s="80"/>
      <c r="W501" s="80"/>
      <c r="X501" s="80"/>
      <c r="Y501" s="80"/>
      <c r="Z501" s="80"/>
      <c r="AA501" s="80"/>
      <c r="AB501" s="80"/>
    </row>
    <row r="502" spans="1:28" ht="15.75">
      <c r="A502" s="80"/>
      <c r="B502" s="80"/>
      <c r="C502" s="80"/>
      <c r="D502" s="80"/>
      <c r="E502" s="80"/>
      <c r="F502" s="80"/>
      <c r="G502" s="80"/>
      <c r="H502" s="80"/>
      <c r="I502" s="80"/>
      <c r="J502" s="80"/>
      <c r="K502" s="80"/>
      <c r="L502" s="80"/>
      <c r="M502" s="80"/>
      <c r="N502" s="143"/>
      <c r="O502" s="143"/>
      <c r="P502" s="143"/>
      <c r="Q502" s="143"/>
      <c r="R502" s="143"/>
      <c r="S502" s="80"/>
      <c r="T502" s="80"/>
      <c r="U502" s="80"/>
      <c r="V502" s="80"/>
      <c r="W502" s="80"/>
      <c r="X502" s="80"/>
      <c r="Y502" s="80"/>
      <c r="Z502" s="80"/>
      <c r="AA502" s="80"/>
      <c r="AB502" s="80"/>
    </row>
    <row r="503" spans="1:28" ht="15.75">
      <c r="A503" s="80"/>
      <c r="B503" s="80"/>
      <c r="C503" s="80"/>
      <c r="D503" s="80"/>
      <c r="E503" s="80"/>
      <c r="F503" s="80"/>
      <c r="G503" s="80"/>
      <c r="H503" s="80"/>
      <c r="I503" s="80"/>
      <c r="J503" s="80"/>
      <c r="K503" s="80"/>
      <c r="L503" s="80"/>
      <c r="M503" s="80"/>
      <c r="N503" s="143"/>
      <c r="O503" s="143"/>
      <c r="P503" s="143"/>
      <c r="Q503" s="143"/>
      <c r="R503" s="143"/>
      <c r="S503" s="80"/>
      <c r="T503" s="80"/>
      <c r="U503" s="80"/>
      <c r="V503" s="80"/>
      <c r="W503" s="80"/>
      <c r="X503" s="80"/>
      <c r="Y503" s="80"/>
      <c r="Z503" s="80"/>
      <c r="AA503" s="80"/>
      <c r="AB503" s="80"/>
    </row>
    <row r="504" spans="1:28" ht="15.75">
      <c r="A504" s="80"/>
      <c r="B504" s="80"/>
      <c r="C504" s="80"/>
      <c r="D504" s="80"/>
      <c r="E504" s="80"/>
      <c r="F504" s="80"/>
      <c r="G504" s="80"/>
      <c r="H504" s="80"/>
      <c r="I504" s="80"/>
      <c r="J504" s="80"/>
      <c r="K504" s="80"/>
      <c r="L504" s="80"/>
      <c r="M504" s="80"/>
      <c r="N504" s="143"/>
      <c r="O504" s="143"/>
      <c r="P504" s="143"/>
      <c r="Q504" s="143"/>
      <c r="R504" s="143"/>
      <c r="S504" s="80"/>
      <c r="T504" s="80"/>
      <c r="U504" s="80"/>
      <c r="V504" s="80"/>
      <c r="W504" s="80"/>
      <c r="X504" s="80"/>
      <c r="Y504" s="80"/>
      <c r="Z504" s="80"/>
      <c r="AA504" s="80"/>
      <c r="AB504" s="80"/>
    </row>
    <row r="505" spans="1:28" ht="15.75">
      <c r="A505" s="80"/>
      <c r="B505" s="80"/>
      <c r="C505" s="80"/>
      <c r="D505" s="80"/>
      <c r="E505" s="80"/>
      <c r="F505" s="80"/>
      <c r="G505" s="80"/>
      <c r="H505" s="80"/>
      <c r="I505" s="80"/>
      <c r="J505" s="80"/>
      <c r="K505" s="80"/>
      <c r="L505" s="80"/>
      <c r="M505" s="80"/>
      <c r="N505" s="143"/>
      <c r="O505" s="143"/>
      <c r="P505" s="143"/>
      <c r="Q505" s="143"/>
      <c r="R505" s="143"/>
      <c r="S505" s="80"/>
      <c r="T505" s="80"/>
      <c r="U505" s="80"/>
      <c r="V505" s="80"/>
      <c r="W505" s="80"/>
      <c r="X505" s="80"/>
      <c r="Y505" s="80"/>
      <c r="Z505" s="80"/>
      <c r="AA505" s="80"/>
      <c r="AB505" s="80"/>
    </row>
    <row r="506" spans="1:28" ht="15.75">
      <c r="A506" s="80"/>
      <c r="B506" s="80"/>
      <c r="C506" s="80"/>
      <c r="D506" s="80"/>
      <c r="E506" s="80"/>
      <c r="F506" s="80"/>
      <c r="G506" s="80"/>
      <c r="H506" s="80"/>
      <c r="I506" s="80"/>
      <c r="J506" s="80"/>
      <c r="K506" s="80"/>
      <c r="L506" s="80"/>
      <c r="M506" s="80"/>
      <c r="N506" s="143"/>
      <c r="O506" s="143"/>
      <c r="P506" s="143"/>
      <c r="Q506" s="143"/>
      <c r="R506" s="143"/>
      <c r="S506" s="80"/>
      <c r="T506" s="80"/>
      <c r="U506" s="80"/>
      <c r="V506" s="80"/>
      <c r="W506" s="80"/>
      <c r="X506" s="80"/>
      <c r="Y506" s="80"/>
      <c r="Z506" s="80"/>
      <c r="AA506" s="80"/>
      <c r="AB506" s="80"/>
    </row>
    <row r="507" spans="1:28" ht="15.75">
      <c r="A507" s="80"/>
      <c r="B507" s="80"/>
      <c r="C507" s="80"/>
      <c r="D507" s="80"/>
      <c r="E507" s="80"/>
      <c r="F507" s="80"/>
      <c r="G507" s="80"/>
      <c r="H507" s="80"/>
      <c r="I507" s="80"/>
      <c r="J507" s="80"/>
      <c r="K507" s="80"/>
      <c r="L507" s="80"/>
      <c r="M507" s="80"/>
      <c r="N507" s="143"/>
      <c r="O507" s="143"/>
      <c r="P507" s="143"/>
      <c r="Q507" s="143"/>
      <c r="R507" s="143"/>
      <c r="S507" s="80"/>
      <c r="T507" s="80"/>
      <c r="U507" s="80"/>
      <c r="V507" s="80"/>
      <c r="W507" s="80"/>
      <c r="X507" s="80"/>
      <c r="Y507" s="80"/>
      <c r="Z507" s="80"/>
      <c r="AA507" s="80"/>
      <c r="AB507" s="80"/>
    </row>
    <row r="508" spans="1:28" ht="15.75">
      <c r="A508" s="80"/>
      <c r="B508" s="80"/>
      <c r="C508" s="80"/>
      <c r="D508" s="80"/>
      <c r="E508" s="80"/>
      <c r="F508" s="80"/>
      <c r="G508" s="80"/>
      <c r="H508" s="80"/>
      <c r="I508" s="80"/>
      <c r="J508" s="80"/>
      <c r="K508" s="80"/>
      <c r="L508" s="80"/>
      <c r="M508" s="80"/>
      <c r="N508" s="143"/>
      <c r="O508" s="143"/>
      <c r="P508" s="143"/>
      <c r="Q508" s="143"/>
      <c r="R508" s="143"/>
      <c r="S508" s="80"/>
      <c r="T508" s="80"/>
      <c r="U508" s="80"/>
      <c r="V508" s="80"/>
      <c r="W508" s="80"/>
      <c r="X508" s="80"/>
      <c r="Y508" s="80"/>
      <c r="Z508" s="80"/>
      <c r="AA508" s="80"/>
      <c r="AB508" s="80"/>
    </row>
    <row r="509" spans="1:28" ht="15.75">
      <c r="A509" s="80"/>
      <c r="B509" s="80"/>
      <c r="C509" s="80"/>
      <c r="D509" s="80"/>
      <c r="E509" s="80"/>
      <c r="F509" s="80"/>
      <c r="G509" s="80"/>
      <c r="H509" s="80"/>
      <c r="I509" s="80"/>
      <c r="J509" s="80"/>
      <c r="K509" s="80"/>
      <c r="L509" s="80"/>
      <c r="M509" s="80"/>
      <c r="N509" s="143"/>
      <c r="O509" s="143"/>
      <c r="P509" s="143"/>
      <c r="Q509" s="143"/>
      <c r="R509" s="143"/>
      <c r="S509" s="80"/>
      <c r="T509" s="80"/>
      <c r="U509" s="80"/>
      <c r="V509" s="80"/>
      <c r="W509" s="80"/>
      <c r="X509" s="80"/>
      <c r="Y509" s="80"/>
      <c r="Z509" s="80"/>
      <c r="AA509" s="80"/>
      <c r="AB509" s="80"/>
    </row>
    <row r="510" spans="1:28" ht="15.75">
      <c r="A510" s="80"/>
      <c r="B510" s="80"/>
      <c r="C510" s="80"/>
      <c r="D510" s="80"/>
      <c r="E510" s="80"/>
      <c r="F510" s="80"/>
      <c r="G510" s="80"/>
      <c r="H510" s="80"/>
      <c r="I510" s="80"/>
      <c r="J510" s="80"/>
      <c r="K510" s="80"/>
      <c r="L510" s="80"/>
      <c r="M510" s="80"/>
      <c r="N510" s="143"/>
      <c r="O510" s="143"/>
      <c r="P510" s="143"/>
      <c r="Q510" s="143"/>
      <c r="R510" s="143"/>
      <c r="S510" s="80"/>
      <c r="T510" s="80"/>
      <c r="U510" s="80"/>
      <c r="V510" s="80"/>
      <c r="W510" s="80"/>
      <c r="X510" s="80"/>
      <c r="Y510" s="80"/>
      <c r="Z510" s="80"/>
      <c r="AA510" s="80"/>
      <c r="AB510" s="80"/>
    </row>
    <row r="511" spans="1:28" ht="15.75">
      <c r="A511" s="80"/>
      <c r="B511" s="80"/>
      <c r="C511" s="80"/>
      <c r="D511" s="80"/>
      <c r="E511" s="80"/>
      <c r="F511" s="80"/>
      <c r="G511" s="80"/>
      <c r="H511" s="80"/>
      <c r="I511" s="80"/>
      <c r="J511" s="80"/>
      <c r="K511" s="80"/>
      <c r="L511" s="80"/>
      <c r="M511" s="80"/>
      <c r="N511" s="143"/>
      <c r="O511" s="143"/>
      <c r="P511" s="143"/>
      <c r="Q511" s="143"/>
      <c r="R511" s="143"/>
      <c r="S511" s="80"/>
      <c r="T511" s="80"/>
      <c r="U511" s="80"/>
      <c r="V511" s="80"/>
      <c r="W511" s="80"/>
      <c r="X511" s="80"/>
      <c r="Y511" s="80"/>
      <c r="Z511" s="80"/>
      <c r="AA511" s="80"/>
      <c r="AB511" s="80"/>
    </row>
    <row r="512" spans="1:28" ht="15.75">
      <c r="A512" s="80"/>
      <c r="B512" s="80"/>
      <c r="C512" s="80"/>
      <c r="D512" s="80"/>
      <c r="E512" s="80"/>
      <c r="F512" s="80"/>
      <c r="G512" s="80"/>
      <c r="H512" s="80"/>
      <c r="I512" s="80"/>
      <c r="J512" s="80"/>
      <c r="K512" s="80"/>
      <c r="L512" s="80"/>
      <c r="M512" s="80"/>
      <c r="N512" s="143"/>
      <c r="O512" s="143"/>
      <c r="P512" s="143"/>
      <c r="Q512" s="143"/>
      <c r="R512" s="143"/>
      <c r="S512" s="80"/>
      <c r="T512" s="80"/>
      <c r="U512" s="80"/>
      <c r="V512" s="80"/>
      <c r="W512" s="80"/>
      <c r="X512" s="80"/>
      <c r="Y512" s="80"/>
      <c r="Z512" s="80"/>
      <c r="AA512" s="80"/>
      <c r="AB512" s="80"/>
    </row>
    <row r="513" spans="1:28" ht="15.75">
      <c r="A513" s="80"/>
      <c r="B513" s="80"/>
      <c r="C513" s="80"/>
      <c r="D513" s="80"/>
      <c r="E513" s="80"/>
      <c r="F513" s="80"/>
      <c r="G513" s="80"/>
      <c r="H513" s="80"/>
      <c r="I513" s="80"/>
      <c r="J513" s="80"/>
      <c r="K513" s="80"/>
      <c r="L513" s="80"/>
      <c r="M513" s="80"/>
      <c r="N513" s="143"/>
      <c r="O513" s="143"/>
      <c r="P513" s="143"/>
      <c r="Q513" s="143"/>
      <c r="R513" s="143"/>
      <c r="S513" s="80"/>
      <c r="T513" s="80"/>
      <c r="U513" s="80"/>
      <c r="V513" s="80"/>
      <c r="W513" s="80"/>
      <c r="X513" s="80"/>
      <c r="Y513" s="80"/>
      <c r="Z513" s="80"/>
      <c r="AA513" s="80"/>
      <c r="AB513" s="80"/>
    </row>
    <row r="514" spans="1:28" ht="15.75">
      <c r="A514" s="80"/>
      <c r="B514" s="80"/>
      <c r="C514" s="80"/>
      <c r="D514" s="80"/>
      <c r="E514" s="80"/>
      <c r="F514" s="80"/>
      <c r="G514" s="80"/>
      <c r="H514" s="80"/>
      <c r="I514" s="80"/>
      <c r="J514" s="80"/>
      <c r="K514" s="80"/>
      <c r="L514" s="80"/>
      <c r="M514" s="80"/>
      <c r="N514" s="143"/>
      <c r="O514" s="143"/>
      <c r="P514" s="143"/>
      <c r="Q514" s="143"/>
      <c r="R514" s="143"/>
      <c r="S514" s="80"/>
      <c r="T514" s="80"/>
      <c r="U514" s="80"/>
      <c r="V514" s="80"/>
      <c r="W514" s="80"/>
      <c r="X514" s="80"/>
      <c r="Y514" s="80"/>
      <c r="Z514" s="80"/>
      <c r="AA514" s="80"/>
      <c r="AB514" s="80"/>
    </row>
    <row r="515" spans="1:28" ht="15.75">
      <c r="A515" s="80"/>
      <c r="B515" s="80"/>
      <c r="C515" s="80"/>
      <c r="D515" s="80"/>
      <c r="E515" s="80"/>
      <c r="F515" s="80"/>
      <c r="G515" s="80"/>
      <c r="H515" s="80"/>
      <c r="I515" s="80"/>
      <c r="J515" s="80"/>
      <c r="K515" s="80"/>
      <c r="L515" s="80"/>
      <c r="M515" s="80"/>
      <c r="N515" s="143"/>
      <c r="O515" s="143"/>
      <c r="P515" s="143"/>
      <c r="Q515" s="143"/>
      <c r="R515" s="143"/>
      <c r="S515" s="80"/>
      <c r="T515" s="80"/>
      <c r="U515" s="80"/>
      <c r="V515" s="80"/>
      <c r="W515" s="80"/>
      <c r="X515" s="80"/>
      <c r="Y515" s="80"/>
      <c r="Z515" s="80"/>
      <c r="AA515" s="80"/>
      <c r="AB515" s="80"/>
    </row>
    <row r="516" spans="1:28" ht="15.75">
      <c r="A516" s="80"/>
      <c r="B516" s="80"/>
      <c r="C516" s="80"/>
      <c r="D516" s="80"/>
      <c r="E516" s="80"/>
      <c r="F516" s="80"/>
      <c r="G516" s="80"/>
      <c r="H516" s="80"/>
      <c r="I516" s="80"/>
      <c r="J516" s="80"/>
      <c r="K516" s="80"/>
      <c r="L516" s="80"/>
      <c r="M516" s="80"/>
      <c r="N516" s="143"/>
      <c r="O516" s="143"/>
      <c r="P516" s="143"/>
      <c r="Q516" s="143"/>
      <c r="R516" s="143"/>
      <c r="S516" s="80"/>
      <c r="T516" s="80"/>
      <c r="U516" s="80"/>
      <c r="V516" s="80"/>
      <c r="W516" s="80"/>
      <c r="X516" s="80"/>
      <c r="Y516" s="80"/>
      <c r="Z516" s="80"/>
      <c r="AA516" s="80"/>
      <c r="AB516" s="80"/>
    </row>
    <row r="517" spans="1:28" ht="15.75">
      <c r="A517" s="80"/>
      <c r="B517" s="80"/>
      <c r="C517" s="80"/>
      <c r="D517" s="80"/>
      <c r="E517" s="80"/>
      <c r="F517" s="80"/>
      <c r="G517" s="80"/>
      <c r="H517" s="80"/>
      <c r="I517" s="80"/>
      <c r="J517" s="80"/>
      <c r="K517" s="80"/>
      <c r="L517" s="80"/>
      <c r="M517" s="80"/>
      <c r="N517" s="143"/>
      <c r="O517" s="143"/>
      <c r="P517" s="143"/>
      <c r="Q517" s="143"/>
      <c r="R517" s="143"/>
      <c r="S517" s="80"/>
      <c r="T517" s="80"/>
      <c r="U517" s="80"/>
      <c r="V517" s="80"/>
      <c r="W517" s="80"/>
      <c r="X517" s="80"/>
      <c r="Y517" s="80"/>
      <c r="Z517" s="80"/>
      <c r="AA517" s="80"/>
      <c r="AB517" s="80"/>
    </row>
    <row r="518" spans="1:28" ht="15.75">
      <c r="A518" s="80"/>
      <c r="B518" s="80"/>
      <c r="C518" s="80"/>
      <c r="D518" s="80"/>
      <c r="E518" s="80"/>
      <c r="F518" s="80"/>
      <c r="G518" s="80"/>
      <c r="H518" s="80"/>
      <c r="I518" s="80"/>
      <c r="J518" s="80"/>
      <c r="K518" s="80"/>
      <c r="L518" s="80"/>
      <c r="M518" s="80"/>
      <c r="N518" s="143"/>
      <c r="O518" s="143"/>
      <c r="P518" s="143"/>
      <c r="Q518" s="143"/>
      <c r="R518" s="143"/>
      <c r="S518" s="80"/>
      <c r="T518" s="80"/>
      <c r="U518" s="80"/>
      <c r="V518" s="80"/>
      <c r="W518" s="80"/>
      <c r="X518" s="80"/>
      <c r="Y518" s="80"/>
      <c r="Z518" s="80"/>
      <c r="AA518" s="80"/>
      <c r="AB518" s="80"/>
    </row>
    <row r="519" spans="1:28" ht="15.75">
      <c r="A519" s="80"/>
      <c r="B519" s="80"/>
      <c r="C519" s="80"/>
      <c r="D519" s="80"/>
      <c r="E519" s="80"/>
      <c r="F519" s="80"/>
      <c r="G519" s="80"/>
      <c r="H519" s="80"/>
      <c r="I519" s="80"/>
      <c r="J519" s="80"/>
      <c r="K519" s="80"/>
      <c r="L519" s="80"/>
      <c r="M519" s="80"/>
      <c r="N519" s="143"/>
      <c r="O519" s="143"/>
      <c r="P519" s="143"/>
      <c r="Q519" s="143"/>
      <c r="R519" s="143"/>
      <c r="S519" s="80"/>
      <c r="T519" s="80"/>
      <c r="U519" s="80"/>
      <c r="V519" s="80"/>
      <c r="W519" s="80"/>
      <c r="X519" s="80"/>
      <c r="Y519" s="80"/>
      <c r="Z519" s="80"/>
      <c r="AA519" s="80"/>
      <c r="AB519" s="80"/>
    </row>
    <row r="520" spans="1:28" ht="15.75">
      <c r="A520" s="80"/>
      <c r="B520" s="80"/>
      <c r="C520" s="80"/>
      <c r="D520" s="80"/>
      <c r="E520" s="80"/>
      <c r="F520" s="80"/>
      <c r="G520" s="80"/>
      <c r="H520" s="80"/>
      <c r="I520" s="80"/>
      <c r="J520" s="80"/>
      <c r="K520" s="80"/>
      <c r="L520" s="80"/>
      <c r="M520" s="80"/>
      <c r="N520" s="143"/>
      <c r="O520" s="143"/>
      <c r="P520" s="143"/>
      <c r="Q520" s="143"/>
      <c r="R520" s="143"/>
      <c r="S520" s="80"/>
      <c r="T520" s="80"/>
      <c r="U520" s="80"/>
      <c r="V520" s="80"/>
      <c r="W520" s="80"/>
      <c r="X520" s="80"/>
      <c r="Y520" s="80"/>
      <c r="Z520" s="80"/>
      <c r="AA520" s="80"/>
      <c r="AB520" s="80"/>
    </row>
    <row r="521" spans="1:28" ht="15.75">
      <c r="A521" s="80"/>
      <c r="B521" s="80"/>
      <c r="C521" s="80"/>
      <c r="D521" s="80"/>
      <c r="E521" s="80"/>
      <c r="F521" s="80"/>
      <c r="G521" s="80"/>
      <c r="H521" s="80"/>
      <c r="I521" s="80"/>
      <c r="J521" s="80"/>
      <c r="K521" s="80"/>
      <c r="L521" s="80"/>
      <c r="M521" s="80"/>
      <c r="N521" s="143"/>
      <c r="O521" s="143"/>
      <c r="P521" s="143"/>
      <c r="Q521" s="143"/>
      <c r="R521" s="143"/>
      <c r="S521" s="80"/>
      <c r="T521" s="80"/>
      <c r="U521" s="80"/>
      <c r="V521" s="80"/>
      <c r="W521" s="80"/>
      <c r="X521" s="80"/>
      <c r="Y521" s="80"/>
      <c r="Z521" s="80"/>
      <c r="AA521" s="80"/>
      <c r="AB521" s="80"/>
    </row>
    <row r="522" spans="1:28" ht="15.75">
      <c r="A522" s="80"/>
      <c r="B522" s="80"/>
      <c r="C522" s="80"/>
      <c r="D522" s="80"/>
      <c r="E522" s="80"/>
      <c r="F522" s="80"/>
      <c r="G522" s="80"/>
      <c r="H522" s="80"/>
      <c r="I522" s="80"/>
      <c r="J522" s="80"/>
      <c r="K522" s="80"/>
      <c r="L522" s="80"/>
      <c r="M522" s="80"/>
      <c r="N522" s="143"/>
      <c r="O522" s="143"/>
      <c r="P522" s="143"/>
      <c r="Q522" s="143"/>
      <c r="R522" s="143"/>
      <c r="S522" s="80"/>
      <c r="T522" s="80"/>
      <c r="U522" s="80"/>
      <c r="V522" s="80"/>
      <c r="W522" s="80"/>
      <c r="X522" s="80"/>
      <c r="Y522" s="80"/>
      <c r="Z522" s="80"/>
      <c r="AA522" s="80"/>
      <c r="AB522" s="80"/>
    </row>
    <row r="523" spans="1:28" ht="15.75">
      <c r="A523" s="80"/>
      <c r="B523" s="80"/>
      <c r="C523" s="80"/>
      <c r="D523" s="80"/>
      <c r="E523" s="80"/>
      <c r="F523" s="80"/>
      <c r="G523" s="80"/>
      <c r="H523" s="80"/>
      <c r="I523" s="80"/>
      <c r="J523" s="80"/>
      <c r="K523" s="80"/>
      <c r="L523" s="80"/>
      <c r="M523" s="80"/>
      <c r="N523" s="143"/>
      <c r="O523" s="143"/>
      <c r="P523" s="143"/>
      <c r="Q523" s="143"/>
      <c r="R523" s="143"/>
      <c r="S523" s="80"/>
      <c r="T523" s="80"/>
      <c r="U523" s="80"/>
      <c r="V523" s="80"/>
      <c r="W523" s="80"/>
      <c r="X523" s="80"/>
      <c r="Y523" s="80"/>
      <c r="Z523" s="80"/>
      <c r="AA523" s="80"/>
      <c r="AB523" s="80"/>
    </row>
    <row r="524" spans="1:28" ht="15.75">
      <c r="A524" s="80"/>
      <c r="B524" s="80"/>
      <c r="C524" s="80"/>
      <c r="D524" s="80"/>
      <c r="E524" s="80"/>
      <c r="F524" s="80"/>
      <c r="G524" s="80"/>
      <c r="H524" s="80"/>
      <c r="I524" s="80"/>
      <c r="J524" s="80"/>
      <c r="K524" s="80"/>
      <c r="L524" s="80"/>
      <c r="M524" s="80"/>
      <c r="N524" s="143"/>
      <c r="O524" s="143"/>
      <c r="P524" s="143"/>
      <c r="Q524" s="143"/>
      <c r="R524" s="143"/>
      <c r="S524" s="80"/>
      <c r="T524" s="80"/>
      <c r="U524" s="80"/>
      <c r="V524" s="80"/>
      <c r="W524" s="80"/>
      <c r="X524" s="80"/>
      <c r="Y524" s="80"/>
      <c r="Z524" s="80"/>
      <c r="AA524" s="80"/>
      <c r="AB524" s="80"/>
    </row>
    <row r="525" spans="1:28" ht="15.75">
      <c r="A525" s="80"/>
      <c r="B525" s="80"/>
      <c r="C525" s="80"/>
      <c r="D525" s="80"/>
      <c r="E525" s="80"/>
      <c r="F525" s="80"/>
      <c r="G525" s="80"/>
      <c r="H525" s="80"/>
      <c r="I525" s="80"/>
      <c r="J525" s="80"/>
      <c r="K525" s="80"/>
      <c r="L525" s="80"/>
      <c r="M525" s="80"/>
      <c r="N525" s="143"/>
      <c r="O525" s="143"/>
      <c r="P525" s="143"/>
      <c r="Q525" s="143"/>
      <c r="R525" s="143"/>
      <c r="S525" s="80"/>
      <c r="T525" s="80"/>
      <c r="U525" s="80"/>
      <c r="V525" s="80"/>
      <c r="W525" s="80"/>
      <c r="X525" s="80"/>
      <c r="Y525" s="80"/>
      <c r="Z525" s="80"/>
      <c r="AA525" s="80"/>
      <c r="AB525" s="80"/>
    </row>
    <row r="526" spans="1:28" ht="15.75">
      <c r="A526" s="80"/>
      <c r="B526" s="80"/>
      <c r="C526" s="80"/>
      <c r="D526" s="80"/>
      <c r="E526" s="80"/>
      <c r="F526" s="80"/>
      <c r="G526" s="80"/>
      <c r="H526" s="80"/>
      <c r="I526" s="80"/>
      <c r="J526" s="80"/>
      <c r="K526" s="80"/>
      <c r="L526" s="80"/>
      <c r="M526" s="80"/>
      <c r="N526" s="143"/>
      <c r="O526" s="143"/>
      <c r="P526" s="143"/>
      <c r="Q526" s="143"/>
      <c r="R526" s="143"/>
      <c r="S526" s="80"/>
      <c r="T526" s="80"/>
      <c r="U526" s="80"/>
      <c r="V526" s="80"/>
      <c r="W526" s="80"/>
      <c r="X526" s="80"/>
      <c r="Y526" s="80"/>
      <c r="Z526" s="80"/>
      <c r="AA526" s="80"/>
      <c r="AB526" s="80"/>
    </row>
    <row r="527" spans="1:28" ht="15.75">
      <c r="A527" s="80"/>
      <c r="B527" s="80"/>
      <c r="C527" s="80"/>
      <c r="D527" s="80"/>
      <c r="E527" s="80"/>
      <c r="F527" s="80"/>
      <c r="G527" s="80"/>
      <c r="H527" s="80"/>
      <c r="I527" s="80"/>
      <c r="J527" s="80"/>
      <c r="K527" s="80"/>
      <c r="L527" s="80"/>
      <c r="M527" s="80"/>
      <c r="N527" s="143"/>
      <c r="O527" s="143"/>
      <c r="P527" s="143"/>
      <c r="Q527" s="143"/>
      <c r="R527" s="143"/>
      <c r="S527" s="80"/>
      <c r="T527" s="80"/>
      <c r="U527" s="80"/>
      <c r="V527" s="80"/>
      <c r="W527" s="80"/>
      <c r="X527" s="80"/>
      <c r="Y527" s="80"/>
      <c r="Z527" s="80"/>
      <c r="AA527" s="80"/>
      <c r="AB527" s="80"/>
    </row>
    <row r="528" spans="1:28" ht="15.75">
      <c r="A528" s="80"/>
      <c r="B528" s="80"/>
      <c r="C528" s="80"/>
      <c r="D528" s="80"/>
      <c r="E528" s="80"/>
      <c r="F528" s="80"/>
      <c r="G528" s="80"/>
      <c r="H528" s="80"/>
      <c r="I528" s="80"/>
      <c r="J528" s="80"/>
      <c r="K528" s="80"/>
      <c r="L528" s="80"/>
      <c r="M528" s="80"/>
      <c r="N528" s="143"/>
      <c r="O528" s="143"/>
      <c r="P528" s="143"/>
      <c r="Q528" s="143"/>
      <c r="R528" s="143"/>
      <c r="S528" s="80"/>
      <c r="T528" s="80"/>
      <c r="U528" s="80"/>
      <c r="V528" s="80"/>
      <c r="W528" s="80"/>
      <c r="X528" s="80"/>
      <c r="Y528" s="80"/>
      <c r="Z528" s="80"/>
      <c r="AA528" s="80"/>
      <c r="AB528" s="80"/>
    </row>
    <row r="529" spans="1:28" ht="15.75">
      <c r="A529" s="80"/>
      <c r="B529" s="80"/>
      <c r="C529" s="80"/>
      <c r="D529" s="80"/>
      <c r="E529" s="80"/>
      <c r="F529" s="80"/>
      <c r="G529" s="80"/>
      <c r="H529" s="80"/>
      <c r="I529" s="80"/>
      <c r="J529" s="80"/>
      <c r="K529" s="80"/>
      <c r="L529" s="80"/>
      <c r="M529" s="80"/>
      <c r="N529" s="143"/>
      <c r="O529" s="143"/>
      <c r="P529" s="143"/>
      <c r="Q529" s="143"/>
      <c r="R529" s="143"/>
      <c r="S529" s="80"/>
      <c r="T529" s="80"/>
      <c r="U529" s="80"/>
      <c r="V529" s="80"/>
      <c r="W529" s="80"/>
      <c r="X529" s="80"/>
      <c r="Y529" s="80"/>
      <c r="Z529" s="80"/>
      <c r="AA529" s="80"/>
      <c r="AB529" s="80"/>
    </row>
    <row r="530" spans="1:28" ht="15.75">
      <c r="A530" s="80"/>
      <c r="B530" s="80"/>
      <c r="C530" s="80"/>
      <c r="D530" s="80"/>
      <c r="E530" s="80"/>
      <c r="F530" s="80"/>
      <c r="G530" s="80"/>
      <c r="H530" s="80"/>
      <c r="I530" s="80"/>
      <c r="J530" s="80"/>
      <c r="K530" s="80"/>
      <c r="L530" s="80"/>
      <c r="M530" s="80"/>
      <c r="N530" s="143"/>
      <c r="O530" s="143"/>
      <c r="P530" s="143"/>
      <c r="Q530" s="143"/>
      <c r="R530" s="143"/>
      <c r="S530" s="80"/>
      <c r="T530" s="80"/>
      <c r="U530" s="80"/>
      <c r="V530" s="80"/>
      <c r="W530" s="80"/>
      <c r="X530" s="80"/>
      <c r="Y530" s="80"/>
      <c r="Z530" s="80"/>
      <c r="AA530" s="80"/>
      <c r="AB530" s="80"/>
    </row>
    <row r="531" spans="1:28" ht="15.75">
      <c r="A531" s="80"/>
      <c r="B531" s="80"/>
      <c r="C531" s="80"/>
      <c r="D531" s="80"/>
      <c r="E531" s="80"/>
      <c r="F531" s="80"/>
      <c r="G531" s="80"/>
      <c r="H531" s="80"/>
      <c r="I531" s="80"/>
      <c r="J531" s="80"/>
      <c r="K531" s="80"/>
      <c r="L531" s="80"/>
      <c r="M531" s="80"/>
      <c r="N531" s="143"/>
      <c r="O531" s="143"/>
      <c r="P531" s="143"/>
      <c r="Q531" s="143"/>
      <c r="R531" s="143"/>
      <c r="S531" s="80"/>
      <c r="T531" s="80"/>
      <c r="U531" s="80"/>
      <c r="V531" s="80"/>
      <c r="W531" s="80"/>
      <c r="X531" s="80"/>
      <c r="Y531" s="80"/>
      <c r="Z531" s="80"/>
      <c r="AA531" s="80"/>
      <c r="AB531" s="80"/>
    </row>
    <row r="532" spans="1:28" ht="15.75">
      <c r="A532" s="80"/>
      <c r="B532" s="80"/>
      <c r="C532" s="80"/>
      <c r="D532" s="80"/>
      <c r="E532" s="80"/>
      <c r="F532" s="80"/>
      <c r="G532" s="80"/>
      <c r="H532" s="80"/>
      <c r="I532" s="80"/>
      <c r="J532" s="80"/>
      <c r="K532" s="80"/>
      <c r="L532" s="80"/>
      <c r="M532" s="80"/>
      <c r="N532" s="143"/>
      <c r="O532" s="143"/>
      <c r="P532" s="143"/>
      <c r="Q532" s="143"/>
      <c r="R532" s="143"/>
      <c r="S532" s="80"/>
      <c r="T532" s="80"/>
      <c r="U532" s="80"/>
      <c r="V532" s="80"/>
      <c r="W532" s="80"/>
      <c r="X532" s="80"/>
      <c r="Y532" s="80"/>
      <c r="Z532" s="80"/>
      <c r="AA532" s="80"/>
      <c r="AB532" s="80"/>
    </row>
    <row r="533" spans="1:28" ht="15.75">
      <c r="A533" s="80"/>
      <c r="B533" s="80"/>
      <c r="C533" s="80"/>
      <c r="D533" s="80"/>
      <c r="E533" s="80"/>
      <c r="F533" s="80"/>
      <c r="G533" s="80"/>
      <c r="H533" s="80"/>
      <c r="I533" s="80"/>
      <c r="J533" s="80"/>
      <c r="K533" s="80"/>
      <c r="L533" s="80"/>
      <c r="M533" s="80"/>
      <c r="N533" s="143"/>
      <c r="O533" s="143"/>
      <c r="P533" s="143"/>
      <c r="Q533" s="143"/>
      <c r="R533" s="143"/>
      <c r="S533" s="80"/>
      <c r="T533" s="80"/>
      <c r="U533" s="80"/>
      <c r="V533" s="80"/>
      <c r="W533" s="80"/>
      <c r="X533" s="80"/>
      <c r="Y533" s="80"/>
      <c r="Z533" s="80"/>
      <c r="AA533" s="80"/>
      <c r="AB533" s="80"/>
    </row>
    <row r="534" spans="1:28" ht="15.75">
      <c r="A534" s="80"/>
      <c r="B534" s="80"/>
      <c r="C534" s="80"/>
      <c r="D534" s="80"/>
      <c r="E534" s="80"/>
      <c r="F534" s="80"/>
      <c r="G534" s="80"/>
      <c r="H534" s="80"/>
      <c r="I534" s="80"/>
      <c r="J534" s="80"/>
      <c r="K534" s="80"/>
      <c r="L534" s="80"/>
      <c r="M534" s="80"/>
      <c r="N534" s="143"/>
      <c r="O534" s="143"/>
      <c r="P534" s="143"/>
      <c r="Q534" s="143"/>
      <c r="R534" s="143"/>
      <c r="S534" s="80"/>
      <c r="T534" s="80"/>
      <c r="U534" s="80"/>
      <c r="V534" s="80"/>
      <c r="W534" s="80"/>
      <c r="X534" s="80"/>
      <c r="Y534" s="80"/>
      <c r="Z534" s="80"/>
      <c r="AA534" s="80"/>
      <c r="AB534" s="80"/>
    </row>
    <row r="535" spans="1:28" ht="15.75">
      <c r="A535" s="80"/>
      <c r="B535" s="80"/>
      <c r="C535" s="80"/>
      <c r="D535" s="80"/>
      <c r="E535" s="80"/>
      <c r="F535" s="80"/>
      <c r="G535" s="80"/>
      <c r="H535" s="80"/>
      <c r="I535" s="80"/>
      <c r="J535" s="80"/>
      <c r="K535" s="80"/>
      <c r="L535" s="80"/>
      <c r="M535" s="80"/>
      <c r="N535" s="143"/>
      <c r="O535" s="143"/>
      <c r="P535" s="143"/>
      <c r="Q535" s="143"/>
      <c r="R535" s="143"/>
      <c r="S535" s="80"/>
      <c r="T535" s="80"/>
      <c r="U535" s="80"/>
      <c r="V535" s="80"/>
      <c r="W535" s="80"/>
      <c r="X535" s="80"/>
      <c r="Y535" s="80"/>
      <c r="Z535" s="80"/>
      <c r="AA535" s="80"/>
      <c r="AB535" s="80"/>
    </row>
    <row r="536" spans="1:28" ht="15.75">
      <c r="A536" s="80"/>
      <c r="B536" s="80"/>
      <c r="C536" s="80"/>
      <c r="D536" s="80"/>
      <c r="E536" s="80"/>
      <c r="F536" s="80"/>
      <c r="G536" s="80"/>
      <c r="H536" s="80"/>
      <c r="I536" s="80"/>
      <c r="J536" s="80"/>
      <c r="K536" s="80"/>
      <c r="L536" s="80"/>
      <c r="M536" s="80"/>
      <c r="N536" s="143"/>
      <c r="O536" s="143"/>
      <c r="P536" s="143"/>
      <c r="Q536" s="143"/>
      <c r="R536" s="143"/>
      <c r="S536" s="80"/>
      <c r="T536" s="80"/>
      <c r="U536" s="80"/>
      <c r="V536" s="80"/>
      <c r="W536" s="80"/>
      <c r="X536" s="80"/>
      <c r="Y536" s="80"/>
      <c r="Z536" s="80"/>
      <c r="AA536" s="80"/>
      <c r="AB536" s="80"/>
    </row>
    <row r="537" spans="1:28" ht="15.75">
      <c r="A537" s="80"/>
      <c r="B537" s="80"/>
      <c r="C537" s="80"/>
      <c r="D537" s="80"/>
      <c r="E537" s="80"/>
      <c r="F537" s="80"/>
      <c r="G537" s="80"/>
      <c r="H537" s="80"/>
      <c r="I537" s="80"/>
      <c r="J537" s="80"/>
      <c r="K537" s="80"/>
      <c r="L537" s="80"/>
      <c r="M537" s="80"/>
      <c r="N537" s="143"/>
      <c r="O537" s="143"/>
      <c r="P537" s="143"/>
      <c r="Q537" s="143"/>
      <c r="R537" s="143"/>
      <c r="S537" s="80"/>
      <c r="T537" s="80"/>
      <c r="U537" s="80"/>
      <c r="V537" s="80"/>
      <c r="W537" s="80"/>
      <c r="X537" s="80"/>
      <c r="Y537" s="80"/>
      <c r="Z537" s="80"/>
      <c r="AA537" s="80"/>
      <c r="AB537" s="80"/>
    </row>
    <row r="538" spans="1:28" ht="15.75">
      <c r="A538" s="80"/>
      <c r="B538" s="80"/>
      <c r="C538" s="80"/>
      <c r="D538" s="80"/>
      <c r="E538" s="80"/>
      <c r="F538" s="80"/>
      <c r="G538" s="80"/>
      <c r="H538" s="80"/>
      <c r="I538" s="80"/>
      <c r="J538" s="80"/>
      <c r="K538" s="80"/>
      <c r="L538" s="80"/>
      <c r="M538" s="80"/>
      <c r="N538" s="143"/>
      <c r="O538" s="143"/>
      <c r="P538" s="143"/>
      <c r="Q538" s="143"/>
      <c r="R538" s="143"/>
      <c r="S538" s="80"/>
      <c r="T538" s="80"/>
      <c r="U538" s="80"/>
      <c r="V538" s="80"/>
      <c r="W538" s="80"/>
      <c r="X538" s="80"/>
      <c r="Y538" s="80"/>
      <c r="Z538" s="80"/>
      <c r="AA538" s="80"/>
      <c r="AB538" s="80"/>
    </row>
    <row r="539" spans="1:28" ht="15.75">
      <c r="A539" s="80"/>
      <c r="B539" s="80"/>
      <c r="C539" s="80"/>
      <c r="D539" s="80"/>
      <c r="E539" s="80"/>
      <c r="F539" s="80"/>
      <c r="G539" s="80"/>
      <c r="H539" s="80"/>
      <c r="I539" s="80"/>
      <c r="J539" s="80"/>
      <c r="K539" s="80"/>
      <c r="L539" s="80"/>
      <c r="M539" s="80"/>
      <c r="N539" s="143"/>
      <c r="O539" s="143"/>
      <c r="P539" s="143"/>
      <c r="Q539" s="143"/>
      <c r="R539" s="143"/>
      <c r="S539" s="80"/>
      <c r="T539" s="80"/>
      <c r="U539" s="80"/>
      <c r="V539" s="80"/>
      <c r="W539" s="80"/>
      <c r="X539" s="80"/>
      <c r="Y539" s="80"/>
      <c r="Z539" s="80"/>
      <c r="AA539" s="80"/>
      <c r="AB539" s="80"/>
    </row>
    <row r="540" spans="1:28" ht="15.75">
      <c r="A540" s="80"/>
      <c r="B540" s="80"/>
      <c r="C540" s="80"/>
      <c r="D540" s="80"/>
      <c r="E540" s="80"/>
      <c r="F540" s="80"/>
      <c r="G540" s="80"/>
      <c r="H540" s="80"/>
      <c r="I540" s="80"/>
      <c r="J540" s="80"/>
      <c r="K540" s="80"/>
      <c r="L540" s="80"/>
      <c r="M540" s="80"/>
      <c r="N540" s="143"/>
      <c r="O540" s="143"/>
      <c r="P540" s="143"/>
      <c r="Q540" s="143"/>
      <c r="R540" s="143"/>
      <c r="S540" s="80"/>
      <c r="T540" s="80"/>
      <c r="U540" s="80"/>
      <c r="V540" s="80"/>
      <c r="W540" s="80"/>
      <c r="X540" s="80"/>
      <c r="Y540" s="80"/>
      <c r="Z540" s="80"/>
      <c r="AA540" s="80"/>
      <c r="AB540" s="80"/>
    </row>
    <row r="541" spans="1:28" ht="15.75">
      <c r="A541" s="80"/>
      <c r="B541" s="80"/>
      <c r="C541" s="80"/>
      <c r="D541" s="80"/>
      <c r="E541" s="80"/>
      <c r="F541" s="80"/>
      <c r="G541" s="80"/>
      <c r="H541" s="80"/>
      <c r="I541" s="80"/>
      <c r="J541" s="80"/>
      <c r="K541" s="80"/>
      <c r="L541" s="80"/>
      <c r="M541" s="80"/>
      <c r="N541" s="143"/>
      <c r="O541" s="143"/>
      <c r="P541" s="143"/>
      <c r="Q541" s="143"/>
      <c r="R541" s="143"/>
      <c r="S541" s="80"/>
      <c r="T541" s="80"/>
      <c r="U541" s="80"/>
      <c r="V541" s="80"/>
      <c r="W541" s="80"/>
      <c r="X541" s="80"/>
      <c r="Y541" s="80"/>
      <c r="Z541" s="80"/>
      <c r="AA541" s="80"/>
      <c r="AB541" s="80"/>
    </row>
    <row r="542" spans="1:28" ht="15.75">
      <c r="A542" s="80"/>
      <c r="B542" s="80"/>
      <c r="C542" s="80"/>
      <c r="D542" s="80"/>
      <c r="E542" s="80"/>
      <c r="F542" s="80"/>
      <c r="G542" s="80"/>
      <c r="H542" s="80"/>
      <c r="I542" s="80"/>
      <c r="J542" s="80"/>
      <c r="K542" s="80"/>
      <c r="L542" s="80"/>
      <c r="M542" s="80"/>
      <c r="N542" s="143"/>
      <c r="O542" s="143"/>
      <c r="P542" s="143"/>
      <c r="Q542" s="143"/>
      <c r="R542" s="143"/>
      <c r="S542" s="80"/>
      <c r="T542" s="80"/>
      <c r="U542" s="80"/>
      <c r="V542" s="80"/>
      <c r="W542" s="80"/>
      <c r="X542" s="80"/>
      <c r="Y542" s="80"/>
      <c r="Z542" s="80"/>
      <c r="AA542" s="80"/>
      <c r="AB542" s="80"/>
    </row>
    <row r="543" spans="1:28" ht="15.75">
      <c r="A543" s="80"/>
      <c r="B543" s="80"/>
      <c r="C543" s="80"/>
      <c r="D543" s="80"/>
      <c r="E543" s="80"/>
      <c r="F543" s="80"/>
      <c r="G543" s="80"/>
      <c r="H543" s="80"/>
      <c r="I543" s="80"/>
      <c r="J543" s="80"/>
      <c r="K543" s="80"/>
      <c r="L543" s="80"/>
      <c r="M543" s="80"/>
      <c r="N543" s="143"/>
      <c r="O543" s="143"/>
      <c r="P543" s="143"/>
      <c r="Q543" s="143"/>
      <c r="R543" s="143"/>
      <c r="S543" s="80"/>
      <c r="T543" s="80"/>
      <c r="U543" s="80"/>
      <c r="V543" s="80"/>
      <c r="W543" s="80"/>
      <c r="X543" s="80"/>
      <c r="Y543" s="80"/>
      <c r="Z543" s="80"/>
      <c r="AA543" s="80"/>
      <c r="AB543" s="80"/>
    </row>
    <row r="544" spans="1:28" ht="15.75">
      <c r="A544" s="80"/>
      <c r="B544" s="80"/>
      <c r="C544" s="80"/>
      <c r="D544" s="80"/>
      <c r="E544" s="80"/>
      <c r="F544" s="80"/>
      <c r="G544" s="80"/>
      <c r="H544" s="80"/>
      <c r="I544" s="80"/>
      <c r="J544" s="80"/>
      <c r="K544" s="80"/>
      <c r="L544" s="80"/>
      <c r="M544" s="80"/>
      <c r="N544" s="143"/>
      <c r="O544" s="143"/>
      <c r="P544" s="143"/>
      <c r="Q544" s="143"/>
      <c r="R544" s="143"/>
      <c r="S544" s="80"/>
      <c r="T544" s="80"/>
      <c r="U544" s="80"/>
      <c r="V544" s="80"/>
      <c r="W544" s="80"/>
      <c r="X544" s="80"/>
      <c r="Y544" s="80"/>
      <c r="Z544" s="80"/>
      <c r="AA544" s="80"/>
      <c r="AB544" s="80"/>
    </row>
    <row r="545" spans="1:28" ht="15.75">
      <c r="A545" s="80"/>
      <c r="B545" s="80"/>
      <c r="C545" s="80"/>
      <c r="D545" s="80"/>
      <c r="E545" s="80"/>
      <c r="F545" s="80"/>
      <c r="G545" s="80"/>
      <c r="H545" s="80"/>
      <c r="I545" s="80"/>
      <c r="J545" s="80"/>
      <c r="K545" s="80"/>
      <c r="L545" s="80"/>
      <c r="M545" s="80"/>
      <c r="N545" s="143"/>
      <c r="O545" s="143"/>
      <c r="P545" s="143"/>
      <c r="Q545" s="143"/>
      <c r="R545" s="143"/>
      <c r="S545" s="80"/>
      <c r="T545" s="80"/>
      <c r="U545" s="80"/>
      <c r="V545" s="80"/>
      <c r="W545" s="80"/>
      <c r="X545" s="80"/>
      <c r="Y545" s="80"/>
      <c r="Z545" s="80"/>
      <c r="AA545" s="80"/>
      <c r="AB545" s="80"/>
    </row>
    <row r="546" spans="1:28" ht="15.75">
      <c r="A546" s="80"/>
      <c r="B546" s="80"/>
      <c r="C546" s="80"/>
      <c r="D546" s="80"/>
      <c r="E546" s="80"/>
      <c r="F546" s="80"/>
      <c r="G546" s="80"/>
      <c r="H546" s="80"/>
      <c r="I546" s="80"/>
      <c r="J546" s="80"/>
      <c r="K546" s="80"/>
      <c r="L546" s="80"/>
      <c r="M546" s="80"/>
      <c r="N546" s="143"/>
      <c r="O546" s="143"/>
      <c r="P546" s="143"/>
      <c r="Q546" s="143"/>
      <c r="R546" s="143"/>
      <c r="S546" s="80"/>
      <c r="T546" s="80"/>
      <c r="U546" s="80"/>
      <c r="V546" s="80"/>
      <c r="W546" s="80"/>
      <c r="X546" s="80"/>
      <c r="Y546" s="80"/>
      <c r="Z546" s="80"/>
      <c r="AA546" s="80"/>
      <c r="AB546" s="80"/>
    </row>
    <row r="547" spans="1:28" ht="15.75">
      <c r="A547" s="80"/>
      <c r="B547" s="80"/>
      <c r="C547" s="80"/>
      <c r="D547" s="80"/>
      <c r="E547" s="80"/>
      <c r="F547" s="80"/>
      <c r="G547" s="80"/>
      <c r="H547" s="80"/>
      <c r="I547" s="80"/>
      <c r="J547" s="80"/>
      <c r="K547" s="80"/>
      <c r="L547" s="80"/>
      <c r="M547" s="80"/>
      <c r="N547" s="143"/>
      <c r="O547" s="143"/>
      <c r="P547" s="143"/>
      <c r="Q547" s="143"/>
      <c r="R547" s="143"/>
      <c r="S547" s="80"/>
      <c r="T547" s="80"/>
      <c r="U547" s="80"/>
      <c r="V547" s="80"/>
      <c r="W547" s="80"/>
      <c r="X547" s="80"/>
      <c r="Y547" s="80"/>
      <c r="Z547" s="80"/>
      <c r="AA547" s="80"/>
      <c r="AB547" s="80"/>
    </row>
    <row r="548" spans="1:28" ht="15.75">
      <c r="A548" s="80"/>
      <c r="B548" s="80"/>
      <c r="C548" s="80"/>
      <c r="D548" s="80"/>
      <c r="E548" s="80"/>
      <c r="F548" s="80"/>
      <c r="G548" s="80"/>
      <c r="H548" s="80"/>
      <c r="I548" s="80"/>
      <c r="J548" s="80"/>
      <c r="K548" s="80"/>
      <c r="L548" s="80"/>
      <c r="M548" s="80"/>
      <c r="N548" s="143"/>
      <c r="O548" s="143"/>
      <c r="P548" s="143"/>
      <c r="Q548" s="143"/>
      <c r="R548" s="143"/>
      <c r="S548" s="80"/>
      <c r="T548" s="80"/>
      <c r="U548" s="80"/>
      <c r="V548" s="80"/>
      <c r="W548" s="80"/>
      <c r="X548" s="80"/>
      <c r="Y548" s="80"/>
      <c r="Z548" s="80"/>
      <c r="AA548" s="80"/>
      <c r="AB548" s="80"/>
    </row>
    <row r="549" spans="1:28" ht="15.75">
      <c r="A549" s="80"/>
      <c r="B549" s="80"/>
      <c r="C549" s="80"/>
      <c r="D549" s="80"/>
      <c r="E549" s="80"/>
      <c r="F549" s="80"/>
      <c r="G549" s="80"/>
      <c r="H549" s="80"/>
      <c r="I549" s="80"/>
      <c r="J549" s="80"/>
      <c r="K549" s="80"/>
      <c r="L549" s="80"/>
      <c r="M549" s="80"/>
      <c r="N549" s="143"/>
      <c r="O549" s="143"/>
      <c r="P549" s="143"/>
      <c r="Q549" s="143"/>
      <c r="R549" s="143"/>
      <c r="S549" s="80"/>
      <c r="T549" s="80"/>
      <c r="U549" s="80"/>
      <c r="V549" s="80"/>
      <c r="W549" s="80"/>
      <c r="X549" s="80"/>
      <c r="Y549" s="80"/>
      <c r="Z549" s="80"/>
      <c r="AA549" s="80"/>
      <c r="AB549" s="80"/>
    </row>
    <row r="550" spans="1:28" ht="15.75">
      <c r="A550" s="80"/>
      <c r="B550" s="80"/>
      <c r="C550" s="80"/>
      <c r="D550" s="80"/>
      <c r="E550" s="80"/>
      <c r="F550" s="80"/>
      <c r="G550" s="80"/>
      <c r="H550" s="80"/>
      <c r="I550" s="80"/>
      <c r="J550" s="80"/>
      <c r="K550" s="80"/>
      <c r="L550" s="80"/>
      <c r="M550" s="80"/>
      <c r="N550" s="143"/>
      <c r="O550" s="143"/>
      <c r="P550" s="143"/>
      <c r="Q550" s="143"/>
      <c r="R550" s="143"/>
      <c r="S550" s="80"/>
      <c r="T550" s="80"/>
      <c r="U550" s="80"/>
      <c r="V550" s="80"/>
      <c r="W550" s="80"/>
      <c r="X550" s="80"/>
      <c r="Y550" s="80"/>
      <c r="Z550" s="80"/>
      <c r="AA550" s="80"/>
      <c r="AB550" s="80"/>
    </row>
    <row r="551" spans="1:28" ht="15.75">
      <c r="A551" s="80"/>
      <c r="B551" s="80"/>
      <c r="C551" s="80"/>
      <c r="D551" s="80"/>
      <c r="E551" s="80"/>
      <c r="F551" s="80"/>
      <c r="G551" s="80"/>
      <c r="H551" s="80"/>
      <c r="I551" s="80"/>
      <c r="J551" s="80"/>
      <c r="K551" s="80"/>
      <c r="L551" s="80"/>
      <c r="M551" s="80"/>
      <c r="N551" s="143"/>
      <c r="O551" s="143"/>
      <c r="P551" s="143"/>
      <c r="Q551" s="143"/>
      <c r="R551" s="143"/>
      <c r="S551" s="80"/>
      <c r="T551" s="80"/>
      <c r="U551" s="80"/>
      <c r="V551" s="80"/>
      <c r="W551" s="80"/>
      <c r="X551" s="80"/>
      <c r="Y551" s="80"/>
      <c r="Z551" s="80"/>
      <c r="AA551" s="80"/>
      <c r="AB551" s="80"/>
    </row>
    <row r="552" spans="1:28" ht="15.75">
      <c r="A552" s="80"/>
      <c r="B552" s="80"/>
      <c r="C552" s="80"/>
      <c r="D552" s="80"/>
      <c r="E552" s="80"/>
      <c r="F552" s="80"/>
      <c r="G552" s="80"/>
      <c r="H552" s="80"/>
      <c r="I552" s="80"/>
      <c r="J552" s="80"/>
      <c r="K552" s="80"/>
      <c r="L552" s="80"/>
      <c r="M552" s="80"/>
      <c r="N552" s="143"/>
      <c r="O552" s="143"/>
      <c r="P552" s="143"/>
      <c r="Q552" s="143"/>
      <c r="R552" s="143"/>
      <c r="S552" s="80"/>
      <c r="T552" s="80"/>
      <c r="U552" s="80"/>
      <c r="V552" s="80"/>
      <c r="W552" s="80"/>
      <c r="X552" s="80"/>
      <c r="Y552" s="80"/>
      <c r="Z552" s="80"/>
      <c r="AA552" s="80"/>
      <c r="AB552" s="80"/>
    </row>
    <row r="553" spans="1:28" ht="15.75">
      <c r="A553" s="80"/>
      <c r="B553" s="80"/>
      <c r="C553" s="80"/>
      <c r="D553" s="80"/>
      <c r="E553" s="80"/>
      <c r="F553" s="80"/>
      <c r="G553" s="80"/>
      <c r="H553" s="80"/>
      <c r="I553" s="80"/>
      <c r="J553" s="80"/>
      <c r="K553" s="80"/>
      <c r="L553" s="80"/>
      <c r="M553" s="80"/>
      <c r="N553" s="143"/>
      <c r="O553" s="143"/>
      <c r="P553" s="143"/>
      <c r="Q553" s="143"/>
      <c r="R553" s="143"/>
      <c r="S553" s="80"/>
      <c r="T553" s="80"/>
      <c r="U553" s="80"/>
      <c r="V553" s="80"/>
      <c r="W553" s="80"/>
      <c r="X553" s="80"/>
      <c r="Y553" s="80"/>
      <c r="Z553" s="80"/>
      <c r="AA553" s="80"/>
      <c r="AB553" s="80"/>
    </row>
    <row r="554" spans="1:28" ht="15.75">
      <c r="A554" s="80"/>
      <c r="B554" s="80"/>
      <c r="C554" s="80"/>
      <c r="D554" s="80"/>
      <c r="E554" s="80"/>
      <c r="F554" s="80"/>
      <c r="G554" s="80"/>
      <c r="H554" s="80"/>
      <c r="I554" s="80"/>
      <c r="J554" s="80"/>
      <c r="K554" s="80"/>
      <c r="L554" s="80"/>
      <c r="M554" s="80"/>
      <c r="N554" s="143"/>
      <c r="O554" s="143"/>
      <c r="P554" s="143"/>
      <c r="Q554" s="143"/>
      <c r="R554" s="143"/>
      <c r="S554" s="80"/>
      <c r="T554" s="80"/>
      <c r="U554" s="80"/>
      <c r="V554" s="80"/>
      <c r="W554" s="80"/>
      <c r="X554" s="80"/>
      <c r="Y554" s="80"/>
      <c r="Z554" s="80"/>
      <c r="AA554" s="80"/>
      <c r="AB554" s="80"/>
    </row>
    <row r="555" spans="1:28" ht="15.75">
      <c r="A555" s="80"/>
      <c r="B555" s="80"/>
      <c r="C555" s="80"/>
      <c r="D555" s="80"/>
      <c r="E555" s="80"/>
      <c r="F555" s="80"/>
      <c r="G555" s="80"/>
      <c r="H555" s="80"/>
      <c r="I555" s="80"/>
      <c r="J555" s="80"/>
      <c r="K555" s="80"/>
      <c r="L555" s="80"/>
      <c r="M555" s="80"/>
      <c r="N555" s="143"/>
      <c r="O555" s="143"/>
      <c r="P555" s="143"/>
      <c r="Q555" s="143"/>
      <c r="R555" s="143"/>
      <c r="S555" s="80"/>
      <c r="T555" s="80"/>
      <c r="U555" s="80"/>
      <c r="V555" s="80"/>
      <c r="W555" s="80"/>
      <c r="X555" s="80"/>
      <c r="Y555" s="80"/>
      <c r="Z555" s="80"/>
      <c r="AA555" s="80"/>
      <c r="AB555" s="80"/>
    </row>
    <row r="556" spans="1:28" ht="15.75">
      <c r="A556" s="80"/>
      <c r="B556" s="80"/>
      <c r="C556" s="80"/>
      <c r="D556" s="80"/>
      <c r="E556" s="80"/>
      <c r="F556" s="80"/>
      <c r="G556" s="80"/>
      <c r="H556" s="80"/>
      <c r="I556" s="80"/>
      <c r="J556" s="80"/>
      <c r="K556" s="80"/>
      <c r="L556" s="80"/>
      <c r="M556" s="80"/>
      <c r="N556" s="143"/>
      <c r="O556" s="143"/>
      <c r="P556" s="143"/>
      <c r="Q556" s="143"/>
      <c r="R556" s="143"/>
      <c r="S556" s="80"/>
      <c r="T556" s="80"/>
      <c r="U556" s="80"/>
      <c r="V556" s="80"/>
      <c r="W556" s="80"/>
      <c r="X556" s="80"/>
      <c r="Y556" s="80"/>
      <c r="Z556" s="80"/>
      <c r="AA556" s="80"/>
      <c r="AB556" s="80"/>
    </row>
    <row r="557" spans="1:28" ht="15.75">
      <c r="A557" s="80"/>
      <c r="B557" s="80"/>
      <c r="C557" s="80"/>
      <c r="D557" s="80"/>
      <c r="E557" s="80"/>
      <c r="F557" s="80"/>
      <c r="G557" s="80"/>
      <c r="H557" s="80"/>
      <c r="I557" s="80"/>
      <c r="J557" s="80"/>
      <c r="K557" s="80"/>
      <c r="L557" s="80"/>
      <c r="M557" s="80"/>
      <c r="N557" s="143"/>
      <c r="O557" s="143"/>
      <c r="P557" s="143"/>
      <c r="Q557" s="143"/>
      <c r="R557" s="143"/>
      <c r="S557" s="80"/>
      <c r="T557" s="80"/>
      <c r="U557" s="80"/>
      <c r="V557" s="80"/>
      <c r="W557" s="80"/>
      <c r="X557" s="80"/>
      <c r="Y557" s="80"/>
      <c r="Z557" s="80"/>
      <c r="AA557" s="80"/>
      <c r="AB557" s="80"/>
    </row>
    <row r="558" spans="1:28" ht="15.75">
      <c r="A558" s="80"/>
      <c r="B558" s="80"/>
      <c r="C558" s="80"/>
      <c r="D558" s="80"/>
      <c r="E558" s="80"/>
      <c r="F558" s="80"/>
      <c r="G558" s="80"/>
      <c r="H558" s="80"/>
      <c r="I558" s="80"/>
      <c r="J558" s="80"/>
      <c r="K558" s="80"/>
      <c r="L558" s="80"/>
      <c r="M558" s="80"/>
      <c r="N558" s="143"/>
      <c r="O558" s="143"/>
      <c r="P558" s="143"/>
      <c r="Q558" s="143"/>
      <c r="R558" s="143"/>
      <c r="S558" s="80"/>
      <c r="T558" s="80"/>
      <c r="U558" s="80"/>
      <c r="V558" s="80"/>
      <c r="W558" s="80"/>
      <c r="X558" s="80"/>
      <c r="Y558" s="80"/>
      <c r="Z558" s="80"/>
      <c r="AA558" s="80"/>
      <c r="AB558" s="80"/>
    </row>
    <row r="559" spans="1:28" ht="15.75">
      <c r="A559" s="80"/>
      <c r="B559" s="80"/>
      <c r="C559" s="80"/>
      <c r="D559" s="80"/>
      <c r="E559" s="80"/>
      <c r="F559" s="80"/>
      <c r="G559" s="80"/>
      <c r="H559" s="80"/>
      <c r="I559" s="80"/>
      <c r="J559" s="80"/>
      <c r="K559" s="80"/>
      <c r="L559" s="80"/>
      <c r="M559" s="80"/>
      <c r="N559" s="143"/>
      <c r="O559" s="143"/>
      <c r="P559" s="143"/>
      <c r="Q559" s="143"/>
      <c r="R559" s="143"/>
      <c r="S559" s="80"/>
      <c r="T559" s="80"/>
      <c r="U559" s="80"/>
      <c r="V559" s="80"/>
      <c r="W559" s="80"/>
      <c r="X559" s="80"/>
      <c r="Y559" s="80"/>
      <c r="Z559" s="80"/>
      <c r="AA559" s="80"/>
      <c r="AB559" s="80"/>
    </row>
    <row r="560" spans="1:28" ht="15.75">
      <c r="A560" s="80"/>
      <c r="B560" s="80"/>
      <c r="C560" s="80"/>
      <c r="D560" s="80"/>
      <c r="E560" s="80"/>
      <c r="F560" s="80"/>
      <c r="G560" s="80"/>
      <c r="H560" s="80"/>
      <c r="I560" s="80"/>
      <c r="J560" s="80"/>
      <c r="K560" s="80"/>
      <c r="L560" s="80"/>
      <c r="M560" s="80"/>
      <c r="N560" s="143"/>
      <c r="O560" s="143"/>
      <c r="P560" s="143"/>
      <c r="Q560" s="143"/>
      <c r="R560" s="143"/>
      <c r="S560" s="80"/>
      <c r="T560" s="80"/>
      <c r="U560" s="80"/>
      <c r="V560" s="80"/>
      <c r="W560" s="80"/>
      <c r="X560" s="80"/>
      <c r="Y560" s="80"/>
      <c r="Z560" s="80"/>
      <c r="AA560" s="80"/>
      <c r="AB560" s="80"/>
    </row>
    <row r="561" spans="1:28" ht="15.75">
      <c r="A561" s="80"/>
      <c r="B561" s="80"/>
      <c r="C561" s="80"/>
      <c r="D561" s="80"/>
      <c r="E561" s="80"/>
      <c r="F561" s="80"/>
      <c r="G561" s="80"/>
      <c r="H561" s="80"/>
      <c r="I561" s="80"/>
      <c r="J561" s="80"/>
      <c r="K561" s="80"/>
      <c r="L561" s="80"/>
      <c r="M561" s="80"/>
      <c r="N561" s="143"/>
      <c r="O561" s="143"/>
      <c r="P561" s="143"/>
      <c r="Q561" s="143"/>
      <c r="R561" s="143"/>
      <c r="S561" s="80"/>
      <c r="T561" s="80"/>
      <c r="U561" s="80"/>
      <c r="V561" s="80"/>
      <c r="W561" s="80"/>
      <c r="X561" s="80"/>
      <c r="Y561" s="80"/>
      <c r="Z561" s="80"/>
      <c r="AA561" s="80"/>
      <c r="AB561" s="80"/>
    </row>
    <row r="562" spans="1:28" ht="15.75">
      <c r="A562" s="80"/>
      <c r="B562" s="80"/>
      <c r="C562" s="80"/>
      <c r="D562" s="80"/>
      <c r="E562" s="80"/>
      <c r="F562" s="80"/>
      <c r="G562" s="80"/>
      <c r="H562" s="80"/>
      <c r="I562" s="80"/>
      <c r="J562" s="80"/>
      <c r="K562" s="80"/>
      <c r="L562" s="80"/>
      <c r="M562" s="80"/>
      <c r="N562" s="143"/>
      <c r="O562" s="143"/>
      <c r="P562" s="143"/>
      <c r="Q562" s="143"/>
      <c r="R562" s="143"/>
      <c r="S562" s="80"/>
      <c r="T562" s="80"/>
      <c r="U562" s="80"/>
      <c r="V562" s="80"/>
      <c r="W562" s="80"/>
      <c r="X562" s="80"/>
      <c r="Y562" s="80"/>
      <c r="Z562" s="80"/>
      <c r="AA562" s="80"/>
      <c r="AB562" s="80"/>
    </row>
    <row r="563" spans="1:28" ht="15.75">
      <c r="A563" s="80"/>
      <c r="B563" s="80"/>
      <c r="C563" s="80"/>
      <c r="D563" s="80"/>
      <c r="E563" s="80"/>
      <c r="F563" s="80"/>
      <c r="G563" s="80"/>
      <c r="H563" s="80"/>
      <c r="I563" s="80"/>
      <c r="J563" s="80"/>
      <c r="K563" s="80"/>
      <c r="L563" s="80"/>
      <c r="M563" s="80"/>
      <c r="N563" s="143"/>
      <c r="O563" s="143"/>
      <c r="P563" s="143"/>
      <c r="Q563" s="143"/>
      <c r="R563" s="143"/>
      <c r="S563" s="80"/>
      <c r="T563" s="80"/>
      <c r="U563" s="80"/>
      <c r="V563" s="80"/>
      <c r="W563" s="80"/>
      <c r="X563" s="80"/>
      <c r="Y563" s="80"/>
      <c r="Z563" s="80"/>
      <c r="AA563" s="80"/>
      <c r="AB563" s="80"/>
    </row>
    <row r="564" spans="1:28" ht="15.75">
      <c r="A564" s="80"/>
      <c r="B564" s="80"/>
      <c r="C564" s="80"/>
      <c r="D564" s="80"/>
      <c r="E564" s="80"/>
      <c r="F564" s="80"/>
      <c r="G564" s="80"/>
      <c r="H564" s="80"/>
      <c r="I564" s="80"/>
      <c r="J564" s="80"/>
      <c r="K564" s="80"/>
      <c r="L564" s="80"/>
      <c r="M564" s="80"/>
      <c r="N564" s="143"/>
      <c r="O564" s="143"/>
      <c r="P564" s="143"/>
      <c r="Q564" s="143"/>
      <c r="R564" s="143"/>
      <c r="S564" s="80"/>
      <c r="T564" s="80"/>
      <c r="U564" s="80"/>
      <c r="V564" s="80"/>
      <c r="W564" s="80"/>
      <c r="X564" s="80"/>
      <c r="Y564" s="80"/>
      <c r="Z564" s="80"/>
      <c r="AA564" s="80"/>
      <c r="AB564" s="80"/>
    </row>
    <row r="565" spans="1:28" ht="15.75">
      <c r="A565" s="80"/>
      <c r="B565" s="80"/>
      <c r="C565" s="80"/>
      <c r="D565" s="80"/>
      <c r="E565" s="80"/>
      <c r="F565" s="80"/>
      <c r="G565" s="80"/>
      <c r="H565" s="80"/>
      <c r="I565" s="80"/>
      <c r="J565" s="80"/>
      <c r="K565" s="80"/>
      <c r="L565" s="80"/>
      <c r="M565" s="80"/>
      <c r="N565" s="143"/>
      <c r="O565" s="143"/>
      <c r="P565" s="143"/>
      <c r="Q565" s="143"/>
      <c r="R565" s="143"/>
      <c r="S565" s="80"/>
      <c r="T565" s="80"/>
      <c r="U565" s="80"/>
      <c r="V565" s="80"/>
      <c r="W565" s="80"/>
      <c r="X565" s="80"/>
      <c r="Y565" s="80"/>
      <c r="Z565" s="80"/>
      <c r="AA565" s="80"/>
      <c r="AB565" s="80"/>
    </row>
    <row r="566" spans="1:28" ht="15.75">
      <c r="A566" s="80"/>
      <c r="B566" s="80"/>
      <c r="C566" s="80"/>
      <c r="D566" s="80"/>
      <c r="E566" s="80"/>
      <c r="F566" s="80"/>
      <c r="G566" s="80"/>
      <c r="H566" s="80"/>
      <c r="I566" s="80"/>
      <c r="J566" s="80"/>
      <c r="K566" s="80"/>
      <c r="L566" s="80"/>
      <c r="M566" s="80"/>
      <c r="N566" s="143"/>
      <c r="O566" s="143"/>
      <c r="P566" s="143"/>
      <c r="Q566" s="143"/>
      <c r="R566" s="143"/>
      <c r="S566" s="80"/>
      <c r="T566" s="80"/>
      <c r="U566" s="80"/>
      <c r="V566" s="80"/>
      <c r="W566" s="80"/>
      <c r="X566" s="80"/>
      <c r="Y566" s="80"/>
      <c r="Z566" s="80"/>
      <c r="AA566" s="80"/>
      <c r="AB566" s="80"/>
    </row>
    <row r="567" spans="1:28" ht="15.75">
      <c r="A567" s="80"/>
      <c r="B567" s="80"/>
      <c r="C567" s="80"/>
      <c r="D567" s="80"/>
      <c r="E567" s="80"/>
      <c r="F567" s="80"/>
      <c r="G567" s="80"/>
      <c r="H567" s="80"/>
      <c r="I567" s="80"/>
      <c r="J567" s="80"/>
      <c r="K567" s="80"/>
      <c r="L567" s="80"/>
      <c r="M567" s="80"/>
      <c r="N567" s="143"/>
      <c r="O567" s="143"/>
      <c r="P567" s="143"/>
      <c r="Q567" s="143"/>
      <c r="R567" s="143"/>
      <c r="S567" s="80"/>
      <c r="T567" s="80"/>
      <c r="U567" s="80"/>
      <c r="V567" s="80"/>
      <c r="W567" s="80"/>
      <c r="X567" s="80"/>
      <c r="Y567" s="80"/>
      <c r="Z567" s="80"/>
      <c r="AA567" s="80"/>
      <c r="AB567" s="80"/>
    </row>
    <row r="568" spans="1:28" ht="15.75">
      <c r="A568" s="80"/>
      <c r="B568" s="80"/>
      <c r="C568" s="80"/>
      <c r="D568" s="80"/>
      <c r="E568" s="80"/>
      <c r="F568" s="80"/>
      <c r="G568" s="80"/>
      <c r="H568" s="80"/>
      <c r="I568" s="80"/>
      <c r="J568" s="80"/>
      <c r="K568" s="80"/>
      <c r="L568" s="80"/>
      <c r="M568" s="80"/>
      <c r="N568" s="143"/>
      <c r="O568" s="143"/>
      <c r="P568" s="143"/>
      <c r="Q568" s="143"/>
      <c r="R568" s="143"/>
      <c r="S568" s="80"/>
      <c r="T568" s="80"/>
      <c r="U568" s="80"/>
      <c r="V568" s="80"/>
      <c r="W568" s="80"/>
      <c r="X568" s="80"/>
      <c r="Y568" s="80"/>
      <c r="Z568" s="80"/>
      <c r="AA568" s="80"/>
      <c r="AB568" s="80"/>
    </row>
    <row r="569" spans="1:28" ht="15.75">
      <c r="A569" s="80"/>
      <c r="B569" s="80"/>
      <c r="C569" s="80"/>
      <c r="D569" s="80"/>
      <c r="E569" s="80"/>
      <c r="F569" s="80"/>
      <c r="G569" s="80"/>
      <c r="H569" s="80"/>
      <c r="I569" s="80"/>
      <c r="J569" s="80"/>
      <c r="K569" s="80"/>
      <c r="L569" s="80"/>
      <c r="M569" s="80"/>
      <c r="N569" s="143"/>
      <c r="O569" s="143"/>
      <c r="P569" s="143"/>
      <c r="Q569" s="143"/>
      <c r="R569" s="143"/>
      <c r="S569" s="80"/>
      <c r="T569" s="80"/>
      <c r="U569" s="80"/>
      <c r="V569" s="80"/>
      <c r="W569" s="80"/>
      <c r="X569" s="80"/>
      <c r="Y569" s="80"/>
      <c r="Z569" s="80"/>
      <c r="AA569" s="80"/>
      <c r="AB569" s="80"/>
    </row>
    <row r="570" spans="1:28" ht="15.75">
      <c r="A570" s="80"/>
      <c r="B570" s="80"/>
      <c r="C570" s="80"/>
      <c r="D570" s="80"/>
      <c r="E570" s="80"/>
      <c r="F570" s="80"/>
      <c r="G570" s="80"/>
      <c r="H570" s="80"/>
      <c r="I570" s="80"/>
      <c r="J570" s="80"/>
      <c r="K570" s="80"/>
      <c r="L570" s="80"/>
      <c r="M570" s="80"/>
      <c r="N570" s="143"/>
      <c r="O570" s="143"/>
      <c r="P570" s="143"/>
      <c r="Q570" s="143"/>
      <c r="R570" s="143"/>
      <c r="S570" s="80"/>
      <c r="T570" s="80"/>
      <c r="U570" s="80"/>
      <c r="V570" s="80"/>
      <c r="W570" s="80"/>
      <c r="X570" s="80"/>
      <c r="Y570" s="80"/>
      <c r="Z570" s="80"/>
      <c r="AA570" s="80"/>
      <c r="AB570" s="80"/>
    </row>
    <row r="571" spans="1:28" ht="15.75">
      <c r="A571" s="80"/>
      <c r="B571" s="80"/>
      <c r="C571" s="80"/>
      <c r="D571" s="80"/>
      <c r="E571" s="80"/>
      <c r="F571" s="80"/>
      <c r="G571" s="80"/>
      <c r="H571" s="80"/>
      <c r="I571" s="80"/>
      <c r="J571" s="80"/>
      <c r="K571" s="80"/>
      <c r="L571" s="80"/>
      <c r="M571" s="80"/>
      <c r="N571" s="143"/>
      <c r="O571" s="143"/>
      <c r="P571" s="143"/>
      <c r="Q571" s="143"/>
      <c r="R571" s="143"/>
      <c r="S571" s="80"/>
      <c r="T571" s="80"/>
      <c r="U571" s="80"/>
      <c r="V571" s="80"/>
      <c r="W571" s="80"/>
      <c r="X571" s="80"/>
      <c r="Y571" s="80"/>
      <c r="Z571" s="80"/>
      <c r="AA571" s="80"/>
      <c r="AB571" s="80"/>
    </row>
    <row r="572" spans="1:28" ht="15.75">
      <c r="A572" s="80"/>
      <c r="B572" s="80"/>
      <c r="C572" s="80"/>
      <c r="D572" s="80"/>
      <c r="E572" s="80"/>
      <c r="F572" s="80"/>
      <c r="G572" s="80"/>
      <c r="H572" s="80"/>
      <c r="I572" s="80"/>
      <c r="J572" s="80"/>
      <c r="K572" s="80"/>
      <c r="L572" s="80"/>
      <c r="M572" s="80"/>
      <c r="N572" s="143"/>
      <c r="O572" s="143"/>
      <c r="P572" s="143"/>
      <c r="Q572" s="143"/>
      <c r="R572" s="143"/>
      <c r="S572" s="80"/>
      <c r="T572" s="80"/>
      <c r="U572" s="80"/>
      <c r="V572" s="80"/>
      <c r="W572" s="80"/>
      <c r="X572" s="80"/>
      <c r="Y572" s="80"/>
      <c r="Z572" s="80"/>
      <c r="AA572" s="80"/>
      <c r="AB572" s="80"/>
    </row>
    <row r="573" spans="1:28" ht="15.75">
      <c r="A573" s="80"/>
      <c r="B573" s="80"/>
      <c r="C573" s="80"/>
      <c r="D573" s="80"/>
      <c r="E573" s="80"/>
      <c r="F573" s="80"/>
      <c r="G573" s="80"/>
      <c r="H573" s="80"/>
      <c r="I573" s="80"/>
      <c r="J573" s="80"/>
      <c r="K573" s="80"/>
      <c r="L573" s="80"/>
      <c r="M573" s="80"/>
      <c r="N573" s="143"/>
      <c r="O573" s="143"/>
      <c r="P573" s="143"/>
      <c r="Q573" s="143"/>
      <c r="R573" s="143"/>
      <c r="S573" s="80"/>
      <c r="T573" s="80"/>
      <c r="U573" s="80"/>
      <c r="V573" s="80"/>
      <c r="W573" s="80"/>
      <c r="X573" s="80"/>
      <c r="Y573" s="80"/>
      <c r="Z573" s="80"/>
      <c r="AA573" s="80"/>
      <c r="AB573" s="80"/>
    </row>
    <row r="574" spans="1:28" ht="15.75">
      <c r="A574" s="80"/>
      <c r="B574" s="80"/>
      <c r="C574" s="80"/>
      <c r="D574" s="80"/>
      <c r="E574" s="80"/>
      <c r="F574" s="80"/>
      <c r="G574" s="80"/>
      <c r="H574" s="80"/>
      <c r="I574" s="80"/>
      <c r="J574" s="80"/>
      <c r="K574" s="80"/>
      <c r="L574" s="80"/>
      <c r="M574" s="80"/>
      <c r="N574" s="143"/>
      <c r="O574" s="143"/>
      <c r="P574" s="143"/>
      <c r="Q574" s="143"/>
      <c r="R574" s="143"/>
      <c r="S574" s="80"/>
      <c r="T574" s="80"/>
      <c r="U574" s="80"/>
      <c r="V574" s="80"/>
      <c r="W574" s="80"/>
      <c r="X574" s="80"/>
      <c r="Y574" s="80"/>
      <c r="Z574" s="80"/>
      <c r="AA574" s="80"/>
      <c r="AB574" s="80"/>
    </row>
    <row r="575" spans="1:28" ht="15.75">
      <c r="A575" s="80"/>
      <c r="B575" s="80"/>
      <c r="C575" s="80"/>
      <c r="D575" s="80"/>
      <c r="E575" s="80"/>
      <c r="F575" s="80"/>
      <c r="G575" s="80"/>
      <c r="H575" s="80"/>
      <c r="I575" s="80"/>
      <c r="J575" s="80"/>
      <c r="K575" s="80"/>
      <c r="L575" s="80"/>
      <c r="M575" s="80"/>
      <c r="N575" s="143"/>
      <c r="O575" s="143"/>
      <c r="P575" s="143"/>
      <c r="Q575" s="143"/>
      <c r="R575" s="143"/>
      <c r="S575" s="80"/>
      <c r="T575" s="80"/>
      <c r="U575" s="80"/>
      <c r="V575" s="80"/>
      <c r="W575" s="80"/>
      <c r="X575" s="80"/>
      <c r="Y575" s="80"/>
      <c r="Z575" s="80"/>
      <c r="AA575" s="80"/>
      <c r="AB575" s="80"/>
    </row>
    <row r="576" spans="1:28" ht="15.75">
      <c r="A576" s="80"/>
      <c r="B576" s="80"/>
      <c r="C576" s="80"/>
      <c r="D576" s="80"/>
      <c r="E576" s="80"/>
      <c r="F576" s="80"/>
      <c r="G576" s="80"/>
      <c r="H576" s="80"/>
      <c r="I576" s="80"/>
      <c r="J576" s="80"/>
      <c r="K576" s="80"/>
      <c r="L576" s="80"/>
      <c r="M576" s="80"/>
      <c r="N576" s="143"/>
      <c r="O576" s="143"/>
      <c r="P576" s="143"/>
      <c r="Q576" s="143"/>
      <c r="R576" s="143"/>
      <c r="S576" s="80"/>
      <c r="T576" s="80"/>
      <c r="U576" s="80"/>
      <c r="V576" s="80"/>
      <c r="W576" s="80"/>
      <c r="X576" s="80"/>
      <c r="Y576" s="80"/>
      <c r="Z576" s="80"/>
      <c r="AA576" s="80"/>
      <c r="AB576" s="80"/>
    </row>
    <row r="577" spans="1:28" ht="15.75">
      <c r="A577" s="80"/>
      <c r="B577" s="80"/>
      <c r="C577" s="80"/>
      <c r="D577" s="80"/>
      <c r="E577" s="80"/>
      <c r="F577" s="80"/>
      <c r="G577" s="80"/>
      <c r="H577" s="80"/>
      <c r="I577" s="80"/>
      <c r="J577" s="80"/>
      <c r="K577" s="80"/>
      <c r="L577" s="80"/>
      <c r="M577" s="80"/>
      <c r="N577" s="143"/>
      <c r="O577" s="143"/>
      <c r="P577" s="143"/>
      <c r="Q577" s="143"/>
      <c r="R577" s="143"/>
      <c r="S577" s="80"/>
      <c r="T577" s="80"/>
      <c r="U577" s="80"/>
      <c r="V577" s="80"/>
      <c r="W577" s="80"/>
      <c r="X577" s="80"/>
      <c r="Y577" s="80"/>
      <c r="Z577" s="80"/>
      <c r="AA577" s="80"/>
      <c r="AB577" s="80"/>
    </row>
    <row r="578" spans="1:28" ht="15.75">
      <c r="A578" s="80"/>
      <c r="B578" s="80"/>
      <c r="C578" s="80"/>
      <c r="D578" s="80"/>
      <c r="E578" s="80"/>
      <c r="F578" s="80"/>
      <c r="G578" s="80"/>
      <c r="H578" s="80"/>
      <c r="I578" s="80"/>
      <c r="J578" s="80"/>
      <c r="K578" s="80"/>
      <c r="L578" s="80"/>
      <c r="M578" s="80"/>
      <c r="N578" s="143"/>
      <c r="O578" s="143"/>
      <c r="P578" s="143"/>
      <c r="Q578" s="143"/>
      <c r="R578" s="143"/>
      <c r="S578" s="80"/>
      <c r="T578" s="80"/>
      <c r="U578" s="80"/>
      <c r="V578" s="80"/>
      <c r="W578" s="80"/>
      <c r="X578" s="80"/>
      <c r="Y578" s="80"/>
      <c r="Z578" s="80"/>
      <c r="AA578" s="80"/>
      <c r="AB578" s="80"/>
    </row>
    <row r="579" spans="1:28" ht="15.75">
      <c r="A579" s="80"/>
      <c r="B579" s="80"/>
      <c r="C579" s="80"/>
      <c r="D579" s="80"/>
      <c r="E579" s="80"/>
      <c r="F579" s="80"/>
      <c r="G579" s="80"/>
      <c r="H579" s="80"/>
      <c r="I579" s="80"/>
      <c r="J579" s="80"/>
      <c r="K579" s="80"/>
      <c r="L579" s="80"/>
      <c r="M579" s="80"/>
      <c r="N579" s="143"/>
      <c r="O579" s="143"/>
      <c r="P579" s="143"/>
      <c r="Q579" s="143"/>
      <c r="R579" s="143"/>
      <c r="S579" s="80"/>
      <c r="T579" s="80"/>
      <c r="U579" s="80"/>
      <c r="V579" s="80"/>
      <c r="W579" s="80"/>
      <c r="X579" s="80"/>
      <c r="Y579" s="80"/>
      <c r="Z579" s="80"/>
      <c r="AA579" s="80"/>
      <c r="AB579" s="80"/>
    </row>
    <row r="580" spans="1:28" ht="15.75">
      <c r="A580" s="80"/>
      <c r="B580" s="80"/>
      <c r="C580" s="80"/>
      <c r="D580" s="80"/>
      <c r="E580" s="80"/>
      <c r="F580" s="80"/>
      <c r="G580" s="80"/>
      <c r="H580" s="80"/>
      <c r="I580" s="80"/>
      <c r="J580" s="80"/>
      <c r="K580" s="80"/>
      <c r="L580" s="80"/>
      <c r="M580" s="80"/>
      <c r="N580" s="143"/>
      <c r="O580" s="143"/>
      <c r="P580" s="143"/>
      <c r="Q580" s="143"/>
      <c r="R580" s="143"/>
      <c r="S580" s="80"/>
      <c r="T580" s="80"/>
      <c r="U580" s="80"/>
      <c r="V580" s="80"/>
      <c r="W580" s="80"/>
      <c r="X580" s="80"/>
      <c r="Y580" s="80"/>
      <c r="Z580" s="80"/>
      <c r="AA580" s="80"/>
      <c r="AB580" s="80"/>
    </row>
    <row r="581" spans="1:28" ht="15.75">
      <c r="A581" s="80"/>
      <c r="B581" s="80"/>
      <c r="C581" s="80"/>
      <c r="D581" s="80"/>
      <c r="E581" s="80"/>
      <c r="F581" s="80"/>
      <c r="G581" s="80"/>
      <c r="H581" s="80"/>
      <c r="I581" s="80"/>
      <c r="J581" s="80"/>
      <c r="K581" s="80"/>
      <c r="L581" s="80"/>
      <c r="M581" s="80"/>
      <c r="N581" s="143"/>
      <c r="O581" s="143"/>
      <c r="P581" s="143"/>
      <c r="Q581" s="143"/>
      <c r="R581" s="143"/>
      <c r="S581" s="80"/>
      <c r="T581" s="80"/>
      <c r="U581" s="80"/>
      <c r="V581" s="80"/>
      <c r="W581" s="80"/>
      <c r="X581" s="80"/>
      <c r="Y581" s="80"/>
      <c r="Z581" s="80"/>
      <c r="AA581" s="80"/>
      <c r="AB581" s="80"/>
    </row>
    <row r="582" spans="1:28" ht="15.75">
      <c r="A582" s="80"/>
      <c r="B582" s="80"/>
      <c r="C582" s="80"/>
      <c r="D582" s="80"/>
      <c r="E582" s="80"/>
      <c r="F582" s="80"/>
      <c r="G582" s="80"/>
      <c r="H582" s="80"/>
      <c r="I582" s="80"/>
      <c r="J582" s="80"/>
      <c r="K582" s="80"/>
      <c r="L582" s="80"/>
      <c r="M582" s="80"/>
      <c r="N582" s="143"/>
      <c r="O582" s="143"/>
      <c r="P582" s="143"/>
      <c r="Q582" s="143"/>
      <c r="R582" s="143"/>
      <c r="S582" s="80"/>
      <c r="T582" s="80"/>
      <c r="U582" s="80"/>
      <c r="V582" s="80"/>
      <c r="W582" s="80"/>
      <c r="X582" s="80"/>
      <c r="Y582" s="80"/>
      <c r="Z582" s="80"/>
      <c r="AA582" s="80"/>
      <c r="AB582" s="80"/>
    </row>
    <row r="583" spans="1:28" ht="15.75">
      <c r="A583" s="80"/>
      <c r="B583" s="80"/>
      <c r="C583" s="80"/>
      <c r="D583" s="80"/>
      <c r="E583" s="80"/>
      <c r="F583" s="80"/>
      <c r="G583" s="80"/>
      <c r="H583" s="80"/>
      <c r="I583" s="80"/>
      <c r="J583" s="80"/>
      <c r="K583" s="80"/>
      <c r="L583" s="80"/>
      <c r="M583" s="80"/>
      <c r="N583" s="143"/>
      <c r="O583" s="143"/>
      <c r="P583" s="143"/>
      <c r="Q583" s="143"/>
      <c r="R583" s="143"/>
      <c r="S583" s="80"/>
      <c r="T583" s="80"/>
      <c r="U583" s="80"/>
      <c r="V583" s="80"/>
      <c r="W583" s="80"/>
      <c r="X583" s="80"/>
      <c r="Y583" s="80"/>
      <c r="Z583" s="80"/>
      <c r="AA583" s="80"/>
      <c r="AB583" s="80"/>
    </row>
    <row r="584" spans="1:28" ht="15.75">
      <c r="A584" s="80"/>
      <c r="B584" s="80"/>
      <c r="C584" s="80"/>
      <c r="D584" s="80"/>
      <c r="E584" s="80"/>
      <c r="F584" s="80"/>
      <c r="G584" s="80"/>
      <c r="H584" s="80"/>
      <c r="I584" s="80"/>
      <c r="J584" s="80"/>
      <c r="K584" s="80"/>
      <c r="L584" s="80"/>
      <c r="M584" s="80"/>
      <c r="N584" s="143"/>
      <c r="O584" s="143"/>
      <c r="P584" s="143"/>
      <c r="Q584" s="143"/>
      <c r="R584" s="143"/>
      <c r="S584" s="80"/>
      <c r="T584" s="80"/>
      <c r="U584" s="80"/>
      <c r="V584" s="80"/>
      <c r="W584" s="80"/>
      <c r="X584" s="80"/>
      <c r="Y584" s="80"/>
      <c r="Z584" s="80"/>
      <c r="AA584" s="80"/>
      <c r="AB584" s="80"/>
    </row>
    <row r="585" spans="1:28" ht="15.75">
      <c r="A585" s="80"/>
      <c r="B585" s="80"/>
      <c r="C585" s="80"/>
      <c r="D585" s="80"/>
      <c r="E585" s="80"/>
      <c r="F585" s="80"/>
      <c r="G585" s="80"/>
      <c r="H585" s="80"/>
      <c r="I585" s="80"/>
      <c r="J585" s="80"/>
      <c r="K585" s="80"/>
      <c r="L585" s="80"/>
      <c r="M585" s="80"/>
      <c r="N585" s="143"/>
      <c r="O585" s="143"/>
      <c r="P585" s="143"/>
      <c r="Q585" s="143"/>
      <c r="R585" s="143"/>
      <c r="S585" s="80"/>
      <c r="T585" s="80"/>
      <c r="U585" s="80"/>
      <c r="V585" s="80"/>
      <c r="W585" s="80"/>
      <c r="X585" s="80"/>
      <c r="Y585" s="80"/>
      <c r="Z585" s="80"/>
      <c r="AA585" s="80"/>
      <c r="AB585" s="80"/>
    </row>
    <row r="586" spans="1:28" ht="15.75">
      <c r="A586" s="80"/>
      <c r="B586" s="80"/>
      <c r="C586" s="80"/>
      <c r="D586" s="80"/>
      <c r="E586" s="80"/>
      <c r="F586" s="80"/>
      <c r="G586" s="80"/>
      <c r="H586" s="80"/>
      <c r="I586" s="80"/>
      <c r="J586" s="80"/>
      <c r="K586" s="80"/>
      <c r="L586" s="80"/>
      <c r="M586" s="80"/>
      <c r="N586" s="143"/>
      <c r="O586" s="143"/>
      <c r="P586" s="143"/>
      <c r="Q586" s="143"/>
      <c r="R586" s="143"/>
      <c r="S586" s="80"/>
      <c r="T586" s="80"/>
      <c r="U586" s="80"/>
      <c r="V586" s="80"/>
      <c r="W586" s="80"/>
      <c r="X586" s="80"/>
      <c r="Y586" s="80"/>
      <c r="Z586" s="80"/>
      <c r="AA586" s="80"/>
      <c r="AB586" s="80"/>
    </row>
    <row r="587" spans="1:28" ht="15.75">
      <c r="A587" s="80"/>
      <c r="B587" s="80"/>
      <c r="C587" s="80"/>
      <c r="D587" s="80"/>
      <c r="E587" s="80"/>
      <c r="F587" s="80"/>
      <c r="G587" s="80"/>
      <c r="H587" s="80"/>
      <c r="I587" s="80"/>
      <c r="J587" s="80"/>
      <c r="K587" s="80"/>
      <c r="L587" s="80"/>
      <c r="M587" s="80"/>
      <c r="N587" s="143"/>
      <c r="O587" s="143"/>
      <c r="P587" s="143"/>
      <c r="Q587" s="143"/>
      <c r="R587" s="143"/>
      <c r="S587" s="80"/>
      <c r="T587" s="80"/>
      <c r="U587" s="80"/>
      <c r="V587" s="80"/>
      <c r="W587" s="80"/>
      <c r="X587" s="80"/>
      <c r="Y587" s="80"/>
      <c r="Z587" s="80"/>
      <c r="AA587" s="80"/>
      <c r="AB587" s="80"/>
    </row>
    <row r="588" spans="1:28" ht="15.75">
      <c r="A588" s="80"/>
      <c r="B588" s="80"/>
      <c r="C588" s="80"/>
      <c r="D588" s="80"/>
      <c r="E588" s="80"/>
      <c r="F588" s="80"/>
      <c r="G588" s="80"/>
      <c r="H588" s="80"/>
      <c r="I588" s="80"/>
      <c r="J588" s="80"/>
      <c r="K588" s="80"/>
      <c r="L588" s="80"/>
      <c r="M588" s="80"/>
      <c r="N588" s="143"/>
      <c r="O588" s="143"/>
      <c r="P588" s="143"/>
      <c r="Q588" s="143"/>
      <c r="R588" s="143"/>
      <c r="S588" s="80"/>
      <c r="T588" s="80"/>
      <c r="U588" s="80"/>
      <c r="V588" s="80"/>
      <c r="W588" s="80"/>
      <c r="X588" s="80"/>
      <c r="Y588" s="80"/>
      <c r="Z588" s="80"/>
      <c r="AA588" s="80"/>
      <c r="AB588" s="80"/>
    </row>
    <row r="589" spans="1:28" ht="15.75">
      <c r="A589" s="80"/>
      <c r="B589" s="80"/>
      <c r="C589" s="80"/>
      <c r="D589" s="80"/>
      <c r="E589" s="80"/>
      <c r="F589" s="80"/>
      <c r="G589" s="80"/>
      <c r="H589" s="80"/>
      <c r="I589" s="80"/>
      <c r="J589" s="80"/>
      <c r="K589" s="80"/>
      <c r="L589" s="80"/>
      <c r="M589" s="80"/>
      <c r="N589" s="143"/>
      <c r="O589" s="143"/>
      <c r="P589" s="143"/>
      <c r="Q589" s="143"/>
      <c r="R589" s="143"/>
      <c r="S589" s="80"/>
      <c r="T589" s="80"/>
      <c r="U589" s="80"/>
      <c r="V589" s="80"/>
      <c r="W589" s="80"/>
      <c r="X589" s="80"/>
      <c r="Y589" s="80"/>
      <c r="Z589" s="80"/>
      <c r="AA589" s="80"/>
      <c r="AB589" s="80"/>
    </row>
    <row r="590" spans="1:28" ht="15.75">
      <c r="A590" s="80"/>
      <c r="B590" s="80"/>
      <c r="C590" s="80"/>
      <c r="D590" s="80"/>
      <c r="E590" s="80"/>
      <c r="F590" s="80"/>
      <c r="G590" s="80"/>
      <c r="H590" s="80"/>
      <c r="I590" s="80"/>
      <c r="J590" s="80"/>
      <c r="K590" s="80"/>
      <c r="L590" s="80"/>
      <c r="M590" s="80"/>
      <c r="N590" s="143"/>
      <c r="O590" s="143"/>
      <c r="P590" s="143"/>
      <c r="Q590" s="143"/>
      <c r="R590" s="143"/>
      <c r="S590" s="80"/>
      <c r="T590" s="80"/>
      <c r="U590" s="80"/>
      <c r="V590" s="80"/>
      <c r="W590" s="80"/>
      <c r="X590" s="80"/>
      <c r="Y590" s="80"/>
      <c r="Z590" s="80"/>
      <c r="AA590" s="80"/>
      <c r="AB590" s="80"/>
    </row>
    <row r="591" spans="1:28" ht="15.75">
      <c r="A591" s="80"/>
      <c r="B591" s="80"/>
      <c r="C591" s="80"/>
      <c r="D591" s="80"/>
      <c r="E591" s="80"/>
      <c r="F591" s="80"/>
      <c r="G591" s="80"/>
      <c r="H591" s="80"/>
      <c r="I591" s="80"/>
      <c r="J591" s="80"/>
      <c r="K591" s="80"/>
      <c r="L591" s="80"/>
      <c r="M591" s="80"/>
      <c r="N591" s="143"/>
      <c r="O591" s="143"/>
      <c r="P591" s="143"/>
      <c r="Q591" s="143"/>
      <c r="R591" s="143"/>
      <c r="S591" s="80"/>
      <c r="T591" s="80"/>
      <c r="U591" s="80"/>
      <c r="V591" s="80"/>
      <c r="W591" s="80"/>
      <c r="X591" s="80"/>
      <c r="Y591" s="80"/>
      <c r="Z591" s="80"/>
      <c r="AA591" s="80"/>
      <c r="AB591" s="80"/>
    </row>
    <row r="592" spans="1:28" ht="15.75">
      <c r="A592" s="80"/>
      <c r="B592" s="80"/>
      <c r="C592" s="80"/>
      <c r="D592" s="80"/>
      <c r="E592" s="80"/>
      <c r="F592" s="80"/>
      <c r="G592" s="80"/>
      <c r="H592" s="80"/>
      <c r="I592" s="80"/>
      <c r="J592" s="80"/>
      <c r="K592" s="80"/>
      <c r="L592" s="80"/>
      <c r="M592" s="80"/>
      <c r="N592" s="143"/>
      <c r="O592" s="143"/>
      <c r="P592" s="143"/>
      <c r="Q592" s="143"/>
      <c r="R592" s="143"/>
      <c r="S592" s="80"/>
      <c r="T592" s="80"/>
      <c r="U592" s="80"/>
      <c r="V592" s="80"/>
      <c r="W592" s="80"/>
      <c r="X592" s="80"/>
      <c r="Y592" s="80"/>
      <c r="Z592" s="80"/>
      <c r="AA592" s="80"/>
      <c r="AB592" s="80"/>
    </row>
    <row r="593" spans="1:28" ht="15.75">
      <c r="A593" s="80"/>
      <c r="B593" s="80"/>
      <c r="C593" s="80"/>
      <c r="D593" s="80"/>
      <c r="E593" s="80"/>
      <c r="F593" s="80"/>
      <c r="G593" s="80"/>
      <c r="H593" s="80"/>
      <c r="I593" s="80"/>
      <c r="J593" s="80"/>
      <c r="K593" s="80"/>
      <c r="L593" s="80"/>
      <c r="M593" s="80"/>
      <c r="N593" s="143"/>
      <c r="O593" s="143"/>
      <c r="P593" s="143"/>
      <c r="Q593" s="143"/>
      <c r="R593" s="143"/>
      <c r="S593" s="80"/>
      <c r="T593" s="80"/>
      <c r="U593" s="80"/>
      <c r="V593" s="80"/>
      <c r="W593" s="80"/>
      <c r="X593" s="80"/>
      <c r="Y593" s="80"/>
      <c r="Z593" s="80"/>
      <c r="AA593" s="80"/>
      <c r="AB593" s="80"/>
    </row>
    <row r="594" spans="1:28" ht="15.75">
      <c r="A594" s="80"/>
      <c r="B594" s="80"/>
      <c r="C594" s="80"/>
      <c r="D594" s="80"/>
      <c r="E594" s="80"/>
      <c r="F594" s="80"/>
      <c r="G594" s="80"/>
      <c r="H594" s="80"/>
      <c r="I594" s="80"/>
      <c r="J594" s="80"/>
      <c r="K594" s="80"/>
      <c r="L594" s="80"/>
      <c r="M594" s="80"/>
      <c r="N594" s="143"/>
      <c r="O594" s="143"/>
      <c r="P594" s="143"/>
      <c r="Q594" s="143"/>
      <c r="R594" s="143"/>
      <c r="S594" s="80"/>
      <c r="T594" s="80"/>
      <c r="U594" s="80"/>
      <c r="V594" s="80"/>
      <c r="W594" s="80"/>
      <c r="X594" s="80"/>
      <c r="Y594" s="80"/>
      <c r="Z594" s="80"/>
      <c r="AA594" s="80"/>
      <c r="AB594" s="80"/>
    </row>
    <row r="595" spans="1:28" ht="15.75">
      <c r="A595" s="80"/>
      <c r="B595" s="80"/>
      <c r="C595" s="80"/>
      <c r="D595" s="80"/>
      <c r="E595" s="80"/>
      <c r="F595" s="80"/>
      <c r="G595" s="80"/>
      <c r="H595" s="80"/>
      <c r="I595" s="80"/>
      <c r="J595" s="80"/>
      <c r="K595" s="80"/>
      <c r="L595" s="80"/>
      <c r="M595" s="80"/>
      <c r="N595" s="143"/>
      <c r="O595" s="143"/>
      <c r="P595" s="143"/>
      <c r="Q595" s="143"/>
      <c r="R595" s="143"/>
      <c r="S595" s="80"/>
      <c r="T595" s="80"/>
      <c r="U595" s="80"/>
      <c r="V595" s="80"/>
      <c r="W595" s="80"/>
      <c r="X595" s="80"/>
      <c r="Y595" s="80"/>
      <c r="Z595" s="80"/>
      <c r="AA595" s="80"/>
      <c r="AB595" s="80"/>
    </row>
    <row r="596" spans="1:28" ht="15.75">
      <c r="A596" s="80"/>
      <c r="B596" s="80"/>
      <c r="C596" s="80"/>
      <c r="D596" s="80"/>
      <c r="E596" s="80"/>
      <c r="F596" s="80"/>
      <c r="G596" s="80"/>
      <c r="H596" s="80"/>
      <c r="I596" s="80"/>
      <c r="J596" s="80"/>
      <c r="K596" s="80"/>
      <c r="L596" s="80"/>
      <c r="M596" s="80"/>
      <c r="N596" s="143"/>
      <c r="O596" s="143"/>
      <c r="P596" s="143"/>
      <c r="Q596" s="143"/>
      <c r="R596" s="143"/>
      <c r="S596" s="80"/>
      <c r="T596" s="80"/>
      <c r="U596" s="80"/>
      <c r="V596" s="80"/>
      <c r="W596" s="80"/>
      <c r="X596" s="80"/>
      <c r="Y596" s="80"/>
      <c r="Z596" s="80"/>
      <c r="AA596" s="80"/>
      <c r="AB596" s="80"/>
    </row>
    <row r="597" spans="1:28" ht="15.75">
      <c r="A597" s="80"/>
      <c r="B597" s="80"/>
      <c r="C597" s="80"/>
      <c r="D597" s="80"/>
      <c r="E597" s="80"/>
      <c r="F597" s="80"/>
      <c r="G597" s="80"/>
      <c r="H597" s="80"/>
      <c r="I597" s="80"/>
      <c r="J597" s="80"/>
      <c r="K597" s="80"/>
      <c r="L597" s="80"/>
      <c r="M597" s="80"/>
      <c r="N597" s="143"/>
      <c r="O597" s="143"/>
      <c r="P597" s="143"/>
      <c r="Q597" s="143"/>
      <c r="R597" s="143"/>
      <c r="S597" s="80"/>
      <c r="T597" s="80"/>
      <c r="U597" s="80"/>
      <c r="V597" s="80"/>
      <c r="W597" s="80"/>
      <c r="X597" s="80"/>
      <c r="Y597" s="80"/>
      <c r="Z597" s="80"/>
      <c r="AA597" s="80"/>
      <c r="AB597" s="80"/>
    </row>
    <row r="598" spans="1:28" ht="15.75">
      <c r="A598" s="80"/>
      <c r="B598" s="80"/>
      <c r="C598" s="80"/>
      <c r="D598" s="80"/>
      <c r="E598" s="80"/>
      <c r="F598" s="80"/>
      <c r="G598" s="80"/>
      <c r="H598" s="80"/>
      <c r="I598" s="80"/>
      <c r="J598" s="80"/>
      <c r="K598" s="80"/>
      <c r="L598" s="80"/>
      <c r="M598" s="80"/>
      <c r="N598" s="143"/>
      <c r="O598" s="143"/>
      <c r="P598" s="143"/>
      <c r="Q598" s="143"/>
      <c r="R598" s="143"/>
      <c r="S598" s="80"/>
      <c r="T598" s="80"/>
      <c r="U598" s="80"/>
      <c r="V598" s="80"/>
      <c r="W598" s="80"/>
      <c r="X598" s="80"/>
      <c r="Y598" s="80"/>
      <c r="Z598" s="80"/>
      <c r="AA598" s="80"/>
      <c r="AB598" s="80"/>
    </row>
    <row r="599" spans="1:28" ht="15.75">
      <c r="A599" s="80"/>
      <c r="B599" s="80"/>
      <c r="C599" s="80"/>
      <c r="D599" s="80"/>
      <c r="E599" s="80"/>
      <c r="F599" s="80"/>
      <c r="G599" s="80"/>
      <c r="H599" s="80"/>
      <c r="I599" s="80"/>
      <c r="J599" s="80"/>
      <c r="K599" s="80"/>
      <c r="L599" s="80"/>
      <c r="M599" s="80"/>
      <c r="N599" s="143"/>
      <c r="O599" s="143"/>
      <c r="P599" s="143"/>
      <c r="Q599" s="143"/>
      <c r="R599" s="143"/>
      <c r="S599" s="80"/>
      <c r="T599" s="80"/>
      <c r="U599" s="80"/>
      <c r="V599" s="80"/>
      <c r="W599" s="80"/>
      <c r="X599" s="80"/>
      <c r="Y599" s="80"/>
      <c r="Z599" s="80"/>
      <c r="AA599" s="80"/>
      <c r="AB599" s="80"/>
    </row>
    <row r="600" spans="1:28" ht="15.75">
      <c r="A600" s="80"/>
      <c r="B600" s="80"/>
      <c r="C600" s="80"/>
      <c r="D600" s="80"/>
      <c r="E600" s="80"/>
      <c r="F600" s="80"/>
      <c r="G600" s="80"/>
      <c r="H600" s="80"/>
      <c r="I600" s="80"/>
      <c r="J600" s="80"/>
      <c r="K600" s="80"/>
      <c r="L600" s="80"/>
      <c r="M600" s="80"/>
      <c r="N600" s="143"/>
      <c r="O600" s="143"/>
      <c r="P600" s="143"/>
      <c r="Q600" s="143"/>
      <c r="R600" s="143"/>
      <c r="S600" s="80"/>
      <c r="T600" s="80"/>
      <c r="U600" s="80"/>
      <c r="V600" s="80"/>
      <c r="W600" s="80"/>
      <c r="X600" s="80"/>
      <c r="Y600" s="80"/>
      <c r="Z600" s="80"/>
      <c r="AA600" s="80"/>
      <c r="AB600" s="80"/>
    </row>
    <row r="601" spans="1:28" ht="15.75">
      <c r="A601" s="80"/>
      <c r="B601" s="80"/>
      <c r="C601" s="80"/>
      <c r="D601" s="80"/>
      <c r="E601" s="80"/>
      <c r="F601" s="80"/>
      <c r="G601" s="80"/>
      <c r="H601" s="80"/>
      <c r="I601" s="80"/>
      <c r="J601" s="80"/>
      <c r="K601" s="80"/>
      <c r="L601" s="80"/>
      <c r="M601" s="80"/>
      <c r="N601" s="143"/>
      <c r="O601" s="143"/>
      <c r="P601" s="143"/>
      <c r="Q601" s="143"/>
      <c r="R601" s="143"/>
      <c r="S601" s="80"/>
      <c r="T601" s="80"/>
      <c r="U601" s="80"/>
      <c r="V601" s="80"/>
      <c r="W601" s="80"/>
      <c r="X601" s="80"/>
      <c r="Y601" s="80"/>
      <c r="Z601" s="80"/>
      <c r="AA601" s="80"/>
      <c r="AB601" s="80"/>
    </row>
    <row r="602" spans="1:28" ht="15.75">
      <c r="A602" s="80"/>
      <c r="B602" s="80"/>
      <c r="C602" s="80"/>
      <c r="D602" s="80"/>
      <c r="E602" s="80"/>
      <c r="F602" s="80"/>
      <c r="G602" s="80"/>
      <c r="H602" s="80"/>
      <c r="I602" s="80"/>
      <c r="J602" s="80"/>
      <c r="K602" s="80"/>
      <c r="L602" s="80"/>
      <c r="M602" s="80"/>
      <c r="N602" s="143"/>
      <c r="O602" s="143"/>
      <c r="P602" s="143"/>
      <c r="Q602" s="143"/>
      <c r="R602" s="143"/>
      <c r="S602" s="80"/>
      <c r="T602" s="80"/>
      <c r="U602" s="80"/>
      <c r="V602" s="80"/>
      <c r="W602" s="80"/>
      <c r="X602" s="80"/>
      <c r="Y602" s="80"/>
      <c r="Z602" s="80"/>
      <c r="AA602" s="80"/>
      <c r="AB602" s="80"/>
    </row>
    <row r="603" spans="1:28" ht="15.75">
      <c r="A603" s="80"/>
      <c r="B603" s="80"/>
      <c r="C603" s="80"/>
      <c r="D603" s="80"/>
      <c r="E603" s="80"/>
      <c r="F603" s="80"/>
      <c r="G603" s="80"/>
      <c r="H603" s="80"/>
      <c r="I603" s="80"/>
      <c r="J603" s="80"/>
      <c r="K603" s="80"/>
      <c r="L603" s="80"/>
      <c r="M603" s="80"/>
      <c r="N603" s="143"/>
      <c r="O603" s="143"/>
      <c r="P603" s="143"/>
      <c r="Q603" s="143"/>
      <c r="R603" s="143"/>
      <c r="S603" s="80"/>
      <c r="T603" s="80"/>
      <c r="U603" s="80"/>
      <c r="V603" s="80"/>
      <c r="W603" s="80"/>
      <c r="X603" s="80"/>
      <c r="Y603" s="80"/>
      <c r="Z603" s="80"/>
      <c r="AA603" s="80"/>
      <c r="AB603" s="80"/>
    </row>
    <row r="604" spans="1:28" ht="15.75">
      <c r="A604" s="80"/>
      <c r="B604" s="80"/>
      <c r="C604" s="80"/>
      <c r="D604" s="80"/>
      <c r="E604" s="80"/>
      <c r="F604" s="80"/>
      <c r="G604" s="80"/>
      <c r="H604" s="80"/>
      <c r="I604" s="80"/>
      <c r="J604" s="80"/>
      <c r="K604" s="80"/>
      <c r="L604" s="80"/>
      <c r="M604" s="80"/>
      <c r="N604" s="143"/>
      <c r="O604" s="143"/>
      <c r="P604" s="143"/>
      <c r="Q604" s="143"/>
      <c r="R604" s="143"/>
      <c r="S604" s="80"/>
      <c r="T604" s="80"/>
      <c r="U604" s="80"/>
      <c r="V604" s="80"/>
      <c r="W604" s="80"/>
      <c r="X604" s="80"/>
      <c r="Y604" s="80"/>
      <c r="Z604" s="80"/>
      <c r="AA604" s="80"/>
      <c r="AB604" s="80"/>
    </row>
    <row r="605" spans="1:28" ht="15.75">
      <c r="A605" s="80"/>
      <c r="B605" s="80"/>
      <c r="C605" s="80"/>
      <c r="D605" s="80"/>
      <c r="E605" s="80"/>
      <c r="F605" s="80"/>
      <c r="G605" s="80"/>
      <c r="H605" s="80"/>
      <c r="I605" s="80"/>
      <c r="J605" s="80"/>
      <c r="K605" s="80"/>
      <c r="L605" s="80"/>
      <c r="M605" s="80"/>
      <c r="N605" s="143"/>
      <c r="O605" s="143"/>
      <c r="P605" s="143"/>
      <c r="Q605" s="143"/>
      <c r="R605" s="143"/>
      <c r="S605" s="80"/>
      <c r="T605" s="80"/>
      <c r="U605" s="80"/>
      <c r="V605" s="80"/>
      <c r="W605" s="80"/>
      <c r="X605" s="80"/>
      <c r="Y605" s="80"/>
      <c r="Z605" s="80"/>
      <c r="AA605" s="80"/>
      <c r="AB605" s="80"/>
    </row>
    <row r="606" spans="1:28" ht="15.75">
      <c r="A606" s="80"/>
      <c r="B606" s="80"/>
      <c r="C606" s="80"/>
      <c r="D606" s="80"/>
      <c r="E606" s="80"/>
      <c r="F606" s="80"/>
      <c r="G606" s="80"/>
      <c r="H606" s="80"/>
      <c r="I606" s="80"/>
      <c r="J606" s="80"/>
      <c r="K606" s="80"/>
      <c r="L606" s="80"/>
      <c r="M606" s="80"/>
      <c r="N606" s="143"/>
      <c r="O606" s="143"/>
      <c r="P606" s="143"/>
      <c r="Q606" s="143"/>
      <c r="R606" s="143"/>
      <c r="S606" s="80"/>
      <c r="T606" s="80"/>
      <c r="U606" s="80"/>
      <c r="V606" s="80"/>
      <c r="W606" s="80"/>
      <c r="X606" s="80"/>
      <c r="Y606" s="80"/>
      <c r="Z606" s="80"/>
      <c r="AA606" s="80"/>
      <c r="AB606" s="80"/>
    </row>
    <row r="607" spans="1:28" ht="15.75">
      <c r="A607" s="80"/>
      <c r="B607" s="80"/>
      <c r="C607" s="80"/>
      <c r="D607" s="80"/>
      <c r="E607" s="80"/>
      <c r="F607" s="80"/>
      <c r="G607" s="80"/>
      <c r="H607" s="80"/>
      <c r="I607" s="80"/>
      <c r="J607" s="80"/>
      <c r="K607" s="80"/>
      <c r="L607" s="80"/>
      <c r="M607" s="80"/>
      <c r="N607" s="143"/>
      <c r="O607" s="143"/>
      <c r="P607" s="143"/>
      <c r="Q607" s="143"/>
      <c r="R607" s="143"/>
      <c r="S607" s="80"/>
      <c r="T607" s="80"/>
      <c r="U607" s="80"/>
      <c r="V607" s="80"/>
      <c r="W607" s="80"/>
      <c r="X607" s="80"/>
      <c r="Y607" s="80"/>
      <c r="Z607" s="80"/>
      <c r="AA607" s="80"/>
      <c r="AB607" s="80"/>
    </row>
    <row r="608" spans="1:28" ht="15.75">
      <c r="A608" s="80"/>
      <c r="B608" s="80"/>
      <c r="C608" s="80"/>
      <c r="D608" s="80"/>
      <c r="E608" s="80"/>
      <c r="F608" s="80"/>
      <c r="G608" s="80"/>
      <c r="H608" s="80"/>
      <c r="I608" s="80"/>
      <c r="J608" s="80"/>
      <c r="K608" s="80"/>
      <c r="L608" s="80"/>
      <c r="M608" s="80"/>
      <c r="N608" s="143"/>
      <c r="O608" s="143"/>
      <c r="P608" s="143"/>
      <c r="Q608" s="143"/>
      <c r="R608" s="143"/>
      <c r="S608" s="80"/>
      <c r="T608" s="80"/>
      <c r="U608" s="80"/>
      <c r="V608" s="80"/>
      <c r="W608" s="80"/>
      <c r="X608" s="80"/>
      <c r="Y608" s="80"/>
      <c r="Z608" s="80"/>
      <c r="AA608" s="80"/>
      <c r="AB608" s="80"/>
    </row>
    <row r="609" spans="1:28" ht="15.75">
      <c r="A609" s="80"/>
      <c r="B609" s="80"/>
      <c r="C609" s="80"/>
      <c r="D609" s="80"/>
      <c r="E609" s="80"/>
      <c r="F609" s="80"/>
      <c r="G609" s="80"/>
      <c r="H609" s="80"/>
      <c r="I609" s="80"/>
      <c r="J609" s="80"/>
      <c r="K609" s="80"/>
      <c r="L609" s="80"/>
      <c r="M609" s="80"/>
      <c r="N609" s="143"/>
      <c r="O609" s="143"/>
      <c r="P609" s="143"/>
      <c r="Q609" s="143"/>
      <c r="R609" s="143"/>
      <c r="S609" s="80"/>
      <c r="T609" s="80"/>
      <c r="U609" s="80"/>
      <c r="V609" s="80"/>
      <c r="W609" s="80"/>
      <c r="X609" s="80"/>
      <c r="Y609" s="80"/>
      <c r="Z609" s="80"/>
      <c r="AA609" s="80"/>
      <c r="AB609" s="80"/>
    </row>
    <row r="610" spans="1:28" ht="15.75">
      <c r="A610" s="80"/>
      <c r="B610" s="80"/>
      <c r="C610" s="80"/>
      <c r="D610" s="80"/>
      <c r="E610" s="80"/>
      <c r="F610" s="80"/>
      <c r="G610" s="80"/>
      <c r="H610" s="80"/>
      <c r="I610" s="80"/>
      <c r="J610" s="80"/>
      <c r="K610" s="80"/>
      <c r="L610" s="80"/>
      <c r="M610" s="80"/>
      <c r="N610" s="143"/>
      <c r="O610" s="143"/>
      <c r="P610" s="143"/>
      <c r="Q610" s="143"/>
      <c r="R610" s="143"/>
      <c r="S610" s="80"/>
      <c r="T610" s="80"/>
      <c r="U610" s="80"/>
      <c r="V610" s="80"/>
      <c r="W610" s="80"/>
      <c r="X610" s="80"/>
      <c r="Y610" s="80"/>
      <c r="Z610" s="80"/>
      <c r="AA610" s="80"/>
      <c r="AB610" s="80"/>
    </row>
    <row r="611" spans="1:28" ht="15.75">
      <c r="A611" s="80"/>
      <c r="B611" s="80"/>
      <c r="C611" s="80"/>
      <c r="D611" s="80"/>
      <c r="E611" s="80"/>
      <c r="F611" s="80"/>
      <c r="G611" s="80"/>
      <c r="H611" s="80"/>
      <c r="I611" s="80"/>
      <c r="J611" s="80"/>
      <c r="K611" s="80"/>
      <c r="L611" s="80"/>
      <c r="M611" s="80"/>
      <c r="N611" s="143"/>
      <c r="O611" s="143"/>
      <c r="P611" s="143"/>
      <c r="Q611" s="143"/>
      <c r="R611" s="143"/>
      <c r="S611" s="80"/>
      <c r="T611" s="80"/>
      <c r="U611" s="80"/>
      <c r="V611" s="80"/>
      <c r="W611" s="80"/>
      <c r="X611" s="80"/>
      <c r="Y611" s="80"/>
      <c r="Z611" s="80"/>
      <c r="AA611" s="80"/>
      <c r="AB611" s="80"/>
    </row>
    <row r="612" spans="1:28" ht="15.75">
      <c r="A612" s="80"/>
      <c r="B612" s="80"/>
      <c r="C612" s="80"/>
      <c r="D612" s="80"/>
      <c r="E612" s="80"/>
      <c r="F612" s="80"/>
      <c r="G612" s="80"/>
      <c r="H612" s="80"/>
      <c r="I612" s="80"/>
      <c r="J612" s="80"/>
      <c r="K612" s="80"/>
      <c r="L612" s="80"/>
      <c r="M612" s="80"/>
      <c r="N612" s="143"/>
      <c r="O612" s="143"/>
      <c r="P612" s="143"/>
      <c r="Q612" s="143"/>
      <c r="R612" s="143"/>
      <c r="S612" s="80"/>
      <c r="T612" s="80"/>
      <c r="U612" s="80"/>
      <c r="V612" s="80"/>
      <c r="W612" s="80"/>
      <c r="X612" s="80"/>
      <c r="Y612" s="80"/>
      <c r="Z612" s="80"/>
      <c r="AA612" s="80"/>
      <c r="AB612" s="80"/>
    </row>
    <row r="613" spans="1:28" ht="15.75">
      <c r="A613" s="80"/>
      <c r="B613" s="80"/>
      <c r="C613" s="80"/>
      <c r="D613" s="80"/>
      <c r="E613" s="80"/>
      <c r="F613" s="80"/>
      <c r="G613" s="80"/>
      <c r="H613" s="80"/>
      <c r="I613" s="80"/>
      <c r="J613" s="80"/>
      <c r="K613" s="80"/>
      <c r="L613" s="80"/>
      <c r="M613" s="80"/>
      <c r="N613" s="143"/>
      <c r="O613" s="143"/>
      <c r="P613" s="143"/>
      <c r="Q613" s="143"/>
      <c r="R613" s="143"/>
      <c r="S613" s="80"/>
      <c r="T613" s="80"/>
      <c r="U613" s="80"/>
      <c r="V613" s="80"/>
      <c r="W613" s="80"/>
      <c r="X613" s="80"/>
      <c r="Y613" s="80"/>
      <c r="Z613" s="80"/>
      <c r="AA613" s="80"/>
      <c r="AB613" s="80"/>
    </row>
    <row r="614" spans="1:28" ht="15.75">
      <c r="A614" s="80"/>
      <c r="B614" s="80"/>
      <c r="C614" s="80"/>
      <c r="D614" s="80"/>
      <c r="E614" s="80"/>
      <c r="F614" s="80"/>
      <c r="G614" s="80"/>
      <c r="H614" s="80"/>
      <c r="I614" s="80"/>
      <c r="J614" s="80"/>
      <c r="K614" s="80"/>
      <c r="L614" s="80"/>
      <c r="M614" s="80"/>
      <c r="N614" s="143"/>
      <c r="O614" s="143"/>
      <c r="P614" s="143"/>
      <c r="Q614" s="143"/>
      <c r="R614" s="143"/>
      <c r="S614" s="80"/>
      <c r="T614" s="80"/>
      <c r="U614" s="80"/>
      <c r="V614" s="80"/>
      <c r="W614" s="80"/>
      <c r="X614" s="80"/>
      <c r="Y614" s="80"/>
      <c r="Z614" s="80"/>
      <c r="AA614" s="80"/>
      <c r="AB614" s="80"/>
    </row>
    <row r="615" spans="1:28" ht="15.75">
      <c r="A615" s="80"/>
      <c r="B615" s="80"/>
      <c r="C615" s="80"/>
      <c r="D615" s="80"/>
      <c r="E615" s="80"/>
      <c r="F615" s="80"/>
      <c r="G615" s="80"/>
      <c r="H615" s="80"/>
      <c r="I615" s="80"/>
      <c r="J615" s="80"/>
      <c r="K615" s="80"/>
      <c r="L615" s="80"/>
      <c r="M615" s="80"/>
      <c r="N615" s="143"/>
      <c r="O615" s="143"/>
      <c r="P615" s="143"/>
      <c r="Q615" s="143"/>
      <c r="R615" s="143"/>
      <c r="S615" s="80"/>
      <c r="T615" s="80"/>
      <c r="U615" s="80"/>
      <c r="V615" s="80"/>
      <c r="W615" s="80"/>
      <c r="X615" s="80"/>
      <c r="Y615" s="80"/>
      <c r="Z615" s="80"/>
      <c r="AA615" s="80"/>
      <c r="AB615" s="80"/>
    </row>
    <row r="616" spans="1:28" ht="15.75">
      <c r="A616" s="80"/>
      <c r="B616" s="80"/>
      <c r="C616" s="80"/>
      <c r="D616" s="80"/>
      <c r="E616" s="80"/>
      <c r="F616" s="80"/>
      <c r="G616" s="80"/>
      <c r="H616" s="80"/>
      <c r="I616" s="80"/>
      <c r="J616" s="80"/>
      <c r="K616" s="80"/>
      <c r="L616" s="80"/>
      <c r="M616" s="80"/>
      <c r="N616" s="143"/>
      <c r="O616" s="143"/>
      <c r="P616" s="143"/>
      <c r="Q616" s="143"/>
      <c r="R616" s="143"/>
      <c r="S616" s="80"/>
      <c r="T616" s="80"/>
      <c r="U616" s="80"/>
      <c r="V616" s="80"/>
      <c r="W616" s="80"/>
      <c r="X616" s="80"/>
      <c r="Y616" s="80"/>
      <c r="Z616" s="80"/>
      <c r="AA616" s="80"/>
      <c r="AB616" s="80"/>
    </row>
    <row r="617" spans="1:28" ht="15.75">
      <c r="A617" s="80"/>
      <c r="B617" s="80"/>
      <c r="C617" s="80"/>
      <c r="D617" s="80"/>
      <c r="E617" s="80"/>
      <c r="F617" s="80"/>
      <c r="G617" s="80"/>
      <c r="H617" s="80"/>
      <c r="I617" s="80"/>
      <c r="J617" s="80"/>
      <c r="K617" s="80"/>
      <c r="L617" s="80"/>
      <c r="M617" s="80"/>
      <c r="N617" s="143"/>
      <c r="O617" s="143"/>
      <c r="P617" s="143"/>
      <c r="Q617" s="143"/>
      <c r="R617" s="143"/>
      <c r="S617" s="80"/>
      <c r="T617" s="80"/>
      <c r="U617" s="80"/>
      <c r="V617" s="80"/>
      <c r="W617" s="80"/>
      <c r="X617" s="80"/>
      <c r="Y617" s="80"/>
      <c r="Z617" s="80"/>
      <c r="AA617" s="80"/>
      <c r="AB617" s="80"/>
    </row>
    <row r="618" spans="1:28" ht="15.75">
      <c r="A618" s="80"/>
      <c r="B618" s="80"/>
      <c r="C618" s="80"/>
      <c r="D618" s="80"/>
      <c r="E618" s="80"/>
      <c r="F618" s="80"/>
      <c r="G618" s="80"/>
      <c r="H618" s="80"/>
      <c r="I618" s="80"/>
      <c r="J618" s="80"/>
      <c r="K618" s="80"/>
      <c r="L618" s="80"/>
      <c r="M618" s="80"/>
      <c r="N618" s="143"/>
      <c r="O618" s="143"/>
      <c r="P618" s="143"/>
      <c r="Q618" s="143"/>
      <c r="R618" s="143"/>
      <c r="S618" s="80"/>
      <c r="T618" s="80"/>
      <c r="U618" s="80"/>
      <c r="V618" s="80"/>
      <c r="W618" s="80"/>
      <c r="X618" s="80"/>
      <c r="Y618" s="80"/>
      <c r="Z618" s="80"/>
      <c r="AA618" s="80"/>
      <c r="AB618" s="80"/>
    </row>
    <row r="619" spans="1:28" ht="15.75">
      <c r="A619" s="80"/>
      <c r="B619" s="80"/>
      <c r="C619" s="80"/>
      <c r="D619" s="80"/>
      <c r="E619" s="80"/>
      <c r="F619" s="80"/>
      <c r="G619" s="80"/>
      <c r="H619" s="80"/>
      <c r="I619" s="80"/>
      <c r="J619" s="80"/>
      <c r="K619" s="80"/>
      <c r="L619" s="80"/>
      <c r="M619" s="80"/>
      <c r="N619" s="143"/>
      <c r="O619" s="143"/>
      <c r="P619" s="143"/>
      <c r="Q619" s="143"/>
      <c r="R619" s="143"/>
      <c r="S619" s="80"/>
      <c r="T619" s="80"/>
      <c r="U619" s="80"/>
      <c r="V619" s="80"/>
      <c r="W619" s="80"/>
      <c r="X619" s="80"/>
      <c r="Y619" s="80"/>
      <c r="Z619" s="80"/>
      <c r="AA619" s="80"/>
      <c r="AB619" s="80"/>
    </row>
    <row r="620" spans="1:28" ht="15.75">
      <c r="A620" s="80"/>
      <c r="B620" s="80"/>
      <c r="C620" s="80"/>
      <c r="D620" s="80"/>
      <c r="E620" s="80"/>
      <c r="F620" s="80"/>
      <c r="G620" s="80"/>
      <c r="H620" s="80"/>
      <c r="I620" s="80"/>
      <c r="J620" s="80"/>
      <c r="K620" s="80"/>
      <c r="L620" s="80"/>
      <c r="M620" s="80"/>
      <c r="N620" s="143"/>
      <c r="O620" s="143"/>
      <c r="P620" s="143"/>
      <c r="Q620" s="143"/>
      <c r="R620" s="143"/>
      <c r="S620" s="80"/>
      <c r="T620" s="80"/>
      <c r="U620" s="80"/>
      <c r="V620" s="80"/>
      <c r="W620" s="80"/>
      <c r="X620" s="80"/>
      <c r="Y620" s="80"/>
      <c r="Z620" s="80"/>
      <c r="AA620" s="80"/>
      <c r="AB620" s="80"/>
    </row>
    <row r="621" spans="1:28" ht="15.75">
      <c r="A621" s="80"/>
      <c r="B621" s="80"/>
      <c r="C621" s="80"/>
      <c r="D621" s="80"/>
      <c r="E621" s="80"/>
      <c r="F621" s="80"/>
      <c r="G621" s="80"/>
      <c r="H621" s="80"/>
      <c r="I621" s="80"/>
      <c r="J621" s="80"/>
      <c r="K621" s="80"/>
      <c r="L621" s="80"/>
      <c r="M621" s="80"/>
      <c r="N621" s="143"/>
      <c r="O621" s="143"/>
      <c r="P621" s="143"/>
      <c r="Q621" s="143"/>
      <c r="R621" s="143"/>
      <c r="S621" s="80"/>
      <c r="T621" s="80"/>
      <c r="U621" s="80"/>
      <c r="V621" s="80"/>
      <c r="W621" s="80"/>
      <c r="X621" s="80"/>
      <c r="Y621" s="80"/>
      <c r="Z621" s="80"/>
      <c r="AA621" s="80"/>
      <c r="AB621" s="80"/>
    </row>
    <row r="622" spans="1:28" ht="15.75">
      <c r="A622" s="80"/>
      <c r="B622" s="80"/>
      <c r="C622" s="80"/>
      <c r="D622" s="80"/>
      <c r="E622" s="80"/>
      <c r="F622" s="80"/>
      <c r="G622" s="80"/>
      <c r="H622" s="80"/>
      <c r="I622" s="80"/>
      <c r="J622" s="80"/>
      <c r="K622" s="80"/>
      <c r="L622" s="80"/>
      <c r="M622" s="80"/>
      <c r="N622" s="143"/>
      <c r="O622" s="143"/>
      <c r="P622" s="143"/>
      <c r="Q622" s="143"/>
      <c r="R622" s="143"/>
      <c r="S622" s="80"/>
      <c r="T622" s="80"/>
      <c r="U622" s="80"/>
      <c r="V622" s="80"/>
      <c r="W622" s="80"/>
      <c r="X622" s="80"/>
      <c r="Y622" s="80"/>
      <c r="Z622" s="80"/>
      <c r="AA622" s="80"/>
      <c r="AB622" s="80"/>
    </row>
    <row r="623" spans="1:28" ht="15.75">
      <c r="A623" s="80"/>
      <c r="B623" s="80"/>
      <c r="C623" s="80"/>
      <c r="D623" s="80"/>
      <c r="E623" s="80"/>
      <c r="F623" s="80"/>
      <c r="G623" s="80"/>
      <c r="H623" s="80"/>
      <c r="I623" s="80"/>
      <c r="J623" s="80"/>
      <c r="K623" s="80"/>
      <c r="L623" s="80"/>
      <c r="M623" s="80"/>
      <c r="N623" s="143"/>
      <c r="O623" s="143"/>
      <c r="P623" s="143"/>
      <c r="Q623" s="143"/>
      <c r="R623" s="143"/>
      <c r="S623" s="80"/>
      <c r="T623" s="80"/>
      <c r="U623" s="80"/>
      <c r="V623" s="80"/>
      <c r="W623" s="80"/>
      <c r="X623" s="80"/>
      <c r="Y623" s="80"/>
      <c r="Z623" s="80"/>
      <c r="AA623" s="80"/>
      <c r="AB623" s="80"/>
    </row>
    <row r="624" spans="1:28" ht="15.75">
      <c r="A624" s="80"/>
      <c r="B624" s="80"/>
      <c r="C624" s="80"/>
      <c r="D624" s="80"/>
      <c r="E624" s="80"/>
      <c r="F624" s="80"/>
      <c r="G624" s="80"/>
      <c r="H624" s="80"/>
      <c r="I624" s="80"/>
      <c r="J624" s="80"/>
      <c r="K624" s="80"/>
      <c r="L624" s="80"/>
      <c r="M624" s="80"/>
      <c r="N624" s="143"/>
      <c r="O624" s="143"/>
      <c r="P624" s="143"/>
      <c r="Q624" s="143"/>
      <c r="R624" s="143"/>
      <c r="S624" s="80"/>
      <c r="T624" s="80"/>
      <c r="U624" s="80"/>
      <c r="V624" s="80"/>
      <c r="W624" s="80"/>
      <c r="X624" s="80"/>
      <c r="Y624" s="80"/>
      <c r="Z624" s="80"/>
      <c r="AA624" s="80"/>
      <c r="AB624" s="80"/>
    </row>
    <row r="625" spans="1:28" ht="15.75">
      <c r="A625" s="80"/>
      <c r="B625" s="80"/>
      <c r="C625" s="80"/>
      <c r="D625" s="80"/>
      <c r="E625" s="80"/>
      <c r="F625" s="80"/>
      <c r="G625" s="80"/>
      <c r="H625" s="80"/>
      <c r="I625" s="80"/>
      <c r="J625" s="80"/>
      <c r="K625" s="80"/>
      <c r="L625" s="80"/>
      <c r="M625" s="80"/>
      <c r="N625" s="143"/>
      <c r="O625" s="143"/>
      <c r="P625" s="143"/>
      <c r="Q625" s="143"/>
      <c r="R625" s="143"/>
      <c r="S625" s="80"/>
      <c r="T625" s="80"/>
      <c r="U625" s="80"/>
      <c r="V625" s="80"/>
      <c r="W625" s="80"/>
      <c r="X625" s="80"/>
      <c r="Y625" s="80"/>
      <c r="Z625" s="80"/>
      <c r="AA625" s="80"/>
      <c r="AB625" s="80"/>
    </row>
    <row r="626" spans="1:28" ht="15.75">
      <c r="A626" s="80"/>
      <c r="B626" s="80"/>
      <c r="C626" s="80"/>
      <c r="D626" s="80"/>
      <c r="E626" s="80"/>
      <c r="F626" s="80"/>
      <c r="G626" s="80"/>
      <c r="H626" s="80"/>
      <c r="I626" s="80"/>
      <c r="J626" s="80"/>
      <c r="K626" s="80"/>
      <c r="L626" s="80"/>
      <c r="M626" s="80"/>
      <c r="N626" s="143"/>
      <c r="O626" s="143"/>
      <c r="P626" s="143"/>
      <c r="Q626" s="143"/>
      <c r="R626" s="143"/>
      <c r="S626" s="80"/>
      <c r="T626" s="80"/>
      <c r="U626" s="80"/>
      <c r="V626" s="80"/>
      <c r="W626" s="80"/>
      <c r="X626" s="80"/>
      <c r="Y626" s="80"/>
      <c r="Z626" s="80"/>
      <c r="AA626" s="80"/>
      <c r="AB626" s="80"/>
    </row>
    <row r="627" spans="1:28" ht="15.75">
      <c r="A627" s="80"/>
      <c r="B627" s="80"/>
      <c r="C627" s="80"/>
      <c r="D627" s="80"/>
      <c r="E627" s="80"/>
      <c r="F627" s="80"/>
      <c r="G627" s="80"/>
      <c r="H627" s="80"/>
      <c r="I627" s="80"/>
      <c r="J627" s="80"/>
      <c r="K627" s="80"/>
      <c r="L627" s="80"/>
      <c r="M627" s="80"/>
      <c r="N627" s="143"/>
      <c r="O627" s="143"/>
      <c r="P627" s="143"/>
      <c r="Q627" s="143"/>
      <c r="R627" s="143"/>
      <c r="S627" s="80"/>
      <c r="T627" s="80"/>
      <c r="U627" s="80"/>
      <c r="V627" s="80"/>
      <c r="W627" s="80"/>
      <c r="X627" s="80"/>
      <c r="Y627" s="80"/>
      <c r="Z627" s="80"/>
      <c r="AA627" s="80"/>
      <c r="AB627" s="80"/>
    </row>
    <row r="628" spans="1:28" ht="15.75">
      <c r="A628" s="80"/>
      <c r="B628" s="80"/>
      <c r="C628" s="80"/>
      <c r="D628" s="80"/>
      <c r="E628" s="80"/>
      <c r="F628" s="80"/>
      <c r="G628" s="80"/>
      <c r="H628" s="80"/>
      <c r="I628" s="80"/>
      <c r="J628" s="80"/>
      <c r="K628" s="80"/>
      <c r="L628" s="80"/>
      <c r="M628" s="80"/>
      <c r="N628" s="143"/>
      <c r="O628" s="143"/>
      <c r="P628" s="143"/>
      <c r="Q628" s="143"/>
      <c r="R628" s="143"/>
      <c r="S628" s="80"/>
      <c r="T628" s="80"/>
      <c r="U628" s="80"/>
      <c r="V628" s="80"/>
      <c r="W628" s="80"/>
      <c r="X628" s="80"/>
      <c r="Y628" s="80"/>
      <c r="Z628" s="80"/>
      <c r="AA628" s="80"/>
      <c r="AB628" s="80"/>
    </row>
    <row r="629" spans="1:28" ht="15.75">
      <c r="A629" s="80"/>
      <c r="B629" s="80"/>
      <c r="C629" s="80"/>
      <c r="D629" s="80"/>
      <c r="E629" s="80"/>
      <c r="F629" s="80"/>
      <c r="G629" s="80"/>
      <c r="H629" s="80"/>
      <c r="I629" s="80"/>
      <c r="J629" s="80"/>
      <c r="K629" s="80"/>
      <c r="L629" s="80"/>
      <c r="M629" s="80"/>
      <c r="N629" s="143"/>
      <c r="O629" s="143"/>
      <c r="P629" s="143"/>
      <c r="Q629" s="143"/>
      <c r="R629" s="143"/>
      <c r="S629" s="80"/>
      <c r="T629" s="80"/>
      <c r="U629" s="80"/>
      <c r="V629" s="80"/>
      <c r="W629" s="80"/>
      <c r="X629" s="80"/>
      <c r="Y629" s="80"/>
      <c r="Z629" s="80"/>
      <c r="AA629" s="80"/>
      <c r="AB629" s="80"/>
    </row>
    <row r="630" spans="1:28" ht="15.75">
      <c r="A630" s="80"/>
      <c r="B630" s="80"/>
      <c r="C630" s="80"/>
      <c r="D630" s="80"/>
      <c r="E630" s="80"/>
      <c r="F630" s="80"/>
      <c r="G630" s="80"/>
      <c r="H630" s="80"/>
      <c r="I630" s="80"/>
      <c r="J630" s="80"/>
      <c r="K630" s="80"/>
      <c r="L630" s="80"/>
      <c r="M630" s="80"/>
      <c r="N630" s="143"/>
      <c r="O630" s="143"/>
      <c r="P630" s="143"/>
      <c r="Q630" s="143"/>
      <c r="R630" s="143"/>
      <c r="S630" s="80"/>
      <c r="T630" s="80"/>
      <c r="U630" s="80"/>
      <c r="V630" s="80"/>
      <c r="W630" s="80"/>
      <c r="X630" s="80"/>
      <c r="Y630" s="80"/>
      <c r="Z630" s="80"/>
      <c r="AA630" s="80"/>
      <c r="AB630" s="80"/>
    </row>
    <row r="631" spans="1:28" ht="15.75">
      <c r="A631" s="80"/>
      <c r="B631" s="80"/>
      <c r="C631" s="80"/>
      <c r="D631" s="80"/>
      <c r="E631" s="80"/>
      <c r="F631" s="80"/>
      <c r="G631" s="80"/>
      <c r="H631" s="80"/>
      <c r="I631" s="80"/>
      <c r="J631" s="80"/>
      <c r="K631" s="80"/>
      <c r="L631" s="80"/>
      <c r="M631" s="80"/>
      <c r="N631" s="143"/>
      <c r="O631" s="143"/>
      <c r="P631" s="143"/>
      <c r="Q631" s="143"/>
      <c r="R631" s="143"/>
      <c r="S631" s="80"/>
      <c r="T631" s="80"/>
      <c r="U631" s="80"/>
      <c r="V631" s="80"/>
      <c r="W631" s="80"/>
      <c r="X631" s="80"/>
      <c r="Y631" s="80"/>
      <c r="Z631" s="80"/>
      <c r="AA631" s="80"/>
      <c r="AB631" s="80"/>
    </row>
    <row r="632" spans="1:28" ht="15.75">
      <c r="A632" s="80"/>
      <c r="B632" s="80"/>
      <c r="C632" s="80"/>
      <c r="D632" s="80"/>
      <c r="E632" s="80"/>
      <c r="F632" s="80"/>
      <c r="G632" s="80"/>
      <c r="H632" s="80"/>
      <c r="I632" s="80"/>
      <c r="J632" s="80"/>
      <c r="K632" s="80"/>
      <c r="L632" s="80"/>
      <c r="M632" s="80"/>
      <c r="N632" s="143"/>
      <c r="O632" s="143"/>
      <c r="P632" s="143"/>
      <c r="Q632" s="143"/>
      <c r="R632" s="143"/>
      <c r="S632" s="80"/>
      <c r="T632" s="80"/>
      <c r="U632" s="80"/>
      <c r="V632" s="80"/>
      <c r="W632" s="80"/>
      <c r="X632" s="80"/>
      <c r="Y632" s="80"/>
      <c r="Z632" s="80"/>
      <c r="AA632" s="80"/>
      <c r="AB632" s="80"/>
    </row>
    <row r="633" spans="1:28" ht="15.75">
      <c r="A633" s="80"/>
      <c r="B633" s="80"/>
      <c r="C633" s="80"/>
      <c r="D633" s="80"/>
      <c r="E633" s="80"/>
      <c r="F633" s="80"/>
      <c r="G633" s="80"/>
      <c r="H633" s="80"/>
      <c r="I633" s="80"/>
      <c r="J633" s="80"/>
      <c r="K633" s="80"/>
      <c r="L633" s="80"/>
      <c r="M633" s="80"/>
      <c r="N633" s="143"/>
      <c r="O633" s="143"/>
      <c r="P633" s="143"/>
      <c r="Q633" s="143"/>
      <c r="R633" s="143"/>
      <c r="S633" s="80"/>
      <c r="T633" s="80"/>
      <c r="U633" s="80"/>
      <c r="V633" s="80"/>
      <c r="W633" s="80"/>
      <c r="X633" s="80"/>
      <c r="Y633" s="80"/>
      <c r="Z633" s="80"/>
      <c r="AA633" s="80"/>
      <c r="AB633" s="80"/>
    </row>
    <row r="634" spans="1:28" ht="15.75">
      <c r="A634" s="80"/>
      <c r="B634" s="80"/>
      <c r="C634" s="80"/>
      <c r="D634" s="80"/>
      <c r="E634" s="80"/>
      <c r="F634" s="80"/>
      <c r="G634" s="80"/>
      <c r="H634" s="80"/>
      <c r="I634" s="80"/>
      <c r="J634" s="80"/>
      <c r="K634" s="80"/>
      <c r="L634" s="80"/>
      <c r="M634" s="80"/>
      <c r="N634" s="143"/>
      <c r="O634" s="143"/>
      <c r="P634" s="143"/>
      <c r="Q634" s="143"/>
      <c r="R634" s="143"/>
      <c r="S634" s="80"/>
      <c r="T634" s="80"/>
      <c r="U634" s="80"/>
      <c r="V634" s="80"/>
      <c r="W634" s="80"/>
      <c r="X634" s="80"/>
      <c r="Y634" s="80"/>
      <c r="Z634" s="80"/>
      <c r="AA634" s="80"/>
      <c r="AB634" s="80"/>
    </row>
    <row r="635" spans="1:28" ht="15.75">
      <c r="A635" s="80"/>
      <c r="B635" s="80"/>
      <c r="C635" s="80"/>
      <c r="D635" s="80"/>
      <c r="E635" s="80"/>
      <c r="F635" s="80"/>
      <c r="G635" s="80"/>
      <c r="H635" s="80"/>
      <c r="I635" s="80"/>
      <c r="J635" s="80"/>
      <c r="K635" s="80"/>
      <c r="L635" s="80"/>
      <c r="M635" s="80"/>
      <c r="N635" s="143"/>
      <c r="O635" s="143"/>
      <c r="P635" s="143"/>
      <c r="Q635" s="143"/>
      <c r="R635" s="143"/>
      <c r="S635" s="80"/>
      <c r="T635" s="80"/>
      <c r="U635" s="80"/>
      <c r="V635" s="80"/>
      <c r="W635" s="80"/>
      <c r="X635" s="80"/>
      <c r="Y635" s="80"/>
      <c r="Z635" s="80"/>
      <c r="AA635" s="80"/>
      <c r="AB635" s="80"/>
    </row>
    <row r="636" spans="1:28" ht="15.75">
      <c r="A636" s="80"/>
      <c r="B636" s="80"/>
      <c r="C636" s="80"/>
      <c r="D636" s="80"/>
      <c r="E636" s="80"/>
      <c r="F636" s="80"/>
      <c r="G636" s="80"/>
      <c r="H636" s="80"/>
      <c r="I636" s="80"/>
      <c r="J636" s="80"/>
      <c r="K636" s="80"/>
      <c r="L636" s="80"/>
      <c r="M636" s="80"/>
      <c r="N636" s="143"/>
      <c r="O636" s="143"/>
      <c r="P636" s="143"/>
      <c r="Q636" s="143"/>
      <c r="R636" s="143"/>
      <c r="S636" s="80"/>
      <c r="T636" s="80"/>
      <c r="U636" s="80"/>
      <c r="V636" s="80"/>
      <c r="W636" s="80"/>
      <c r="X636" s="80"/>
      <c r="Y636" s="80"/>
      <c r="Z636" s="80"/>
      <c r="AA636" s="80"/>
      <c r="AB636" s="80"/>
    </row>
    <row r="637" spans="1:28" ht="15.75">
      <c r="A637" s="80"/>
      <c r="B637" s="80"/>
      <c r="C637" s="80"/>
      <c r="D637" s="80"/>
      <c r="E637" s="80"/>
      <c r="F637" s="80"/>
      <c r="G637" s="80"/>
      <c r="H637" s="80"/>
      <c r="I637" s="80"/>
      <c r="J637" s="80"/>
      <c r="K637" s="80"/>
      <c r="L637" s="80"/>
      <c r="M637" s="80"/>
      <c r="N637" s="143"/>
      <c r="O637" s="143"/>
      <c r="P637" s="143"/>
      <c r="Q637" s="143"/>
      <c r="R637" s="143"/>
      <c r="S637" s="80"/>
      <c r="T637" s="80"/>
      <c r="U637" s="80"/>
      <c r="V637" s="80"/>
      <c r="W637" s="80"/>
      <c r="X637" s="80"/>
      <c r="Y637" s="80"/>
      <c r="Z637" s="80"/>
      <c r="AA637" s="80"/>
      <c r="AB637" s="80"/>
    </row>
    <row r="638" spans="1:28" ht="15.75">
      <c r="A638" s="80"/>
      <c r="B638" s="80"/>
      <c r="C638" s="80"/>
      <c r="D638" s="80"/>
      <c r="E638" s="80"/>
      <c r="F638" s="80"/>
      <c r="G638" s="80"/>
      <c r="H638" s="80"/>
      <c r="I638" s="80"/>
      <c r="J638" s="80"/>
      <c r="K638" s="80"/>
      <c r="L638" s="80"/>
      <c r="M638" s="80"/>
      <c r="N638" s="143"/>
      <c r="O638" s="143"/>
      <c r="P638" s="143"/>
      <c r="Q638" s="143"/>
      <c r="R638" s="143"/>
      <c r="S638" s="80"/>
      <c r="T638" s="80"/>
      <c r="U638" s="80"/>
      <c r="V638" s="80"/>
      <c r="W638" s="80"/>
      <c r="X638" s="80"/>
      <c r="Y638" s="80"/>
      <c r="Z638" s="80"/>
      <c r="AA638" s="80"/>
      <c r="AB638" s="80"/>
    </row>
    <row r="639" spans="1:28" ht="15.75">
      <c r="A639" s="80"/>
      <c r="B639" s="80"/>
      <c r="C639" s="80"/>
      <c r="D639" s="80"/>
      <c r="E639" s="80"/>
      <c r="F639" s="80"/>
      <c r="G639" s="80"/>
      <c r="H639" s="80"/>
      <c r="I639" s="80"/>
      <c r="J639" s="80"/>
      <c r="K639" s="80"/>
      <c r="L639" s="80"/>
      <c r="M639" s="80"/>
      <c r="N639" s="143"/>
      <c r="O639" s="143"/>
      <c r="P639" s="143"/>
      <c r="Q639" s="143"/>
      <c r="R639" s="143"/>
      <c r="S639" s="80"/>
      <c r="T639" s="80"/>
      <c r="U639" s="80"/>
      <c r="V639" s="80"/>
      <c r="W639" s="80"/>
      <c r="X639" s="80"/>
      <c r="Y639" s="80"/>
      <c r="Z639" s="80"/>
      <c r="AA639" s="80"/>
      <c r="AB639" s="80"/>
    </row>
    <row r="640" spans="1:28" ht="15.75">
      <c r="A640" s="80"/>
      <c r="B640" s="80"/>
      <c r="C640" s="80"/>
      <c r="D640" s="80"/>
      <c r="E640" s="80"/>
      <c r="F640" s="80"/>
      <c r="G640" s="80"/>
      <c r="H640" s="80"/>
      <c r="I640" s="80"/>
      <c r="J640" s="80"/>
      <c r="K640" s="80"/>
      <c r="L640" s="80"/>
      <c r="M640" s="80"/>
      <c r="N640" s="143"/>
      <c r="O640" s="143"/>
      <c r="P640" s="143"/>
      <c r="Q640" s="143"/>
      <c r="R640" s="143"/>
      <c r="S640" s="80"/>
      <c r="T640" s="80"/>
      <c r="U640" s="80"/>
      <c r="V640" s="80"/>
      <c r="W640" s="80"/>
      <c r="X640" s="80"/>
      <c r="Y640" s="80"/>
      <c r="Z640" s="80"/>
      <c r="AA640" s="80"/>
      <c r="AB640" s="80"/>
    </row>
    <row r="641" spans="1:28" ht="15.75">
      <c r="A641" s="80"/>
      <c r="B641" s="80"/>
      <c r="C641" s="80"/>
      <c r="D641" s="80"/>
      <c r="E641" s="80"/>
      <c r="F641" s="80"/>
      <c r="G641" s="80"/>
      <c r="H641" s="80"/>
      <c r="I641" s="80"/>
      <c r="J641" s="80"/>
      <c r="K641" s="80"/>
      <c r="L641" s="80"/>
      <c r="M641" s="80"/>
      <c r="N641" s="143"/>
      <c r="O641" s="143"/>
      <c r="P641" s="143"/>
      <c r="Q641" s="143"/>
      <c r="R641" s="143"/>
      <c r="S641" s="80"/>
      <c r="T641" s="80"/>
      <c r="U641" s="80"/>
      <c r="V641" s="80"/>
      <c r="W641" s="80"/>
      <c r="X641" s="80"/>
      <c r="Y641" s="80"/>
      <c r="Z641" s="80"/>
      <c r="AA641" s="80"/>
      <c r="AB641" s="80"/>
    </row>
    <row r="642" spans="1:28" ht="15.75">
      <c r="A642" s="80"/>
      <c r="B642" s="80"/>
      <c r="C642" s="80"/>
      <c r="D642" s="80"/>
      <c r="E642" s="80"/>
      <c r="F642" s="80"/>
      <c r="G642" s="80"/>
      <c r="H642" s="80"/>
      <c r="I642" s="80"/>
      <c r="J642" s="80"/>
      <c r="K642" s="80"/>
      <c r="L642" s="80"/>
      <c r="M642" s="80"/>
      <c r="N642" s="143"/>
      <c r="O642" s="143"/>
      <c r="P642" s="143"/>
      <c r="Q642" s="143"/>
      <c r="R642" s="143"/>
      <c r="S642" s="80"/>
      <c r="T642" s="80"/>
      <c r="U642" s="80"/>
      <c r="V642" s="80"/>
      <c r="W642" s="80"/>
      <c r="X642" s="80"/>
      <c r="Y642" s="80"/>
      <c r="Z642" s="80"/>
      <c r="AA642" s="80"/>
      <c r="AB642" s="80"/>
    </row>
    <row r="643" spans="1:28" ht="15.75">
      <c r="A643" s="80"/>
      <c r="B643" s="80"/>
      <c r="C643" s="80"/>
      <c r="D643" s="80"/>
      <c r="E643" s="80"/>
      <c r="F643" s="80"/>
      <c r="G643" s="80"/>
      <c r="H643" s="80"/>
      <c r="I643" s="80"/>
      <c r="J643" s="80"/>
      <c r="K643" s="80"/>
      <c r="L643" s="80"/>
      <c r="M643" s="80"/>
      <c r="N643" s="143"/>
      <c r="O643" s="143"/>
      <c r="P643" s="143"/>
      <c r="Q643" s="143"/>
      <c r="R643" s="143"/>
      <c r="S643" s="80"/>
      <c r="T643" s="80"/>
      <c r="U643" s="80"/>
      <c r="V643" s="80"/>
      <c r="W643" s="80"/>
      <c r="X643" s="80"/>
      <c r="Y643" s="80"/>
      <c r="Z643" s="80"/>
      <c r="AA643" s="80"/>
      <c r="AB643" s="80"/>
    </row>
    <row r="644" spans="1:28" ht="15.75">
      <c r="A644" s="80"/>
      <c r="B644" s="80"/>
      <c r="C644" s="80"/>
      <c r="D644" s="80"/>
      <c r="E644" s="80"/>
      <c r="F644" s="80"/>
      <c r="G644" s="80"/>
      <c r="H644" s="80"/>
      <c r="I644" s="80"/>
      <c r="J644" s="80"/>
      <c r="K644" s="80"/>
      <c r="L644" s="80"/>
      <c r="M644" s="80"/>
      <c r="N644" s="143"/>
      <c r="O644" s="143"/>
      <c r="P644" s="143"/>
      <c r="Q644" s="143"/>
      <c r="R644" s="143"/>
      <c r="S644" s="80"/>
      <c r="T644" s="80"/>
      <c r="U644" s="80"/>
      <c r="V644" s="80"/>
      <c r="W644" s="80"/>
      <c r="X644" s="80"/>
      <c r="Y644" s="80"/>
      <c r="Z644" s="80"/>
      <c r="AA644" s="80"/>
      <c r="AB644" s="80"/>
    </row>
    <row r="645" spans="1:28" ht="15.75">
      <c r="A645" s="80"/>
      <c r="B645" s="80"/>
      <c r="C645" s="80"/>
      <c r="D645" s="80"/>
      <c r="E645" s="80"/>
      <c r="F645" s="80"/>
      <c r="G645" s="80"/>
      <c r="H645" s="80"/>
      <c r="I645" s="80"/>
      <c r="J645" s="80"/>
      <c r="K645" s="80"/>
      <c r="L645" s="80"/>
      <c r="M645" s="80"/>
      <c r="N645" s="143"/>
      <c r="O645" s="143"/>
      <c r="P645" s="143"/>
      <c r="Q645" s="143"/>
      <c r="R645" s="143"/>
      <c r="S645" s="80"/>
      <c r="T645" s="80"/>
      <c r="U645" s="80"/>
      <c r="V645" s="80"/>
      <c r="W645" s="80"/>
      <c r="X645" s="80"/>
      <c r="Y645" s="80"/>
      <c r="Z645" s="80"/>
      <c r="AA645" s="80"/>
      <c r="AB645" s="80"/>
    </row>
    <row r="646" spans="1:28" ht="15.75">
      <c r="A646" s="80"/>
      <c r="B646" s="80"/>
      <c r="C646" s="80"/>
      <c r="D646" s="80"/>
      <c r="E646" s="80"/>
      <c r="F646" s="80"/>
      <c r="G646" s="80"/>
      <c r="H646" s="80"/>
      <c r="I646" s="80"/>
      <c r="J646" s="80"/>
      <c r="K646" s="80"/>
      <c r="L646" s="80"/>
      <c r="M646" s="80"/>
      <c r="N646" s="143"/>
      <c r="O646" s="143"/>
      <c r="P646" s="143"/>
      <c r="Q646" s="143"/>
      <c r="R646" s="143"/>
      <c r="S646" s="80"/>
      <c r="T646" s="80"/>
      <c r="U646" s="80"/>
      <c r="V646" s="80"/>
      <c r="W646" s="80"/>
      <c r="X646" s="80"/>
      <c r="Y646" s="80"/>
      <c r="Z646" s="80"/>
      <c r="AA646" s="80"/>
      <c r="AB646" s="80"/>
    </row>
    <row r="647" spans="1:28" ht="15.75">
      <c r="A647" s="80"/>
      <c r="B647" s="80"/>
      <c r="C647" s="80"/>
      <c r="D647" s="80"/>
      <c r="E647" s="80"/>
      <c r="F647" s="80"/>
      <c r="G647" s="80"/>
      <c r="H647" s="80"/>
      <c r="I647" s="80"/>
      <c r="J647" s="80"/>
      <c r="K647" s="80"/>
      <c r="L647" s="80"/>
      <c r="M647" s="80"/>
      <c r="N647" s="143"/>
      <c r="O647" s="143"/>
      <c r="P647" s="143"/>
      <c r="Q647" s="143"/>
      <c r="R647" s="143"/>
      <c r="S647" s="80"/>
      <c r="T647" s="80"/>
      <c r="U647" s="80"/>
      <c r="V647" s="80"/>
      <c r="W647" s="80"/>
      <c r="X647" s="80"/>
      <c r="Y647" s="80"/>
      <c r="Z647" s="80"/>
      <c r="AA647" s="80"/>
      <c r="AB647" s="80"/>
    </row>
    <row r="648" spans="1:28" ht="15.75">
      <c r="A648" s="80"/>
      <c r="B648" s="80"/>
      <c r="C648" s="80"/>
      <c r="D648" s="80"/>
      <c r="E648" s="80"/>
      <c r="F648" s="80"/>
      <c r="G648" s="80"/>
      <c r="H648" s="80"/>
      <c r="I648" s="80"/>
      <c r="J648" s="80"/>
      <c r="K648" s="80"/>
      <c r="L648" s="80"/>
      <c r="M648" s="80"/>
      <c r="N648" s="143"/>
      <c r="O648" s="143"/>
      <c r="P648" s="143"/>
      <c r="Q648" s="143"/>
      <c r="R648" s="143"/>
      <c r="S648" s="80"/>
      <c r="T648" s="80"/>
      <c r="U648" s="80"/>
      <c r="V648" s="80"/>
      <c r="W648" s="80"/>
      <c r="X648" s="80"/>
      <c r="Y648" s="80"/>
      <c r="Z648" s="80"/>
      <c r="AA648" s="80"/>
      <c r="AB648" s="80"/>
    </row>
    <row r="649" spans="1:28" ht="15.75">
      <c r="A649" s="80"/>
      <c r="B649" s="80"/>
      <c r="C649" s="80"/>
      <c r="D649" s="80"/>
      <c r="E649" s="80"/>
      <c r="F649" s="80"/>
      <c r="G649" s="80"/>
      <c r="H649" s="80"/>
      <c r="I649" s="80"/>
      <c r="J649" s="80"/>
      <c r="K649" s="80"/>
      <c r="L649" s="80"/>
      <c r="M649" s="80"/>
      <c r="N649" s="143"/>
      <c r="O649" s="143"/>
      <c r="P649" s="143"/>
      <c r="Q649" s="143"/>
      <c r="R649" s="143"/>
      <c r="S649" s="80"/>
      <c r="T649" s="80"/>
      <c r="U649" s="80"/>
      <c r="V649" s="80"/>
      <c r="W649" s="80"/>
      <c r="X649" s="80"/>
      <c r="Y649" s="80"/>
      <c r="Z649" s="80"/>
      <c r="AA649" s="80"/>
      <c r="AB649" s="80"/>
    </row>
    <row r="650" spans="1:28" ht="15.75">
      <c r="A650" s="80"/>
      <c r="B650" s="80"/>
      <c r="C650" s="80"/>
      <c r="D650" s="80"/>
      <c r="E650" s="80"/>
      <c r="F650" s="80"/>
      <c r="G650" s="80"/>
      <c r="H650" s="80"/>
      <c r="I650" s="80"/>
      <c r="J650" s="80"/>
      <c r="K650" s="80"/>
      <c r="L650" s="80"/>
      <c r="M650" s="80"/>
      <c r="N650" s="143"/>
      <c r="O650" s="143"/>
      <c r="P650" s="143"/>
      <c r="Q650" s="143"/>
      <c r="R650" s="143"/>
      <c r="S650" s="80"/>
      <c r="T650" s="80"/>
      <c r="U650" s="80"/>
      <c r="V650" s="80"/>
      <c r="W650" s="80"/>
      <c r="X650" s="80"/>
      <c r="Y650" s="80"/>
      <c r="Z650" s="80"/>
      <c r="AA650" s="80"/>
      <c r="AB650" s="80"/>
    </row>
    <row r="651" spans="1:28" ht="15.75">
      <c r="A651" s="80"/>
      <c r="B651" s="80"/>
      <c r="C651" s="80"/>
      <c r="D651" s="80"/>
      <c r="E651" s="80"/>
      <c r="F651" s="80"/>
      <c r="G651" s="80"/>
      <c r="H651" s="80"/>
      <c r="I651" s="80"/>
      <c r="J651" s="80"/>
      <c r="K651" s="80"/>
      <c r="L651" s="80"/>
      <c r="M651" s="80"/>
      <c r="N651" s="143"/>
      <c r="O651" s="143"/>
      <c r="P651" s="143"/>
      <c r="Q651" s="143"/>
      <c r="R651" s="143"/>
      <c r="S651" s="80"/>
      <c r="T651" s="80"/>
      <c r="U651" s="80"/>
      <c r="V651" s="80"/>
      <c r="W651" s="80"/>
      <c r="X651" s="80"/>
      <c r="Y651" s="80"/>
      <c r="Z651" s="80"/>
      <c r="AA651" s="80"/>
      <c r="AB651" s="80"/>
    </row>
    <row r="652" spans="1:28" ht="15.75">
      <c r="A652" s="80"/>
      <c r="B652" s="80"/>
      <c r="C652" s="80"/>
      <c r="D652" s="80"/>
      <c r="E652" s="80"/>
      <c r="F652" s="80"/>
      <c r="G652" s="80"/>
      <c r="H652" s="80"/>
      <c r="I652" s="80"/>
      <c r="J652" s="80"/>
      <c r="K652" s="80"/>
      <c r="L652" s="80"/>
      <c r="M652" s="80"/>
      <c r="N652" s="143"/>
      <c r="O652" s="143"/>
      <c r="P652" s="143"/>
      <c r="Q652" s="143"/>
      <c r="R652" s="143"/>
      <c r="S652" s="80"/>
      <c r="T652" s="80"/>
      <c r="U652" s="80"/>
      <c r="V652" s="80"/>
      <c r="W652" s="80"/>
      <c r="X652" s="80"/>
      <c r="Y652" s="80"/>
      <c r="Z652" s="80"/>
      <c r="AA652" s="80"/>
      <c r="AB652" s="80"/>
    </row>
    <row r="653" spans="1:28" ht="15.75">
      <c r="A653" s="80"/>
      <c r="B653" s="80"/>
      <c r="C653" s="80"/>
      <c r="D653" s="80"/>
      <c r="E653" s="80"/>
      <c r="F653" s="80"/>
      <c r="G653" s="80"/>
      <c r="H653" s="80"/>
      <c r="I653" s="80"/>
      <c r="J653" s="80"/>
      <c r="K653" s="80"/>
      <c r="L653" s="80"/>
      <c r="M653" s="80"/>
      <c r="N653" s="143"/>
      <c r="O653" s="143"/>
      <c r="P653" s="143"/>
      <c r="Q653" s="143"/>
      <c r="R653" s="143"/>
      <c r="S653" s="80"/>
      <c r="T653" s="80"/>
      <c r="U653" s="80"/>
      <c r="V653" s="80"/>
      <c r="W653" s="80"/>
      <c r="X653" s="80"/>
      <c r="Y653" s="80"/>
      <c r="Z653" s="80"/>
      <c r="AA653" s="80"/>
      <c r="AB653" s="80"/>
    </row>
    <row r="654" spans="1:28" ht="15.75">
      <c r="A654" s="80"/>
      <c r="B654" s="80"/>
      <c r="C654" s="80"/>
      <c r="D654" s="80"/>
      <c r="E654" s="80"/>
      <c r="F654" s="80"/>
      <c r="G654" s="80"/>
      <c r="H654" s="80"/>
      <c r="I654" s="80"/>
      <c r="J654" s="80"/>
      <c r="K654" s="80"/>
      <c r="L654" s="80"/>
      <c r="M654" s="80"/>
      <c r="N654" s="143"/>
      <c r="O654" s="143"/>
      <c r="P654" s="143"/>
      <c r="Q654" s="143"/>
      <c r="R654" s="143"/>
      <c r="S654" s="80"/>
      <c r="T654" s="80"/>
      <c r="U654" s="80"/>
      <c r="V654" s="80"/>
      <c r="W654" s="80"/>
      <c r="X654" s="80"/>
      <c r="Y654" s="80"/>
      <c r="Z654" s="80"/>
      <c r="AA654" s="80"/>
      <c r="AB654" s="80"/>
    </row>
    <row r="655" spans="1:28" ht="15.75">
      <c r="A655" s="80"/>
      <c r="B655" s="80"/>
      <c r="C655" s="80"/>
      <c r="D655" s="80"/>
      <c r="E655" s="80"/>
      <c r="F655" s="80"/>
      <c r="G655" s="80"/>
      <c r="H655" s="80"/>
      <c r="I655" s="80"/>
      <c r="J655" s="80"/>
      <c r="K655" s="80"/>
      <c r="L655" s="80"/>
      <c r="M655" s="80"/>
      <c r="N655" s="143"/>
      <c r="O655" s="143"/>
      <c r="P655" s="143"/>
      <c r="Q655" s="143"/>
      <c r="R655" s="143"/>
      <c r="S655" s="80"/>
      <c r="T655" s="80"/>
      <c r="U655" s="80"/>
      <c r="V655" s="80"/>
      <c r="W655" s="80"/>
      <c r="X655" s="80"/>
      <c r="Y655" s="80"/>
      <c r="Z655" s="80"/>
      <c r="AA655" s="80"/>
      <c r="AB655" s="80"/>
    </row>
    <row r="656" spans="1:28" ht="15.75">
      <c r="A656" s="80"/>
      <c r="B656" s="80"/>
      <c r="C656" s="80"/>
      <c r="D656" s="80"/>
      <c r="E656" s="80"/>
      <c r="F656" s="80"/>
      <c r="G656" s="80"/>
      <c r="H656" s="80"/>
      <c r="I656" s="80"/>
      <c r="J656" s="80"/>
      <c r="K656" s="80"/>
      <c r="L656" s="80"/>
      <c r="M656" s="80"/>
      <c r="N656" s="143"/>
      <c r="O656" s="143"/>
      <c r="P656" s="143"/>
      <c r="Q656" s="143"/>
      <c r="R656" s="143"/>
      <c r="S656" s="80"/>
      <c r="T656" s="80"/>
      <c r="U656" s="80"/>
      <c r="V656" s="80"/>
      <c r="W656" s="80"/>
      <c r="X656" s="80"/>
      <c r="Y656" s="80"/>
      <c r="Z656" s="80"/>
      <c r="AA656" s="80"/>
      <c r="AB656" s="80"/>
    </row>
    <row r="657" spans="1:28" ht="15.75">
      <c r="A657" s="80"/>
      <c r="B657" s="80"/>
      <c r="C657" s="80"/>
      <c r="D657" s="80"/>
      <c r="E657" s="80"/>
      <c r="F657" s="80"/>
      <c r="G657" s="80"/>
      <c r="H657" s="80"/>
      <c r="I657" s="80"/>
      <c r="J657" s="80"/>
      <c r="K657" s="80"/>
      <c r="L657" s="80"/>
      <c r="M657" s="80"/>
      <c r="N657" s="143"/>
      <c r="O657" s="143"/>
      <c r="P657" s="143"/>
      <c r="Q657" s="143"/>
      <c r="R657" s="143"/>
      <c r="S657" s="80"/>
      <c r="T657" s="80"/>
      <c r="U657" s="80"/>
      <c r="V657" s="80"/>
      <c r="W657" s="80"/>
      <c r="X657" s="80"/>
      <c r="Y657" s="80"/>
      <c r="Z657" s="80"/>
      <c r="AA657" s="80"/>
      <c r="AB657" s="80"/>
    </row>
    <row r="658" spans="1:28" ht="15.75">
      <c r="A658" s="80"/>
      <c r="B658" s="80"/>
      <c r="C658" s="80"/>
      <c r="D658" s="80"/>
      <c r="E658" s="80"/>
      <c r="F658" s="80"/>
      <c r="G658" s="80"/>
      <c r="H658" s="80"/>
      <c r="I658" s="80"/>
      <c r="J658" s="80"/>
      <c r="K658" s="80"/>
      <c r="L658" s="80"/>
      <c r="M658" s="80"/>
      <c r="N658" s="143"/>
      <c r="O658" s="143"/>
      <c r="P658" s="143"/>
      <c r="Q658" s="143"/>
      <c r="R658" s="143"/>
      <c r="S658" s="80"/>
      <c r="T658" s="80"/>
      <c r="U658" s="80"/>
      <c r="V658" s="80"/>
      <c r="W658" s="80"/>
      <c r="X658" s="80"/>
      <c r="Y658" s="80"/>
      <c r="Z658" s="80"/>
      <c r="AA658" s="80"/>
      <c r="AB658" s="80"/>
    </row>
    <row r="659" spans="1:28" ht="15.75">
      <c r="A659" s="80"/>
      <c r="B659" s="80"/>
      <c r="C659" s="80"/>
      <c r="D659" s="80"/>
      <c r="E659" s="80"/>
      <c r="F659" s="80"/>
      <c r="G659" s="80"/>
      <c r="H659" s="80"/>
      <c r="I659" s="80"/>
      <c r="J659" s="80"/>
      <c r="K659" s="80"/>
      <c r="L659" s="80"/>
      <c r="M659" s="80"/>
      <c r="N659" s="143"/>
      <c r="O659" s="143"/>
      <c r="P659" s="143"/>
      <c r="Q659" s="143"/>
      <c r="R659" s="143"/>
      <c r="S659" s="80"/>
      <c r="T659" s="80"/>
      <c r="U659" s="80"/>
      <c r="V659" s="80"/>
      <c r="W659" s="80"/>
      <c r="X659" s="80"/>
      <c r="Y659" s="80"/>
      <c r="Z659" s="80"/>
      <c r="AA659" s="80"/>
      <c r="AB659" s="80"/>
    </row>
    <row r="660" spans="1:28" ht="15.75">
      <c r="A660" s="80"/>
      <c r="B660" s="80"/>
      <c r="C660" s="80"/>
      <c r="D660" s="80"/>
      <c r="E660" s="80"/>
      <c r="F660" s="80"/>
      <c r="G660" s="80"/>
      <c r="H660" s="80"/>
      <c r="I660" s="80"/>
      <c r="J660" s="80"/>
      <c r="K660" s="80"/>
      <c r="L660" s="80"/>
      <c r="M660" s="80"/>
      <c r="N660" s="143"/>
      <c r="O660" s="143"/>
      <c r="P660" s="143"/>
      <c r="Q660" s="143"/>
      <c r="R660" s="143"/>
      <c r="S660" s="80"/>
      <c r="T660" s="80"/>
      <c r="U660" s="80"/>
      <c r="V660" s="80"/>
      <c r="W660" s="80"/>
      <c r="X660" s="80"/>
      <c r="Y660" s="80"/>
      <c r="Z660" s="80"/>
      <c r="AA660" s="80"/>
      <c r="AB660" s="80"/>
    </row>
    <row r="661" spans="1:28" ht="15.75">
      <c r="A661" s="80"/>
      <c r="B661" s="80"/>
      <c r="C661" s="80"/>
      <c r="D661" s="80"/>
      <c r="E661" s="80"/>
      <c r="F661" s="80"/>
      <c r="G661" s="80"/>
      <c r="H661" s="80"/>
      <c r="I661" s="80"/>
      <c r="J661" s="80"/>
      <c r="K661" s="80"/>
      <c r="L661" s="80"/>
      <c r="M661" s="80"/>
      <c r="N661" s="143"/>
      <c r="O661" s="143"/>
      <c r="P661" s="143"/>
      <c r="Q661" s="143"/>
      <c r="R661" s="143"/>
      <c r="S661" s="80"/>
      <c r="T661" s="80"/>
      <c r="U661" s="80"/>
      <c r="V661" s="80"/>
      <c r="W661" s="80"/>
      <c r="X661" s="80"/>
      <c r="Y661" s="80"/>
      <c r="Z661" s="80"/>
      <c r="AA661" s="80"/>
      <c r="AB661" s="80"/>
    </row>
    <row r="662" spans="1:28" ht="15.75">
      <c r="A662" s="80"/>
      <c r="B662" s="80"/>
      <c r="C662" s="80"/>
      <c r="D662" s="80"/>
      <c r="E662" s="80"/>
      <c r="F662" s="80"/>
      <c r="G662" s="80"/>
      <c r="H662" s="80"/>
      <c r="I662" s="80"/>
      <c r="J662" s="80"/>
      <c r="K662" s="80"/>
      <c r="L662" s="80"/>
      <c r="M662" s="80"/>
      <c r="N662" s="143"/>
      <c r="O662" s="143"/>
      <c r="P662" s="143"/>
      <c r="Q662" s="143"/>
      <c r="R662" s="143"/>
      <c r="S662" s="80"/>
      <c r="T662" s="80"/>
      <c r="U662" s="80"/>
      <c r="V662" s="80"/>
      <c r="W662" s="80"/>
      <c r="X662" s="80"/>
      <c r="Y662" s="80"/>
      <c r="Z662" s="80"/>
      <c r="AA662" s="80"/>
      <c r="AB662" s="80"/>
    </row>
    <row r="663" spans="1:28" ht="15.75">
      <c r="A663" s="80"/>
      <c r="B663" s="80"/>
      <c r="C663" s="80"/>
      <c r="D663" s="80"/>
      <c r="E663" s="80"/>
      <c r="F663" s="80"/>
      <c r="G663" s="80"/>
      <c r="H663" s="80"/>
      <c r="I663" s="80"/>
      <c r="J663" s="80"/>
      <c r="K663" s="80"/>
      <c r="L663" s="80"/>
      <c r="M663" s="80"/>
      <c r="N663" s="143"/>
      <c r="O663" s="143"/>
      <c r="P663" s="143"/>
      <c r="Q663" s="143"/>
      <c r="R663" s="143"/>
      <c r="S663" s="80"/>
      <c r="T663" s="80"/>
      <c r="U663" s="80"/>
      <c r="V663" s="80"/>
      <c r="W663" s="80"/>
      <c r="X663" s="80"/>
      <c r="Y663" s="80"/>
      <c r="Z663" s="80"/>
      <c r="AA663" s="80"/>
      <c r="AB663" s="80"/>
    </row>
    <row r="664" spans="1:28" ht="15.75">
      <c r="A664" s="80"/>
      <c r="B664" s="80"/>
      <c r="C664" s="80"/>
      <c r="D664" s="80"/>
      <c r="E664" s="80"/>
      <c r="F664" s="80"/>
      <c r="G664" s="80"/>
      <c r="H664" s="80"/>
      <c r="I664" s="80"/>
      <c r="J664" s="80"/>
      <c r="K664" s="80"/>
      <c r="L664" s="80"/>
      <c r="M664" s="80"/>
      <c r="N664" s="143"/>
      <c r="O664" s="143"/>
      <c r="P664" s="143"/>
      <c r="Q664" s="143"/>
      <c r="R664" s="143"/>
      <c r="S664" s="80"/>
      <c r="T664" s="80"/>
      <c r="U664" s="80"/>
      <c r="V664" s="80"/>
      <c r="W664" s="80"/>
      <c r="X664" s="80"/>
      <c r="Y664" s="80"/>
      <c r="Z664" s="80"/>
      <c r="AA664" s="80"/>
      <c r="AB664" s="80"/>
    </row>
    <row r="665" spans="1:28" ht="15.75">
      <c r="A665" s="80"/>
      <c r="B665" s="80"/>
      <c r="C665" s="80"/>
      <c r="D665" s="80"/>
      <c r="E665" s="80"/>
      <c r="F665" s="80"/>
      <c r="G665" s="80"/>
      <c r="H665" s="80"/>
      <c r="I665" s="80"/>
      <c r="J665" s="80"/>
      <c r="K665" s="80"/>
      <c r="L665" s="80"/>
      <c r="M665" s="80"/>
      <c r="N665" s="143"/>
      <c r="O665" s="143"/>
      <c r="P665" s="143"/>
      <c r="Q665" s="143"/>
      <c r="R665" s="143"/>
      <c r="S665" s="80"/>
      <c r="T665" s="80"/>
      <c r="U665" s="80"/>
      <c r="V665" s="80"/>
      <c r="W665" s="80"/>
      <c r="X665" s="80"/>
      <c r="Y665" s="80"/>
      <c r="Z665" s="80"/>
      <c r="AA665" s="80"/>
      <c r="AB665" s="80"/>
    </row>
    <row r="666" spans="1:28" ht="15.75">
      <c r="A666" s="80"/>
      <c r="B666" s="80"/>
      <c r="C666" s="80"/>
      <c r="D666" s="80"/>
      <c r="E666" s="80"/>
      <c r="F666" s="80"/>
      <c r="G666" s="80"/>
      <c r="H666" s="80"/>
      <c r="I666" s="80"/>
      <c r="J666" s="80"/>
      <c r="K666" s="80"/>
      <c r="L666" s="80"/>
      <c r="M666" s="80"/>
      <c r="N666" s="143"/>
      <c r="O666" s="143"/>
      <c r="P666" s="143"/>
      <c r="Q666" s="143"/>
      <c r="R666" s="143"/>
      <c r="S666" s="80"/>
      <c r="T666" s="80"/>
      <c r="U666" s="80"/>
      <c r="V666" s="80"/>
      <c r="W666" s="80"/>
      <c r="X666" s="80"/>
      <c r="Y666" s="80"/>
      <c r="Z666" s="80"/>
      <c r="AA666" s="80"/>
      <c r="AB666" s="80"/>
    </row>
    <row r="667" spans="1:28" ht="15.75">
      <c r="A667" s="80"/>
      <c r="B667" s="80"/>
      <c r="C667" s="80"/>
      <c r="D667" s="80"/>
      <c r="E667" s="80"/>
      <c r="F667" s="80"/>
      <c r="G667" s="80"/>
      <c r="H667" s="80"/>
      <c r="I667" s="80"/>
      <c r="J667" s="80"/>
      <c r="K667" s="80"/>
      <c r="L667" s="80"/>
      <c r="M667" s="80"/>
      <c r="N667" s="143"/>
      <c r="O667" s="143"/>
      <c r="P667" s="143"/>
      <c r="Q667" s="143"/>
      <c r="R667" s="143"/>
      <c r="S667" s="80"/>
      <c r="T667" s="80"/>
      <c r="U667" s="80"/>
      <c r="V667" s="80"/>
      <c r="W667" s="80"/>
      <c r="X667" s="80"/>
      <c r="Y667" s="80"/>
      <c r="Z667" s="80"/>
      <c r="AA667" s="80"/>
      <c r="AB667" s="80"/>
    </row>
    <row r="668" spans="1:28" ht="15.75">
      <c r="A668" s="80"/>
      <c r="B668" s="80"/>
      <c r="C668" s="80"/>
      <c r="D668" s="80"/>
      <c r="E668" s="80"/>
      <c r="F668" s="80"/>
      <c r="G668" s="80"/>
      <c r="H668" s="80"/>
      <c r="I668" s="80"/>
      <c r="J668" s="80"/>
      <c r="K668" s="80"/>
      <c r="L668" s="80"/>
      <c r="M668" s="80"/>
      <c r="N668" s="143"/>
      <c r="O668" s="143"/>
      <c r="P668" s="143"/>
      <c r="Q668" s="143"/>
      <c r="R668" s="143"/>
      <c r="S668" s="80"/>
      <c r="T668" s="80"/>
      <c r="U668" s="80"/>
      <c r="V668" s="80"/>
      <c r="W668" s="80"/>
      <c r="X668" s="80"/>
      <c r="Y668" s="80"/>
      <c r="Z668" s="80"/>
      <c r="AA668" s="80"/>
      <c r="AB668" s="80"/>
    </row>
    <row r="669" spans="1:28" ht="15.75">
      <c r="A669" s="80"/>
      <c r="B669" s="80"/>
      <c r="C669" s="80"/>
      <c r="D669" s="80"/>
      <c r="E669" s="80"/>
      <c r="F669" s="80"/>
      <c r="G669" s="80"/>
      <c r="H669" s="80"/>
      <c r="I669" s="80"/>
      <c r="J669" s="80"/>
      <c r="K669" s="80"/>
      <c r="L669" s="80"/>
      <c r="M669" s="80"/>
      <c r="N669" s="143"/>
      <c r="O669" s="143"/>
      <c r="P669" s="143"/>
      <c r="Q669" s="143"/>
      <c r="R669" s="143"/>
      <c r="S669" s="80"/>
      <c r="T669" s="80"/>
      <c r="U669" s="80"/>
      <c r="V669" s="80"/>
      <c r="W669" s="80"/>
      <c r="X669" s="80"/>
      <c r="Y669" s="80"/>
      <c r="Z669" s="80"/>
      <c r="AA669" s="80"/>
      <c r="AB669" s="80"/>
    </row>
    <row r="670" spans="1:28" ht="15.75">
      <c r="A670" s="80"/>
      <c r="B670" s="80"/>
      <c r="C670" s="80"/>
      <c r="D670" s="80"/>
      <c r="E670" s="80"/>
      <c r="F670" s="80"/>
      <c r="G670" s="80"/>
      <c r="H670" s="80"/>
      <c r="I670" s="80"/>
      <c r="J670" s="80"/>
      <c r="K670" s="80"/>
      <c r="L670" s="80"/>
      <c r="M670" s="80"/>
      <c r="N670" s="143"/>
      <c r="O670" s="143"/>
      <c r="P670" s="143"/>
      <c r="Q670" s="143"/>
      <c r="R670" s="143"/>
      <c r="S670" s="80"/>
      <c r="T670" s="80"/>
      <c r="U670" s="80"/>
      <c r="V670" s="80"/>
      <c r="W670" s="80"/>
      <c r="X670" s="80"/>
      <c r="Y670" s="80"/>
      <c r="Z670" s="80"/>
      <c r="AA670" s="80"/>
      <c r="AB670" s="80"/>
    </row>
    <row r="671" spans="1:28" ht="15.75">
      <c r="A671" s="80"/>
      <c r="B671" s="80"/>
      <c r="C671" s="80"/>
      <c r="D671" s="80"/>
      <c r="E671" s="80"/>
      <c r="F671" s="80"/>
      <c r="G671" s="80"/>
      <c r="H671" s="80"/>
      <c r="I671" s="80"/>
      <c r="J671" s="80"/>
      <c r="K671" s="80"/>
      <c r="L671" s="80"/>
      <c r="M671" s="80"/>
      <c r="N671" s="143"/>
      <c r="O671" s="143"/>
      <c r="P671" s="143"/>
      <c r="Q671" s="143"/>
      <c r="R671" s="143"/>
      <c r="S671" s="80"/>
      <c r="T671" s="80"/>
      <c r="U671" s="80"/>
      <c r="V671" s="80"/>
      <c r="W671" s="80"/>
      <c r="X671" s="80"/>
      <c r="Y671" s="80"/>
      <c r="Z671" s="80"/>
      <c r="AA671" s="80"/>
      <c r="AB671" s="80"/>
    </row>
    <row r="672" spans="1:28" ht="15.75">
      <c r="A672" s="80"/>
      <c r="B672" s="80"/>
      <c r="C672" s="80"/>
      <c r="D672" s="80"/>
      <c r="E672" s="80"/>
      <c r="F672" s="80"/>
      <c r="G672" s="80"/>
      <c r="H672" s="80"/>
      <c r="I672" s="80"/>
      <c r="J672" s="80"/>
      <c r="K672" s="80"/>
      <c r="L672" s="80"/>
      <c r="M672" s="80"/>
      <c r="N672" s="143"/>
      <c r="O672" s="143"/>
      <c r="P672" s="143"/>
      <c r="Q672" s="143"/>
      <c r="R672" s="143"/>
      <c r="S672" s="80"/>
      <c r="T672" s="80"/>
      <c r="U672" s="80"/>
      <c r="V672" s="80"/>
      <c r="W672" s="80"/>
      <c r="X672" s="80"/>
      <c r="Y672" s="80"/>
      <c r="Z672" s="80"/>
      <c r="AA672" s="80"/>
      <c r="AB672" s="80"/>
    </row>
    <row r="673" spans="1:28" ht="15.75">
      <c r="A673" s="80"/>
      <c r="B673" s="80"/>
      <c r="C673" s="80"/>
      <c r="D673" s="80"/>
      <c r="E673" s="80"/>
      <c r="F673" s="80"/>
      <c r="G673" s="80"/>
      <c r="H673" s="80"/>
      <c r="I673" s="80"/>
      <c r="J673" s="80"/>
      <c r="K673" s="80"/>
      <c r="L673" s="80"/>
      <c r="M673" s="80"/>
      <c r="N673" s="143"/>
      <c r="O673" s="143"/>
      <c r="P673" s="143"/>
      <c r="Q673" s="143"/>
      <c r="R673" s="143"/>
      <c r="S673" s="80"/>
      <c r="T673" s="80"/>
      <c r="U673" s="80"/>
      <c r="V673" s="80"/>
      <c r="W673" s="80"/>
      <c r="X673" s="80"/>
      <c r="Y673" s="80"/>
      <c r="Z673" s="80"/>
      <c r="AA673" s="80"/>
      <c r="AB673" s="80"/>
    </row>
    <row r="674" spans="1:28" ht="15.75">
      <c r="A674" s="80"/>
      <c r="B674" s="80"/>
      <c r="C674" s="80"/>
      <c r="D674" s="80"/>
      <c r="E674" s="80"/>
      <c r="F674" s="80"/>
      <c r="G674" s="80"/>
      <c r="H674" s="80"/>
      <c r="I674" s="80"/>
      <c r="J674" s="80"/>
      <c r="K674" s="80"/>
      <c r="L674" s="80"/>
      <c r="M674" s="80"/>
      <c r="N674" s="143"/>
      <c r="O674" s="143"/>
      <c r="P674" s="143"/>
      <c r="Q674" s="143"/>
      <c r="R674" s="143"/>
      <c r="S674" s="80"/>
      <c r="T674" s="80"/>
      <c r="U674" s="80"/>
      <c r="V674" s="80"/>
      <c r="W674" s="80"/>
      <c r="X674" s="80"/>
      <c r="Y674" s="80"/>
      <c r="Z674" s="80"/>
      <c r="AA674" s="80"/>
      <c r="AB674" s="80"/>
    </row>
    <row r="675" spans="1:28" ht="15.75">
      <c r="A675" s="80"/>
      <c r="B675" s="80"/>
      <c r="C675" s="80"/>
      <c r="D675" s="80"/>
      <c r="E675" s="80"/>
      <c r="F675" s="80"/>
      <c r="G675" s="80"/>
      <c r="H675" s="80"/>
      <c r="I675" s="80"/>
      <c r="J675" s="80"/>
      <c r="K675" s="80"/>
      <c r="L675" s="80"/>
      <c r="M675" s="80"/>
      <c r="N675" s="143"/>
      <c r="O675" s="143"/>
      <c r="P675" s="143"/>
      <c r="Q675" s="143"/>
      <c r="R675" s="143"/>
      <c r="S675" s="80"/>
      <c r="T675" s="80"/>
      <c r="U675" s="80"/>
      <c r="V675" s="80"/>
      <c r="W675" s="80"/>
      <c r="X675" s="80"/>
      <c r="Y675" s="80"/>
      <c r="Z675" s="80"/>
      <c r="AA675" s="80"/>
      <c r="AB675" s="80"/>
    </row>
    <row r="676" spans="1:28" ht="15.75">
      <c r="A676" s="80"/>
      <c r="B676" s="80"/>
      <c r="C676" s="80"/>
      <c r="D676" s="80"/>
      <c r="E676" s="80"/>
      <c r="F676" s="80"/>
      <c r="G676" s="80"/>
      <c r="H676" s="80"/>
      <c r="I676" s="80"/>
      <c r="J676" s="80"/>
      <c r="K676" s="80"/>
      <c r="L676" s="80"/>
      <c r="M676" s="80"/>
      <c r="N676" s="143"/>
      <c r="O676" s="143"/>
      <c r="P676" s="143"/>
      <c r="Q676" s="143"/>
      <c r="R676" s="143"/>
      <c r="S676" s="80"/>
      <c r="T676" s="80"/>
      <c r="U676" s="80"/>
      <c r="V676" s="80"/>
      <c r="W676" s="80"/>
      <c r="X676" s="80"/>
      <c r="Y676" s="80"/>
      <c r="Z676" s="80"/>
      <c r="AA676" s="80"/>
      <c r="AB676" s="80"/>
    </row>
    <row r="677" spans="1:28" ht="15.75">
      <c r="A677" s="80"/>
      <c r="B677" s="80"/>
      <c r="C677" s="80"/>
      <c r="D677" s="80"/>
      <c r="E677" s="80"/>
      <c r="F677" s="80"/>
      <c r="G677" s="80"/>
      <c r="H677" s="80"/>
      <c r="I677" s="80"/>
      <c r="J677" s="80"/>
      <c r="K677" s="80"/>
      <c r="L677" s="80"/>
      <c r="M677" s="80"/>
      <c r="N677" s="143"/>
      <c r="O677" s="143"/>
      <c r="P677" s="143"/>
      <c r="Q677" s="143"/>
      <c r="R677" s="143"/>
      <c r="S677" s="80"/>
      <c r="T677" s="80"/>
      <c r="U677" s="80"/>
      <c r="V677" s="80"/>
      <c r="W677" s="80"/>
      <c r="X677" s="80"/>
      <c r="Y677" s="80"/>
      <c r="Z677" s="80"/>
      <c r="AA677" s="80"/>
      <c r="AB677" s="80"/>
    </row>
    <row r="678" spans="1:28" ht="15.75">
      <c r="A678" s="80"/>
      <c r="B678" s="80"/>
      <c r="C678" s="80"/>
      <c r="D678" s="80"/>
      <c r="E678" s="80"/>
      <c r="F678" s="80"/>
      <c r="G678" s="80"/>
      <c r="H678" s="80"/>
      <c r="I678" s="80"/>
      <c r="J678" s="80"/>
      <c r="K678" s="80"/>
      <c r="L678" s="80"/>
      <c r="M678" s="80"/>
      <c r="N678" s="143"/>
      <c r="O678" s="143"/>
      <c r="P678" s="143"/>
      <c r="Q678" s="143"/>
      <c r="R678" s="143"/>
      <c r="S678" s="80"/>
      <c r="T678" s="80"/>
      <c r="U678" s="80"/>
      <c r="V678" s="80"/>
      <c r="W678" s="80"/>
      <c r="X678" s="80"/>
      <c r="Y678" s="80"/>
      <c r="Z678" s="80"/>
      <c r="AA678" s="80"/>
      <c r="AB678" s="80"/>
    </row>
    <row r="679" spans="1:28" ht="15.75">
      <c r="A679" s="80"/>
      <c r="B679" s="80"/>
      <c r="C679" s="80"/>
      <c r="D679" s="80"/>
      <c r="E679" s="80"/>
      <c r="F679" s="80"/>
      <c r="G679" s="80"/>
      <c r="H679" s="80"/>
      <c r="I679" s="80"/>
      <c r="J679" s="80"/>
      <c r="K679" s="80"/>
      <c r="L679" s="80"/>
      <c r="M679" s="80"/>
      <c r="N679" s="143"/>
      <c r="O679" s="143"/>
      <c r="P679" s="143"/>
      <c r="Q679" s="143"/>
      <c r="R679" s="143"/>
      <c r="S679" s="80"/>
      <c r="T679" s="80"/>
      <c r="U679" s="80"/>
      <c r="V679" s="80"/>
      <c r="W679" s="80"/>
      <c r="X679" s="80"/>
      <c r="Y679" s="80"/>
      <c r="Z679" s="80"/>
      <c r="AA679" s="80"/>
      <c r="AB679" s="80"/>
    </row>
    <row r="680" spans="1:28" ht="15.75">
      <c r="A680" s="80"/>
      <c r="B680" s="80"/>
      <c r="C680" s="80"/>
      <c r="D680" s="80"/>
      <c r="E680" s="80"/>
      <c r="F680" s="80"/>
      <c r="G680" s="80"/>
      <c r="H680" s="80"/>
      <c r="I680" s="80"/>
      <c r="J680" s="80"/>
      <c r="K680" s="80"/>
      <c r="L680" s="80"/>
      <c r="M680" s="80"/>
      <c r="N680" s="143"/>
      <c r="O680" s="143"/>
      <c r="P680" s="143"/>
      <c r="Q680" s="143"/>
      <c r="R680" s="143"/>
      <c r="S680" s="80"/>
      <c r="T680" s="80"/>
      <c r="U680" s="80"/>
      <c r="V680" s="80"/>
      <c r="W680" s="80"/>
      <c r="X680" s="80"/>
      <c r="Y680" s="80"/>
      <c r="Z680" s="80"/>
      <c r="AA680" s="80"/>
      <c r="AB680" s="80"/>
    </row>
    <row r="681" spans="1:28" ht="15.75">
      <c r="A681" s="80"/>
      <c r="B681" s="80"/>
      <c r="C681" s="80"/>
      <c r="D681" s="80"/>
      <c r="E681" s="80"/>
      <c r="F681" s="80"/>
      <c r="G681" s="80"/>
      <c r="H681" s="80"/>
      <c r="I681" s="80"/>
      <c r="J681" s="80"/>
      <c r="K681" s="80"/>
      <c r="L681" s="80"/>
      <c r="M681" s="80"/>
      <c r="N681" s="143"/>
      <c r="O681" s="143"/>
      <c r="P681" s="143"/>
      <c r="Q681" s="143"/>
      <c r="R681" s="143"/>
      <c r="S681" s="80"/>
      <c r="T681" s="80"/>
      <c r="U681" s="80"/>
      <c r="V681" s="80"/>
      <c r="W681" s="80"/>
      <c r="X681" s="80"/>
      <c r="Y681" s="80"/>
      <c r="Z681" s="80"/>
      <c r="AA681" s="80"/>
      <c r="AB681" s="80"/>
    </row>
    <row r="682" spans="1:28" ht="15.75">
      <c r="A682" s="80"/>
      <c r="B682" s="80"/>
      <c r="C682" s="80"/>
      <c r="D682" s="80"/>
      <c r="E682" s="80"/>
      <c r="F682" s="80"/>
      <c r="G682" s="80"/>
      <c r="H682" s="80"/>
      <c r="I682" s="80"/>
      <c r="J682" s="80"/>
      <c r="K682" s="80"/>
      <c r="L682" s="80"/>
      <c r="M682" s="80"/>
      <c r="N682" s="143"/>
      <c r="O682" s="143"/>
      <c r="P682" s="143"/>
      <c r="Q682" s="143"/>
      <c r="R682" s="143"/>
      <c r="S682" s="80"/>
      <c r="T682" s="80"/>
      <c r="U682" s="80"/>
      <c r="V682" s="80"/>
      <c r="W682" s="80"/>
      <c r="X682" s="80"/>
      <c r="Y682" s="80"/>
      <c r="Z682" s="80"/>
      <c r="AA682" s="80"/>
      <c r="AB682" s="80"/>
    </row>
    <row r="683" spans="1:28" ht="15.75">
      <c r="A683" s="80"/>
      <c r="B683" s="80"/>
      <c r="C683" s="80"/>
      <c r="D683" s="80"/>
      <c r="E683" s="80"/>
      <c r="F683" s="80"/>
      <c r="G683" s="80"/>
      <c r="H683" s="80"/>
      <c r="I683" s="80"/>
      <c r="J683" s="80"/>
      <c r="K683" s="80"/>
      <c r="L683" s="80"/>
      <c r="M683" s="80"/>
      <c r="N683" s="143"/>
      <c r="O683" s="143"/>
      <c r="P683" s="143"/>
      <c r="Q683" s="143"/>
      <c r="R683" s="143"/>
      <c r="S683" s="80"/>
      <c r="T683" s="80"/>
      <c r="U683" s="80"/>
      <c r="V683" s="80"/>
      <c r="W683" s="80"/>
      <c r="X683" s="80"/>
      <c r="Y683" s="80"/>
      <c r="Z683" s="80"/>
      <c r="AA683" s="80"/>
      <c r="AB683" s="80"/>
    </row>
    <row r="684" spans="1:28" ht="15.75">
      <c r="A684" s="80"/>
      <c r="B684" s="80"/>
      <c r="C684" s="80"/>
      <c r="D684" s="80"/>
      <c r="E684" s="80"/>
      <c r="F684" s="80"/>
      <c r="G684" s="80"/>
      <c r="H684" s="80"/>
      <c r="I684" s="80"/>
      <c r="J684" s="80"/>
      <c r="K684" s="80"/>
      <c r="L684" s="80"/>
      <c r="M684" s="80"/>
      <c r="N684" s="143"/>
      <c r="O684" s="143"/>
      <c r="P684" s="143"/>
      <c r="Q684" s="143"/>
      <c r="R684" s="143"/>
      <c r="S684" s="80"/>
      <c r="T684" s="80"/>
      <c r="U684" s="80"/>
      <c r="V684" s="80"/>
      <c r="W684" s="80"/>
      <c r="X684" s="80"/>
      <c r="Y684" s="80"/>
      <c r="Z684" s="80"/>
      <c r="AA684" s="80"/>
      <c r="AB684" s="80"/>
    </row>
    <row r="685" spans="1:28" ht="15.75">
      <c r="A685" s="80"/>
      <c r="B685" s="80"/>
      <c r="C685" s="80"/>
      <c r="D685" s="80"/>
      <c r="E685" s="80"/>
      <c r="F685" s="80"/>
      <c r="G685" s="80"/>
      <c r="H685" s="80"/>
      <c r="I685" s="80"/>
      <c r="J685" s="80"/>
      <c r="K685" s="80"/>
      <c r="L685" s="80"/>
      <c r="M685" s="80"/>
      <c r="N685" s="143"/>
      <c r="O685" s="143"/>
      <c r="P685" s="143"/>
      <c r="Q685" s="143"/>
      <c r="R685" s="143"/>
      <c r="S685" s="80"/>
      <c r="T685" s="80"/>
      <c r="U685" s="80"/>
      <c r="V685" s="80"/>
      <c r="W685" s="80"/>
      <c r="X685" s="80"/>
      <c r="Y685" s="80"/>
      <c r="Z685" s="80"/>
      <c r="AA685" s="80"/>
      <c r="AB685" s="80"/>
    </row>
    <row r="686" spans="1:28" ht="15.75">
      <c r="A686" s="80"/>
      <c r="B686" s="80"/>
      <c r="C686" s="80"/>
      <c r="D686" s="80"/>
      <c r="E686" s="80"/>
      <c r="F686" s="80"/>
      <c r="G686" s="80"/>
      <c r="H686" s="80"/>
      <c r="I686" s="80"/>
      <c r="J686" s="80"/>
      <c r="K686" s="80"/>
      <c r="L686" s="80"/>
      <c r="M686" s="80"/>
      <c r="N686" s="143"/>
      <c r="O686" s="143"/>
      <c r="P686" s="143"/>
      <c r="Q686" s="143"/>
      <c r="R686" s="143"/>
      <c r="S686" s="80"/>
      <c r="T686" s="80"/>
      <c r="U686" s="80"/>
      <c r="V686" s="80"/>
      <c r="W686" s="80"/>
      <c r="X686" s="80"/>
      <c r="Y686" s="80"/>
      <c r="Z686" s="80"/>
      <c r="AA686" s="80"/>
      <c r="AB686" s="80"/>
    </row>
    <row r="687" spans="1:28" ht="15.75">
      <c r="A687" s="80"/>
      <c r="B687" s="80"/>
      <c r="C687" s="80"/>
      <c r="D687" s="80"/>
      <c r="E687" s="80"/>
      <c r="F687" s="80"/>
      <c r="G687" s="80"/>
      <c r="H687" s="80"/>
      <c r="I687" s="80"/>
      <c r="J687" s="80"/>
      <c r="K687" s="80"/>
      <c r="L687" s="80"/>
      <c r="M687" s="80"/>
      <c r="N687" s="143"/>
      <c r="O687" s="143"/>
      <c r="P687" s="143"/>
      <c r="Q687" s="143"/>
      <c r="R687" s="143"/>
      <c r="S687" s="80"/>
      <c r="T687" s="80"/>
      <c r="U687" s="80"/>
      <c r="V687" s="80"/>
      <c r="W687" s="80"/>
      <c r="X687" s="80"/>
      <c r="Y687" s="80"/>
      <c r="Z687" s="80"/>
      <c r="AA687" s="80"/>
      <c r="AB687" s="80"/>
    </row>
    <row r="688" spans="1:28" ht="15.75">
      <c r="A688" s="80"/>
      <c r="B688" s="80"/>
      <c r="C688" s="80"/>
      <c r="D688" s="80"/>
      <c r="E688" s="80"/>
      <c r="F688" s="80"/>
      <c r="G688" s="80"/>
      <c r="H688" s="80"/>
      <c r="I688" s="80"/>
      <c r="J688" s="80"/>
      <c r="K688" s="80"/>
      <c r="L688" s="80"/>
      <c r="M688" s="80"/>
      <c r="N688" s="143"/>
      <c r="O688" s="143"/>
      <c r="P688" s="143"/>
      <c r="Q688" s="143"/>
      <c r="R688" s="143"/>
      <c r="S688" s="80"/>
      <c r="T688" s="80"/>
      <c r="U688" s="80"/>
      <c r="V688" s="80"/>
      <c r="W688" s="80"/>
      <c r="X688" s="80"/>
      <c r="Y688" s="80"/>
      <c r="Z688" s="80"/>
      <c r="AA688" s="80"/>
      <c r="AB688" s="80"/>
    </row>
    <row r="689" spans="1:28" ht="15.75">
      <c r="A689" s="80"/>
      <c r="B689" s="80"/>
      <c r="C689" s="80"/>
      <c r="D689" s="80"/>
      <c r="E689" s="80"/>
      <c r="F689" s="80"/>
      <c r="G689" s="80"/>
      <c r="H689" s="80"/>
      <c r="I689" s="80"/>
      <c r="J689" s="80"/>
      <c r="K689" s="80"/>
      <c r="L689" s="80"/>
      <c r="M689" s="80"/>
      <c r="N689" s="143"/>
      <c r="O689" s="143"/>
      <c r="P689" s="143"/>
      <c r="Q689" s="143"/>
      <c r="R689" s="143"/>
      <c r="S689" s="80"/>
      <c r="T689" s="80"/>
      <c r="U689" s="80"/>
      <c r="V689" s="80"/>
      <c r="W689" s="80"/>
      <c r="X689" s="80"/>
      <c r="Y689" s="80"/>
      <c r="Z689" s="80"/>
      <c r="AA689" s="80"/>
      <c r="AB689" s="80"/>
    </row>
    <row r="690" spans="1:28" ht="15.75">
      <c r="A690" s="80"/>
      <c r="B690" s="80"/>
      <c r="C690" s="80"/>
      <c r="D690" s="80"/>
      <c r="E690" s="80"/>
      <c r="F690" s="80"/>
      <c r="G690" s="80"/>
      <c r="H690" s="80"/>
      <c r="I690" s="80"/>
      <c r="J690" s="80"/>
      <c r="K690" s="80"/>
      <c r="L690" s="80"/>
      <c r="M690" s="80"/>
      <c r="N690" s="143"/>
      <c r="O690" s="143"/>
      <c r="P690" s="143"/>
      <c r="Q690" s="143"/>
      <c r="R690" s="143"/>
      <c r="S690" s="80"/>
      <c r="T690" s="80"/>
      <c r="U690" s="80"/>
      <c r="V690" s="80"/>
      <c r="W690" s="80"/>
      <c r="X690" s="80"/>
      <c r="Y690" s="80"/>
      <c r="Z690" s="80"/>
      <c r="AA690" s="80"/>
      <c r="AB690" s="80"/>
    </row>
    <row r="691" spans="1:28" ht="15.75">
      <c r="A691" s="80"/>
      <c r="B691" s="80"/>
      <c r="C691" s="80"/>
      <c r="D691" s="80"/>
      <c r="E691" s="80"/>
      <c r="F691" s="80"/>
      <c r="G691" s="80"/>
      <c r="H691" s="80"/>
      <c r="I691" s="80"/>
      <c r="J691" s="80"/>
      <c r="K691" s="80"/>
      <c r="L691" s="80"/>
      <c r="M691" s="80"/>
      <c r="N691" s="143"/>
      <c r="O691" s="143"/>
      <c r="P691" s="143"/>
      <c r="Q691" s="143"/>
      <c r="R691" s="143"/>
      <c r="S691" s="80"/>
      <c r="T691" s="80"/>
      <c r="U691" s="80"/>
      <c r="V691" s="80"/>
      <c r="W691" s="80"/>
      <c r="X691" s="80"/>
      <c r="Y691" s="80"/>
      <c r="Z691" s="80"/>
      <c r="AA691" s="80"/>
      <c r="AB691" s="80"/>
    </row>
    <row r="692" spans="1:28" ht="15.75">
      <c r="A692" s="80"/>
      <c r="B692" s="80"/>
      <c r="C692" s="80"/>
      <c r="D692" s="80"/>
      <c r="E692" s="80"/>
      <c r="F692" s="80"/>
      <c r="G692" s="80"/>
      <c r="H692" s="80"/>
      <c r="I692" s="80"/>
      <c r="J692" s="80"/>
      <c r="K692" s="80"/>
      <c r="L692" s="80"/>
      <c r="M692" s="80"/>
      <c r="N692" s="143"/>
      <c r="O692" s="143"/>
      <c r="P692" s="143"/>
      <c r="Q692" s="143"/>
      <c r="R692" s="143"/>
      <c r="S692" s="80"/>
      <c r="T692" s="80"/>
      <c r="U692" s="80"/>
      <c r="V692" s="80"/>
      <c r="W692" s="80"/>
      <c r="X692" s="80"/>
      <c r="Y692" s="80"/>
      <c r="Z692" s="80"/>
      <c r="AA692" s="80"/>
      <c r="AB692" s="80"/>
    </row>
    <row r="693" spans="1:28" ht="15.75">
      <c r="A693" s="80"/>
      <c r="B693" s="80"/>
      <c r="C693" s="80"/>
      <c r="D693" s="80"/>
      <c r="E693" s="80"/>
      <c r="F693" s="80"/>
      <c r="G693" s="80"/>
      <c r="H693" s="80"/>
      <c r="I693" s="80"/>
      <c r="J693" s="80"/>
      <c r="K693" s="80"/>
      <c r="L693" s="80"/>
      <c r="M693" s="80"/>
      <c r="N693" s="143"/>
      <c r="O693" s="143"/>
      <c r="P693" s="143"/>
      <c r="Q693" s="143"/>
      <c r="R693" s="143"/>
      <c r="S693" s="80"/>
      <c r="T693" s="80"/>
      <c r="U693" s="80"/>
      <c r="V693" s="80"/>
      <c r="W693" s="80"/>
      <c r="X693" s="80"/>
      <c r="Y693" s="80"/>
      <c r="Z693" s="80"/>
      <c r="AA693" s="80"/>
      <c r="AB693" s="80"/>
    </row>
    <row r="694" spans="1:28" ht="15.75">
      <c r="A694" s="80"/>
      <c r="B694" s="80"/>
      <c r="C694" s="80"/>
      <c r="D694" s="80"/>
      <c r="E694" s="80"/>
      <c r="F694" s="80"/>
      <c r="G694" s="80"/>
      <c r="H694" s="80"/>
      <c r="I694" s="80"/>
      <c r="J694" s="80"/>
      <c r="K694" s="80"/>
      <c r="L694" s="80"/>
      <c r="M694" s="80"/>
      <c r="N694" s="143"/>
      <c r="O694" s="143"/>
      <c r="P694" s="143"/>
      <c r="Q694" s="143"/>
      <c r="R694" s="143"/>
      <c r="S694" s="80"/>
      <c r="T694" s="80"/>
      <c r="U694" s="80"/>
      <c r="V694" s="80"/>
      <c r="W694" s="80"/>
      <c r="X694" s="80"/>
      <c r="Y694" s="80"/>
      <c r="Z694" s="80"/>
      <c r="AA694" s="80"/>
      <c r="AB694" s="80"/>
    </row>
    <row r="695" spans="1:28" ht="15.75">
      <c r="A695" s="80"/>
      <c r="B695" s="80"/>
      <c r="C695" s="80"/>
      <c r="D695" s="80"/>
      <c r="E695" s="80"/>
      <c r="F695" s="80"/>
      <c r="G695" s="80"/>
      <c r="H695" s="80"/>
      <c r="I695" s="80"/>
      <c r="J695" s="80"/>
      <c r="K695" s="80"/>
      <c r="L695" s="80"/>
      <c r="M695" s="80"/>
      <c r="N695" s="143"/>
      <c r="O695" s="143"/>
      <c r="P695" s="143"/>
      <c r="Q695" s="143"/>
      <c r="R695" s="143"/>
      <c r="S695" s="80"/>
      <c r="T695" s="80"/>
      <c r="U695" s="80"/>
      <c r="V695" s="80"/>
      <c r="W695" s="80"/>
      <c r="X695" s="80"/>
      <c r="Y695" s="80"/>
      <c r="Z695" s="80"/>
      <c r="AA695" s="80"/>
      <c r="AB695" s="80"/>
    </row>
    <row r="696" spans="1:28" ht="15.75">
      <c r="A696" s="80"/>
      <c r="B696" s="80"/>
      <c r="C696" s="80"/>
      <c r="D696" s="80"/>
      <c r="E696" s="80"/>
      <c r="F696" s="80"/>
      <c r="G696" s="80"/>
      <c r="H696" s="80"/>
      <c r="I696" s="80"/>
      <c r="J696" s="80"/>
      <c r="K696" s="80"/>
      <c r="L696" s="80"/>
      <c r="M696" s="80"/>
      <c r="N696" s="143"/>
      <c r="O696" s="143"/>
      <c r="P696" s="143"/>
      <c r="Q696" s="143"/>
      <c r="R696" s="143"/>
      <c r="S696" s="80"/>
      <c r="T696" s="80"/>
      <c r="U696" s="80"/>
      <c r="V696" s="80"/>
      <c r="W696" s="80"/>
      <c r="X696" s="80"/>
      <c r="Y696" s="80"/>
      <c r="Z696" s="80"/>
      <c r="AA696" s="80"/>
      <c r="AB696" s="80"/>
    </row>
    <row r="697" spans="1:28" ht="15.75">
      <c r="A697" s="80"/>
      <c r="B697" s="80"/>
      <c r="C697" s="80"/>
      <c r="D697" s="80"/>
      <c r="E697" s="80"/>
      <c r="F697" s="80"/>
      <c r="G697" s="80"/>
      <c r="H697" s="80"/>
      <c r="I697" s="80"/>
      <c r="J697" s="80"/>
      <c r="K697" s="80"/>
      <c r="L697" s="80"/>
      <c r="M697" s="80"/>
      <c r="N697" s="143"/>
      <c r="O697" s="143"/>
      <c r="P697" s="143"/>
      <c r="Q697" s="143"/>
      <c r="R697" s="143"/>
      <c r="S697" s="80"/>
      <c r="T697" s="80"/>
      <c r="U697" s="80"/>
      <c r="V697" s="80"/>
      <c r="W697" s="80"/>
      <c r="X697" s="80"/>
      <c r="Y697" s="80"/>
      <c r="Z697" s="80"/>
      <c r="AA697" s="80"/>
      <c r="AB697" s="80"/>
    </row>
    <row r="698" spans="1:28" ht="15.75">
      <c r="A698" s="80"/>
      <c r="B698" s="80"/>
      <c r="C698" s="80"/>
      <c r="D698" s="80"/>
      <c r="E698" s="80"/>
      <c r="F698" s="80"/>
      <c r="G698" s="80"/>
      <c r="H698" s="80"/>
      <c r="I698" s="80"/>
      <c r="J698" s="80"/>
      <c r="K698" s="80"/>
      <c r="L698" s="80"/>
      <c r="M698" s="80"/>
      <c r="N698" s="143"/>
      <c r="O698" s="143"/>
      <c r="P698" s="143"/>
      <c r="Q698" s="143"/>
      <c r="R698" s="143"/>
      <c r="S698" s="80"/>
      <c r="T698" s="80"/>
      <c r="U698" s="80"/>
      <c r="V698" s="80"/>
      <c r="W698" s="80"/>
      <c r="X698" s="80"/>
      <c r="Y698" s="80"/>
      <c r="Z698" s="80"/>
      <c r="AA698" s="80"/>
      <c r="AB698" s="80"/>
    </row>
    <row r="699" spans="1:28" ht="15.75">
      <c r="A699" s="80"/>
      <c r="B699" s="80"/>
      <c r="C699" s="80"/>
      <c r="D699" s="80"/>
      <c r="E699" s="80"/>
      <c r="F699" s="80"/>
      <c r="G699" s="80"/>
      <c r="H699" s="80"/>
      <c r="I699" s="80"/>
      <c r="J699" s="80"/>
      <c r="K699" s="80"/>
      <c r="L699" s="80"/>
      <c r="M699" s="80"/>
      <c r="N699" s="143"/>
      <c r="O699" s="143"/>
      <c r="P699" s="143"/>
      <c r="Q699" s="143"/>
      <c r="R699" s="143"/>
      <c r="S699" s="80"/>
      <c r="T699" s="80"/>
      <c r="U699" s="80"/>
      <c r="V699" s="80"/>
      <c r="W699" s="80"/>
      <c r="X699" s="80"/>
      <c r="Y699" s="80"/>
      <c r="Z699" s="80"/>
      <c r="AA699" s="80"/>
      <c r="AB699" s="80"/>
    </row>
    <row r="700" spans="1:28" ht="15.75">
      <c r="A700" s="80"/>
      <c r="B700" s="80"/>
      <c r="C700" s="80"/>
      <c r="D700" s="80"/>
      <c r="E700" s="80"/>
      <c r="F700" s="80"/>
      <c r="G700" s="80"/>
      <c r="H700" s="80"/>
      <c r="I700" s="80"/>
      <c r="J700" s="80"/>
      <c r="K700" s="80"/>
      <c r="L700" s="80"/>
      <c r="M700" s="80"/>
      <c r="N700" s="143"/>
      <c r="O700" s="143"/>
      <c r="P700" s="143"/>
      <c r="Q700" s="143"/>
      <c r="R700" s="143"/>
      <c r="S700" s="80"/>
      <c r="T700" s="80"/>
      <c r="U700" s="80"/>
      <c r="V700" s="80"/>
      <c r="W700" s="80"/>
      <c r="X700" s="80"/>
      <c r="Y700" s="80"/>
      <c r="Z700" s="80"/>
      <c r="AA700" s="80"/>
      <c r="AB700" s="80"/>
    </row>
    <row r="701" spans="1:28" ht="15.75">
      <c r="A701" s="80"/>
      <c r="B701" s="80"/>
      <c r="C701" s="80"/>
      <c r="D701" s="80"/>
      <c r="E701" s="80"/>
      <c r="F701" s="80"/>
      <c r="G701" s="80"/>
      <c r="H701" s="80"/>
      <c r="I701" s="80"/>
      <c r="J701" s="80"/>
      <c r="K701" s="80"/>
      <c r="L701" s="80"/>
      <c r="M701" s="80"/>
      <c r="N701" s="143"/>
      <c r="O701" s="143"/>
      <c r="P701" s="143"/>
      <c r="Q701" s="143"/>
      <c r="R701" s="143"/>
      <c r="S701" s="80"/>
      <c r="T701" s="80"/>
      <c r="U701" s="80"/>
      <c r="V701" s="80"/>
      <c r="W701" s="80"/>
      <c r="X701" s="80"/>
      <c r="Y701" s="80"/>
      <c r="Z701" s="80"/>
      <c r="AA701" s="80"/>
      <c r="AB701" s="80"/>
    </row>
    <row r="702" spans="1:28" ht="15.75">
      <c r="A702" s="80"/>
      <c r="B702" s="80"/>
      <c r="C702" s="80"/>
      <c r="D702" s="80"/>
      <c r="E702" s="80"/>
      <c r="F702" s="80"/>
      <c r="G702" s="80"/>
      <c r="H702" s="80"/>
      <c r="I702" s="80"/>
      <c r="J702" s="80"/>
      <c r="K702" s="80"/>
      <c r="L702" s="80"/>
      <c r="M702" s="80"/>
      <c r="N702" s="143"/>
      <c r="O702" s="143"/>
      <c r="P702" s="143"/>
      <c r="Q702" s="143"/>
      <c r="R702" s="143"/>
      <c r="S702" s="80"/>
      <c r="T702" s="80"/>
      <c r="U702" s="80"/>
      <c r="V702" s="80"/>
      <c r="W702" s="80"/>
      <c r="X702" s="80"/>
      <c r="Y702" s="80"/>
      <c r="Z702" s="80"/>
      <c r="AA702" s="80"/>
      <c r="AB702" s="80"/>
    </row>
    <row r="703" spans="1:28" ht="15.75">
      <c r="A703" s="80"/>
      <c r="B703" s="80"/>
      <c r="C703" s="80"/>
      <c r="D703" s="80"/>
      <c r="E703" s="80"/>
      <c r="F703" s="80"/>
      <c r="G703" s="80"/>
      <c r="H703" s="80"/>
      <c r="I703" s="80"/>
      <c r="J703" s="80"/>
      <c r="K703" s="80"/>
      <c r="L703" s="80"/>
      <c r="M703" s="80"/>
      <c r="N703" s="143"/>
      <c r="O703" s="143"/>
      <c r="P703" s="143"/>
      <c r="Q703" s="143"/>
      <c r="R703" s="143"/>
      <c r="S703" s="80"/>
      <c r="T703" s="80"/>
      <c r="U703" s="80"/>
      <c r="V703" s="80"/>
      <c r="W703" s="80"/>
      <c r="X703" s="80"/>
      <c r="Y703" s="80"/>
      <c r="Z703" s="80"/>
      <c r="AA703" s="80"/>
      <c r="AB703" s="80"/>
    </row>
    <row r="704" spans="1:28" ht="15.75">
      <c r="A704" s="80"/>
      <c r="B704" s="80"/>
      <c r="C704" s="80"/>
      <c r="D704" s="80"/>
      <c r="E704" s="80"/>
      <c r="F704" s="80"/>
      <c r="G704" s="80"/>
      <c r="H704" s="80"/>
      <c r="I704" s="80"/>
      <c r="J704" s="80"/>
      <c r="K704" s="80"/>
      <c r="L704" s="80"/>
      <c r="M704" s="80"/>
      <c r="N704" s="143"/>
      <c r="O704" s="143"/>
      <c r="P704" s="143"/>
      <c r="Q704" s="143"/>
      <c r="R704" s="143"/>
      <c r="S704" s="80"/>
      <c r="T704" s="80"/>
      <c r="U704" s="80"/>
      <c r="V704" s="80"/>
      <c r="W704" s="80"/>
      <c r="X704" s="80"/>
      <c r="Y704" s="80"/>
      <c r="Z704" s="80"/>
      <c r="AA704" s="80"/>
      <c r="AB704" s="80"/>
    </row>
    <row r="705" spans="1:28" ht="15.75">
      <c r="A705" s="80"/>
      <c r="B705" s="80"/>
      <c r="C705" s="80"/>
      <c r="D705" s="80"/>
      <c r="E705" s="80"/>
      <c r="F705" s="80"/>
      <c r="G705" s="80"/>
      <c r="H705" s="80"/>
      <c r="I705" s="80"/>
      <c r="J705" s="80"/>
      <c r="K705" s="80"/>
      <c r="L705" s="80"/>
      <c r="M705" s="80"/>
      <c r="N705" s="143"/>
      <c r="O705" s="143"/>
      <c r="P705" s="143"/>
      <c r="Q705" s="143"/>
      <c r="R705" s="143"/>
      <c r="S705" s="80"/>
      <c r="T705" s="80"/>
      <c r="U705" s="80"/>
      <c r="V705" s="80"/>
      <c r="W705" s="80"/>
      <c r="X705" s="80"/>
      <c r="Y705" s="80"/>
      <c r="Z705" s="80"/>
      <c r="AA705" s="80"/>
      <c r="AB705" s="80"/>
    </row>
    <row r="706" spans="1:28" ht="15.75">
      <c r="A706" s="80"/>
      <c r="B706" s="80"/>
      <c r="C706" s="80"/>
      <c r="D706" s="80"/>
      <c r="E706" s="80"/>
      <c r="F706" s="80"/>
      <c r="G706" s="80"/>
      <c r="H706" s="80"/>
      <c r="I706" s="80"/>
      <c r="J706" s="80"/>
      <c r="K706" s="80"/>
      <c r="L706" s="80"/>
      <c r="M706" s="80"/>
      <c r="N706" s="143"/>
      <c r="O706" s="143"/>
      <c r="P706" s="143"/>
      <c r="Q706" s="143"/>
      <c r="R706" s="143"/>
      <c r="S706" s="80"/>
      <c r="T706" s="80"/>
      <c r="U706" s="80"/>
      <c r="V706" s="80"/>
      <c r="W706" s="80"/>
      <c r="X706" s="80"/>
      <c r="Y706" s="80"/>
      <c r="Z706" s="80"/>
      <c r="AA706" s="80"/>
      <c r="AB706" s="80"/>
    </row>
    <row r="707" spans="1:28" ht="15.75">
      <c r="A707" s="80"/>
      <c r="B707" s="80"/>
      <c r="C707" s="80"/>
      <c r="D707" s="80"/>
      <c r="E707" s="80"/>
      <c r="F707" s="80"/>
      <c r="G707" s="80"/>
      <c r="H707" s="80"/>
      <c r="I707" s="80"/>
      <c r="J707" s="80"/>
      <c r="K707" s="80"/>
      <c r="L707" s="80"/>
      <c r="M707" s="80"/>
      <c r="N707" s="143"/>
      <c r="O707" s="143"/>
      <c r="P707" s="143"/>
      <c r="Q707" s="143"/>
      <c r="R707" s="143"/>
      <c r="S707" s="80"/>
      <c r="T707" s="80"/>
      <c r="U707" s="80"/>
      <c r="V707" s="80"/>
      <c r="W707" s="80"/>
      <c r="X707" s="80"/>
      <c r="Y707" s="80"/>
      <c r="Z707" s="80"/>
      <c r="AA707" s="80"/>
      <c r="AB707" s="80"/>
    </row>
    <row r="708" spans="1:28" ht="15.75">
      <c r="A708" s="80"/>
      <c r="B708" s="80"/>
      <c r="C708" s="80"/>
      <c r="D708" s="80"/>
      <c r="E708" s="80"/>
      <c r="F708" s="80"/>
      <c r="G708" s="80"/>
      <c r="H708" s="80"/>
      <c r="I708" s="80"/>
      <c r="J708" s="80"/>
      <c r="K708" s="80"/>
      <c r="L708" s="80"/>
      <c r="M708" s="80"/>
      <c r="N708" s="143"/>
      <c r="O708" s="143"/>
      <c r="P708" s="143"/>
      <c r="Q708" s="143"/>
      <c r="R708" s="143"/>
      <c r="S708" s="80"/>
      <c r="T708" s="80"/>
      <c r="U708" s="80"/>
      <c r="V708" s="80"/>
      <c r="W708" s="80"/>
      <c r="X708" s="80"/>
      <c r="Y708" s="80"/>
      <c r="Z708" s="80"/>
      <c r="AA708" s="80"/>
      <c r="AB708" s="80"/>
    </row>
    <row r="709" spans="1:28" ht="15.75">
      <c r="A709" s="80"/>
      <c r="B709" s="80"/>
      <c r="C709" s="80"/>
      <c r="D709" s="80"/>
      <c r="E709" s="80"/>
      <c r="F709" s="80"/>
      <c r="G709" s="80"/>
      <c r="H709" s="80"/>
      <c r="I709" s="80"/>
      <c r="J709" s="80"/>
      <c r="K709" s="80"/>
      <c r="L709" s="80"/>
      <c r="M709" s="80"/>
      <c r="N709" s="143"/>
      <c r="O709" s="143"/>
      <c r="P709" s="143"/>
      <c r="Q709" s="143"/>
      <c r="R709" s="143"/>
      <c r="S709" s="80"/>
      <c r="T709" s="80"/>
      <c r="U709" s="80"/>
      <c r="V709" s="80"/>
      <c r="W709" s="80"/>
      <c r="X709" s="80"/>
      <c r="Y709" s="80"/>
      <c r="Z709" s="80"/>
      <c r="AA709" s="80"/>
      <c r="AB709" s="80"/>
    </row>
    <row r="710" spans="1:28" ht="15.75">
      <c r="A710" s="80"/>
      <c r="B710" s="80"/>
      <c r="C710" s="80"/>
      <c r="D710" s="80"/>
      <c r="E710" s="80"/>
      <c r="F710" s="80"/>
      <c r="G710" s="80"/>
      <c r="H710" s="80"/>
      <c r="I710" s="80"/>
      <c r="J710" s="80"/>
      <c r="K710" s="80"/>
      <c r="L710" s="80"/>
      <c r="M710" s="80"/>
      <c r="N710" s="143"/>
      <c r="O710" s="143"/>
      <c r="P710" s="143"/>
      <c r="Q710" s="143"/>
      <c r="R710" s="143"/>
      <c r="S710" s="80"/>
      <c r="T710" s="80"/>
      <c r="U710" s="80"/>
      <c r="V710" s="80"/>
      <c r="W710" s="80"/>
      <c r="X710" s="80"/>
      <c r="Y710" s="80"/>
      <c r="Z710" s="80"/>
      <c r="AA710" s="80"/>
      <c r="AB710" s="80"/>
    </row>
    <row r="711" spans="1:28" ht="15.75">
      <c r="A711" s="80"/>
      <c r="B711" s="80"/>
      <c r="C711" s="80"/>
      <c r="D711" s="80"/>
      <c r="E711" s="80"/>
      <c r="F711" s="80"/>
      <c r="G711" s="80"/>
      <c r="H711" s="80"/>
      <c r="I711" s="80"/>
      <c r="J711" s="80"/>
      <c r="K711" s="80"/>
      <c r="L711" s="80"/>
      <c r="M711" s="80"/>
      <c r="N711" s="143"/>
      <c r="O711" s="143"/>
      <c r="P711" s="143"/>
      <c r="Q711" s="143"/>
      <c r="R711" s="143"/>
      <c r="S711" s="80"/>
      <c r="T711" s="80"/>
      <c r="U711" s="80"/>
      <c r="V711" s="80"/>
      <c r="W711" s="80"/>
      <c r="X711" s="80"/>
      <c r="Y711" s="80"/>
      <c r="Z711" s="80"/>
      <c r="AA711" s="80"/>
      <c r="AB711" s="80"/>
    </row>
    <row r="712" spans="1:28" ht="15.75">
      <c r="A712" s="80"/>
      <c r="B712" s="80"/>
      <c r="C712" s="80"/>
      <c r="D712" s="80"/>
      <c r="E712" s="80"/>
      <c r="F712" s="80"/>
      <c r="G712" s="80"/>
      <c r="H712" s="80"/>
      <c r="I712" s="80"/>
      <c r="J712" s="80"/>
      <c r="K712" s="80"/>
      <c r="L712" s="80"/>
      <c r="M712" s="80"/>
      <c r="N712" s="143"/>
      <c r="O712" s="143"/>
      <c r="P712" s="143"/>
      <c r="Q712" s="143"/>
      <c r="R712" s="143"/>
      <c r="S712" s="80"/>
      <c r="T712" s="80"/>
      <c r="U712" s="80"/>
      <c r="V712" s="80"/>
      <c r="W712" s="80"/>
      <c r="X712" s="80"/>
      <c r="Y712" s="80"/>
      <c r="Z712" s="80"/>
      <c r="AA712" s="80"/>
      <c r="AB712" s="80"/>
    </row>
    <row r="713" spans="1:28" ht="15.75">
      <c r="A713" s="80"/>
      <c r="B713" s="80"/>
      <c r="C713" s="80"/>
      <c r="D713" s="80"/>
      <c r="E713" s="80"/>
      <c r="F713" s="80"/>
      <c r="G713" s="80"/>
      <c r="H713" s="80"/>
      <c r="I713" s="80"/>
      <c r="J713" s="80"/>
      <c r="K713" s="80"/>
      <c r="L713" s="80"/>
      <c r="M713" s="80"/>
      <c r="N713" s="143"/>
      <c r="O713" s="143"/>
      <c r="P713" s="143"/>
      <c r="Q713" s="143"/>
      <c r="R713" s="143"/>
      <c r="S713" s="80"/>
      <c r="T713" s="80"/>
      <c r="U713" s="80"/>
      <c r="V713" s="80"/>
      <c r="W713" s="80"/>
      <c r="X713" s="80"/>
      <c r="Y713" s="80"/>
      <c r="Z713" s="80"/>
      <c r="AA713" s="80"/>
      <c r="AB713" s="80"/>
    </row>
    <row r="714" spans="1:28" ht="15.75">
      <c r="A714" s="80"/>
      <c r="B714" s="80"/>
      <c r="C714" s="80"/>
      <c r="D714" s="80"/>
      <c r="E714" s="80"/>
      <c r="F714" s="80"/>
      <c r="G714" s="80"/>
      <c r="H714" s="80"/>
      <c r="I714" s="80"/>
      <c r="J714" s="80"/>
      <c r="K714" s="80"/>
      <c r="L714" s="80"/>
      <c r="M714" s="80"/>
      <c r="N714" s="143"/>
      <c r="O714" s="143"/>
      <c r="P714" s="143"/>
      <c r="Q714" s="143"/>
      <c r="R714" s="143"/>
      <c r="S714" s="80"/>
      <c r="T714" s="80"/>
      <c r="U714" s="80"/>
      <c r="V714" s="80"/>
      <c r="W714" s="80"/>
      <c r="X714" s="80"/>
      <c r="Y714" s="80"/>
      <c r="Z714" s="80"/>
      <c r="AA714" s="80"/>
      <c r="AB714" s="80"/>
    </row>
    <row r="715" spans="1:28" ht="15.75">
      <c r="A715" s="80"/>
      <c r="B715" s="80"/>
      <c r="C715" s="80"/>
      <c r="D715" s="80"/>
      <c r="E715" s="80"/>
      <c r="F715" s="80"/>
      <c r="G715" s="80"/>
      <c r="H715" s="80"/>
      <c r="I715" s="80"/>
      <c r="J715" s="80"/>
      <c r="K715" s="80"/>
      <c r="L715" s="80"/>
      <c r="M715" s="80"/>
      <c r="N715" s="143"/>
      <c r="O715" s="143"/>
      <c r="P715" s="143"/>
      <c r="Q715" s="143"/>
      <c r="R715" s="143"/>
      <c r="S715" s="80"/>
      <c r="T715" s="80"/>
      <c r="U715" s="80"/>
      <c r="V715" s="80"/>
      <c r="W715" s="80"/>
      <c r="X715" s="80"/>
      <c r="Y715" s="80"/>
      <c r="Z715" s="80"/>
      <c r="AA715" s="80"/>
      <c r="AB715" s="80"/>
    </row>
    <row r="716" spans="1:28" ht="15.75">
      <c r="A716" s="80"/>
      <c r="B716" s="80"/>
      <c r="C716" s="80"/>
      <c r="D716" s="80"/>
      <c r="E716" s="80"/>
      <c r="F716" s="80"/>
      <c r="G716" s="80"/>
      <c r="H716" s="80"/>
      <c r="I716" s="80"/>
      <c r="J716" s="80"/>
      <c r="K716" s="80"/>
      <c r="L716" s="80"/>
      <c r="M716" s="80"/>
      <c r="N716" s="143"/>
      <c r="O716" s="143"/>
      <c r="P716" s="143"/>
      <c r="Q716" s="143"/>
      <c r="R716" s="143"/>
      <c r="S716" s="80"/>
      <c r="T716" s="80"/>
      <c r="U716" s="80"/>
      <c r="V716" s="80"/>
      <c r="W716" s="80"/>
      <c r="X716" s="80"/>
      <c r="Y716" s="80"/>
      <c r="Z716" s="80"/>
      <c r="AA716" s="80"/>
      <c r="AB716" s="80"/>
    </row>
    <row r="717" spans="1:28" ht="15.75">
      <c r="A717" s="80"/>
      <c r="B717" s="80"/>
      <c r="C717" s="80"/>
      <c r="D717" s="80"/>
      <c r="E717" s="80"/>
      <c r="F717" s="80"/>
      <c r="G717" s="80"/>
      <c r="H717" s="80"/>
      <c r="I717" s="80"/>
      <c r="J717" s="80"/>
      <c r="K717" s="80"/>
      <c r="L717" s="80"/>
      <c r="M717" s="80"/>
      <c r="N717" s="143"/>
      <c r="O717" s="143"/>
      <c r="P717" s="143"/>
      <c r="Q717" s="143"/>
      <c r="R717" s="143"/>
      <c r="S717" s="80"/>
      <c r="T717" s="80"/>
      <c r="U717" s="80"/>
      <c r="V717" s="80"/>
      <c r="W717" s="80"/>
      <c r="X717" s="80"/>
      <c r="Y717" s="80"/>
      <c r="Z717" s="80"/>
      <c r="AA717" s="80"/>
      <c r="AB717" s="80"/>
    </row>
    <row r="718" spans="1:28" ht="15.75">
      <c r="A718" s="80"/>
      <c r="B718" s="80"/>
      <c r="C718" s="80"/>
      <c r="D718" s="80"/>
      <c r="E718" s="80"/>
      <c r="F718" s="80"/>
      <c r="G718" s="80"/>
      <c r="H718" s="80"/>
      <c r="I718" s="80"/>
      <c r="J718" s="80"/>
      <c r="K718" s="80"/>
      <c r="L718" s="80"/>
      <c r="M718" s="80"/>
      <c r="N718" s="143"/>
      <c r="O718" s="143"/>
      <c r="P718" s="143"/>
      <c r="Q718" s="143"/>
      <c r="R718" s="143"/>
      <c r="S718" s="80"/>
      <c r="T718" s="80"/>
      <c r="U718" s="80"/>
      <c r="V718" s="80"/>
      <c r="W718" s="80"/>
      <c r="X718" s="80"/>
      <c r="Y718" s="80"/>
      <c r="Z718" s="80"/>
      <c r="AA718" s="80"/>
      <c r="AB718" s="80"/>
    </row>
    <row r="719" spans="1:28" ht="15.75">
      <c r="A719" s="80"/>
      <c r="B719" s="80"/>
      <c r="C719" s="80"/>
      <c r="D719" s="80"/>
      <c r="E719" s="80"/>
      <c r="F719" s="80"/>
      <c r="G719" s="80"/>
      <c r="H719" s="80"/>
      <c r="I719" s="80"/>
      <c r="J719" s="80"/>
      <c r="K719" s="80"/>
      <c r="L719" s="80"/>
      <c r="M719" s="80"/>
      <c r="N719" s="143"/>
      <c r="O719" s="143"/>
      <c r="P719" s="143"/>
      <c r="Q719" s="143"/>
      <c r="R719" s="143"/>
      <c r="S719" s="80"/>
      <c r="T719" s="80"/>
      <c r="U719" s="80"/>
      <c r="V719" s="80"/>
      <c r="W719" s="80"/>
      <c r="X719" s="80"/>
      <c r="Y719" s="80"/>
      <c r="Z719" s="80"/>
      <c r="AA719" s="80"/>
      <c r="AB719" s="80"/>
    </row>
    <row r="720" spans="1:28" ht="15.75">
      <c r="A720" s="80"/>
      <c r="B720" s="80"/>
      <c r="C720" s="80"/>
      <c r="D720" s="80"/>
      <c r="E720" s="80"/>
      <c r="F720" s="80"/>
      <c r="G720" s="80"/>
      <c r="H720" s="80"/>
      <c r="I720" s="80"/>
      <c r="J720" s="80"/>
      <c r="K720" s="80"/>
      <c r="L720" s="80"/>
      <c r="M720" s="80"/>
      <c r="N720" s="143"/>
      <c r="O720" s="143"/>
      <c r="P720" s="143"/>
      <c r="Q720" s="143"/>
      <c r="R720" s="143"/>
      <c r="S720" s="80"/>
      <c r="T720" s="80"/>
      <c r="U720" s="80"/>
      <c r="V720" s="80"/>
      <c r="W720" s="80"/>
      <c r="X720" s="80"/>
      <c r="Y720" s="80"/>
      <c r="Z720" s="80"/>
      <c r="AA720" s="80"/>
      <c r="AB720" s="80"/>
    </row>
    <row r="721" spans="1:28" ht="15.75">
      <c r="A721" s="80"/>
      <c r="B721" s="80"/>
      <c r="C721" s="80"/>
      <c r="D721" s="80"/>
      <c r="E721" s="80"/>
      <c r="F721" s="80"/>
      <c r="G721" s="80"/>
      <c r="H721" s="80"/>
      <c r="I721" s="80"/>
      <c r="J721" s="80"/>
      <c r="K721" s="80"/>
      <c r="L721" s="80"/>
      <c r="M721" s="80"/>
      <c r="N721" s="143"/>
      <c r="O721" s="143"/>
      <c r="P721" s="143"/>
      <c r="Q721" s="143"/>
      <c r="R721" s="143"/>
      <c r="S721" s="80"/>
      <c r="T721" s="80"/>
      <c r="U721" s="80"/>
      <c r="V721" s="80"/>
      <c r="W721" s="80"/>
      <c r="X721" s="80"/>
      <c r="Y721" s="80"/>
      <c r="Z721" s="80"/>
      <c r="AA721" s="80"/>
      <c r="AB721" s="80"/>
    </row>
    <row r="722" spans="1:28" ht="15.75">
      <c r="A722" s="80"/>
      <c r="B722" s="80"/>
      <c r="C722" s="80"/>
      <c r="D722" s="80"/>
      <c r="E722" s="80"/>
      <c r="F722" s="80"/>
      <c r="G722" s="80"/>
      <c r="H722" s="80"/>
      <c r="I722" s="80"/>
      <c r="J722" s="80"/>
      <c r="K722" s="80"/>
      <c r="L722" s="80"/>
      <c r="M722" s="80"/>
      <c r="N722" s="143"/>
      <c r="O722" s="143"/>
      <c r="P722" s="143"/>
      <c r="Q722" s="143"/>
      <c r="R722" s="143"/>
      <c r="S722" s="80"/>
      <c r="T722" s="80"/>
      <c r="U722" s="80"/>
      <c r="V722" s="80"/>
      <c r="W722" s="80"/>
      <c r="X722" s="80"/>
      <c r="Y722" s="80"/>
      <c r="Z722" s="80"/>
      <c r="AA722" s="80"/>
      <c r="AB722" s="80"/>
    </row>
    <row r="723" spans="1:28" ht="15.75">
      <c r="A723" s="80"/>
      <c r="B723" s="80"/>
      <c r="C723" s="80"/>
      <c r="D723" s="80"/>
      <c r="E723" s="80"/>
      <c r="F723" s="80"/>
      <c r="G723" s="80"/>
      <c r="H723" s="80"/>
      <c r="I723" s="80"/>
      <c r="J723" s="80"/>
      <c r="K723" s="80"/>
      <c r="L723" s="80"/>
      <c r="M723" s="80"/>
      <c r="N723" s="143"/>
      <c r="O723" s="143"/>
      <c r="P723" s="143"/>
      <c r="Q723" s="143"/>
      <c r="R723" s="143"/>
      <c r="S723" s="80"/>
      <c r="T723" s="80"/>
      <c r="U723" s="80"/>
      <c r="V723" s="80"/>
      <c r="W723" s="80"/>
      <c r="X723" s="80"/>
      <c r="Y723" s="80"/>
      <c r="Z723" s="80"/>
      <c r="AA723" s="80"/>
      <c r="AB723" s="80"/>
    </row>
    <row r="724" spans="1:28" ht="15.75">
      <c r="A724" s="80"/>
      <c r="B724" s="80"/>
      <c r="C724" s="80"/>
      <c r="D724" s="80"/>
      <c r="E724" s="80"/>
      <c r="F724" s="80"/>
      <c r="G724" s="80"/>
      <c r="H724" s="80"/>
      <c r="I724" s="80"/>
      <c r="J724" s="80"/>
      <c r="K724" s="80"/>
      <c r="L724" s="80"/>
      <c r="M724" s="80"/>
      <c r="N724" s="143"/>
      <c r="O724" s="143"/>
      <c r="P724" s="143"/>
      <c r="Q724" s="143"/>
      <c r="R724" s="143"/>
      <c r="S724" s="80"/>
      <c r="T724" s="80"/>
      <c r="U724" s="80"/>
      <c r="V724" s="80"/>
      <c r="W724" s="80"/>
      <c r="X724" s="80"/>
      <c r="Y724" s="80"/>
      <c r="Z724" s="80"/>
      <c r="AA724" s="80"/>
      <c r="AB724" s="80"/>
    </row>
    <row r="725" spans="1:28" ht="15.75">
      <c r="A725" s="80"/>
      <c r="B725" s="80"/>
      <c r="C725" s="80"/>
      <c r="D725" s="80"/>
      <c r="E725" s="80"/>
      <c r="F725" s="80"/>
      <c r="G725" s="80"/>
      <c r="H725" s="80"/>
      <c r="I725" s="80"/>
      <c r="J725" s="80"/>
      <c r="K725" s="80"/>
      <c r="L725" s="80"/>
      <c r="M725" s="80"/>
      <c r="N725" s="143"/>
      <c r="O725" s="143"/>
      <c r="P725" s="143"/>
      <c r="Q725" s="143"/>
      <c r="R725" s="143"/>
      <c r="S725" s="80"/>
      <c r="T725" s="80"/>
      <c r="U725" s="80"/>
      <c r="V725" s="80"/>
      <c r="W725" s="80"/>
      <c r="X725" s="80"/>
      <c r="Y725" s="80"/>
      <c r="Z725" s="80"/>
      <c r="AA725" s="80"/>
      <c r="AB725" s="80"/>
    </row>
    <row r="726" spans="1:28" ht="15.75">
      <c r="A726" s="80"/>
      <c r="B726" s="80"/>
      <c r="C726" s="80"/>
      <c r="D726" s="80"/>
      <c r="E726" s="80"/>
      <c r="F726" s="80"/>
      <c r="G726" s="80"/>
      <c r="H726" s="80"/>
      <c r="I726" s="80"/>
      <c r="J726" s="80"/>
      <c r="K726" s="80"/>
      <c r="L726" s="80"/>
      <c r="M726" s="80"/>
      <c r="N726" s="143"/>
      <c r="O726" s="143"/>
      <c r="P726" s="143"/>
      <c r="Q726" s="143"/>
      <c r="R726" s="143"/>
      <c r="S726" s="80"/>
      <c r="T726" s="80"/>
      <c r="U726" s="80"/>
      <c r="V726" s="80"/>
      <c r="W726" s="80"/>
      <c r="X726" s="80"/>
      <c r="Y726" s="80"/>
      <c r="Z726" s="80"/>
      <c r="AA726" s="80"/>
      <c r="AB726" s="80"/>
    </row>
    <row r="727" spans="1:28" ht="15.75">
      <c r="A727" s="80"/>
      <c r="B727" s="80"/>
      <c r="C727" s="80"/>
      <c r="D727" s="80"/>
      <c r="E727" s="80"/>
      <c r="F727" s="80"/>
      <c r="G727" s="80"/>
      <c r="H727" s="80"/>
      <c r="I727" s="80"/>
      <c r="J727" s="80"/>
      <c r="K727" s="80"/>
      <c r="L727" s="80"/>
      <c r="M727" s="80"/>
      <c r="N727" s="143"/>
      <c r="O727" s="143"/>
      <c r="P727" s="143"/>
      <c r="Q727" s="143"/>
      <c r="R727" s="143"/>
      <c r="S727" s="80"/>
      <c r="T727" s="80"/>
      <c r="U727" s="80"/>
      <c r="V727" s="80"/>
      <c r="W727" s="80"/>
      <c r="X727" s="80"/>
      <c r="Y727" s="80"/>
      <c r="Z727" s="80"/>
      <c r="AA727" s="80"/>
      <c r="AB727" s="80"/>
    </row>
    <row r="728" spans="1:28" ht="15.75">
      <c r="A728" s="80"/>
      <c r="B728" s="80"/>
      <c r="C728" s="80"/>
      <c r="D728" s="80"/>
      <c r="E728" s="80"/>
      <c r="F728" s="80"/>
      <c r="G728" s="80"/>
      <c r="H728" s="80"/>
      <c r="I728" s="80"/>
      <c r="J728" s="80"/>
      <c r="K728" s="80"/>
      <c r="L728" s="80"/>
      <c r="M728" s="80"/>
      <c r="N728" s="143"/>
      <c r="O728" s="143"/>
      <c r="P728" s="143"/>
      <c r="Q728" s="143"/>
      <c r="R728" s="143"/>
      <c r="S728" s="80"/>
      <c r="T728" s="80"/>
      <c r="U728" s="80"/>
      <c r="V728" s="80"/>
      <c r="W728" s="80"/>
      <c r="X728" s="80"/>
      <c r="Y728" s="80"/>
      <c r="Z728" s="80"/>
      <c r="AA728" s="80"/>
      <c r="AB728" s="80"/>
    </row>
    <row r="729" spans="1:28" ht="15.75">
      <c r="A729" s="80"/>
      <c r="B729" s="80"/>
      <c r="C729" s="80"/>
      <c r="D729" s="80"/>
      <c r="E729" s="80"/>
      <c r="F729" s="80"/>
      <c r="G729" s="80"/>
      <c r="H729" s="80"/>
      <c r="I729" s="80"/>
      <c r="J729" s="80"/>
      <c r="K729" s="80"/>
      <c r="L729" s="80"/>
      <c r="M729" s="80"/>
      <c r="N729" s="143"/>
      <c r="O729" s="143"/>
      <c r="P729" s="143"/>
      <c r="Q729" s="143"/>
      <c r="R729" s="143"/>
      <c r="S729" s="80"/>
      <c r="T729" s="80"/>
      <c r="U729" s="80"/>
      <c r="V729" s="80"/>
      <c r="W729" s="80"/>
      <c r="X729" s="80"/>
      <c r="Y729" s="80"/>
      <c r="Z729" s="80"/>
      <c r="AA729" s="80"/>
      <c r="AB729" s="80"/>
    </row>
    <row r="730" spans="1:28" ht="15.75">
      <c r="A730" s="80"/>
      <c r="B730" s="80"/>
      <c r="C730" s="80"/>
      <c r="D730" s="80"/>
      <c r="E730" s="80"/>
      <c r="F730" s="80"/>
      <c r="G730" s="80"/>
      <c r="H730" s="80"/>
      <c r="I730" s="80"/>
      <c r="J730" s="80"/>
      <c r="K730" s="80"/>
      <c r="L730" s="80"/>
      <c r="M730" s="80"/>
      <c r="N730" s="143"/>
      <c r="O730" s="143"/>
      <c r="P730" s="143"/>
      <c r="Q730" s="143"/>
      <c r="R730" s="143"/>
      <c r="S730" s="80"/>
      <c r="T730" s="80"/>
      <c r="U730" s="80"/>
      <c r="V730" s="80"/>
      <c r="W730" s="80"/>
      <c r="X730" s="80"/>
      <c r="Y730" s="80"/>
      <c r="Z730" s="80"/>
      <c r="AA730" s="80"/>
      <c r="AB730" s="80"/>
    </row>
    <row r="731" spans="1:28" ht="15.75">
      <c r="A731" s="80"/>
      <c r="B731" s="80"/>
      <c r="C731" s="80"/>
      <c r="D731" s="80"/>
      <c r="E731" s="80"/>
      <c r="F731" s="80"/>
      <c r="G731" s="80"/>
      <c r="H731" s="80"/>
      <c r="I731" s="80"/>
      <c r="J731" s="80"/>
      <c r="K731" s="80"/>
      <c r="L731" s="80"/>
      <c r="M731" s="80"/>
      <c r="N731" s="143"/>
      <c r="O731" s="143"/>
      <c r="P731" s="143"/>
      <c r="Q731" s="143"/>
      <c r="R731" s="143"/>
      <c r="S731" s="80"/>
      <c r="T731" s="80"/>
      <c r="U731" s="80"/>
      <c r="V731" s="80"/>
      <c r="W731" s="80"/>
      <c r="X731" s="80"/>
      <c r="Y731" s="80"/>
      <c r="Z731" s="80"/>
      <c r="AA731" s="80"/>
      <c r="AB731" s="80"/>
    </row>
    <row r="732" spans="1:28" ht="15.75">
      <c r="A732" s="80"/>
      <c r="B732" s="80"/>
      <c r="C732" s="80"/>
      <c r="D732" s="80"/>
      <c r="E732" s="80"/>
      <c r="F732" s="80"/>
      <c r="G732" s="80"/>
      <c r="H732" s="80"/>
      <c r="I732" s="80"/>
      <c r="J732" s="80"/>
      <c r="K732" s="80"/>
      <c r="L732" s="80"/>
      <c r="M732" s="80"/>
      <c r="N732" s="143"/>
      <c r="O732" s="143"/>
      <c r="P732" s="143"/>
      <c r="Q732" s="143"/>
      <c r="R732" s="143"/>
      <c r="S732" s="80"/>
      <c r="T732" s="80"/>
      <c r="U732" s="80"/>
      <c r="V732" s="80"/>
      <c r="W732" s="80"/>
      <c r="X732" s="80"/>
      <c r="Y732" s="80"/>
      <c r="Z732" s="80"/>
      <c r="AA732" s="80"/>
      <c r="AB732" s="80"/>
    </row>
    <row r="733" spans="1:28" ht="15.75">
      <c r="A733" s="80"/>
      <c r="B733" s="80"/>
      <c r="C733" s="80"/>
      <c r="D733" s="80"/>
      <c r="E733" s="80"/>
      <c r="F733" s="80"/>
      <c r="G733" s="80"/>
      <c r="H733" s="80"/>
      <c r="I733" s="80"/>
      <c r="J733" s="80"/>
      <c r="K733" s="80"/>
      <c r="L733" s="80"/>
      <c r="M733" s="80"/>
      <c r="N733" s="143"/>
      <c r="O733" s="143"/>
      <c r="P733" s="143"/>
      <c r="Q733" s="143"/>
      <c r="R733" s="143"/>
      <c r="S733" s="80"/>
      <c r="T733" s="80"/>
      <c r="U733" s="80"/>
      <c r="V733" s="80"/>
      <c r="W733" s="80"/>
      <c r="X733" s="80"/>
      <c r="Y733" s="80"/>
      <c r="Z733" s="80"/>
      <c r="AA733" s="80"/>
      <c r="AB733" s="80"/>
    </row>
    <row r="734" spans="1:28" ht="15.75">
      <c r="A734" s="80"/>
      <c r="B734" s="80"/>
      <c r="C734" s="80"/>
      <c r="D734" s="80"/>
      <c r="E734" s="80"/>
      <c r="F734" s="80"/>
      <c r="G734" s="80"/>
      <c r="H734" s="80"/>
      <c r="I734" s="80"/>
      <c r="J734" s="80"/>
      <c r="K734" s="80"/>
      <c r="L734" s="80"/>
      <c r="M734" s="80"/>
      <c r="N734" s="143"/>
      <c r="O734" s="143"/>
      <c r="P734" s="143"/>
      <c r="Q734" s="143"/>
      <c r="R734" s="143"/>
      <c r="S734" s="80"/>
      <c r="T734" s="80"/>
      <c r="U734" s="80"/>
      <c r="V734" s="80"/>
      <c r="W734" s="80"/>
      <c r="X734" s="80"/>
      <c r="Y734" s="80"/>
      <c r="Z734" s="80"/>
      <c r="AA734" s="80"/>
      <c r="AB734" s="80"/>
    </row>
    <row r="735" spans="1:28" ht="15.75">
      <c r="A735" s="80"/>
      <c r="B735" s="80"/>
      <c r="C735" s="80"/>
      <c r="D735" s="80"/>
      <c r="E735" s="80"/>
      <c r="F735" s="80"/>
      <c r="G735" s="80"/>
      <c r="H735" s="80"/>
      <c r="I735" s="80"/>
      <c r="J735" s="80"/>
      <c r="K735" s="80"/>
      <c r="L735" s="80"/>
      <c r="M735" s="80"/>
      <c r="N735" s="143"/>
      <c r="O735" s="143"/>
      <c r="P735" s="143"/>
      <c r="Q735" s="143"/>
      <c r="R735" s="143"/>
      <c r="S735" s="80"/>
      <c r="T735" s="80"/>
      <c r="U735" s="80"/>
      <c r="V735" s="80"/>
      <c r="W735" s="80"/>
      <c r="X735" s="80"/>
      <c r="Y735" s="80"/>
      <c r="Z735" s="80"/>
      <c r="AA735" s="80"/>
      <c r="AB735" s="80"/>
    </row>
    <row r="736" spans="1:28" ht="15.75">
      <c r="A736" s="80"/>
      <c r="B736" s="80"/>
      <c r="C736" s="80"/>
      <c r="D736" s="80"/>
      <c r="E736" s="80"/>
      <c r="F736" s="80"/>
      <c r="G736" s="80"/>
      <c r="H736" s="80"/>
      <c r="I736" s="80"/>
      <c r="J736" s="80"/>
      <c r="K736" s="80"/>
      <c r="L736" s="80"/>
      <c r="M736" s="80"/>
      <c r="N736" s="143"/>
      <c r="O736" s="143"/>
      <c r="P736" s="143"/>
      <c r="Q736" s="143"/>
      <c r="R736" s="143"/>
      <c r="S736" s="80"/>
      <c r="T736" s="80"/>
      <c r="U736" s="80"/>
      <c r="V736" s="80"/>
      <c r="W736" s="80"/>
      <c r="X736" s="80"/>
      <c r="Y736" s="80"/>
      <c r="Z736" s="80"/>
      <c r="AA736" s="80"/>
      <c r="AB736" s="80"/>
    </row>
    <row r="737" spans="1:28" ht="15.75">
      <c r="A737" s="80"/>
      <c r="B737" s="80"/>
      <c r="C737" s="80"/>
      <c r="D737" s="80"/>
      <c r="E737" s="80"/>
      <c r="F737" s="80"/>
      <c r="G737" s="80"/>
      <c r="H737" s="80"/>
      <c r="I737" s="80"/>
      <c r="J737" s="80"/>
      <c r="K737" s="80"/>
      <c r="L737" s="80"/>
      <c r="M737" s="80"/>
      <c r="N737" s="143"/>
      <c r="O737" s="143"/>
      <c r="P737" s="143"/>
      <c r="Q737" s="143"/>
      <c r="R737" s="143"/>
      <c r="S737" s="80"/>
      <c r="T737" s="80"/>
      <c r="U737" s="80"/>
      <c r="V737" s="80"/>
      <c r="W737" s="80"/>
      <c r="X737" s="80"/>
      <c r="Y737" s="80"/>
      <c r="Z737" s="80"/>
      <c r="AA737" s="80"/>
      <c r="AB737" s="80"/>
    </row>
    <row r="738" spans="1:28" ht="15.75">
      <c r="A738" s="80"/>
      <c r="B738" s="80"/>
      <c r="C738" s="80"/>
      <c r="D738" s="80"/>
      <c r="E738" s="80"/>
      <c r="F738" s="80"/>
      <c r="G738" s="80"/>
      <c r="H738" s="80"/>
      <c r="I738" s="80"/>
      <c r="J738" s="80"/>
      <c r="K738" s="80"/>
      <c r="L738" s="80"/>
      <c r="M738" s="80"/>
      <c r="N738" s="143"/>
      <c r="O738" s="143"/>
      <c r="P738" s="143"/>
      <c r="Q738" s="143"/>
      <c r="R738" s="143"/>
      <c r="S738" s="80"/>
      <c r="T738" s="80"/>
      <c r="U738" s="80"/>
      <c r="V738" s="80"/>
      <c r="W738" s="80"/>
      <c r="X738" s="80"/>
      <c r="Y738" s="80"/>
      <c r="Z738" s="80"/>
      <c r="AA738" s="80"/>
      <c r="AB738" s="80"/>
    </row>
    <row r="739" spans="1:28" ht="15.75">
      <c r="A739" s="80"/>
      <c r="B739" s="80"/>
      <c r="C739" s="80"/>
      <c r="D739" s="80"/>
      <c r="E739" s="80"/>
      <c r="F739" s="80"/>
      <c r="G739" s="80"/>
      <c r="H739" s="80"/>
      <c r="I739" s="80"/>
      <c r="J739" s="80"/>
      <c r="K739" s="80"/>
      <c r="L739" s="80"/>
      <c r="M739" s="80"/>
      <c r="N739" s="143"/>
      <c r="O739" s="143"/>
      <c r="P739" s="143"/>
      <c r="Q739" s="143"/>
      <c r="R739" s="143"/>
      <c r="S739" s="80"/>
      <c r="T739" s="80"/>
      <c r="U739" s="80"/>
      <c r="V739" s="80"/>
      <c r="W739" s="80"/>
      <c r="X739" s="80"/>
      <c r="Y739" s="80"/>
      <c r="Z739" s="80"/>
      <c r="AA739" s="80"/>
      <c r="AB739" s="80"/>
    </row>
    <row r="740" spans="1:28" ht="15.75">
      <c r="A740" s="80"/>
      <c r="B740" s="80"/>
      <c r="C740" s="80"/>
      <c r="D740" s="80"/>
      <c r="E740" s="80"/>
      <c r="F740" s="80"/>
      <c r="G740" s="80"/>
      <c r="H740" s="80"/>
      <c r="I740" s="80"/>
      <c r="J740" s="80"/>
      <c r="K740" s="80"/>
      <c r="L740" s="80"/>
      <c r="M740" s="80"/>
      <c r="N740" s="143"/>
      <c r="O740" s="143"/>
      <c r="P740" s="143"/>
      <c r="Q740" s="143"/>
      <c r="R740" s="143"/>
      <c r="S740" s="80"/>
      <c r="T740" s="80"/>
      <c r="U740" s="80"/>
      <c r="V740" s="80"/>
      <c r="W740" s="80"/>
      <c r="X740" s="80"/>
      <c r="Y740" s="80"/>
      <c r="Z740" s="80"/>
      <c r="AA740" s="80"/>
      <c r="AB740" s="80"/>
    </row>
    <row r="741" spans="1:28" ht="15.75">
      <c r="A741" s="80"/>
      <c r="B741" s="80"/>
      <c r="C741" s="80"/>
      <c r="D741" s="80"/>
      <c r="E741" s="80"/>
      <c r="F741" s="80"/>
      <c r="G741" s="80"/>
      <c r="H741" s="80"/>
      <c r="I741" s="80"/>
      <c r="J741" s="80"/>
      <c r="K741" s="80"/>
      <c r="L741" s="80"/>
      <c r="M741" s="80"/>
      <c r="N741" s="143"/>
      <c r="O741" s="143"/>
      <c r="P741" s="143"/>
      <c r="Q741" s="143"/>
      <c r="R741" s="143"/>
      <c r="S741" s="80"/>
      <c r="T741" s="80"/>
      <c r="U741" s="80"/>
      <c r="V741" s="80"/>
      <c r="W741" s="80"/>
      <c r="X741" s="80"/>
      <c r="Y741" s="80"/>
      <c r="Z741" s="80"/>
      <c r="AA741" s="80"/>
      <c r="AB741" s="80"/>
    </row>
    <row r="742" spans="1:28" ht="15.75">
      <c r="A742" s="80"/>
      <c r="B742" s="80"/>
      <c r="C742" s="80"/>
      <c r="D742" s="80"/>
      <c r="E742" s="80"/>
      <c r="F742" s="80"/>
      <c r="G742" s="80"/>
      <c r="H742" s="80"/>
      <c r="I742" s="80"/>
      <c r="J742" s="80"/>
      <c r="K742" s="80"/>
      <c r="L742" s="80"/>
      <c r="M742" s="80"/>
      <c r="N742" s="143"/>
      <c r="O742" s="143"/>
      <c r="P742" s="143"/>
      <c r="Q742" s="143"/>
      <c r="R742" s="143"/>
      <c r="S742" s="80"/>
      <c r="T742" s="80"/>
      <c r="U742" s="80"/>
      <c r="V742" s="80"/>
      <c r="W742" s="80"/>
      <c r="X742" s="80"/>
      <c r="Y742" s="80"/>
      <c r="Z742" s="80"/>
      <c r="AA742" s="80"/>
      <c r="AB742" s="80"/>
    </row>
    <row r="743" spans="1:28" ht="15.75">
      <c r="A743" s="80"/>
      <c r="B743" s="80"/>
      <c r="C743" s="80"/>
      <c r="D743" s="80"/>
      <c r="E743" s="80"/>
      <c r="F743" s="80"/>
      <c r="G743" s="80"/>
      <c r="H743" s="80"/>
      <c r="I743" s="80"/>
      <c r="J743" s="80"/>
      <c r="K743" s="80"/>
      <c r="L743" s="80"/>
      <c r="M743" s="80"/>
      <c r="N743" s="143"/>
      <c r="O743" s="143"/>
      <c r="P743" s="143"/>
      <c r="Q743" s="143"/>
      <c r="R743" s="143"/>
      <c r="S743" s="80"/>
      <c r="T743" s="80"/>
      <c r="U743" s="80"/>
      <c r="V743" s="80"/>
      <c r="W743" s="80"/>
      <c r="X743" s="80"/>
      <c r="Y743" s="80"/>
      <c r="Z743" s="80"/>
      <c r="AA743" s="80"/>
      <c r="AB743" s="80"/>
    </row>
    <row r="744" spans="1:28" ht="15.75">
      <c r="A744" s="80"/>
      <c r="B744" s="80"/>
      <c r="C744" s="80"/>
      <c r="D744" s="80"/>
      <c r="E744" s="80"/>
      <c r="F744" s="80"/>
      <c r="G744" s="80"/>
      <c r="H744" s="80"/>
      <c r="I744" s="80"/>
      <c r="J744" s="80"/>
      <c r="K744" s="80"/>
      <c r="L744" s="80"/>
      <c r="M744" s="80"/>
      <c r="N744" s="143"/>
      <c r="O744" s="143"/>
      <c r="P744" s="143"/>
      <c r="Q744" s="143"/>
      <c r="R744" s="143"/>
      <c r="S744" s="80"/>
      <c r="T744" s="80"/>
      <c r="U744" s="80"/>
      <c r="V744" s="80"/>
      <c r="W744" s="80"/>
      <c r="X744" s="80"/>
      <c r="Y744" s="80"/>
      <c r="Z744" s="80"/>
      <c r="AA744" s="80"/>
      <c r="AB744" s="80"/>
    </row>
    <row r="745" spans="1:28" ht="15.75">
      <c r="A745" s="80"/>
      <c r="B745" s="80"/>
      <c r="C745" s="80"/>
      <c r="D745" s="80"/>
      <c r="E745" s="80"/>
      <c r="F745" s="80"/>
      <c r="G745" s="80"/>
      <c r="H745" s="80"/>
      <c r="I745" s="80"/>
      <c r="J745" s="80"/>
      <c r="K745" s="80"/>
      <c r="L745" s="80"/>
      <c r="M745" s="80"/>
      <c r="N745" s="143"/>
      <c r="O745" s="143"/>
      <c r="P745" s="143"/>
      <c r="Q745" s="143"/>
      <c r="R745" s="143"/>
      <c r="S745" s="80"/>
      <c r="T745" s="80"/>
      <c r="U745" s="80"/>
      <c r="V745" s="80"/>
      <c r="W745" s="80"/>
      <c r="X745" s="80"/>
      <c r="Y745" s="80"/>
      <c r="Z745" s="80"/>
      <c r="AA745" s="80"/>
      <c r="AB745" s="80"/>
    </row>
    <row r="746" spans="1:28" ht="15.75">
      <c r="A746" s="80"/>
      <c r="B746" s="80"/>
      <c r="C746" s="80"/>
      <c r="D746" s="80"/>
      <c r="E746" s="80"/>
      <c r="F746" s="80"/>
      <c r="G746" s="80"/>
      <c r="H746" s="80"/>
      <c r="I746" s="80"/>
      <c r="J746" s="80"/>
      <c r="K746" s="80"/>
      <c r="L746" s="80"/>
      <c r="M746" s="80"/>
      <c r="N746" s="143"/>
      <c r="O746" s="143"/>
      <c r="P746" s="143"/>
      <c r="Q746" s="143"/>
      <c r="R746" s="143"/>
      <c r="S746" s="80"/>
      <c r="T746" s="80"/>
      <c r="U746" s="80"/>
      <c r="V746" s="80"/>
      <c r="W746" s="80"/>
      <c r="X746" s="80"/>
      <c r="Y746" s="80"/>
      <c r="Z746" s="80"/>
      <c r="AA746" s="80"/>
      <c r="AB746" s="80"/>
    </row>
    <row r="747" spans="1:28" ht="15.75">
      <c r="A747" s="80"/>
      <c r="B747" s="80"/>
      <c r="C747" s="80"/>
      <c r="D747" s="80"/>
      <c r="E747" s="80"/>
      <c r="F747" s="80"/>
      <c r="G747" s="80"/>
      <c r="H747" s="80"/>
      <c r="I747" s="80"/>
      <c r="J747" s="80"/>
      <c r="K747" s="80"/>
      <c r="L747" s="80"/>
      <c r="M747" s="80"/>
      <c r="N747" s="143"/>
      <c r="O747" s="143"/>
      <c r="P747" s="143"/>
      <c r="Q747" s="143"/>
      <c r="R747" s="143"/>
      <c r="S747" s="80"/>
      <c r="T747" s="80"/>
      <c r="U747" s="80"/>
      <c r="V747" s="80"/>
      <c r="W747" s="80"/>
      <c r="X747" s="80"/>
      <c r="Y747" s="80"/>
      <c r="Z747" s="80"/>
      <c r="AA747" s="80"/>
      <c r="AB747" s="80"/>
    </row>
    <row r="748" spans="1:28" ht="15.75">
      <c r="A748" s="80"/>
      <c r="B748" s="80"/>
      <c r="C748" s="80"/>
      <c r="D748" s="80"/>
      <c r="E748" s="80"/>
      <c r="F748" s="80"/>
      <c r="G748" s="80"/>
      <c r="H748" s="80"/>
      <c r="I748" s="80"/>
      <c r="J748" s="80"/>
      <c r="K748" s="80"/>
      <c r="L748" s="80"/>
      <c r="M748" s="80"/>
      <c r="N748" s="143"/>
      <c r="O748" s="143"/>
      <c r="P748" s="143"/>
      <c r="Q748" s="143"/>
      <c r="R748" s="143"/>
      <c r="S748" s="80"/>
      <c r="T748" s="80"/>
      <c r="U748" s="80"/>
      <c r="V748" s="80"/>
      <c r="W748" s="80"/>
      <c r="X748" s="80"/>
      <c r="Y748" s="80"/>
      <c r="Z748" s="80"/>
      <c r="AA748" s="80"/>
      <c r="AB748" s="80"/>
    </row>
    <row r="749" spans="1:28" ht="15.75">
      <c r="A749" s="80"/>
      <c r="B749" s="80"/>
      <c r="C749" s="80"/>
      <c r="D749" s="80"/>
      <c r="E749" s="80"/>
      <c r="F749" s="80"/>
      <c r="G749" s="80"/>
      <c r="H749" s="80"/>
      <c r="I749" s="80"/>
      <c r="J749" s="80"/>
      <c r="K749" s="80"/>
      <c r="L749" s="80"/>
      <c r="M749" s="80"/>
      <c r="N749" s="143"/>
      <c r="O749" s="143"/>
      <c r="P749" s="143"/>
      <c r="Q749" s="143"/>
      <c r="R749" s="143"/>
      <c r="S749" s="80"/>
      <c r="T749" s="80"/>
      <c r="U749" s="80"/>
      <c r="V749" s="80"/>
      <c r="W749" s="80"/>
      <c r="X749" s="80"/>
      <c r="Y749" s="80"/>
      <c r="Z749" s="80"/>
      <c r="AA749" s="80"/>
      <c r="AB749" s="80"/>
    </row>
    <row r="750" spans="1:28" ht="15.75">
      <c r="A750" s="80"/>
      <c r="B750" s="80"/>
      <c r="C750" s="80"/>
      <c r="D750" s="80"/>
      <c r="E750" s="80"/>
      <c r="F750" s="80"/>
      <c r="G750" s="80"/>
      <c r="H750" s="80"/>
      <c r="I750" s="80"/>
      <c r="J750" s="80"/>
      <c r="K750" s="80"/>
      <c r="L750" s="80"/>
      <c r="M750" s="80"/>
      <c r="N750" s="143"/>
      <c r="O750" s="143"/>
      <c r="P750" s="143"/>
      <c r="Q750" s="143"/>
      <c r="R750" s="143"/>
      <c r="S750" s="80"/>
      <c r="T750" s="80"/>
      <c r="U750" s="80"/>
      <c r="V750" s="80"/>
      <c r="W750" s="80"/>
      <c r="X750" s="80"/>
      <c r="Y750" s="80"/>
      <c r="Z750" s="80"/>
      <c r="AA750" s="80"/>
      <c r="AB750" s="80"/>
    </row>
    <row r="751" spans="1:28" ht="15.75">
      <c r="A751" s="80"/>
      <c r="B751" s="80"/>
      <c r="C751" s="80"/>
      <c r="D751" s="80"/>
      <c r="E751" s="80"/>
      <c r="F751" s="80"/>
      <c r="G751" s="80"/>
      <c r="H751" s="80"/>
      <c r="I751" s="80"/>
      <c r="J751" s="80"/>
      <c r="K751" s="80"/>
      <c r="L751" s="80"/>
      <c r="M751" s="80"/>
      <c r="N751" s="143"/>
      <c r="O751" s="143"/>
      <c r="P751" s="143"/>
      <c r="Q751" s="143"/>
      <c r="R751" s="143"/>
      <c r="S751" s="80"/>
      <c r="T751" s="80"/>
      <c r="U751" s="80"/>
      <c r="V751" s="80"/>
      <c r="W751" s="80"/>
      <c r="X751" s="80"/>
      <c r="Y751" s="80"/>
      <c r="Z751" s="80"/>
      <c r="AA751" s="80"/>
      <c r="AB751" s="80"/>
    </row>
    <row r="752" spans="1:28" ht="15.75">
      <c r="A752" s="80"/>
      <c r="B752" s="80"/>
      <c r="C752" s="80"/>
      <c r="D752" s="80"/>
      <c r="E752" s="80"/>
      <c r="F752" s="80"/>
      <c r="G752" s="80"/>
      <c r="H752" s="80"/>
      <c r="I752" s="80"/>
      <c r="J752" s="80"/>
      <c r="K752" s="80"/>
      <c r="L752" s="80"/>
      <c r="M752" s="80"/>
      <c r="N752" s="143"/>
      <c r="O752" s="143"/>
      <c r="P752" s="143"/>
      <c r="Q752" s="143"/>
      <c r="R752" s="143"/>
      <c r="S752" s="80"/>
      <c r="T752" s="80"/>
      <c r="U752" s="80"/>
      <c r="V752" s="80"/>
      <c r="W752" s="80"/>
      <c r="X752" s="80"/>
      <c r="Y752" s="80"/>
      <c r="Z752" s="80"/>
      <c r="AA752" s="80"/>
      <c r="AB752" s="80"/>
    </row>
    <row r="753" spans="1:28" ht="15.75">
      <c r="A753" s="80"/>
      <c r="B753" s="80"/>
      <c r="C753" s="80"/>
      <c r="D753" s="80"/>
      <c r="E753" s="80"/>
      <c r="F753" s="80"/>
      <c r="G753" s="80"/>
      <c r="H753" s="80"/>
      <c r="I753" s="80"/>
      <c r="J753" s="80"/>
      <c r="K753" s="80"/>
      <c r="L753" s="80"/>
      <c r="M753" s="80"/>
      <c r="N753" s="143"/>
      <c r="O753" s="143"/>
      <c r="P753" s="143"/>
      <c r="Q753" s="143"/>
      <c r="R753" s="143"/>
      <c r="S753" s="80"/>
      <c r="T753" s="80"/>
      <c r="U753" s="80"/>
      <c r="V753" s="80"/>
      <c r="W753" s="80"/>
      <c r="X753" s="80"/>
      <c r="Y753" s="80"/>
      <c r="Z753" s="80"/>
      <c r="AA753" s="80"/>
      <c r="AB753" s="80"/>
    </row>
    <row r="754" spans="1:28" ht="15.75">
      <c r="A754" s="80"/>
      <c r="B754" s="80"/>
      <c r="C754" s="80"/>
      <c r="D754" s="80"/>
      <c r="E754" s="80"/>
      <c r="F754" s="80"/>
      <c r="G754" s="80"/>
      <c r="H754" s="80"/>
      <c r="I754" s="80"/>
      <c r="J754" s="80"/>
      <c r="K754" s="80"/>
      <c r="L754" s="80"/>
      <c r="M754" s="80"/>
      <c r="N754" s="143"/>
      <c r="O754" s="143"/>
      <c r="P754" s="143"/>
      <c r="Q754" s="143"/>
      <c r="R754" s="143"/>
      <c r="S754" s="80"/>
      <c r="T754" s="80"/>
      <c r="U754" s="80"/>
      <c r="V754" s="80"/>
      <c r="W754" s="80"/>
      <c r="X754" s="80"/>
      <c r="Y754" s="80"/>
      <c r="Z754" s="80"/>
      <c r="AA754" s="80"/>
      <c r="AB754" s="80"/>
    </row>
    <row r="755" spans="1:28" ht="15.75">
      <c r="A755" s="80"/>
      <c r="B755" s="80"/>
      <c r="C755" s="80"/>
      <c r="D755" s="80"/>
      <c r="E755" s="80"/>
      <c r="F755" s="80"/>
      <c r="G755" s="80"/>
      <c r="H755" s="80"/>
      <c r="I755" s="80"/>
      <c r="J755" s="80"/>
      <c r="K755" s="80"/>
      <c r="L755" s="80"/>
      <c r="M755" s="80"/>
      <c r="N755" s="143"/>
      <c r="O755" s="143"/>
      <c r="P755" s="143"/>
      <c r="Q755" s="143"/>
      <c r="R755" s="143"/>
      <c r="S755" s="80"/>
      <c r="T755" s="80"/>
      <c r="U755" s="80"/>
      <c r="V755" s="80"/>
      <c r="W755" s="80"/>
      <c r="X755" s="80"/>
      <c r="Y755" s="80"/>
      <c r="Z755" s="80"/>
      <c r="AA755" s="80"/>
      <c r="AB755" s="80"/>
    </row>
    <row r="756" spans="1:28" ht="15.75">
      <c r="A756" s="80"/>
      <c r="B756" s="80"/>
      <c r="C756" s="80"/>
      <c r="D756" s="80"/>
      <c r="E756" s="80"/>
      <c r="F756" s="80"/>
      <c r="G756" s="80"/>
      <c r="H756" s="80"/>
      <c r="I756" s="80"/>
      <c r="J756" s="80"/>
      <c r="K756" s="80"/>
      <c r="L756" s="80"/>
      <c r="M756" s="80"/>
      <c r="N756" s="143"/>
      <c r="O756" s="143"/>
      <c r="P756" s="143"/>
      <c r="Q756" s="143"/>
      <c r="R756" s="143"/>
      <c r="S756" s="80"/>
      <c r="T756" s="80"/>
      <c r="U756" s="80"/>
      <c r="V756" s="80"/>
      <c r="W756" s="80"/>
      <c r="X756" s="80"/>
      <c r="Y756" s="80"/>
      <c r="Z756" s="80"/>
      <c r="AA756" s="80"/>
      <c r="AB756" s="80"/>
    </row>
    <row r="757" spans="1:28" ht="15.75">
      <c r="A757" s="80"/>
      <c r="B757" s="80"/>
      <c r="C757" s="80"/>
      <c r="D757" s="80"/>
      <c r="E757" s="80"/>
      <c r="F757" s="80"/>
      <c r="G757" s="80"/>
      <c r="H757" s="80"/>
      <c r="I757" s="80"/>
      <c r="J757" s="80"/>
      <c r="K757" s="80"/>
      <c r="L757" s="80"/>
      <c r="M757" s="80"/>
      <c r="N757" s="143"/>
      <c r="O757" s="143"/>
      <c r="P757" s="143"/>
      <c r="Q757" s="143"/>
      <c r="R757" s="143"/>
      <c r="S757" s="80"/>
      <c r="T757" s="80"/>
      <c r="U757" s="80"/>
      <c r="V757" s="80"/>
      <c r="W757" s="80"/>
      <c r="X757" s="80"/>
      <c r="Y757" s="80"/>
      <c r="Z757" s="80"/>
      <c r="AA757" s="80"/>
      <c r="AB757" s="80"/>
    </row>
    <row r="758" spans="1:28" ht="15.75">
      <c r="A758" s="80"/>
      <c r="B758" s="80"/>
      <c r="C758" s="80"/>
      <c r="D758" s="80"/>
      <c r="E758" s="80"/>
      <c r="F758" s="80"/>
      <c r="G758" s="80"/>
      <c r="H758" s="80"/>
      <c r="I758" s="80"/>
      <c r="J758" s="80"/>
      <c r="K758" s="80"/>
      <c r="L758" s="80"/>
      <c r="M758" s="80"/>
      <c r="N758" s="143"/>
      <c r="O758" s="143"/>
      <c r="P758" s="143"/>
      <c r="Q758" s="143"/>
      <c r="R758" s="143"/>
      <c r="S758" s="80"/>
      <c r="T758" s="80"/>
      <c r="U758" s="80"/>
      <c r="V758" s="80"/>
      <c r="W758" s="80"/>
      <c r="X758" s="80"/>
      <c r="Y758" s="80"/>
      <c r="Z758" s="80"/>
      <c r="AA758" s="80"/>
      <c r="AB758" s="80"/>
    </row>
    <row r="759" spans="1:28" ht="15.75">
      <c r="A759" s="80"/>
      <c r="B759" s="80"/>
      <c r="C759" s="80"/>
      <c r="D759" s="80"/>
      <c r="E759" s="80"/>
      <c r="F759" s="80"/>
      <c r="G759" s="80"/>
      <c r="H759" s="80"/>
      <c r="I759" s="80"/>
      <c r="J759" s="80"/>
      <c r="K759" s="80"/>
      <c r="L759" s="80"/>
      <c r="M759" s="80"/>
      <c r="N759" s="143"/>
      <c r="O759" s="143"/>
      <c r="P759" s="143"/>
      <c r="Q759" s="143"/>
      <c r="R759" s="143"/>
      <c r="S759" s="80"/>
      <c r="T759" s="80"/>
      <c r="U759" s="80"/>
      <c r="V759" s="80"/>
      <c r="W759" s="80"/>
      <c r="X759" s="80"/>
      <c r="Y759" s="80"/>
      <c r="Z759" s="80"/>
      <c r="AA759" s="80"/>
      <c r="AB759" s="80"/>
    </row>
    <row r="760" spans="1:28" ht="15.75">
      <c r="A760" s="80"/>
      <c r="B760" s="80"/>
      <c r="C760" s="80"/>
      <c r="D760" s="80"/>
      <c r="E760" s="80"/>
      <c r="F760" s="80"/>
      <c r="G760" s="80"/>
      <c r="H760" s="80"/>
      <c r="I760" s="80"/>
      <c r="J760" s="80"/>
      <c r="K760" s="80"/>
      <c r="L760" s="80"/>
      <c r="M760" s="80"/>
      <c r="N760" s="143"/>
      <c r="O760" s="143"/>
      <c r="P760" s="143"/>
      <c r="Q760" s="143"/>
      <c r="R760" s="143"/>
      <c r="S760" s="80"/>
      <c r="T760" s="80"/>
      <c r="U760" s="80"/>
      <c r="V760" s="80"/>
      <c r="W760" s="80"/>
      <c r="X760" s="80"/>
      <c r="Y760" s="80"/>
      <c r="Z760" s="80"/>
      <c r="AA760" s="80"/>
      <c r="AB760" s="80"/>
    </row>
    <row r="761" spans="1:28" ht="15.75">
      <c r="A761" s="80"/>
      <c r="B761" s="80"/>
      <c r="C761" s="80"/>
      <c r="D761" s="80"/>
      <c r="E761" s="80"/>
      <c r="F761" s="80"/>
      <c r="G761" s="80"/>
      <c r="H761" s="80"/>
      <c r="I761" s="80"/>
      <c r="J761" s="80"/>
      <c r="K761" s="80"/>
      <c r="L761" s="80"/>
      <c r="M761" s="80"/>
      <c r="N761" s="143"/>
      <c r="O761" s="143"/>
      <c r="P761" s="143"/>
      <c r="Q761" s="143"/>
      <c r="R761" s="143"/>
      <c r="S761" s="80"/>
      <c r="T761" s="80"/>
      <c r="U761" s="80"/>
      <c r="V761" s="80"/>
      <c r="W761" s="80"/>
      <c r="X761" s="80"/>
      <c r="Y761" s="80"/>
      <c r="Z761" s="80"/>
      <c r="AA761" s="80"/>
      <c r="AB761" s="80"/>
    </row>
    <row r="762" spans="1:28" ht="15.75">
      <c r="A762" s="80"/>
      <c r="B762" s="80"/>
      <c r="C762" s="80"/>
      <c r="D762" s="80"/>
      <c r="E762" s="80"/>
      <c r="F762" s="80"/>
      <c r="G762" s="80"/>
      <c r="H762" s="80"/>
      <c r="I762" s="80"/>
      <c r="J762" s="80"/>
      <c r="K762" s="80"/>
      <c r="L762" s="80"/>
      <c r="M762" s="80"/>
      <c r="N762" s="143"/>
      <c r="O762" s="143"/>
      <c r="P762" s="143"/>
      <c r="Q762" s="143"/>
      <c r="R762" s="143"/>
      <c r="S762" s="80"/>
      <c r="T762" s="80"/>
      <c r="U762" s="80"/>
      <c r="V762" s="80"/>
      <c r="W762" s="80"/>
      <c r="X762" s="80"/>
      <c r="Y762" s="80"/>
      <c r="Z762" s="80"/>
      <c r="AA762" s="80"/>
      <c r="AB762" s="80"/>
    </row>
    <row r="763" spans="1:28" ht="15.75">
      <c r="A763" s="80"/>
      <c r="B763" s="80"/>
      <c r="C763" s="80"/>
      <c r="D763" s="80"/>
      <c r="E763" s="80"/>
      <c r="F763" s="80"/>
      <c r="G763" s="80"/>
      <c r="H763" s="80"/>
      <c r="I763" s="80"/>
      <c r="J763" s="80"/>
      <c r="K763" s="80"/>
      <c r="L763" s="80"/>
      <c r="M763" s="80"/>
      <c r="N763" s="143"/>
      <c r="O763" s="143"/>
      <c r="P763" s="143"/>
      <c r="Q763" s="143"/>
      <c r="R763" s="143"/>
      <c r="S763" s="80"/>
      <c r="T763" s="80"/>
      <c r="U763" s="80"/>
      <c r="V763" s="80"/>
      <c r="W763" s="80"/>
      <c r="X763" s="80"/>
      <c r="Y763" s="80"/>
      <c r="Z763" s="80"/>
      <c r="AA763" s="80"/>
      <c r="AB763" s="80"/>
    </row>
    <row r="764" spans="1:28" ht="15.75">
      <c r="A764" s="80"/>
      <c r="B764" s="80"/>
      <c r="C764" s="80"/>
      <c r="D764" s="80"/>
      <c r="E764" s="80"/>
      <c r="F764" s="80"/>
      <c r="G764" s="80"/>
      <c r="H764" s="80"/>
      <c r="I764" s="80"/>
      <c r="J764" s="80"/>
      <c r="K764" s="80"/>
      <c r="L764" s="80"/>
      <c r="M764" s="80"/>
      <c r="N764" s="143"/>
      <c r="O764" s="143"/>
      <c r="P764" s="143"/>
      <c r="Q764" s="143"/>
      <c r="R764" s="143"/>
      <c r="S764" s="80"/>
      <c r="T764" s="80"/>
      <c r="U764" s="80"/>
      <c r="V764" s="80"/>
      <c r="W764" s="80"/>
      <c r="X764" s="80"/>
      <c r="Y764" s="80"/>
      <c r="Z764" s="80"/>
      <c r="AA764" s="80"/>
      <c r="AB764" s="80"/>
    </row>
    <row r="765" spans="1:28" ht="15.75">
      <c r="A765" s="80"/>
      <c r="B765" s="80"/>
      <c r="C765" s="80"/>
      <c r="D765" s="80"/>
      <c r="E765" s="80"/>
      <c r="F765" s="80"/>
      <c r="G765" s="80"/>
      <c r="H765" s="80"/>
      <c r="I765" s="80"/>
      <c r="J765" s="80"/>
      <c r="K765" s="80"/>
      <c r="L765" s="80"/>
      <c r="M765" s="80"/>
      <c r="N765" s="143"/>
      <c r="O765" s="143"/>
      <c r="P765" s="143"/>
      <c r="Q765" s="143"/>
      <c r="R765" s="143"/>
      <c r="S765" s="80"/>
      <c r="T765" s="80"/>
      <c r="U765" s="80"/>
      <c r="V765" s="80"/>
      <c r="W765" s="80"/>
      <c r="X765" s="80"/>
      <c r="Y765" s="80"/>
      <c r="Z765" s="80"/>
      <c r="AA765" s="80"/>
      <c r="AB765" s="80"/>
    </row>
    <row r="766" spans="1:28" ht="15.75">
      <c r="A766" s="80"/>
      <c r="B766" s="80"/>
      <c r="C766" s="80"/>
      <c r="D766" s="80"/>
      <c r="E766" s="80"/>
      <c r="F766" s="80"/>
      <c r="G766" s="80"/>
      <c r="H766" s="80"/>
      <c r="I766" s="80"/>
      <c r="J766" s="80"/>
      <c r="K766" s="80"/>
      <c r="L766" s="80"/>
      <c r="M766" s="80"/>
      <c r="N766" s="143"/>
      <c r="O766" s="143"/>
      <c r="P766" s="143"/>
      <c r="Q766" s="143"/>
      <c r="R766" s="143"/>
      <c r="S766" s="80"/>
      <c r="T766" s="80"/>
      <c r="U766" s="80"/>
      <c r="V766" s="80"/>
      <c r="W766" s="80"/>
      <c r="X766" s="80"/>
      <c r="Y766" s="80"/>
      <c r="Z766" s="80"/>
      <c r="AA766" s="80"/>
      <c r="AB766" s="80"/>
    </row>
    <row r="767" spans="1:28" ht="15.75">
      <c r="A767" s="80"/>
      <c r="B767" s="80"/>
      <c r="C767" s="80"/>
      <c r="D767" s="80"/>
      <c r="E767" s="80"/>
      <c r="F767" s="80"/>
      <c r="G767" s="80"/>
      <c r="H767" s="80"/>
      <c r="I767" s="80"/>
      <c r="J767" s="80"/>
      <c r="K767" s="80"/>
      <c r="L767" s="80"/>
      <c r="M767" s="80"/>
      <c r="N767" s="143"/>
      <c r="O767" s="143"/>
      <c r="P767" s="143"/>
      <c r="Q767" s="143"/>
      <c r="R767" s="143"/>
      <c r="S767" s="80"/>
      <c r="T767" s="80"/>
      <c r="U767" s="80"/>
      <c r="V767" s="80"/>
      <c r="W767" s="80"/>
      <c r="X767" s="80"/>
      <c r="Y767" s="80"/>
      <c r="Z767" s="80"/>
      <c r="AA767" s="80"/>
      <c r="AB767" s="80"/>
    </row>
    <row r="768" spans="1:28" ht="15.75">
      <c r="A768" s="80"/>
      <c r="B768" s="80"/>
      <c r="C768" s="80"/>
      <c r="D768" s="80"/>
      <c r="E768" s="80"/>
      <c r="F768" s="80"/>
      <c r="G768" s="80"/>
      <c r="H768" s="80"/>
      <c r="I768" s="80"/>
      <c r="J768" s="80"/>
      <c r="K768" s="80"/>
      <c r="L768" s="80"/>
      <c r="M768" s="80"/>
      <c r="N768" s="143"/>
      <c r="O768" s="143"/>
      <c r="P768" s="143"/>
      <c r="Q768" s="143"/>
      <c r="R768" s="143"/>
      <c r="S768" s="80"/>
      <c r="T768" s="80"/>
      <c r="U768" s="80"/>
      <c r="V768" s="80"/>
      <c r="W768" s="80"/>
      <c r="X768" s="80"/>
      <c r="Y768" s="80"/>
      <c r="Z768" s="80"/>
      <c r="AA768" s="80"/>
      <c r="AB768" s="80"/>
    </row>
    <row r="769" spans="1:28" ht="15.75">
      <c r="A769" s="80"/>
      <c r="B769" s="80"/>
      <c r="C769" s="80"/>
      <c r="D769" s="80"/>
      <c r="E769" s="80"/>
      <c r="F769" s="80"/>
      <c r="G769" s="80"/>
      <c r="H769" s="80"/>
      <c r="I769" s="80"/>
      <c r="J769" s="80"/>
      <c r="K769" s="80"/>
      <c r="L769" s="80"/>
      <c r="M769" s="80"/>
      <c r="N769" s="143"/>
      <c r="O769" s="143"/>
      <c r="P769" s="143"/>
      <c r="Q769" s="143"/>
      <c r="R769" s="143"/>
      <c r="S769" s="80"/>
      <c r="T769" s="80"/>
      <c r="U769" s="80"/>
      <c r="V769" s="80"/>
      <c r="W769" s="80"/>
      <c r="X769" s="80"/>
      <c r="Y769" s="80"/>
      <c r="Z769" s="80"/>
      <c r="AA769" s="80"/>
      <c r="AB769" s="80"/>
    </row>
    <row r="770" spans="1:28" ht="15.75">
      <c r="A770" s="80"/>
      <c r="B770" s="80"/>
      <c r="C770" s="80"/>
      <c r="D770" s="80"/>
      <c r="E770" s="80"/>
      <c r="F770" s="80"/>
      <c r="G770" s="80"/>
      <c r="H770" s="80"/>
      <c r="I770" s="80"/>
      <c r="J770" s="80"/>
      <c r="K770" s="80"/>
      <c r="L770" s="80"/>
      <c r="M770" s="80"/>
      <c r="N770" s="143"/>
      <c r="O770" s="143"/>
      <c r="P770" s="143"/>
      <c r="Q770" s="143"/>
      <c r="R770" s="143"/>
      <c r="S770" s="80"/>
      <c r="T770" s="80"/>
      <c r="U770" s="80"/>
      <c r="V770" s="80"/>
      <c r="W770" s="80"/>
      <c r="X770" s="80"/>
      <c r="Y770" s="80"/>
      <c r="Z770" s="80"/>
      <c r="AA770" s="80"/>
      <c r="AB770" s="80"/>
    </row>
    <row r="771" spans="1:28" ht="15.75">
      <c r="A771" s="80"/>
      <c r="B771" s="80"/>
      <c r="C771" s="80"/>
      <c r="D771" s="80"/>
      <c r="E771" s="80"/>
      <c r="F771" s="80"/>
      <c r="G771" s="80"/>
      <c r="H771" s="80"/>
      <c r="I771" s="80"/>
      <c r="J771" s="80"/>
      <c r="K771" s="80"/>
      <c r="L771" s="80"/>
      <c r="M771" s="80"/>
      <c r="N771" s="143"/>
      <c r="O771" s="143"/>
      <c r="P771" s="143"/>
      <c r="Q771" s="143"/>
      <c r="R771" s="143"/>
      <c r="S771" s="80"/>
      <c r="T771" s="80"/>
      <c r="U771" s="80"/>
      <c r="V771" s="80"/>
      <c r="W771" s="80"/>
      <c r="X771" s="80"/>
      <c r="Y771" s="80"/>
      <c r="Z771" s="80"/>
      <c r="AA771" s="80"/>
      <c r="AB771" s="80"/>
    </row>
    <row r="772" spans="1:28" ht="15.75">
      <c r="A772" s="80"/>
      <c r="B772" s="80"/>
      <c r="C772" s="80"/>
      <c r="D772" s="80"/>
      <c r="E772" s="80"/>
      <c r="F772" s="80"/>
      <c r="G772" s="80"/>
      <c r="H772" s="80"/>
      <c r="I772" s="80"/>
      <c r="J772" s="80"/>
      <c r="K772" s="80"/>
      <c r="L772" s="80"/>
      <c r="M772" s="80"/>
      <c r="N772" s="143"/>
      <c r="O772" s="143"/>
      <c r="P772" s="143"/>
      <c r="Q772" s="143"/>
      <c r="R772" s="143"/>
      <c r="S772" s="80"/>
      <c r="T772" s="80"/>
      <c r="U772" s="80"/>
      <c r="V772" s="80"/>
      <c r="W772" s="80"/>
      <c r="X772" s="80"/>
      <c r="Y772" s="80"/>
      <c r="Z772" s="80"/>
      <c r="AA772" s="80"/>
      <c r="AB772" s="80"/>
    </row>
    <row r="773" spans="1:28" ht="15.75">
      <c r="A773" s="80"/>
      <c r="B773" s="80"/>
      <c r="C773" s="80"/>
      <c r="D773" s="80"/>
      <c r="E773" s="80"/>
      <c r="F773" s="80"/>
      <c r="G773" s="80"/>
      <c r="H773" s="80"/>
      <c r="I773" s="80"/>
      <c r="J773" s="80"/>
      <c r="K773" s="80"/>
      <c r="L773" s="80"/>
      <c r="M773" s="80"/>
      <c r="N773" s="143"/>
      <c r="O773" s="143"/>
      <c r="P773" s="143"/>
      <c r="Q773" s="143"/>
      <c r="R773" s="143"/>
      <c r="S773" s="80"/>
      <c r="T773" s="80"/>
      <c r="U773" s="80"/>
      <c r="V773" s="80"/>
      <c r="W773" s="80"/>
      <c r="X773" s="80"/>
      <c r="Y773" s="80"/>
      <c r="Z773" s="80"/>
      <c r="AA773" s="80"/>
      <c r="AB773" s="80"/>
    </row>
    <row r="774" spans="1:28" ht="15.75">
      <c r="A774" s="80"/>
      <c r="B774" s="80"/>
      <c r="C774" s="80"/>
      <c r="D774" s="80"/>
      <c r="E774" s="80"/>
      <c r="F774" s="80"/>
      <c r="G774" s="80"/>
      <c r="H774" s="80"/>
      <c r="I774" s="80"/>
      <c r="J774" s="80"/>
      <c r="K774" s="80"/>
      <c r="L774" s="80"/>
      <c r="M774" s="80"/>
      <c r="N774" s="143"/>
      <c r="O774" s="143"/>
      <c r="P774" s="143"/>
      <c r="Q774" s="143"/>
      <c r="R774" s="143"/>
      <c r="S774" s="80"/>
      <c r="T774" s="80"/>
      <c r="U774" s="80"/>
      <c r="V774" s="80"/>
      <c r="W774" s="80"/>
      <c r="X774" s="80"/>
      <c r="Y774" s="80"/>
      <c r="Z774" s="80"/>
      <c r="AA774" s="80"/>
      <c r="AB774" s="80"/>
    </row>
    <row r="775" spans="1:28" ht="15.75">
      <c r="A775" s="80"/>
      <c r="B775" s="80"/>
      <c r="C775" s="80"/>
      <c r="D775" s="80"/>
      <c r="E775" s="80"/>
      <c r="F775" s="80"/>
      <c r="G775" s="80"/>
      <c r="H775" s="80"/>
      <c r="I775" s="80"/>
      <c r="J775" s="80"/>
      <c r="K775" s="80"/>
      <c r="L775" s="80"/>
      <c r="M775" s="80"/>
      <c r="N775" s="143"/>
      <c r="O775" s="143"/>
      <c r="P775" s="143"/>
      <c r="Q775" s="143"/>
      <c r="R775" s="143"/>
      <c r="S775" s="80"/>
      <c r="T775" s="80"/>
      <c r="U775" s="80"/>
      <c r="V775" s="80"/>
      <c r="W775" s="80"/>
      <c r="X775" s="80"/>
      <c r="Y775" s="80"/>
      <c r="Z775" s="80"/>
      <c r="AA775" s="80"/>
      <c r="AB775" s="80"/>
    </row>
    <row r="776" spans="1:28" ht="15.75">
      <c r="A776" s="80"/>
      <c r="B776" s="80"/>
      <c r="C776" s="80"/>
      <c r="D776" s="80"/>
      <c r="E776" s="80"/>
      <c r="F776" s="80"/>
      <c r="G776" s="80"/>
      <c r="H776" s="80"/>
      <c r="I776" s="80"/>
      <c r="J776" s="80"/>
      <c r="K776" s="80"/>
      <c r="L776" s="80"/>
      <c r="M776" s="80"/>
      <c r="N776" s="143"/>
      <c r="O776" s="143"/>
      <c r="P776" s="143"/>
      <c r="Q776" s="143"/>
      <c r="R776" s="143"/>
      <c r="S776" s="80"/>
      <c r="T776" s="80"/>
      <c r="U776" s="80"/>
      <c r="V776" s="80"/>
      <c r="W776" s="80"/>
      <c r="X776" s="80"/>
      <c r="Y776" s="80"/>
      <c r="Z776" s="80"/>
      <c r="AA776" s="80"/>
      <c r="AB776" s="80"/>
    </row>
    <row r="777" spans="1:28" ht="15.75">
      <c r="A777" s="80"/>
      <c r="B777" s="80"/>
      <c r="C777" s="80"/>
      <c r="D777" s="80"/>
      <c r="E777" s="80"/>
      <c r="F777" s="80"/>
      <c r="G777" s="80"/>
      <c r="H777" s="80"/>
      <c r="I777" s="80"/>
      <c r="J777" s="80"/>
      <c r="K777" s="80"/>
      <c r="L777" s="80"/>
      <c r="M777" s="80"/>
      <c r="N777" s="143"/>
      <c r="O777" s="143"/>
      <c r="P777" s="143"/>
      <c r="Q777" s="143"/>
      <c r="R777" s="143"/>
      <c r="S777" s="80"/>
      <c r="T777" s="80"/>
      <c r="U777" s="80"/>
      <c r="V777" s="80"/>
      <c r="W777" s="80"/>
      <c r="X777" s="80"/>
      <c r="Y777" s="80"/>
      <c r="Z777" s="80"/>
      <c r="AA777" s="80"/>
      <c r="AB777" s="80"/>
    </row>
    <row r="778" spans="1:28" ht="15.75">
      <c r="A778" s="80"/>
      <c r="B778" s="80"/>
      <c r="C778" s="80"/>
      <c r="D778" s="80"/>
      <c r="E778" s="80"/>
      <c r="F778" s="80"/>
      <c r="G778" s="80"/>
      <c r="H778" s="80"/>
      <c r="I778" s="80"/>
      <c r="J778" s="80"/>
      <c r="K778" s="80"/>
      <c r="L778" s="80"/>
      <c r="M778" s="80"/>
      <c r="N778" s="143"/>
      <c r="O778" s="143"/>
      <c r="P778" s="143"/>
      <c r="Q778" s="143"/>
      <c r="R778" s="143"/>
      <c r="S778" s="80"/>
      <c r="T778" s="80"/>
      <c r="U778" s="80"/>
      <c r="V778" s="80"/>
      <c r="W778" s="80"/>
      <c r="X778" s="80"/>
      <c r="Y778" s="80"/>
      <c r="Z778" s="80"/>
      <c r="AA778" s="80"/>
      <c r="AB778" s="80"/>
    </row>
    <row r="779" spans="1:28" ht="15.75">
      <c r="A779" s="80"/>
      <c r="B779" s="80"/>
      <c r="C779" s="80"/>
      <c r="D779" s="80"/>
      <c r="E779" s="80"/>
      <c r="F779" s="80"/>
      <c r="G779" s="80"/>
      <c r="H779" s="80"/>
      <c r="I779" s="80"/>
      <c r="J779" s="80"/>
      <c r="K779" s="80"/>
      <c r="L779" s="80"/>
      <c r="M779" s="80"/>
      <c r="N779" s="143"/>
      <c r="O779" s="143"/>
      <c r="P779" s="143"/>
      <c r="Q779" s="143"/>
      <c r="R779" s="143"/>
      <c r="S779" s="80"/>
      <c r="T779" s="80"/>
      <c r="U779" s="80"/>
      <c r="V779" s="80"/>
      <c r="W779" s="80"/>
      <c r="X779" s="80"/>
      <c r="Y779" s="80"/>
      <c r="Z779" s="80"/>
      <c r="AA779" s="80"/>
      <c r="AB779" s="80"/>
    </row>
    <row r="780" spans="1:28" ht="15.75">
      <c r="A780" s="80"/>
      <c r="B780" s="80"/>
      <c r="C780" s="80"/>
      <c r="D780" s="80"/>
      <c r="E780" s="80"/>
      <c r="F780" s="80"/>
      <c r="G780" s="80"/>
      <c r="H780" s="80"/>
      <c r="I780" s="80"/>
      <c r="J780" s="80"/>
      <c r="K780" s="80"/>
      <c r="L780" s="80"/>
      <c r="M780" s="80"/>
      <c r="N780" s="143"/>
      <c r="O780" s="143"/>
      <c r="P780" s="143"/>
      <c r="Q780" s="143"/>
      <c r="R780" s="143"/>
      <c r="S780" s="80"/>
      <c r="T780" s="80"/>
      <c r="U780" s="80"/>
      <c r="V780" s="80"/>
      <c r="W780" s="80"/>
      <c r="X780" s="80"/>
      <c r="Y780" s="80"/>
      <c r="Z780" s="80"/>
      <c r="AA780" s="80"/>
      <c r="AB780" s="80"/>
    </row>
    <row r="781" spans="1:28" ht="15.75">
      <c r="A781" s="80"/>
      <c r="B781" s="80"/>
      <c r="C781" s="80"/>
      <c r="D781" s="80"/>
      <c r="E781" s="80"/>
      <c r="F781" s="80"/>
      <c r="G781" s="80"/>
      <c r="H781" s="80"/>
      <c r="I781" s="80"/>
      <c r="J781" s="80"/>
      <c r="K781" s="80"/>
      <c r="L781" s="80"/>
      <c r="M781" s="80"/>
      <c r="N781" s="143"/>
      <c r="O781" s="143"/>
      <c r="P781" s="143"/>
      <c r="Q781" s="143"/>
      <c r="R781" s="143"/>
      <c r="S781" s="80"/>
      <c r="T781" s="80"/>
      <c r="U781" s="80"/>
      <c r="V781" s="80"/>
      <c r="W781" s="80"/>
      <c r="X781" s="80"/>
      <c r="Y781" s="80"/>
      <c r="Z781" s="80"/>
      <c r="AA781" s="80"/>
      <c r="AB781" s="80"/>
    </row>
    <row r="782" spans="1:28" ht="15.75">
      <c r="A782" s="80"/>
      <c r="B782" s="80"/>
      <c r="C782" s="80"/>
      <c r="D782" s="80"/>
      <c r="E782" s="80"/>
      <c r="F782" s="80"/>
      <c r="G782" s="80"/>
      <c r="H782" s="80"/>
      <c r="I782" s="80"/>
      <c r="J782" s="80"/>
      <c r="K782" s="80"/>
      <c r="L782" s="80"/>
      <c r="M782" s="80"/>
      <c r="N782" s="143"/>
      <c r="O782" s="143"/>
      <c r="P782" s="143"/>
      <c r="Q782" s="143"/>
      <c r="R782" s="143"/>
      <c r="S782" s="80"/>
      <c r="T782" s="80"/>
      <c r="U782" s="80"/>
      <c r="V782" s="80"/>
      <c r="W782" s="80"/>
      <c r="X782" s="80"/>
      <c r="Y782" s="80"/>
      <c r="Z782" s="80"/>
      <c r="AA782" s="80"/>
      <c r="AB782" s="80"/>
    </row>
    <row r="783" spans="1:28" ht="15.75">
      <c r="A783" s="80"/>
      <c r="B783" s="80"/>
      <c r="C783" s="80"/>
      <c r="D783" s="80"/>
      <c r="E783" s="80"/>
      <c r="F783" s="80"/>
      <c r="G783" s="80"/>
      <c r="H783" s="80"/>
      <c r="I783" s="80"/>
      <c r="J783" s="80"/>
      <c r="K783" s="80"/>
      <c r="L783" s="80"/>
      <c r="M783" s="80"/>
      <c r="N783" s="143"/>
      <c r="O783" s="143"/>
      <c r="P783" s="143"/>
      <c r="Q783" s="143"/>
      <c r="R783" s="143"/>
      <c r="S783" s="80"/>
      <c r="T783" s="80"/>
      <c r="U783" s="80"/>
      <c r="V783" s="80"/>
      <c r="W783" s="80"/>
      <c r="X783" s="80"/>
      <c r="Y783" s="80"/>
      <c r="Z783" s="80"/>
      <c r="AA783" s="80"/>
      <c r="AB783" s="80"/>
    </row>
    <row r="784" spans="1:28" ht="15.75">
      <c r="A784" s="80"/>
      <c r="B784" s="80"/>
      <c r="C784" s="80"/>
      <c r="D784" s="80"/>
      <c r="E784" s="80"/>
      <c r="F784" s="80"/>
      <c r="G784" s="80"/>
      <c r="H784" s="80"/>
      <c r="I784" s="80"/>
      <c r="J784" s="80"/>
      <c r="K784" s="80"/>
      <c r="L784" s="80"/>
      <c r="M784" s="80"/>
      <c r="N784" s="143"/>
      <c r="O784" s="143"/>
      <c r="P784" s="143"/>
      <c r="Q784" s="143"/>
      <c r="R784" s="143"/>
      <c r="S784" s="80"/>
      <c r="T784" s="80"/>
      <c r="U784" s="80"/>
      <c r="V784" s="80"/>
      <c r="W784" s="80"/>
      <c r="X784" s="80"/>
      <c r="Y784" s="80"/>
      <c r="Z784" s="80"/>
      <c r="AA784" s="80"/>
      <c r="AB784" s="80"/>
    </row>
    <row r="785" spans="1:28" ht="15.75">
      <c r="A785" s="80"/>
      <c r="B785" s="80"/>
      <c r="C785" s="80"/>
      <c r="D785" s="80"/>
      <c r="E785" s="80"/>
      <c r="F785" s="80"/>
      <c r="G785" s="80"/>
      <c r="H785" s="80"/>
      <c r="I785" s="80"/>
      <c r="J785" s="80"/>
      <c r="K785" s="80"/>
      <c r="L785" s="80"/>
      <c r="M785" s="80"/>
      <c r="N785" s="143"/>
      <c r="O785" s="143"/>
      <c r="P785" s="143"/>
      <c r="Q785" s="143"/>
      <c r="R785" s="143"/>
      <c r="S785" s="80"/>
      <c r="T785" s="80"/>
      <c r="U785" s="80"/>
      <c r="V785" s="80"/>
      <c r="W785" s="80"/>
      <c r="X785" s="80"/>
      <c r="Y785" s="80"/>
      <c r="Z785" s="80"/>
      <c r="AA785" s="80"/>
      <c r="AB785" s="80"/>
    </row>
    <row r="786" spans="1:28" ht="15.75">
      <c r="A786" s="80"/>
      <c r="B786" s="80"/>
      <c r="C786" s="80"/>
      <c r="D786" s="80"/>
      <c r="E786" s="80"/>
      <c r="F786" s="80"/>
      <c r="G786" s="80"/>
      <c r="H786" s="80"/>
      <c r="I786" s="80"/>
      <c r="J786" s="80"/>
      <c r="K786" s="80"/>
      <c r="L786" s="80"/>
      <c r="M786" s="80"/>
      <c r="N786" s="143"/>
      <c r="O786" s="143"/>
      <c r="P786" s="143"/>
      <c r="Q786" s="143"/>
      <c r="R786" s="143"/>
      <c r="S786" s="80"/>
      <c r="T786" s="80"/>
      <c r="U786" s="80"/>
      <c r="V786" s="80"/>
      <c r="W786" s="80"/>
      <c r="X786" s="80"/>
      <c r="Y786" s="80"/>
      <c r="Z786" s="80"/>
      <c r="AA786" s="80"/>
      <c r="AB786" s="80"/>
    </row>
    <row r="787" spans="1:28" ht="15.75">
      <c r="A787" s="80"/>
      <c r="B787" s="80"/>
      <c r="C787" s="80"/>
      <c r="D787" s="80"/>
      <c r="E787" s="80"/>
      <c r="F787" s="80"/>
      <c r="G787" s="80"/>
      <c r="H787" s="80"/>
      <c r="I787" s="80"/>
      <c r="J787" s="80"/>
      <c r="K787" s="80"/>
      <c r="L787" s="80"/>
      <c r="M787" s="80"/>
      <c r="N787" s="143"/>
      <c r="O787" s="143"/>
      <c r="P787" s="143"/>
      <c r="Q787" s="143"/>
      <c r="R787" s="143"/>
      <c r="S787" s="80"/>
      <c r="T787" s="80"/>
      <c r="U787" s="80"/>
      <c r="V787" s="80"/>
      <c r="W787" s="80"/>
      <c r="X787" s="80"/>
      <c r="Y787" s="80"/>
      <c r="Z787" s="80"/>
      <c r="AA787" s="80"/>
      <c r="AB787" s="80"/>
    </row>
    <row r="788" spans="1:28" ht="15.75">
      <c r="A788" s="80"/>
      <c r="B788" s="80"/>
      <c r="C788" s="80"/>
      <c r="D788" s="80"/>
      <c r="E788" s="80"/>
      <c r="F788" s="80"/>
      <c r="G788" s="80"/>
      <c r="H788" s="80"/>
      <c r="I788" s="80"/>
      <c r="J788" s="80"/>
      <c r="K788" s="80"/>
      <c r="L788" s="80"/>
      <c r="M788" s="80"/>
      <c r="N788" s="143"/>
      <c r="O788" s="143"/>
      <c r="P788" s="143"/>
      <c r="Q788" s="143"/>
      <c r="R788" s="143"/>
      <c r="S788" s="80"/>
      <c r="T788" s="80"/>
      <c r="U788" s="80"/>
      <c r="V788" s="80"/>
      <c r="W788" s="80"/>
      <c r="X788" s="80"/>
      <c r="Y788" s="80"/>
      <c r="Z788" s="80"/>
      <c r="AA788" s="80"/>
      <c r="AB788" s="80"/>
    </row>
    <row r="789" spans="1:28" ht="15.75">
      <c r="A789" s="80"/>
      <c r="B789" s="80"/>
      <c r="C789" s="80"/>
      <c r="D789" s="80"/>
      <c r="E789" s="80"/>
      <c r="F789" s="80"/>
      <c r="G789" s="80"/>
      <c r="H789" s="80"/>
      <c r="I789" s="80"/>
      <c r="J789" s="80"/>
      <c r="K789" s="80"/>
      <c r="L789" s="80"/>
      <c r="M789" s="80"/>
      <c r="N789" s="143"/>
      <c r="O789" s="143"/>
      <c r="P789" s="143"/>
      <c r="Q789" s="143"/>
      <c r="R789" s="143"/>
      <c r="S789" s="80"/>
      <c r="T789" s="80"/>
      <c r="U789" s="80"/>
      <c r="V789" s="80"/>
      <c r="W789" s="80"/>
      <c r="X789" s="80"/>
      <c r="Y789" s="80"/>
      <c r="Z789" s="80"/>
      <c r="AA789" s="80"/>
      <c r="AB789" s="80"/>
    </row>
    <row r="790" spans="1:28" ht="15.75">
      <c r="A790" s="80"/>
      <c r="B790" s="80"/>
      <c r="C790" s="80"/>
      <c r="D790" s="80"/>
      <c r="E790" s="80"/>
      <c r="F790" s="80"/>
      <c r="G790" s="80"/>
      <c r="H790" s="80"/>
      <c r="I790" s="80"/>
      <c r="J790" s="80"/>
      <c r="K790" s="80"/>
      <c r="L790" s="80"/>
      <c r="M790" s="80"/>
      <c r="N790" s="143"/>
      <c r="O790" s="143"/>
      <c r="P790" s="143"/>
      <c r="Q790" s="143"/>
      <c r="R790" s="143"/>
      <c r="S790" s="80"/>
      <c r="T790" s="80"/>
      <c r="U790" s="80"/>
      <c r="V790" s="80"/>
      <c r="W790" s="80"/>
      <c r="X790" s="80"/>
      <c r="Y790" s="80"/>
      <c r="Z790" s="80"/>
      <c r="AA790" s="80"/>
      <c r="AB790" s="80"/>
    </row>
    <row r="791" spans="1:28" ht="15.75">
      <c r="A791" s="80"/>
      <c r="B791" s="80"/>
      <c r="C791" s="80"/>
      <c r="D791" s="80"/>
      <c r="E791" s="80"/>
      <c r="F791" s="80"/>
      <c r="G791" s="80"/>
      <c r="H791" s="80"/>
      <c r="I791" s="80"/>
      <c r="J791" s="80"/>
      <c r="K791" s="80"/>
      <c r="L791" s="80"/>
      <c r="M791" s="80"/>
      <c r="N791" s="143"/>
      <c r="O791" s="143"/>
      <c r="P791" s="143"/>
      <c r="Q791" s="143"/>
      <c r="R791" s="143"/>
      <c r="S791" s="80"/>
      <c r="T791" s="80"/>
      <c r="U791" s="80"/>
      <c r="V791" s="80"/>
      <c r="W791" s="80"/>
      <c r="X791" s="80"/>
      <c r="Y791" s="80"/>
      <c r="Z791" s="80"/>
      <c r="AA791" s="80"/>
      <c r="AB791" s="80"/>
    </row>
    <row r="792" spans="1:28" ht="15.75">
      <c r="A792" s="80"/>
      <c r="B792" s="80"/>
      <c r="C792" s="80"/>
      <c r="D792" s="80"/>
      <c r="E792" s="80"/>
      <c r="F792" s="80"/>
      <c r="G792" s="80"/>
      <c r="H792" s="80"/>
      <c r="I792" s="80"/>
      <c r="J792" s="80"/>
      <c r="K792" s="80"/>
      <c r="L792" s="80"/>
      <c r="M792" s="80"/>
      <c r="N792" s="143"/>
      <c r="O792" s="143"/>
      <c r="P792" s="143"/>
      <c r="Q792" s="143"/>
      <c r="R792" s="143"/>
      <c r="S792" s="80"/>
      <c r="T792" s="80"/>
      <c r="U792" s="80"/>
      <c r="V792" s="80"/>
      <c r="W792" s="80"/>
      <c r="X792" s="80"/>
      <c r="Y792" s="80"/>
      <c r="Z792" s="80"/>
      <c r="AA792" s="80"/>
      <c r="AB792" s="80"/>
    </row>
    <row r="793" spans="1:28" ht="15.75">
      <c r="A793" s="80"/>
      <c r="B793" s="80"/>
      <c r="C793" s="80"/>
      <c r="D793" s="80"/>
      <c r="E793" s="80"/>
      <c r="F793" s="80"/>
      <c r="G793" s="80"/>
      <c r="H793" s="80"/>
      <c r="I793" s="80"/>
      <c r="J793" s="80"/>
      <c r="K793" s="80"/>
      <c r="L793" s="80"/>
      <c r="M793" s="80"/>
      <c r="N793" s="143"/>
      <c r="O793" s="143"/>
      <c r="P793" s="143"/>
      <c r="Q793" s="143"/>
      <c r="R793" s="143"/>
      <c r="S793" s="80"/>
      <c r="T793" s="80"/>
      <c r="U793" s="80"/>
      <c r="V793" s="80"/>
      <c r="W793" s="80"/>
      <c r="X793" s="80"/>
      <c r="Y793" s="80"/>
      <c r="Z793" s="80"/>
      <c r="AA793" s="80"/>
      <c r="AB793" s="80"/>
    </row>
    <row r="794" spans="1:28" ht="15.75">
      <c r="A794" s="80"/>
      <c r="B794" s="80"/>
      <c r="C794" s="80"/>
      <c r="D794" s="80"/>
      <c r="E794" s="80"/>
      <c r="F794" s="80"/>
      <c r="G794" s="80"/>
      <c r="H794" s="80"/>
      <c r="I794" s="80"/>
      <c r="J794" s="80"/>
      <c r="K794" s="80"/>
      <c r="L794" s="80"/>
      <c r="M794" s="80"/>
      <c r="N794" s="143"/>
      <c r="O794" s="143"/>
      <c r="P794" s="143"/>
      <c r="Q794" s="143"/>
      <c r="R794" s="143"/>
      <c r="S794" s="80"/>
      <c r="T794" s="80"/>
      <c r="U794" s="80"/>
      <c r="V794" s="80"/>
      <c r="W794" s="80"/>
      <c r="X794" s="80"/>
      <c r="Y794" s="80"/>
      <c r="Z794" s="80"/>
      <c r="AA794" s="80"/>
      <c r="AB794" s="80"/>
    </row>
    <row r="795" spans="1:28" ht="15.75">
      <c r="A795" s="80"/>
      <c r="B795" s="80"/>
      <c r="C795" s="80"/>
      <c r="D795" s="80"/>
      <c r="E795" s="80"/>
      <c r="F795" s="80"/>
      <c r="G795" s="80"/>
      <c r="H795" s="80"/>
      <c r="I795" s="80"/>
      <c r="J795" s="80"/>
      <c r="K795" s="80"/>
      <c r="L795" s="80"/>
      <c r="M795" s="80"/>
      <c r="N795" s="143"/>
      <c r="O795" s="143"/>
      <c r="P795" s="143"/>
      <c r="Q795" s="143"/>
      <c r="R795" s="143"/>
      <c r="S795" s="80"/>
      <c r="T795" s="80"/>
      <c r="U795" s="80"/>
      <c r="V795" s="80"/>
      <c r="W795" s="80"/>
      <c r="X795" s="80"/>
      <c r="Y795" s="80"/>
      <c r="Z795" s="80"/>
      <c r="AA795" s="80"/>
      <c r="AB795" s="80"/>
    </row>
    <row r="796" spans="1:28" ht="15.75">
      <c r="A796" s="80"/>
      <c r="B796" s="80"/>
      <c r="C796" s="80"/>
      <c r="D796" s="80"/>
      <c r="E796" s="80"/>
      <c r="F796" s="80"/>
      <c r="G796" s="80"/>
      <c r="H796" s="80"/>
      <c r="I796" s="80"/>
      <c r="J796" s="80"/>
      <c r="K796" s="80"/>
      <c r="L796" s="80"/>
      <c r="M796" s="80"/>
      <c r="N796" s="143"/>
      <c r="O796" s="143"/>
      <c r="P796" s="143"/>
      <c r="Q796" s="143"/>
      <c r="R796" s="143"/>
      <c r="S796" s="80"/>
      <c r="T796" s="80"/>
      <c r="U796" s="80"/>
      <c r="V796" s="80"/>
      <c r="W796" s="80"/>
      <c r="X796" s="80"/>
      <c r="Y796" s="80"/>
      <c r="Z796" s="80"/>
      <c r="AA796" s="80"/>
      <c r="AB796" s="80"/>
    </row>
    <row r="797" spans="1:28" ht="15.75">
      <c r="A797" s="80"/>
      <c r="B797" s="80"/>
      <c r="C797" s="80"/>
      <c r="D797" s="80"/>
      <c r="E797" s="80"/>
      <c r="F797" s="80"/>
      <c r="G797" s="80"/>
      <c r="H797" s="80"/>
      <c r="I797" s="80"/>
      <c r="J797" s="80"/>
      <c r="K797" s="80"/>
      <c r="L797" s="80"/>
      <c r="M797" s="80"/>
      <c r="N797" s="143"/>
      <c r="O797" s="143"/>
      <c r="P797" s="143"/>
      <c r="Q797" s="143"/>
      <c r="R797" s="143"/>
      <c r="S797" s="80"/>
      <c r="T797" s="80"/>
      <c r="U797" s="80"/>
      <c r="V797" s="80"/>
      <c r="W797" s="80"/>
      <c r="X797" s="80"/>
      <c r="Y797" s="80"/>
      <c r="Z797" s="80"/>
      <c r="AA797" s="80"/>
      <c r="AB797" s="80"/>
    </row>
    <row r="798" spans="1:28" ht="15.75">
      <c r="A798" s="80"/>
      <c r="B798" s="80"/>
      <c r="C798" s="80"/>
      <c r="D798" s="80"/>
      <c r="E798" s="80"/>
      <c r="F798" s="80"/>
      <c r="G798" s="80"/>
      <c r="H798" s="80"/>
      <c r="I798" s="80"/>
      <c r="J798" s="80"/>
      <c r="K798" s="80"/>
      <c r="L798" s="80"/>
      <c r="M798" s="80"/>
      <c r="N798" s="143"/>
      <c r="O798" s="143"/>
      <c r="P798" s="143"/>
      <c r="Q798" s="143"/>
      <c r="R798" s="143"/>
      <c r="S798" s="80"/>
      <c r="T798" s="80"/>
      <c r="U798" s="80"/>
      <c r="V798" s="80"/>
      <c r="W798" s="80"/>
      <c r="X798" s="80"/>
      <c r="Y798" s="80"/>
      <c r="Z798" s="80"/>
      <c r="AA798" s="80"/>
      <c r="AB798" s="80"/>
    </row>
    <row r="799" spans="1:28" ht="15.75">
      <c r="A799" s="80"/>
      <c r="B799" s="80"/>
      <c r="C799" s="80"/>
      <c r="D799" s="80"/>
      <c r="E799" s="80"/>
      <c r="F799" s="80"/>
      <c r="G799" s="80"/>
      <c r="H799" s="80"/>
      <c r="I799" s="80"/>
      <c r="J799" s="80"/>
      <c r="K799" s="80"/>
      <c r="L799" s="80"/>
      <c r="M799" s="80"/>
      <c r="N799" s="143"/>
      <c r="O799" s="143"/>
      <c r="P799" s="143"/>
      <c r="Q799" s="143"/>
      <c r="R799" s="143"/>
      <c r="S799" s="80"/>
      <c r="T799" s="80"/>
      <c r="U799" s="80"/>
      <c r="V799" s="80"/>
      <c r="W799" s="80"/>
      <c r="X799" s="80"/>
      <c r="Y799" s="80"/>
      <c r="Z799" s="80"/>
      <c r="AA799" s="80"/>
      <c r="AB799" s="80"/>
    </row>
    <row r="800" spans="1:28" ht="15.75">
      <c r="A800" s="80"/>
      <c r="B800" s="80"/>
      <c r="C800" s="80"/>
      <c r="D800" s="80"/>
      <c r="E800" s="80"/>
      <c r="F800" s="80"/>
      <c r="G800" s="80"/>
      <c r="H800" s="80"/>
      <c r="I800" s="80"/>
      <c r="J800" s="80"/>
      <c r="K800" s="80"/>
      <c r="L800" s="80"/>
      <c r="M800" s="80"/>
      <c r="N800" s="143"/>
      <c r="O800" s="143"/>
      <c r="P800" s="143"/>
      <c r="Q800" s="143"/>
      <c r="R800" s="143"/>
      <c r="S800" s="80"/>
      <c r="T800" s="80"/>
      <c r="U800" s="80"/>
      <c r="V800" s="80"/>
      <c r="W800" s="80"/>
      <c r="X800" s="80"/>
      <c r="Y800" s="80"/>
      <c r="Z800" s="80"/>
      <c r="AA800" s="80"/>
      <c r="AB800" s="80"/>
    </row>
    <row r="801" spans="1:28" ht="15.75">
      <c r="A801" s="80"/>
      <c r="B801" s="80"/>
      <c r="C801" s="80"/>
      <c r="D801" s="80"/>
      <c r="E801" s="80"/>
      <c r="F801" s="80"/>
      <c r="G801" s="80"/>
      <c r="H801" s="80"/>
      <c r="I801" s="80"/>
      <c r="J801" s="80"/>
      <c r="K801" s="80"/>
      <c r="L801" s="80"/>
      <c r="M801" s="80"/>
      <c r="N801" s="143"/>
      <c r="O801" s="143"/>
      <c r="P801" s="143"/>
      <c r="Q801" s="143"/>
      <c r="R801" s="143"/>
      <c r="S801" s="80"/>
      <c r="T801" s="80"/>
      <c r="U801" s="80"/>
      <c r="V801" s="80"/>
      <c r="W801" s="80"/>
      <c r="X801" s="80"/>
      <c r="Y801" s="80"/>
      <c r="Z801" s="80"/>
      <c r="AA801" s="80"/>
      <c r="AB801" s="80"/>
    </row>
    <row r="802" spans="1:28" ht="15.75">
      <c r="A802" s="80"/>
      <c r="B802" s="80"/>
      <c r="C802" s="80"/>
      <c r="D802" s="80"/>
      <c r="E802" s="80"/>
      <c r="F802" s="80"/>
      <c r="G802" s="80"/>
      <c r="H802" s="80"/>
      <c r="I802" s="80"/>
      <c r="J802" s="80"/>
      <c r="K802" s="80"/>
      <c r="L802" s="80"/>
      <c r="M802" s="80"/>
      <c r="N802" s="143"/>
      <c r="O802" s="143"/>
      <c r="P802" s="143"/>
      <c r="Q802" s="143"/>
      <c r="R802" s="143"/>
      <c r="S802" s="80"/>
      <c r="T802" s="80"/>
      <c r="U802" s="80"/>
      <c r="V802" s="80"/>
      <c r="W802" s="80"/>
      <c r="X802" s="80"/>
      <c r="Y802" s="80"/>
      <c r="Z802" s="80"/>
      <c r="AA802" s="80"/>
      <c r="AB802" s="80"/>
    </row>
    <row r="803" spans="1:28" ht="15.75">
      <c r="A803" s="80"/>
      <c r="B803" s="80"/>
      <c r="C803" s="80"/>
      <c r="D803" s="80"/>
      <c r="E803" s="80"/>
      <c r="F803" s="80"/>
      <c r="G803" s="80"/>
      <c r="H803" s="80"/>
      <c r="I803" s="80"/>
      <c r="J803" s="80"/>
      <c r="K803" s="80"/>
      <c r="L803" s="80"/>
      <c r="M803" s="80"/>
      <c r="N803" s="143"/>
      <c r="O803" s="143"/>
      <c r="P803" s="143"/>
      <c r="Q803" s="143"/>
      <c r="R803" s="143"/>
      <c r="S803" s="80"/>
      <c r="T803" s="80"/>
      <c r="U803" s="80"/>
      <c r="V803" s="80"/>
      <c r="W803" s="80"/>
      <c r="X803" s="80"/>
      <c r="Y803" s="80"/>
      <c r="Z803" s="80"/>
      <c r="AA803" s="80"/>
      <c r="AB803" s="80"/>
    </row>
    <row r="804" spans="1:28" ht="15.75">
      <c r="A804" s="80"/>
      <c r="B804" s="80"/>
      <c r="C804" s="80"/>
      <c r="D804" s="80"/>
      <c r="E804" s="80"/>
      <c r="F804" s="80"/>
      <c r="G804" s="80"/>
      <c r="H804" s="80"/>
      <c r="I804" s="80"/>
      <c r="J804" s="80"/>
      <c r="K804" s="80"/>
      <c r="L804" s="80"/>
      <c r="M804" s="80"/>
      <c r="N804" s="143"/>
      <c r="O804" s="143"/>
      <c r="P804" s="143"/>
      <c r="Q804" s="143"/>
      <c r="R804" s="143"/>
      <c r="S804" s="80"/>
      <c r="T804" s="80"/>
      <c r="U804" s="80"/>
      <c r="V804" s="80"/>
      <c r="W804" s="80"/>
      <c r="X804" s="80"/>
      <c r="Y804" s="80"/>
      <c r="Z804" s="80"/>
      <c r="AA804" s="80"/>
      <c r="AB804" s="80"/>
    </row>
    <row r="805" spans="1:28" ht="15.75">
      <c r="A805" s="80"/>
      <c r="B805" s="80"/>
      <c r="C805" s="80"/>
      <c r="D805" s="80"/>
      <c r="E805" s="80"/>
      <c r="F805" s="80"/>
      <c r="G805" s="80"/>
      <c r="H805" s="80"/>
      <c r="I805" s="80"/>
      <c r="J805" s="80"/>
      <c r="K805" s="80"/>
      <c r="L805" s="80"/>
      <c r="M805" s="80"/>
      <c r="N805" s="143"/>
      <c r="O805" s="143"/>
      <c r="P805" s="143"/>
      <c r="Q805" s="143"/>
      <c r="R805" s="143"/>
      <c r="S805" s="80"/>
      <c r="T805" s="80"/>
      <c r="U805" s="80"/>
      <c r="V805" s="80"/>
      <c r="W805" s="80"/>
      <c r="X805" s="80"/>
      <c r="Y805" s="80"/>
      <c r="Z805" s="80"/>
      <c r="AA805" s="80"/>
      <c r="AB805" s="80"/>
    </row>
    <row r="806" spans="1:28" ht="15.75">
      <c r="A806" s="80"/>
      <c r="B806" s="80"/>
      <c r="C806" s="80"/>
      <c r="D806" s="80"/>
      <c r="E806" s="80"/>
      <c r="F806" s="80"/>
      <c r="G806" s="80"/>
      <c r="H806" s="80"/>
      <c r="I806" s="80"/>
      <c r="J806" s="80"/>
      <c r="K806" s="80"/>
      <c r="L806" s="80"/>
      <c r="M806" s="80"/>
      <c r="N806" s="143"/>
      <c r="O806" s="143"/>
      <c r="P806" s="143"/>
      <c r="Q806" s="143"/>
      <c r="R806" s="143"/>
      <c r="S806" s="80"/>
      <c r="T806" s="80"/>
      <c r="U806" s="80"/>
      <c r="V806" s="80"/>
      <c r="W806" s="80"/>
      <c r="X806" s="80"/>
      <c r="Y806" s="80"/>
      <c r="Z806" s="80"/>
      <c r="AA806" s="80"/>
      <c r="AB806" s="80"/>
    </row>
    <row r="807" spans="1:28" ht="15.75">
      <c r="A807" s="80"/>
      <c r="B807" s="80"/>
      <c r="C807" s="80"/>
      <c r="D807" s="80"/>
      <c r="E807" s="80"/>
      <c r="F807" s="80"/>
      <c r="G807" s="80"/>
      <c r="H807" s="80"/>
      <c r="I807" s="80"/>
      <c r="J807" s="80"/>
      <c r="K807" s="80"/>
      <c r="L807" s="80"/>
      <c r="M807" s="80"/>
      <c r="N807" s="143"/>
      <c r="O807" s="143"/>
      <c r="P807" s="143"/>
      <c r="Q807" s="143"/>
      <c r="R807" s="143"/>
      <c r="S807" s="80"/>
      <c r="T807" s="80"/>
      <c r="U807" s="80"/>
      <c r="V807" s="80"/>
      <c r="W807" s="80"/>
      <c r="X807" s="80"/>
      <c r="Y807" s="80"/>
      <c r="Z807" s="80"/>
      <c r="AA807" s="80"/>
      <c r="AB807" s="80"/>
    </row>
    <row r="808" spans="1:28" ht="15.75">
      <c r="A808" s="80"/>
      <c r="B808" s="80"/>
      <c r="C808" s="80"/>
      <c r="D808" s="80"/>
      <c r="E808" s="80"/>
      <c r="F808" s="80"/>
      <c r="G808" s="80"/>
      <c r="H808" s="80"/>
      <c r="I808" s="80"/>
      <c r="J808" s="80"/>
      <c r="K808" s="80"/>
      <c r="L808" s="80"/>
      <c r="M808" s="80"/>
      <c r="N808" s="143"/>
      <c r="O808" s="143"/>
      <c r="P808" s="143"/>
      <c r="Q808" s="143"/>
      <c r="R808" s="143"/>
      <c r="S808" s="80"/>
      <c r="T808" s="80"/>
      <c r="U808" s="80"/>
      <c r="V808" s="80"/>
      <c r="W808" s="80"/>
      <c r="X808" s="80"/>
      <c r="Y808" s="80"/>
      <c r="Z808" s="80"/>
      <c r="AA808" s="80"/>
      <c r="AB808" s="80"/>
    </row>
    <row r="809" spans="1:28" ht="15.75">
      <c r="A809" s="80"/>
      <c r="B809" s="80"/>
      <c r="C809" s="80"/>
      <c r="D809" s="80"/>
      <c r="E809" s="80"/>
      <c r="F809" s="80"/>
      <c r="G809" s="80"/>
      <c r="H809" s="80"/>
      <c r="I809" s="80"/>
      <c r="J809" s="80"/>
      <c r="K809" s="80"/>
      <c r="L809" s="80"/>
      <c r="M809" s="80"/>
      <c r="N809" s="143"/>
      <c r="O809" s="143"/>
      <c r="P809" s="143"/>
      <c r="Q809" s="143"/>
      <c r="R809" s="143"/>
      <c r="S809" s="80"/>
      <c r="T809" s="80"/>
      <c r="U809" s="80"/>
      <c r="V809" s="80"/>
      <c r="W809" s="80"/>
      <c r="X809" s="80"/>
      <c r="Y809" s="80"/>
      <c r="Z809" s="80"/>
      <c r="AA809" s="80"/>
      <c r="AB809" s="80"/>
    </row>
    <row r="810" spans="1:28" ht="15.75">
      <c r="A810" s="80"/>
      <c r="B810" s="80"/>
      <c r="C810" s="80"/>
      <c r="D810" s="80"/>
      <c r="E810" s="80"/>
      <c r="F810" s="80"/>
      <c r="G810" s="80"/>
      <c r="H810" s="80"/>
      <c r="I810" s="80"/>
      <c r="J810" s="80"/>
      <c r="K810" s="80"/>
      <c r="L810" s="80"/>
      <c r="M810" s="80"/>
      <c r="N810" s="143"/>
      <c r="O810" s="143"/>
      <c r="P810" s="143"/>
      <c r="Q810" s="143"/>
      <c r="R810" s="143"/>
      <c r="S810" s="80"/>
      <c r="T810" s="80"/>
      <c r="U810" s="80"/>
      <c r="V810" s="80"/>
      <c r="W810" s="80"/>
      <c r="X810" s="80"/>
      <c r="Y810" s="80"/>
      <c r="Z810" s="80"/>
      <c r="AA810" s="80"/>
      <c r="AB810" s="80"/>
    </row>
    <row r="811" spans="1:28" ht="15.75">
      <c r="A811" s="80"/>
      <c r="B811" s="80"/>
      <c r="C811" s="80"/>
      <c r="D811" s="80"/>
      <c r="E811" s="80"/>
      <c r="F811" s="80"/>
      <c r="G811" s="80"/>
      <c r="H811" s="80"/>
      <c r="I811" s="80"/>
      <c r="J811" s="80"/>
      <c r="K811" s="80"/>
      <c r="L811" s="80"/>
      <c r="M811" s="80"/>
      <c r="N811" s="143"/>
      <c r="O811" s="143"/>
      <c r="P811" s="143"/>
      <c r="Q811" s="143"/>
      <c r="R811" s="143"/>
      <c r="S811" s="80"/>
      <c r="T811" s="80"/>
      <c r="U811" s="80"/>
      <c r="V811" s="80"/>
      <c r="W811" s="80"/>
      <c r="X811" s="80"/>
      <c r="Y811" s="80"/>
      <c r="Z811" s="80"/>
      <c r="AA811" s="80"/>
      <c r="AB811" s="80"/>
    </row>
    <row r="812" spans="1:28" ht="15.75">
      <c r="A812" s="80"/>
      <c r="B812" s="80"/>
      <c r="C812" s="80"/>
      <c r="D812" s="80"/>
      <c r="E812" s="80"/>
      <c r="F812" s="80"/>
      <c r="G812" s="80"/>
      <c r="H812" s="80"/>
      <c r="I812" s="80"/>
      <c r="J812" s="80"/>
      <c r="K812" s="80"/>
      <c r="L812" s="80"/>
      <c r="M812" s="80"/>
      <c r="N812" s="143"/>
      <c r="O812" s="143"/>
      <c r="P812" s="143"/>
      <c r="Q812" s="143"/>
      <c r="R812" s="143"/>
      <c r="S812" s="80"/>
      <c r="T812" s="80"/>
      <c r="U812" s="80"/>
      <c r="V812" s="80"/>
      <c r="W812" s="80"/>
      <c r="X812" s="80"/>
      <c r="Y812" s="80"/>
      <c r="Z812" s="80"/>
      <c r="AA812" s="80"/>
      <c r="AB812" s="80"/>
    </row>
    <row r="813" spans="1:28" ht="15.75">
      <c r="A813" s="80"/>
      <c r="B813" s="80"/>
      <c r="C813" s="80"/>
      <c r="D813" s="80"/>
      <c r="E813" s="80"/>
      <c r="F813" s="80"/>
      <c r="G813" s="80"/>
      <c r="H813" s="80"/>
      <c r="I813" s="80"/>
      <c r="J813" s="80"/>
      <c r="K813" s="80"/>
      <c r="L813" s="80"/>
      <c r="M813" s="80"/>
      <c r="N813" s="143"/>
      <c r="O813" s="143"/>
      <c r="P813" s="143"/>
      <c r="Q813" s="143"/>
      <c r="R813" s="143"/>
      <c r="S813" s="80"/>
      <c r="T813" s="80"/>
      <c r="U813" s="80"/>
      <c r="V813" s="80"/>
      <c r="W813" s="80"/>
      <c r="X813" s="80"/>
      <c r="Y813" s="80"/>
      <c r="Z813" s="80"/>
      <c r="AA813" s="80"/>
      <c r="AB813" s="80"/>
    </row>
    <row r="814" spans="1:28" ht="15.75">
      <c r="A814" s="80"/>
      <c r="B814" s="80"/>
      <c r="C814" s="80"/>
      <c r="D814" s="80"/>
      <c r="E814" s="80"/>
      <c r="F814" s="80"/>
      <c r="G814" s="80"/>
      <c r="H814" s="80"/>
      <c r="I814" s="80"/>
      <c r="J814" s="80"/>
      <c r="K814" s="80"/>
      <c r="L814" s="80"/>
      <c r="M814" s="80"/>
      <c r="N814" s="143"/>
      <c r="O814" s="143"/>
      <c r="P814" s="143"/>
      <c r="Q814" s="143"/>
      <c r="R814" s="143"/>
      <c r="S814" s="80"/>
      <c r="T814" s="80"/>
      <c r="U814" s="80"/>
      <c r="V814" s="80"/>
      <c r="W814" s="80"/>
      <c r="X814" s="80"/>
      <c r="Y814" s="80"/>
      <c r="Z814" s="80"/>
      <c r="AA814" s="80"/>
      <c r="AB814" s="80"/>
    </row>
    <row r="815" spans="1:28" ht="15.75">
      <c r="A815" s="80"/>
      <c r="B815" s="80"/>
      <c r="C815" s="80"/>
      <c r="D815" s="80"/>
      <c r="E815" s="80"/>
      <c r="F815" s="80"/>
      <c r="G815" s="80"/>
      <c r="H815" s="80"/>
      <c r="I815" s="80"/>
      <c r="J815" s="80"/>
      <c r="K815" s="80"/>
      <c r="L815" s="80"/>
      <c r="M815" s="80"/>
      <c r="N815" s="143"/>
      <c r="O815" s="143"/>
      <c r="P815" s="143"/>
      <c r="Q815" s="143"/>
      <c r="R815" s="143"/>
      <c r="S815" s="80"/>
      <c r="T815" s="80"/>
      <c r="U815" s="80"/>
      <c r="V815" s="80"/>
      <c r="W815" s="80"/>
      <c r="X815" s="80"/>
      <c r="Y815" s="80"/>
      <c r="Z815" s="80"/>
      <c r="AA815" s="80"/>
      <c r="AB815" s="80"/>
    </row>
    <row r="816" spans="1:28" ht="15.75">
      <c r="A816" s="80"/>
      <c r="B816" s="80"/>
      <c r="C816" s="80"/>
      <c r="D816" s="80"/>
      <c r="E816" s="80"/>
      <c r="F816" s="80"/>
      <c r="G816" s="80"/>
      <c r="H816" s="80"/>
      <c r="I816" s="80"/>
      <c r="J816" s="80"/>
      <c r="K816" s="80"/>
      <c r="L816" s="80"/>
      <c r="M816" s="80"/>
      <c r="N816" s="143"/>
      <c r="O816" s="143"/>
      <c r="P816" s="143"/>
      <c r="Q816" s="143"/>
      <c r="R816" s="143"/>
      <c r="S816" s="80"/>
      <c r="T816" s="80"/>
      <c r="U816" s="80"/>
      <c r="V816" s="80"/>
      <c r="W816" s="80"/>
      <c r="X816" s="80"/>
      <c r="Y816" s="80"/>
      <c r="Z816" s="80"/>
      <c r="AA816" s="80"/>
      <c r="AB816" s="80"/>
    </row>
    <row r="817" spans="1:28" ht="15.75">
      <c r="A817" s="80"/>
      <c r="B817" s="80"/>
      <c r="C817" s="80"/>
      <c r="D817" s="80"/>
      <c r="E817" s="80"/>
      <c r="F817" s="80"/>
      <c r="G817" s="80"/>
      <c r="H817" s="80"/>
      <c r="I817" s="80"/>
      <c r="J817" s="80"/>
      <c r="K817" s="80"/>
      <c r="L817" s="80"/>
      <c r="M817" s="80"/>
      <c r="N817" s="143"/>
      <c r="O817" s="143"/>
      <c r="P817" s="143"/>
      <c r="Q817" s="143"/>
      <c r="R817" s="143"/>
      <c r="S817" s="80"/>
      <c r="T817" s="80"/>
      <c r="U817" s="80"/>
      <c r="V817" s="80"/>
      <c r="W817" s="80"/>
      <c r="X817" s="80"/>
      <c r="Y817" s="80"/>
      <c r="Z817" s="80"/>
      <c r="AA817" s="80"/>
      <c r="AB817" s="80"/>
    </row>
    <row r="818" spans="1:28" ht="15.75">
      <c r="A818" s="80"/>
      <c r="B818" s="80"/>
      <c r="C818" s="80"/>
      <c r="D818" s="80"/>
      <c r="E818" s="80"/>
      <c r="F818" s="80"/>
      <c r="G818" s="80"/>
      <c r="H818" s="80"/>
      <c r="I818" s="80"/>
      <c r="J818" s="80"/>
      <c r="K818" s="80"/>
      <c r="L818" s="80"/>
      <c r="M818" s="80"/>
      <c r="N818" s="143"/>
      <c r="O818" s="143"/>
      <c r="P818" s="143"/>
      <c r="Q818" s="143"/>
      <c r="R818" s="143"/>
      <c r="S818" s="80"/>
      <c r="T818" s="80"/>
      <c r="U818" s="80"/>
      <c r="V818" s="80"/>
      <c r="W818" s="80"/>
      <c r="X818" s="80"/>
      <c r="Y818" s="80"/>
      <c r="Z818" s="80"/>
      <c r="AA818" s="80"/>
      <c r="AB818" s="80"/>
    </row>
    <row r="819" spans="1:28" ht="15.75">
      <c r="A819" s="80"/>
      <c r="B819" s="80"/>
      <c r="C819" s="80"/>
      <c r="D819" s="80"/>
      <c r="E819" s="80"/>
      <c r="F819" s="80"/>
      <c r="G819" s="80"/>
      <c r="H819" s="80"/>
      <c r="I819" s="80"/>
      <c r="J819" s="80"/>
      <c r="K819" s="80"/>
      <c r="L819" s="80"/>
      <c r="M819" s="80"/>
      <c r="N819" s="143"/>
      <c r="O819" s="143"/>
      <c r="P819" s="143"/>
      <c r="Q819" s="143"/>
      <c r="R819" s="143"/>
      <c r="S819" s="80"/>
      <c r="T819" s="80"/>
      <c r="U819" s="80"/>
      <c r="V819" s="80"/>
      <c r="W819" s="80"/>
      <c r="X819" s="80"/>
      <c r="Y819" s="80"/>
      <c r="Z819" s="80"/>
      <c r="AA819" s="80"/>
      <c r="AB819" s="80"/>
    </row>
    <row r="820" spans="1:28" ht="15.75">
      <c r="A820" s="80"/>
      <c r="B820" s="80"/>
      <c r="C820" s="80"/>
      <c r="D820" s="80"/>
      <c r="E820" s="80"/>
      <c r="F820" s="80"/>
      <c r="G820" s="80"/>
      <c r="H820" s="80"/>
      <c r="I820" s="80"/>
      <c r="J820" s="80"/>
      <c r="K820" s="80"/>
      <c r="L820" s="80"/>
      <c r="M820" s="80"/>
      <c r="N820" s="143"/>
      <c r="O820" s="143"/>
      <c r="P820" s="143"/>
      <c r="Q820" s="143"/>
      <c r="R820" s="143"/>
      <c r="S820" s="80"/>
      <c r="T820" s="80"/>
      <c r="U820" s="80"/>
      <c r="V820" s="80"/>
      <c r="W820" s="80"/>
      <c r="X820" s="80"/>
      <c r="Y820" s="80"/>
      <c r="Z820" s="80"/>
      <c r="AA820" s="80"/>
      <c r="AB820" s="80"/>
    </row>
    <row r="821" spans="1:28" ht="15.75">
      <c r="A821" s="80"/>
      <c r="B821" s="80"/>
      <c r="C821" s="80"/>
      <c r="D821" s="80"/>
      <c r="E821" s="80"/>
      <c r="F821" s="80"/>
      <c r="G821" s="80"/>
      <c r="H821" s="80"/>
      <c r="I821" s="80"/>
      <c r="J821" s="80"/>
      <c r="K821" s="80"/>
      <c r="L821" s="80"/>
      <c r="M821" s="80"/>
      <c r="N821" s="143"/>
      <c r="O821" s="143"/>
      <c r="P821" s="143"/>
      <c r="Q821" s="143"/>
      <c r="R821" s="143"/>
      <c r="S821" s="80"/>
      <c r="T821" s="80"/>
      <c r="U821" s="80"/>
      <c r="V821" s="80"/>
      <c r="W821" s="80"/>
      <c r="X821" s="80"/>
      <c r="Y821" s="80"/>
      <c r="Z821" s="80"/>
      <c r="AA821" s="80"/>
      <c r="AB821" s="80"/>
    </row>
    <row r="822" spans="1:28" ht="15.75">
      <c r="A822" s="80"/>
      <c r="B822" s="80"/>
      <c r="C822" s="80"/>
      <c r="D822" s="80"/>
      <c r="E822" s="80"/>
      <c r="F822" s="80"/>
      <c r="G822" s="80"/>
      <c r="H822" s="80"/>
      <c r="I822" s="80"/>
      <c r="J822" s="80"/>
      <c r="K822" s="80"/>
      <c r="L822" s="80"/>
      <c r="M822" s="80"/>
      <c r="N822" s="143"/>
      <c r="O822" s="143"/>
      <c r="P822" s="143"/>
      <c r="Q822" s="143"/>
      <c r="R822" s="143"/>
      <c r="S822" s="80"/>
      <c r="T822" s="80"/>
      <c r="U822" s="80"/>
      <c r="V822" s="80"/>
      <c r="W822" s="80"/>
      <c r="X822" s="80"/>
      <c r="Y822" s="80"/>
      <c r="Z822" s="80"/>
      <c r="AA822" s="80"/>
      <c r="AB822" s="80"/>
    </row>
    <row r="823" spans="1:28" ht="15.75">
      <c r="A823" s="80"/>
      <c r="B823" s="80"/>
      <c r="C823" s="80"/>
      <c r="D823" s="80"/>
      <c r="E823" s="80"/>
      <c r="F823" s="80"/>
      <c r="G823" s="80"/>
      <c r="H823" s="80"/>
      <c r="I823" s="80"/>
      <c r="J823" s="80"/>
      <c r="K823" s="80"/>
      <c r="L823" s="80"/>
      <c r="M823" s="80"/>
      <c r="N823" s="143"/>
      <c r="O823" s="143"/>
      <c r="P823" s="143"/>
      <c r="Q823" s="143"/>
      <c r="R823" s="143"/>
      <c r="S823" s="80"/>
      <c r="T823" s="80"/>
      <c r="U823" s="80"/>
      <c r="V823" s="80"/>
      <c r="W823" s="80"/>
      <c r="X823" s="80"/>
      <c r="Y823" s="80"/>
      <c r="Z823" s="80"/>
      <c r="AA823" s="80"/>
      <c r="AB823" s="80"/>
    </row>
    <row r="824" spans="1:28" ht="15.75">
      <c r="A824" s="80"/>
      <c r="B824" s="80"/>
      <c r="C824" s="80"/>
      <c r="D824" s="80"/>
      <c r="E824" s="80"/>
      <c r="F824" s="80"/>
      <c r="G824" s="80"/>
      <c r="H824" s="80"/>
      <c r="I824" s="80"/>
      <c r="J824" s="80"/>
      <c r="K824" s="80"/>
      <c r="L824" s="80"/>
      <c r="M824" s="80"/>
      <c r="N824" s="143"/>
      <c r="O824" s="143"/>
      <c r="P824" s="143"/>
      <c r="Q824" s="143"/>
      <c r="R824" s="143"/>
      <c r="S824" s="80"/>
      <c r="T824" s="80"/>
      <c r="U824" s="80"/>
      <c r="V824" s="80"/>
      <c r="W824" s="80"/>
      <c r="X824" s="80"/>
      <c r="Y824" s="80"/>
      <c r="Z824" s="80"/>
      <c r="AA824" s="80"/>
      <c r="AB824" s="80"/>
    </row>
    <row r="825" spans="1:28" ht="15.75">
      <c r="A825" s="80"/>
      <c r="B825" s="80"/>
      <c r="C825" s="80"/>
      <c r="D825" s="80"/>
      <c r="E825" s="80"/>
      <c r="F825" s="80"/>
      <c r="G825" s="80"/>
      <c r="H825" s="80"/>
      <c r="I825" s="80"/>
      <c r="J825" s="80"/>
      <c r="K825" s="80"/>
      <c r="L825" s="80"/>
      <c r="M825" s="80"/>
      <c r="N825" s="143"/>
      <c r="O825" s="143"/>
      <c r="P825" s="143"/>
      <c r="Q825" s="143"/>
      <c r="R825" s="143"/>
      <c r="S825" s="80"/>
      <c r="T825" s="80"/>
      <c r="U825" s="80"/>
      <c r="V825" s="80"/>
      <c r="W825" s="80"/>
      <c r="X825" s="80"/>
      <c r="Y825" s="80"/>
      <c r="Z825" s="80"/>
      <c r="AA825" s="80"/>
      <c r="AB825" s="80"/>
    </row>
    <row r="826" spans="1:28" ht="15.75">
      <c r="A826" s="80"/>
      <c r="B826" s="80"/>
      <c r="C826" s="80"/>
      <c r="D826" s="80"/>
      <c r="E826" s="80"/>
      <c r="F826" s="80"/>
      <c r="G826" s="80"/>
      <c r="H826" s="80"/>
      <c r="I826" s="80"/>
      <c r="J826" s="80"/>
      <c r="K826" s="80"/>
      <c r="L826" s="80"/>
      <c r="M826" s="80"/>
      <c r="N826" s="143"/>
      <c r="O826" s="143"/>
      <c r="P826" s="143"/>
      <c r="Q826" s="143"/>
      <c r="R826" s="143"/>
      <c r="S826" s="80"/>
      <c r="T826" s="80"/>
      <c r="U826" s="80"/>
      <c r="V826" s="80"/>
      <c r="W826" s="80"/>
      <c r="X826" s="80"/>
      <c r="Y826" s="80"/>
      <c r="Z826" s="80"/>
      <c r="AA826" s="80"/>
      <c r="AB826" s="80"/>
    </row>
    <row r="827" spans="1:28" ht="15.75">
      <c r="A827" s="80"/>
      <c r="B827" s="80"/>
      <c r="C827" s="80"/>
      <c r="D827" s="80"/>
      <c r="E827" s="80"/>
      <c r="F827" s="80"/>
      <c r="G827" s="80"/>
      <c r="H827" s="80"/>
      <c r="I827" s="80"/>
      <c r="J827" s="80"/>
      <c r="K827" s="80"/>
      <c r="L827" s="80"/>
      <c r="M827" s="80"/>
      <c r="N827" s="143"/>
      <c r="O827" s="143"/>
      <c r="P827" s="143"/>
      <c r="Q827" s="143"/>
      <c r="R827" s="143"/>
      <c r="S827" s="80"/>
      <c r="T827" s="80"/>
      <c r="U827" s="80"/>
      <c r="V827" s="80"/>
      <c r="W827" s="80"/>
      <c r="X827" s="80"/>
      <c r="Y827" s="80"/>
      <c r="Z827" s="80"/>
      <c r="AA827" s="80"/>
      <c r="AB827" s="80"/>
    </row>
    <row r="828" spans="1:28" ht="15.75">
      <c r="A828" s="80"/>
      <c r="B828" s="80"/>
      <c r="C828" s="80"/>
      <c r="D828" s="80"/>
      <c r="E828" s="80"/>
      <c r="F828" s="80"/>
      <c r="G828" s="80"/>
      <c r="H828" s="80"/>
      <c r="I828" s="80"/>
      <c r="J828" s="80"/>
      <c r="K828" s="80"/>
      <c r="L828" s="80"/>
      <c r="M828" s="80"/>
      <c r="N828" s="143"/>
      <c r="O828" s="143"/>
      <c r="P828" s="143"/>
      <c r="Q828" s="143"/>
      <c r="R828" s="143"/>
      <c r="S828" s="80"/>
      <c r="T828" s="80"/>
      <c r="U828" s="80"/>
      <c r="V828" s="80"/>
      <c r="W828" s="80"/>
      <c r="X828" s="80"/>
      <c r="Y828" s="80"/>
      <c r="Z828" s="80"/>
      <c r="AA828" s="80"/>
      <c r="AB828" s="80"/>
    </row>
    <row r="829" spans="1:28" ht="15.75">
      <c r="A829" s="80"/>
      <c r="B829" s="80"/>
      <c r="C829" s="80"/>
      <c r="D829" s="80"/>
      <c r="E829" s="80"/>
      <c r="F829" s="80"/>
      <c r="G829" s="80"/>
      <c r="H829" s="80"/>
      <c r="I829" s="80"/>
      <c r="J829" s="80"/>
      <c r="K829" s="80"/>
      <c r="L829" s="80"/>
      <c r="M829" s="80"/>
      <c r="N829" s="143"/>
      <c r="O829" s="143"/>
      <c r="P829" s="143"/>
      <c r="Q829" s="143"/>
      <c r="R829" s="143"/>
      <c r="S829" s="80"/>
      <c r="T829" s="80"/>
      <c r="U829" s="80"/>
      <c r="V829" s="80"/>
      <c r="W829" s="80"/>
      <c r="X829" s="80"/>
      <c r="Y829" s="80"/>
      <c r="Z829" s="80"/>
      <c r="AA829" s="80"/>
      <c r="AB829" s="80"/>
    </row>
    <row r="830" spans="1:28" ht="15.75">
      <c r="A830" s="80"/>
      <c r="B830" s="80"/>
      <c r="C830" s="80"/>
      <c r="D830" s="80"/>
      <c r="E830" s="80"/>
      <c r="F830" s="80"/>
      <c r="G830" s="80"/>
      <c r="H830" s="80"/>
      <c r="I830" s="80"/>
      <c r="J830" s="80"/>
      <c r="K830" s="80"/>
      <c r="L830" s="80"/>
      <c r="M830" s="80"/>
      <c r="N830" s="143"/>
      <c r="O830" s="143"/>
      <c r="P830" s="143"/>
      <c r="Q830" s="143"/>
      <c r="R830" s="143"/>
      <c r="S830" s="80"/>
      <c r="T830" s="80"/>
      <c r="U830" s="80"/>
      <c r="V830" s="80"/>
      <c r="W830" s="80"/>
      <c r="X830" s="80"/>
      <c r="Y830" s="80"/>
      <c r="Z830" s="80"/>
      <c r="AA830" s="80"/>
      <c r="AB830" s="80"/>
    </row>
    <row r="831" spans="1:28" ht="15.75">
      <c r="A831" s="80"/>
      <c r="B831" s="80"/>
      <c r="C831" s="80"/>
      <c r="D831" s="80"/>
      <c r="E831" s="80"/>
      <c r="F831" s="80"/>
      <c r="G831" s="80"/>
      <c r="H831" s="80"/>
      <c r="I831" s="80"/>
      <c r="J831" s="80"/>
      <c r="K831" s="80"/>
      <c r="L831" s="80"/>
      <c r="M831" s="80"/>
      <c r="N831" s="143"/>
      <c r="O831" s="143"/>
      <c r="P831" s="143"/>
      <c r="Q831" s="143"/>
      <c r="R831" s="143"/>
      <c r="S831" s="80"/>
      <c r="T831" s="80"/>
      <c r="U831" s="80"/>
      <c r="V831" s="80"/>
      <c r="W831" s="80"/>
      <c r="X831" s="80"/>
      <c r="Y831" s="80"/>
      <c r="Z831" s="80"/>
      <c r="AA831" s="80"/>
      <c r="AB831" s="80"/>
    </row>
    <row r="832" spans="1:28" ht="15.75">
      <c r="A832" s="80"/>
      <c r="B832" s="80"/>
      <c r="C832" s="80"/>
      <c r="D832" s="80"/>
      <c r="E832" s="80"/>
      <c r="F832" s="80"/>
      <c r="G832" s="80"/>
      <c r="H832" s="80"/>
      <c r="I832" s="80"/>
      <c r="J832" s="80"/>
      <c r="K832" s="80"/>
      <c r="L832" s="80"/>
      <c r="M832" s="80"/>
      <c r="N832" s="143"/>
      <c r="O832" s="143"/>
      <c r="P832" s="143"/>
      <c r="Q832" s="143"/>
      <c r="R832" s="143"/>
      <c r="S832" s="80"/>
      <c r="T832" s="80"/>
      <c r="U832" s="80"/>
      <c r="V832" s="80"/>
      <c r="W832" s="80"/>
      <c r="X832" s="80"/>
      <c r="Y832" s="80"/>
      <c r="Z832" s="80"/>
      <c r="AA832" s="80"/>
      <c r="AB832" s="80"/>
    </row>
    <row r="833" spans="1:28" ht="15.75">
      <c r="A833" s="80"/>
      <c r="B833" s="80"/>
      <c r="C833" s="80"/>
      <c r="D833" s="80"/>
      <c r="E833" s="80"/>
      <c r="F833" s="80"/>
      <c r="G833" s="80"/>
      <c r="H833" s="80"/>
      <c r="I833" s="80"/>
      <c r="J833" s="80"/>
      <c r="K833" s="80"/>
      <c r="L833" s="80"/>
      <c r="M833" s="80"/>
      <c r="N833" s="143"/>
      <c r="O833" s="143"/>
      <c r="P833" s="143"/>
      <c r="Q833" s="143"/>
      <c r="R833" s="143"/>
      <c r="S833" s="80"/>
      <c r="T833" s="80"/>
      <c r="U833" s="80"/>
      <c r="V833" s="80"/>
      <c r="W833" s="80"/>
      <c r="X833" s="80"/>
      <c r="Y833" s="80"/>
      <c r="Z833" s="80"/>
      <c r="AA833" s="80"/>
      <c r="AB833" s="80"/>
    </row>
    <row r="834" spans="1:28" ht="15.75">
      <c r="A834" s="80"/>
      <c r="B834" s="80"/>
      <c r="C834" s="80"/>
      <c r="D834" s="80"/>
      <c r="E834" s="80"/>
      <c r="F834" s="80"/>
      <c r="G834" s="80"/>
      <c r="H834" s="80"/>
      <c r="I834" s="80"/>
      <c r="J834" s="80"/>
      <c r="K834" s="80"/>
      <c r="L834" s="80"/>
      <c r="M834" s="80"/>
      <c r="N834" s="143"/>
      <c r="O834" s="143"/>
      <c r="P834" s="143"/>
      <c r="Q834" s="143"/>
      <c r="R834" s="143"/>
      <c r="S834" s="80"/>
      <c r="T834" s="80"/>
      <c r="U834" s="80"/>
      <c r="V834" s="80"/>
      <c r="W834" s="80"/>
      <c r="X834" s="80"/>
      <c r="Y834" s="80"/>
      <c r="Z834" s="80"/>
      <c r="AA834" s="80"/>
      <c r="AB834" s="80"/>
    </row>
    <row r="835" spans="1:28" ht="15.75">
      <c r="A835" s="80"/>
      <c r="B835" s="80"/>
      <c r="C835" s="80"/>
      <c r="D835" s="80"/>
      <c r="E835" s="80"/>
      <c r="F835" s="80"/>
      <c r="G835" s="80"/>
      <c r="H835" s="80"/>
      <c r="I835" s="80"/>
      <c r="J835" s="80"/>
      <c r="K835" s="80"/>
      <c r="L835" s="80"/>
      <c r="M835" s="80"/>
      <c r="N835" s="143"/>
      <c r="O835" s="143"/>
      <c r="P835" s="143"/>
      <c r="Q835" s="143"/>
      <c r="R835" s="143"/>
      <c r="S835" s="80"/>
      <c r="T835" s="80"/>
      <c r="U835" s="80"/>
      <c r="V835" s="80"/>
      <c r="W835" s="80"/>
      <c r="X835" s="80"/>
      <c r="Y835" s="80"/>
      <c r="Z835" s="80"/>
      <c r="AA835" s="80"/>
      <c r="AB835" s="80"/>
    </row>
    <row r="836" spans="1:28" ht="15.75">
      <c r="A836" s="80"/>
      <c r="B836" s="80"/>
      <c r="C836" s="80"/>
      <c r="D836" s="80"/>
      <c r="E836" s="80"/>
      <c r="F836" s="80"/>
      <c r="G836" s="80"/>
      <c r="H836" s="80"/>
      <c r="I836" s="80"/>
      <c r="J836" s="80"/>
      <c r="K836" s="80"/>
      <c r="L836" s="80"/>
      <c r="M836" s="80"/>
      <c r="N836" s="143"/>
      <c r="O836" s="143"/>
      <c r="P836" s="143"/>
      <c r="Q836" s="143"/>
      <c r="R836" s="143"/>
      <c r="S836" s="80"/>
      <c r="T836" s="80"/>
      <c r="U836" s="80"/>
      <c r="V836" s="80"/>
      <c r="W836" s="80"/>
      <c r="X836" s="80"/>
      <c r="Y836" s="80"/>
      <c r="Z836" s="80"/>
      <c r="AA836" s="80"/>
      <c r="AB836" s="80"/>
    </row>
    <row r="837" spans="1:28" ht="15.75">
      <c r="A837" s="80"/>
      <c r="B837" s="80"/>
      <c r="C837" s="80"/>
      <c r="D837" s="80"/>
      <c r="E837" s="80"/>
      <c r="F837" s="80"/>
      <c r="G837" s="80"/>
      <c r="H837" s="80"/>
      <c r="I837" s="80"/>
      <c r="J837" s="80"/>
      <c r="K837" s="80"/>
      <c r="L837" s="80"/>
      <c r="M837" s="80"/>
      <c r="N837" s="143"/>
      <c r="O837" s="143"/>
      <c r="P837" s="143"/>
      <c r="Q837" s="143"/>
      <c r="R837" s="143"/>
      <c r="S837" s="80"/>
      <c r="T837" s="80"/>
      <c r="U837" s="80"/>
      <c r="V837" s="80"/>
      <c r="W837" s="80"/>
      <c r="X837" s="80"/>
      <c r="Y837" s="80"/>
      <c r="Z837" s="80"/>
      <c r="AA837" s="80"/>
      <c r="AB837" s="80"/>
    </row>
    <row r="838" spans="1:28" ht="15.75">
      <c r="A838" s="80"/>
      <c r="B838" s="80"/>
      <c r="C838" s="80"/>
      <c r="D838" s="80"/>
      <c r="E838" s="80"/>
      <c r="F838" s="80"/>
      <c r="G838" s="80"/>
      <c r="H838" s="80"/>
      <c r="I838" s="80"/>
      <c r="J838" s="80"/>
      <c r="K838" s="80"/>
      <c r="L838" s="80"/>
      <c r="M838" s="80"/>
      <c r="N838" s="143"/>
      <c r="O838" s="143"/>
      <c r="P838" s="143"/>
      <c r="Q838" s="143"/>
      <c r="R838" s="143"/>
      <c r="S838" s="80"/>
      <c r="T838" s="80"/>
      <c r="U838" s="80"/>
      <c r="V838" s="80"/>
      <c r="W838" s="80"/>
      <c r="X838" s="80"/>
      <c r="Y838" s="80"/>
      <c r="Z838" s="80"/>
      <c r="AA838" s="80"/>
      <c r="AB838" s="80"/>
    </row>
    <row r="839" spans="1:28" ht="15.75">
      <c r="A839" s="80"/>
      <c r="B839" s="80"/>
      <c r="C839" s="80"/>
      <c r="D839" s="80"/>
      <c r="E839" s="80"/>
      <c r="F839" s="80"/>
      <c r="G839" s="80"/>
      <c r="H839" s="80"/>
      <c r="I839" s="80"/>
      <c r="J839" s="80"/>
      <c r="K839" s="80"/>
      <c r="L839" s="80"/>
      <c r="M839" s="80"/>
      <c r="N839" s="143"/>
      <c r="O839" s="143"/>
      <c r="P839" s="143"/>
      <c r="Q839" s="143"/>
      <c r="R839" s="143"/>
      <c r="S839" s="80"/>
      <c r="T839" s="80"/>
      <c r="U839" s="80"/>
      <c r="V839" s="80"/>
      <c r="W839" s="80"/>
      <c r="X839" s="80"/>
      <c r="Y839" s="80"/>
      <c r="Z839" s="80"/>
      <c r="AA839" s="80"/>
      <c r="AB839" s="80"/>
    </row>
    <row r="840" spans="1:28" ht="15.75">
      <c r="A840" s="80"/>
      <c r="B840" s="80"/>
      <c r="C840" s="80"/>
      <c r="D840" s="80"/>
      <c r="E840" s="80"/>
      <c r="F840" s="80"/>
      <c r="G840" s="80"/>
      <c r="H840" s="80"/>
      <c r="I840" s="80"/>
      <c r="J840" s="80"/>
      <c r="K840" s="80"/>
      <c r="L840" s="80"/>
      <c r="M840" s="80"/>
      <c r="N840" s="143"/>
      <c r="O840" s="143"/>
      <c r="P840" s="143"/>
      <c r="Q840" s="143"/>
      <c r="R840" s="143"/>
      <c r="S840" s="80"/>
      <c r="T840" s="80"/>
      <c r="U840" s="80"/>
      <c r="V840" s="80"/>
      <c r="W840" s="80"/>
      <c r="X840" s="80"/>
      <c r="Y840" s="80"/>
      <c r="Z840" s="80"/>
      <c r="AA840" s="80"/>
      <c r="AB840" s="80"/>
    </row>
    <row r="841" spans="1:28" ht="15.75">
      <c r="A841" s="80"/>
      <c r="B841" s="80"/>
      <c r="C841" s="80"/>
      <c r="D841" s="80"/>
      <c r="E841" s="80"/>
      <c r="F841" s="80"/>
      <c r="G841" s="80"/>
      <c r="H841" s="80"/>
      <c r="I841" s="80"/>
      <c r="J841" s="80"/>
      <c r="K841" s="80"/>
      <c r="L841" s="80"/>
      <c r="M841" s="80"/>
      <c r="N841" s="143"/>
      <c r="O841" s="143"/>
      <c r="P841" s="143"/>
      <c r="Q841" s="143"/>
      <c r="R841" s="143"/>
      <c r="S841" s="80"/>
      <c r="T841" s="80"/>
      <c r="U841" s="80"/>
      <c r="V841" s="80"/>
      <c r="W841" s="80"/>
      <c r="X841" s="80"/>
      <c r="Y841" s="80"/>
      <c r="Z841" s="80"/>
      <c r="AA841" s="80"/>
      <c r="AB841" s="80"/>
    </row>
    <row r="842" spans="1:28" ht="15.75">
      <c r="A842" s="80"/>
      <c r="B842" s="80"/>
      <c r="C842" s="80"/>
      <c r="D842" s="80"/>
      <c r="E842" s="80"/>
      <c r="F842" s="80"/>
      <c r="G842" s="80"/>
      <c r="H842" s="80"/>
      <c r="I842" s="80"/>
      <c r="J842" s="80"/>
      <c r="K842" s="80"/>
      <c r="L842" s="80"/>
      <c r="M842" s="80"/>
      <c r="N842" s="143"/>
      <c r="O842" s="143"/>
      <c r="P842" s="143"/>
      <c r="Q842" s="143"/>
      <c r="R842" s="143"/>
      <c r="S842" s="80"/>
      <c r="T842" s="80"/>
      <c r="U842" s="80"/>
      <c r="V842" s="80"/>
      <c r="W842" s="80"/>
      <c r="X842" s="80"/>
      <c r="Y842" s="80"/>
      <c r="Z842" s="80"/>
      <c r="AA842" s="80"/>
      <c r="AB842" s="80"/>
    </row>
    <row r="843" spans="1:28" ht="15.75">
      <c r="A843" s="80"/>
      <c r="B843" s="80"/>
      <c r="C843" s="80"/>
      <c r="D843" s="80"/>
      <c r="E843" s="80"/>
      <c r="F843" s="80"/>
      <c r="G843" s="80"/>
      <c r="H843" s="80"/>
      <c r="I843" s="80"/>
      <c r="J843" s="80"/>
      <c r="K843" s="80"/>
      <c r="L843" s="80"/>
      <c r="M843" s="80"/>
      <c r="N843" s="143"/>
      <c r="O843" s="143"/>
      <c r="P843" s="143"/>
      <c r="Q843" s="143"/>
      <c r="R843" s="143"/>
      <c r="S843" s="80"/>
      <c r="T843" s="80"/>
      <c r="U843" s="80"/>
      <c r="V843" s="80"/>
      <c r="W843" s="80"/>
      <c r="X843" s="80"/>
      <c r="Y843" s="80"/>
      <c r="Z843" s="80"/>
      <c r="AA843" s="80"/>
      <c r="AB843" s="80"/>
    </row>
    <row r="844" spans="1:28" ht="15.75">
      <c r="A844" s="80"/>
      <c r="B844" s="80"/>
      <c r="C844" s="80"/>
      <c r="D844" s="80"/>
      <c r="E844" s="80"/>
      <c r="F844" s="80"/>
      <c r="G844" s="80"/>
      <c r="H844" s="80"/>
      <c r="I844" s="80"/>
      <c r="J844" s="80"/>
      <c r="K844" s="80"/>
      <c r="L844" s="80"/>
      <c r="M844" s="80"/>
      <c r="N844" s="143"/>
      <c r="O844" s="143"/>
      <c r="P844" s="143"/>
      <c r="Q844" s="143"/>
      <c r="R844" s="143"/>
      <c r="S844" s="80"/>
      <c r="T844" s="80"/>
      <c r="U844" s="80"/>
      <c r="V844" s="80"/>
      <c r="W844" s="80"/>
      <c r="X844" s="80"/>
      <c r="Y844" s="80"/>
      <c r="Z844" s="80"/>
      <c r="AA844" s="80"/>
      <c r="AB844" s="80"/>
    </row>
    <row r="845" spans="1:28" ht="15.75">
      <c r="A845" s="80"/>
      <c r="B845" s="80"/>
      <c r="C845" s="80"/>
      <c r="D845" s="80"/>
      <c r="E845" s="80"/>
      <c r="F845" s="80"/>
      <c r="G845" s="80"/>
      <c r="H845" s="80"/>
      <c r="I845" s="80"/>
      <c r="J845" s="80"/>
      <c r="K845" s="80"/>
      <c r="L845" s="80"/>
      <c r="M845" s="80"/>
      <c r="N845" s="143"/>
      <c r="O845" s="143"/>
      <c r="P845" s="143"/>
      <c r="Q845" s="143"/>
      <c r="R845" s="143"/>
      <c r="S845" s="80"/>
      <c r="T845" s="80"/>
      <c r="U845" s="80"/>
      <c r="V845" s="80"/>
      <c r="W845" s="80"/>
      <c r="X845" s="80"/>
      <c r="Y845" s="80"/>
      <c r="Z845" s="80"/>
      <c r="AA845" s="80"/>
      <c r="AB845" s="80"/>
    </row>
    <row r="846" spans="1:28" ht="15.75">
      <c r="A846" s="80"/>
      <c r="B846" s="80"/>
      <c r="C846" s="80"/>
      <c r="D846" s="80"/>
      <c r="E846" s="80"/>
      <c r="F846" s="80"/>
      <c r="G846" s="80"/>
      <c r="H846" s="80"/>
      <c r="I846" s="80"/>
      <c r="J846" s="80"/>
      <c r="K846" s="80"/>
      <c r="L846" s="80"/>
      <c r="M846" s="80"/>
      <c r="N846" s="143"/>
      <c r="O846" s="143"/>
      <c r="P846" s="143"/>
      <c r="Q846" s="143"/>
      <c r="R846" s="143"/>
      <c r="S846" s="80"/>
      <c r="T846" s="80"/>
      <c r="U846" s="80"/>
      <c r="V846" s="80"/>
      <c r="W846" s="80"/>
      <c r="X846" s="80"/>
      <c r="Y846" s="80"/>
      <c r="Z846" s="80"/>
      <c r="AA846" s="80"/>
      <c r="AB846" s="80"/>
    </row>
    <row r="847" spans="1:28" ht="15.75">
      <c r="A847" s="80"/>
      <c r="B847" s="80"/>
      <c r="C847" s="80"/>
      <c r="D847" s="80"/>
      <c r="E847" s="80"/>
      <c r="F847" s="80"/>
      <c r="G847" s="80"/>
      <c r="H847" s="80"/>
      <c r="I847" s="80"/>
      <c r="J847" s="80"/>
      <c r="K847" s="80"/>
      <c r="L847" s="80"/>
      <c r="M847" s="80"/>
      <c r="N847" s="143"/>
      <c r="O847" s="143"/>
      <c r="P847" s="143"/>
      <c r="Q847" s="143"/>
      <c r="R847" s="143"/>
      <c r="S847" s="80"/>
      <c r="T847" s="80"/>
      <c r="U847" s="80"/>
      <c r="V847" s="80"/>
      <c r="W847" s="80"/>
      <c r="X847" s="80"/>
      <c r="Y847" s="80"/>
      <c r="Z847" s="80"/>
      <c r="AA847" s="80"/>
      <c r="AB847" s="80"/>
    </row>
    <row r="848" spans="1:28" ht="15.75">
      <c r="A848" s="80"/>
      <c r="B848" s="80"/>
      <c r="C848" s="80"/>
      <c r="D848" s="80"/>
      <c r="E848" s="80"/>
      <c r="F848" s="80"/>
      <c r="G848" s="80"/>
      <c r="H848" s="80"/>
      <c r="I848" s="80"/>
      <c r="J848" s="80"/>
      <c r="K848" s="80"/>
      <c r="L848" s="80"/>
      <c r="M848" s="80"/>
      <c r="N848" s="143"/>
      <c r="O848" s="143"/>
      <c r="P848" s="143"/>
      <c r="Q848" s="143"/>
      <c r="R848" s="143"/>
      <c r="S848" s="80"/>
      <c r="T848" s="80"/>
      <c r="U848" s="80"/>
      <c r="V848" s="80"/>
      <c r="W848" s="80"/>
      <c r="X848" s="80"/>
      <c r="Y848" s="80"/>
      <c r="Z848" s="80"/>
      <c r="AA848" s="80"/>
      <c r="AB848" s="80"/>
    </row>
    <row r="849" spans="1:28" ht="15.75">
      <c r="A849" s="80"/>
      <c r="B849" s="80"/>
      <c r="C849" s="80"/>
      <c r="D849" s="80"/>
      <c r="E849" s="80"/>
      <c r="F849" s="80"/>
      <c r="G849" s="80"/>
      <c r="H849" s="80"/>
      <c r="I849" s="80"/>
      <c r="J849" s="80"/>
      <c r="K849" s="80"/>
      <c r="L849" s="80"/>
      <c r="M849" s="80"/>
      <c r="N849" s="143"/>
      <c r="O849" s="143"/>
      <c r="P849" s="143"/>
      <c r="Q849" s="143"/>
      <c r="R849" s="143"/>
      <c r="S849" s="80"/>
      <c r="T849" s="80"/>
      <c r="U849" s="80"/>
      <c r="V849" s="80"/>
      <c r="W849" s="80"/>
      <c r="X849" s="80"/>
      <c r="Y849" s="80"/>
      <c r="Z849" s="80"/>
      <c r="AA849" s="80"/>
      <c r="AB849" s="80"/>
    </row>
    <row r="850" spans="1:28" ht="15.75">
      <c r="A850" s="80"/>
      <c r="B850" s="80"/>
      <c r="C850" s="80"/>
      <c r="D850" s="80"/>
      <c r="E850" s="80"/>
      <c r="F850" s="80"/>
      <c r="G850" s="80"/>
      <c r="H850" s="80"/>
      <c r="I850" s="80"/>
      <c r="J850" s="80"/>
      <c r="K850" s="80"/>
      <c r="L850" s="80"/>
      <c r="M850" s="80"/>
      <c r="N850" s="143"/>
      <c r="O850" s="143"/>
      <c r="P850" s="143"/>
      <c r="Q850" s="143"/>
      <c r="R850" s="143"/>
      <c r="S850" s="80"/>
      <c r="T850" s="80"/>
      <c r="U850" s="80"/>
      <c r="V850" s="80"/>
      <c r="W850" s="80"/>
      <c r="X850" s="80"/>
      <c r="Y850" s="80"/>
      <c r="Z850" s="80"/>
      <c r="AA850" s="80"/>
      <c r="AB850" s="80"/>
    </row>
    <row r="851" spans="1:28" ht="15.75">
      <c r="A851" s="80"/>
      <c r="B851" s="80"/>
      <c r="C851" s="80"/>
      <c r="D851" s="80"/>
      <c r="E851" s="80"/>
      <c r="F851" s="80"/>
      <c r="G851" s="80"/>
      <c r="H851" s="80"/>
      <c r="I851" s="80"/>
      <c r="J851" s="80"/>
      <c r="K851" s="80"/>
      <c r="L851" s="80"/>
      <c r="M851" s="80"/>
      <c r="N851" s="143"/>
      <c r="O851" s="143"/>
      <c r="P851" s="143"/>
      <c r="Q851" s="143"/>
      <c r="R851" s="143"/>
      <c r="S851" s="80"/>
      <c r="T851" s="80"/>
      <c r="U851" s="80"/>
      <c r="V851" s="80"/>
      <c r="W851" s="80"/>
      <c r="X851" s="80"/>
      <c r="Y851" s="80"/>
      <c r="Z851" s="80"/>
      <c r="AA851" s="80"/>
      <c r="AB851" s="80"/>
    </row>
    <row r="852" spans="1:28" ht="15.75">
      <c r="A852" s="80"/>
      <c r="B852" s="80"/>
      <c r="C852" s="80"/>
      <c r="D852" s="80"/>
      <c r="E852" s="80"/>
      <c r="F852" s="80"/>
      <c r="G852" s="80"/>
      <c r="H852" s="80"/>
      <c r="I852" s="80"/>
      <c r="J852" s="80"/>
      <c r="K852" s="80"/>
      <c r="L852" s="80"/>
      <c r="M852" s="80"/>
      <c r="N852" s="143"/>
      <c r="O852" s="143"/>
      <c r="P852" s="143"/>
      <c r="Q852" s="143"/>
      <c r="R852" s="143"/>
      <c r="S852" s="80"/>
      <c r="T852" s="80"/>
      <c r="U852" s="80"/>
      <c r="V852" s="80"/>
      <c r="W852" s="80"/>
      <c r="X852" s="80"/>
      <c r="Y852" s="80"/>
      <c r="Z852" s="80"/>
      <c r="AA852" s="80"/>
      <c r="AB852" s="80"/>
    </row>
    <row r="853" spans="1:28" ht="15.75">
      <c r="A853" s="80"/>
      <c r="B853" s="80"/>
      <c r="C853" s="80"/>
      <c r="D853" s="80"/>
      <c r="E853" s="80"/>
      <c r="F853" s="80"/>
      <c r="G853" s="80"/>
      <c r="H853" s="80"/>
      <c r="I853" s="80"/>
      <c r="J853" s="80"/>
      <c r="K853" s="80"/>
      <c r="L853" s="80"/>
      <c r="M853" s="80"/>
      <c r="N853" s="143"/>
      <c r="O853" s="143"/>
      <c r="P853" s="143"/>
      <c r="Q853" s="143"/>
      <c r="R853" s="143"/>
      <c r="S853" s="80"/>
      <c r="T853" s="80"/>
      <c r="U853" s="80"/>
      <c r="V853" s="80"/>
      <c r="W853" s="80"/>
      <c r="X853" s="80"/>
      <c r="Y853" s="80"/>
      <c r="Z853" s="80"/>
      <c r="AA853" s="80"/>
      <c r="AB853" s="80"/>
    </row>
    <row r="854" spans="1:28" ht="15.75">
      <c r="A854" s="80"/>
      <c r="B854" s="80"/>
      <c r="C854" s="80"/>
      <c r="D854" s="80"/>
      <c r="E854" s="80"/>
      <c r="F854" s="80"/>
      <c r="G854" s="80"/>
      <c r="H854" s="80"/>
      <c r="I854" s="80"/>
      <c r="J854" s="80"/>
      <c r="K854" s="80"/>
      <c r="L854" s="80"/>
      <c r="M854" s="80"/>
      <c r="N854" s="143"/>
      <c r="O854" s="143"/>
      <c r="P854" s="143"/>
      <c r="Q854" s="143"/>
      <c r="R854" s="143"/>
      <c r="S854" s="80"/>
      <c r="T854" s="80"/>
      <c r="U854" s="80"/>
      <c r="V854" s="80"/>
      <c r="W854" s="80"/>
      <c r="X854" s="80"/>
      <c r="Y854" s="80"/>
      <c r="Z854" s="80"/>
      <c r="AA854" s="80"/>
      <c r="AB854" s="80"/>
    </row>
    <row r="855" spans="1:28" ht="15.75">
      <c r="A855" s="80"/>
      <c r="B855" s="80"/>
      <c r="C855" s="80"/>
      <c r="D855" s="80"/>
      <c r="E855" s="80"/>
      <c r="F855" s="80"/>
      <c r="G855" s="80"/>
      <c r="H855" s="80"/>
      <c r="I855" s="80"/>
      <c r="J855" s="80"/>
      <c r="K855" s="80"/>
      <c r="L855" s="80"/>
      <c r="M855" s="80"/>
      <c r="N855" s="143"/>
      <c r="O855" s="143"/>
      <c r="P855" s="143"/>
      <c r="Q855" s="143"/>
      <c r="R855" s="143"/>
      <c r="S855" s="80"/>
      <c r="T855" s="80"/>
      <c r="U855" s="80"/>
      <c r="V855" s="80"/>
      <c r="W855" s="80"/>
      <c r="X855" s="80"/>
      <c r="Y855" s="80"/>
      <c r="Z855" s="80"/>
      <c r="AA855" s="80"/>
      <c r="AB855" s="80"/>
    </row>
    <row r="856" spans="1:28" ht="15.75">
      <c r="A856" s="80"/>
      <c r="B856" s="80"/>
      <c r="C856" s="80"/>
      <c r="D856" s="80"/>
      <c r="E856" s="80"/>
      <c r="F856" s="80"/>
      <c r="G856" s="80"/>
      <c r="H856" s="80"/>
      <c r="I856" s="80"/>
      <c r="J856" s="80"/>
      <c r="K856" s="80"/>
      <c r="L856" s="80"/>
      <c r="M856" s="80"/>
      <c r="N856" s="143"/>
      <c r="O856" s="143"/>
      <c r="P856" s="143"/>
      <c r="Q856" s="143"/>
      <c r="R856" s="143"/>
      <c r="S856" s="80"/>
      <c r="T856" s="80"/>
      <c r="U856" s="80"/>
      <c r="V856" s="80"/>
      <c r="W856" s="80"/>
      <c r="X856" s="80"/>
      <c r="Y856" s="80"/>
      <c r="Z856" s="80"/>
      <c r="AA856" s="80"/>
      <c r="AB856" s="80"/>
    </row>
    <row r="857" spans="1:28" ht="15.75">
      <c r="A857" s="80"/>
      <c r="B857" s="80"/>
      <c r="C857" s="80"/>
      <c r="D857" s="80"/>
      <c r="E857" s="80"/>
      <c r="F857" s="80"/>
      <c r="G857" s="80"/>
      <c r="H857" s="80"/>
      <c r="I857" s="80"/>
      <c r="J857" s="80"/>
      <c r="K857" s="80"/>
      <c r="L857" s="80"/>
      <c r="M857" s="80"/>
      <c r="N857" s="143"/>
      <c r="O857" s="143"/>
      <c r="P857" s="143"/>
      <c r="Q857" s="143"/>
      <c r="R857" s="143"/>
      <c r="S857" s="80"/>
      <c r="T857" s="80"/>
      <c r="U857" s="80"/>
      <c r="V857" s="80"/>
      <c r="W857" s="80"/>
      <c r="X857" s="80"/>
      <c r="Y857" s="80"/>
      <c r="Z857" s="80"/>
      <c r="AA857" s="80"/>
      <c r="AB857" s="80"/>
    </row>
    <row r="858" spans="1:28" ht="15.75">
      <c r="A858" s="80"/>
      <c r="B858" s="80"/>
      <c r="C858" s="80"/>
      <c r="D858" s="80"/>
      <c r="E858" s="80"/>
      <c r="F858" s="80"/>
      <c r="G858" s="80"/>
      <c r="H858" s="80"/>
      <c r="I858" s="80"/>
      <c r="J858" s="80"/>
      <c r="K858" s="80"/>
      <c r="L858" s="80"/>
      <c r="M858" s="80"/>
      <c r="N858" s="143"/>
      <c r="O858" s="143"/>
      <c r="P858" s="143"/>
      <c r="Q858" s="143"/>
      <c r="R858" s="143"/>
      <c r="S858" s="80"/>
      <c r="T858" s="80"/>
      <c r="U858" s="80"/>
      <c r="V858" s="80"/>
      <c r="W858" s="80"/>
      <c r="X858" s="80"/>
      <c r="Y858" s="80"/>
      <c r="Z858" s="80"/>
      <c r="AA858" s="80"/>
      <c r="AB858" s="80"/>
    </row>
    <row r="859" spans="1:28" ht="15.75">
      <c r="A859" s="80"/>
      <c r="B859" s="80"/>
      <c r="C859" s="80"/>
      <c r="D859" s="80"/>
      <c r="E859" s="80"/>
      <c r="F859" s="80"/>
      <c r="G859" s="80"/>
      <c r="H859" s="80"/>
      <c r="I859" s="80"/>
      <c r="J859" s="80"/>
      <c r="K859" s="80"/>
      <c r="L859" s="80"/>
      <c r="M859" s="80"/>
      <c r="N859" s="143"/>
      <c r="O859" s="143"/>
      <c r="P859" s="143"/>
      <c r="Q859" s="143"/>
      <c r="R859" s="143"/>
      <c r="S859" s="80"/>
      <c r="T859" s="80"/>
      <c r="U859" s="80"/>
      <c r="V859" s="80"/>
      <c r="W859" s="80"/>
      <c r="X859" s="80"/>
      <c r="Y859" s="80"/>
      <c r="Z859" s="80"/>
      <c r="AA859" s="80"/>
      <c r="AB859" s="80"/>
    </row>
    <row r="860" spans="1:28" ht="15.75">
      <c r="A860" s="80"/>
      <c r="B860" s="80"/>
      <c r="C860" s="80"/>
      <c r="D860" s="80"/>
      <c r="E860" s="80"/>
      <c r="F860" s="80"/>
      <c r="G860" s="80"/>
      <c r="H860" s="80"/>
      <c r="I860" s="80"/>
      <c r="J860" s="80"/>
      <c r="K860" s="80"/>
      <c r="L860" s="80"/>
      <c r="M860" s="80"/>
      <c r="N860" s="143"/>
      <c r="O860" s="143"/>
      <c r="P860" s="143"/>
      <c r="Q860" s="143"/>
      <c r="R860" s="143"/>
      <c r="S860" s="80"/>
      <c r="T860" s="80"/>
      <c r="U860" s="80"/>
      <c r="V860" s="80"/>
      <c r="W860" s="80"/>
      <c r="X860" s="80"/>
      <c r="Y860" s="80"/>
      <c r="Z860" s="80"/>
      <c r="AA860" s="80"/>
      <c r="AB860" s="80"/>
    </row>
    <row r="861" spans="1:28" ht="15.75">
      <c r="A861" s="80"/>
      <c r="B861" s="80"/>
      <c r="C861" s="80"/>
      <c r="D861" s="80"/>
      <c r="E861" s="80"/>
      <c r="F861" s="80"/>
      <c r="G861" s="80"/>
      <c r="H861" s="80"/>
      <c r="I861" s="80"/>
      <c r="J861" s="80"/>
      <c r="K861" s="80"/>
      <c r="L861" s="80"/>
      <c r="M861" s="80"/>
      <c r="N861" s="143"/>
      <c r="O861" s="143"/>
      <c r="P861" s="143"/>
      <c r="Q861" s="143"/>
      <c r="R861" s="143"/>
      <c r="S861" s="80"/>
      <c r="T861" s="80"/>
      <c r="U861" s="80"/>
      <c r="V861" s="80"/>
      <c r="W861" s="80"/>
      <c r="X861" s="80"/>
      <c r="Y861" s="80"/>
      <c r="Z861" s="80"/>
      <c r="AA861" s="80"/>
      <c r="AB861" s="80"/>
    </row>
    <row r="862" spans="1:28" ht="15.75">
      <c r="A862" s="80"/>
      <c r="B862" s="80"/>
      <c r="C862" s="80"/>
      <c r="D862" s="80"/>
      <c r="E862" s="80"/>
      <c r="F862" s="80"/>
      <c r="G862" s="80"/>
      <c r="H862" s="80"/>
      <c r="I862" s="80"/>
      <c r="J862" s="80"/>
      <c r="K862" s="80"/>
      <c r="L862" s="80"/>
      <c r="M862" s="80"/>
      <c r="N862" s="143"/>
      <c r="O862" s="143"/>
      <c r="P862" s="143"/>
      <c r="Q862" s="143"/>
      <c r="R862" s="143"/>
      <c r="S862" s="80"/>
      <c r="T862" s="80"/>
      <c r="U862" s="80"/>
      <c r="V862" s="80"/>
      <c r="W862" s="80"/>
      <c r="X862" s="80"/>
      <c r="Y862" s="80"/>
      <c r="Z862" s="80"/>
      <c r="AA862" s="80"/>
      <c r="AB862" s="80"/>
    </row>
    <row r="863" spans="1:28" ht="15.75">
      <c r="A863" s="80"/>
      <c r="B863" s="80"/>
      <c r="C863" s="80"/>
      <c r="D863" s="80"/>
      <c r="E863" s="80"/>
      <c r="F863" s="80"/>
      <c r="G863" s="80"/>
      <c r="H863" s="80"/>
      <c r="I863" s="80"/>
      <c r="J863" s="80"/>
      <c r="K863" s="80"/>
      <c r="L863" s="80"/>
      <c r="M863" s="80"/>
      <c r="N863" s="143"/>
      <c r="O863" s="143"/>
      <c r="P863" s="143"/>
      <c r="Q863" s="143"/>
      <c r="R863" s="143"/>
      <c r="S863" s="80"/>
      <c r="T863" s="80"/>
      <c r="U863" s="80"/>
      <c r="V863" s="80"/>
      <c r="W863" s="80"/>
      <c r="X863" s="80"/>
      <c r="Y863" s="80"/>
      <c r="Z863" s="80"/>
      <c r="AA863" s="80"/>
      <c r="AB863" s="80"/>
    </row>
    <row r="864" spans="1:28" ht="15.75">
      <c r="A864" s="80"/>
      <c r="B864" s="80"/>
      <c r="C864" s="80"/>
      <c r="D864" s="80"/>
      <c r="E864" s="80"/>
      <c r="F864" s="80"/>
      <c r="G864" s="80"/>
      <c r="H864" s="80"/>
      <c r="I864" s="80"/>
      <c r="J864" s="80"/>
      <c r="K864" s="80"/>
      <c r="L864" s="80"/>
      <c r="M864" s="80"/>
      <c r="N864" s="143"/>
      <c r="O864" s="143"/>
      <c r="P864" s="143"/>
      <c r="Q864" s="143"/>
      <c r="R864" s="143"/>
      <c r="S864" s="80"/>
      <c r="T864" s="80"/>
      <c r="U864" s="80"/>
      <c r="V864" s="80"/>
      <c r="W864" s="80"/>
      <c r="X864" s="80"/>
      <c r="Y864" s="80"/>
      <c r="Z864" s="80"/>
      <c r="AA864" s="80"/>
      <c r="AB864" s="80"/>
    </row>
    <row r="865" spans="1:28" ht="15.75">
      <c r="A865" s="80"/>
      <c r="B865" s="80"/>
      <c r="C865" s="80"/>
      <c r="D865" s="80"/>
      <c r="E865" s="80"/>
      <c r="F865" s="80"/>
      <c r="G865" s="80"/>
      <c r="H865" s="80"/>
      <c r="I865" s="80"/>
      <c r="J865" s="80"/>
      <c r="K865" s="80"/>
      <c r="L865" s="80"/>
      <c r="M865" s="80"/>
      <c r="N865" s="143"/>
      <c r="O865" s="143"/>
      <c r="P865" s="143"/>
      <c r="Q865" s="143"/>
      <c r="R865" s="143"/>
      <c r="S865" s="80"/>
      <c r="T865" s="80"/>
      <c r="U865" s="80"/>
      <c r="V865" s="80"/>
      <c r="W865" s="80"/>
      <c r="X865" s="80"/>
      <c r="Y865" s="80"/>
      <c r="Z865" s="80"/>
      <c r="AA865" s="80"/>
      <c r="AB865" s="80"/>
    </row>
    <row r="866" spans="1:28" ht="15.75">
      <c r="A866" s="80"/>
      <c r="B866" s="80"/>
      <c r="C866" s="80"/>
      <c r="D866" s="80"/>
      <c r="E866" s="80"/>
      <c r="F866" s="80"/>
      <c r="G866" s="80"/>
      <c r="H866" s="80"/>
      <c r="I866" s="80"/>
      <c r="J866" s="80"/>
      <c r="K866" s="80"/>
      <c r="L866" s="80"/>
      <c r="M866" s="80"/>
      <c r="N866" s="143"/>
      <c r="O866" s="143"/>
      <c r="P866" s="143"/>
      <c r="Q866" s="143"/>
      <c r="R866" s="143"/>
      <c r="S866" s="80"/>
      <c r="T866" s="80"/>
      <c r="U866" s="80"/>
      <c r="V866" s="80"/>
      <c r="W866" s="80"/>
      <c r="X866" s="80"/>
      <c r="Y866" s="80"/>
      <c r="Z866" s="80"/>
      <c r="AA866" s="80"/>
      <c r="AB866" s="80"/>
    </row>
    <row r="867" spans="1:28" ht="15.75">
      <c r="A867" s="80"/>
      <c r="B867" s="80"/>
      <c r="C867" s="80"/>
      <c r="D867" s="80"/>
      <c r="E867" s="80"/>
      <c r="F867" s="80"/>
      <c r="G867" s="80"/>
      <c r="H867" s="80"/>
      <c r="I867" s="80"/>
      <c r="J867" s="80"/>
      <c r="K867" s="80"/>
      <c r="L867" s="80"/>
      <c r="M867" s="80"/>
      <c r="N867" s="143"/>
      <c r="O867" s="143"/>
      <c r="P867" s="143"/>
      <c r="Q867" s="143"/>
      <c r="R867" s="143"/>
      <c r="S867" s="80"/>
      <c r="T867" s="80"/>
      <c r="U867" s="80"/>
      <c r="V867" s="80"/>
      <c r="W867" s="80"/>
      <c r="X867" s="80"/>
      <c r="Y867" s="80"/>
      <c r="Z867" s="80"/>
      <c r="AA867" s="80"/>
      <c r="AB867" s="80"/>
    </row>
    <row r="868" spans="1:28" ht="15.75">
      <c r="A868" s="80"/>
      <c r="B868" s="80"/>
      <c r="C868" s="80"/>
      <c r="D868" s="80"/>
      <c r="E868" s="80"/>
      <c r="F868" s="80"/>
      <c r="G868" s="80"/>
      <c r="H868" s="80"/>
      <c r="I868" s="80"/>
      <c r="J868" s="80"/>
      <c r="K868" s="80"/>
      <c r="L868" s="80"/>
      <c r="M868" s="80"/>
      <c r="N868" s="143"/>
      <c r="O868" s="143"/>
      <c r="P868" s="143"/>
      <c r="Q868" s="143"/>
      <c r="R868" s="143"/>
      <c r="S868" s="80"/>
      <c r="T868" s="80"/>
      <c r="U868" s="80"/>
      <c r="V868" s="80"/>
      <c r="W868" s="80"/>
      <c r="X868" s="80"/>
      <c r="Y868" s="80"/>
      <c r="Z868" s="80"/>
      <c r="AA868" s="80"/>
      <c r="AB868" s="80"/>
    </row>
    <row r="869" spans="1:28" ht="15.75">
      <c r="A869" s="80"/>
      <c r="B869" s="80"/>
      <c r="C869" s="80"/>
      <c r="D869" s="80"/>
      <c r="E869" s="80"/>
      <c r="F869" s="80"/>
      <c r="G869" s="80"/>
      <c r="H869" s="80"/>
      <c r="I869" s="80"/>
      <c r="J869" s="80"/>
      <c r="K869" s="80"/>
      <c r="L869" s="80"/>
      <c r="M869" s="80"/>
      <c r="N869" s="143"/>
      <c r="O869" s="143"/>
      <c r="P869" s="143"/>
      <c r="Q869" s="143"/>
      <c r="R869" s="143"/>
      <c r="S869" s="80"/>
      <c r="T869" s="80"/>
      <c r="U869" s="80"/>
      <c r="V869" s="80"/>
      <c r="W869" s="80"/>
      <c r="X869" s="80"/>
      <c r="Y869" s="80"/>
      <c r="Z869" s="80"/>
      <c r="AA869" s="80"/>
      <c r="AB869" s="80"/>
    </row>
    <row r="870" spans="1:28" ht="15.75">
      <c r="A870" s="80"/>
      <c r="B870" s="80"/>
      <c r="C870" s="80"/>
      <c r="D870" s="80"/>
      <c r="E870" s="80"/>
      <c r="F870" s="80"/>
      <c r="G870" s="80"/>
      <c r="H870" s="80"/>
      <c r="I870" s="80"/>
      <c r="J870" s="80"/>
      <c r="K870" s="80"/>
      <c r="L870" s="80"/>
      <c r="M870" s="80"/>
      <c r="N870" s="143"/>
      <c r="O870" s="143"/>
      <c r="P870" s="143"/>
      <c r="Q870" s="143"/>
      <c r="R870" s="143"/>
      <c r="S870" s="80"/>
      <c r="T870" s="80"/>
      <c r="U870" s="80"/>
      <c r="V870" s="80"/>
      <c r="W870" s="80"/>
      <c r="X870" s="80"/>
      <c r="Y870" s="80"/>
      <c r="Z870" s="80"/>
      <c r="AA870" s="80"/>
      <c r="AB870" s="80"/>
    </row>
    <row r="871" spans="1:28" ht="15.75">
      <c r="A871" s="80"/>
      <c r="B871" s="80"/>
      <c r="C871" s="80"/>
      <c r="D871" s="80"/>
      <c r="E871" s="80"/>
      <c r="F871" s="80"/>
      <c r="G871" s="80"/>
      <c r="H871" s="80"/>
      <c r="I871" s="80"/>
      <c r="J871" s="80"/>
      <c r="K871" s="80"/>
      <c r="L871" s="80"/>
      <c r="M871" s="80"/>
      <c r="N871" s="143"/>
      <c r="O871" s="143"/>
      <c r="P871" s="143"/>
      <c r="Q871" s="143"/>
      <c r="R871" s="143"/>
      <c r="S871" s="80"/>
      <c r="T871" s="80"/>
      <c r="U871" s="80"/>
      <c r="V871" s="80"/>
      <c r="W871" s="80"/>
      <c r="X871" s="80"/>
      <c r="Y871" s="80"/>
      <c r="Z871" s="80"/>
      <c r="AA871" s="80"/>
      <c r="AB871" s="80"/>
    </row>
    <row r="872" spans="1:28" ht="15.75">
      <c r="A872" s="80"/>
      <c r="B872" s="80"/>
      <c r="C872" s="80"/>
      <c r="D872" s="80"/>
      <c r="E872" s="80"/>
      <c r="F872" s="80"/>
      <c r="G872" s="80"/>
      <c r="H872" s="80"/>
      <c r="I872" s="80"/>
      <c r="J872" s="80"/>
      <c r="K872" s="80"/>
      <c r="L872" s="80"/>
      <c r="M872" s="80"/>
      <c r="N872" s="143"/>
      <c r="O872" s="143"/>
      <c r="P872" s="143"/>
      <c r="Q872" s="143"/>
      <c r="R872" s="143"/>
      <c r="S872" s="80"/>
      <c r="T872" s="80"/>
      <c r="U872" s="80"/>
      <c r="V872" s="80"/>
      <c r="W872" s="80"/>
      <c r="X872" s="80"/>
      <c r="Y872" s="80"/>
      <c r="Z872" s="80"/>
      <c r="AA872" s="80"/>
      <c r="AB872" s="80"/>
    </row>
    <row r="873" spans="1:28" ht="15.75">
      <c r="A873" s="80"/>
      <c r="B873" s="80"/>
      <c r="C873" s="80"/>
      <c r="D873" s="80"/>
      <c r="E873" s="80"/>
      <c r="F873" s="80"/>
      <c r="G873" s="80"/>
      <c r="H873" s="80"/>
      <c r="I873" s="80"/>
      <c r="J873" s="80"/>
      <c r="K873" s="80"/>
      <c r="L873" s="80"/>
      <c r="M873" s="80"/>
      <c r="N873" s="143"/>
      <c r="O873" s="143"/>
      <c r="P873" s="143"/>
      <c r="Q873" s="143"/>
      <c r="R873" s="143"/>
      <c r="S873" s="80"/>
      <c r="T873" s="80"/>
      <c r="U873" s="80"/>
      <c r="V873" s="80"/>
      <c r="W873" s="80"/>
      <c r="X873" s="80"/>
      <c r="Y873" s="80"/>
      <c r="Z873" s="80"/>
      <c r="AA873" s="80"/>
      <c r="AB873" s="80"/>
    </row>
    <row r="874" spans="1:28" ht="15.75">
      <c r="A874" s="80"/>
      <c r="B874" s="80"/>
      <c r="C874" s="80"/>
      <c r="D874" s="80"/>
      <c r="E874" s="80"/>
      <c r="F874" s="80"/>
      <c r="G874" s="80"/>
      <c r="H874" s="80"/>
      <c r="I874" s="80"/>
      <c r="J874" s="80"/>
      <c r="K874" s="80"/>
      <c r="L874" s="80"/>
      <c r="M874" s="80"/>
      <c r="N874" s="143"/>
      <c r="O874" s="143"/>
      <c r="P874" s="143"/>
      <c r="Q874" s="143"/>
      <c r="R874" s="143"/>
      <c r="S874" s="80"/>
      <c r="T874" s="80"/>
      <c r="U874" s="80"/>
      <c r="V874" s="80"/>
      <c r="W874" s="80"/>
      <c r="X874" s="80"/>
      <c r="Y874" s="80"/>
      <c r="Z874" s="80"/>
      <c r="AA874" s="80"/>
      <c r="AB874" s="80"/>
    </row>
    <row r="875" spans="1:28" ht="15.75">
      <c r="A875" s="80"/>
      <c r="B875" s="80"/>
      <c r="C875" s="80"/>
      <c r="D875" s="80"/>
      <c r="E875" s="80"/>
      <c r="F875" s="80"/>
      <c r="G875" s="80"/>
      <c r="H875" s="80"/>
      <c r="I875" s="80"/>
      <c r="J875" s="80"/>
      <c r="K875" s="80"/>
      <c r="L875" s="80"/>
      <c r="M875" s="80"/>
      <c r="N875" s="143"/>
      <c r="O875" s="143"/>
      <c r="P875" s="143"/>
      <c r="Q875" s="143"/>
      <c r="R875" s="143"/>
      <c r="S875" s="80"/>
      <c r="T875" s="80"/>
      <c r="U875" s="80"/>
      <c r="V875" s="80"/>
      <c r="W875" s="80"/>
      <c r="X875" s="80"/>
      <c r="Y875" s="80"/>
      <c r="Z875" s="80"/>
      <c r="AA875" s="80"/>
      <c r="AB875" s="80"/>
    </row>
    <row r="876" spans="1:28" ht="15.75">
      <c r="A876" s="80"/>
      <c r="B876" s="80"/>
      <c r="C876" s="80"/>
      <c r="D876" s="80"/>
      <c r="E876" s="80"/>
      <c r="F876" s="80"/>
      <c r="G876" s="80"/>
      <c r="H876" s="80"/>
      <c r="I876" s="80"/>
      <c r="J876" s="80"/>
      <c r="K876" s="80"/>
      <c r="L876" s="80"/>
      <c r="M876" s="80"/>
      <c r="N876" s="143"/>
      <c r="O876" s="143"/>
      <c r="P876" s="143"/>
      <c r="Q876" s="143"/>
      <c r="R876" s="143"/>
      <c r="S876" s="80"/>
      <c r="T876" s="80"/>
      <c r="U876" s="80"/>
      <c r="V876" s="80"/>
      <c r="W876" s="80"/>
      <c r="X876" s="80"/>
      <c r="Y876" s="80"/>
      <c r="Z876" s="80"/>
      <c r="AA876" s="80"/>
      <c r="AB876" s="80"/>
    </row>
    <row r="877" spans="1:28" ht="15.75">
      <c r="A877" s="80"/>
      <c r="B877" s="80"/>
      <c r="C877" s="80"/>
      <c r="D877" s="80"/>
      <c r="E877" s="80"/>
      <c r="F877" s="80"/>
      <c r="G877" s="80"/>
      <c r="H877" s="80"/>
      <c r="I877" s="80"/>
      <c r="J877" s="80"/>
      <c r="K877" s="80"/>
      <c r="L877" s="80"/>
      <c r="M877" s="80"/>
      <c r="N877" s="143"/>
      <c r="O877" s="143"/>
      <c r="P877" s="143"/>
      <c r="Q877" s="143"/>
      <c r="R877" s="143"/>
      <c r="S877" s="80"/>
      <c r="T877" s="80"/>
      <c r="U877" s="80"/>
      <c r="V877" s="80"/>
      <c r="W877" s="80"/>
      <c r="X877" s="80"/>
      <c r="Y877" s="80"/>
      <c r="Z877" s="80"/>
      <c r="AA877" s="80"/>
      <c r="AB877" s="80"/>
    </row>
    <row r="878" spans="1:28" ht="15.75">
      <c r="A878" s="80"/>
      <c r="B878" s="80"/>
      <c r="C878" s="80"/>
      <c r="D878" s="80"/>
      <c r="E878" s="80"/>
      <c r="F878" s="80"/>
      <c r="G878" s="80"/>
      <c r="H878" s="80"/>
      <c r="I878" s="80"/>
      <c r="J878" s="80"/>
      <c r="K878" s="80"/>
      <c r="L878" s="80"/>
      <c r="M878" s="80"/>
      <c r="N878" s="143"/>
      <c r="O878" s="143"/>
      <c r="P878" s="143"/>
      <c r="Q878" s="143"/>
      <c r="R878" s="143"/>
      <c r="S878" s="80"/>
      <c r="T878" s="80"/>
      <c r="U878" s="80"/>
      <c r="V878" s="80"/>
      <c r="W878" s="80"/>
      <c r="X878" s="80"/>
      <c r="Y878" s="80"/>
      <c r="Z878" s="80"/>
      <c r="AA878" s="80"/>
      <c r="AB878" s="80"/>
    </row>
    <row r="879" spans="1:28" ht="15.75">
      <c r="A879" s="80"/>
      <c r="B879" s="80"/>
      <c r="C879" s="80"/>
      <c r="D879" s="80"/>
      <c r="E879" s="80"/>
      <c r="F879" s="80"/>
      <c r="G879" s="80"/>
      <c r="H879" s="80"/>
      <c r="I879" s="80"/>
      <c r="J879" s="80"/>
      <c r="K879" s="80"/>
      <c r="L879" s="80"/>
      <c r="M879" s="80"/>
      <c r="N879" s="143"/>
      <c r="O879" s="143"/>
      <c r="P879" s="143"/>
      <c r="Q879" s="143"/>
      <c r="R879" s="143"/>
      <c r="S879" s="80"/>
      <c r="T879" s="80"/>
      <c r="U879" s="80"/>
      <c r="V879" s="80"/>
      <c r="W879" s="80"/>
      <c r="X879" s="80"/>
      <c r="Y879" s="80"/>
      <c r="Z879" s="80"/>
      <c r="AA879" s="80"/>
      <c r="AB879" s="80"/>
    </row>
    <row r="880" spans="1:28" ht="15.75">
      <c r="A880" s="80"/>
      <c r="B880" s="80"/>
      <c r="C880" s="80"/>
      <c r="D880" s="80"/>
      <c r="E880" s="80"/>
      <c r="F880" s="80"/>
      <c r="G880" s="80"/>
      <c r="H880" s="80"/>
      <c r="I880" s="80"/>
      <c r="J880" s="80"/>
      <c r="K880" s="80"/>
      <c r="L880" s="80"/>
      <c r="M880" s="80"/>
      <c r="N880" s="143"/>
      <c r="O880" s="143"/>
      <c r="P880" s="143"/>
      <c r="Q880" s="143"/>
      <c r="R880" s="143"/>
      <c r="S880" s="80"/>
      <c r="T880" s="80"/>
      <c r="U880" s="80"/>
      <c r="V880" s="80"/>
      <c r="W880" s="80"/>
      <c r="X880" s="80"/>
      <c r="Y880" s="80"/>
      <c r="Z880" s="80"/>
      <c r="AA880" s="80"/>
      <c r="AB880" s="80"/>
    </row>
    <row r="881" spans="1:28" ht="15.75">
      <c r="A881" s="80"/>
      <c r="B881" s="80"/>
      <c r="C881" s="80"/>
      <c r="D881" s="80"/>
      <c r="E881" s="80"/>
      <c r="F881" s="80"/>
      <c r="G881" s="80"/>
      <c r="H881" s="80"/>
      <c r="I881" s="80"/>
      <c r="J881" s="80"/>
      <c r="K881" s="80"/>
      <c r="L881" s="80"/>
      <c r="M881" s="80"/>
      <c r="N881" s="143"/>
      <c r="O881" s="143"/>
      <c r="P881" s="143"/>
      <c r="Q881" s="143"/>
      <c r="R881" s="143"/>
      <c r="S881" s="80"/>
      <c r="T881" s="80"/>
      <c r="U881" s="80"/>
      <c r="V881" s="80"/>
      <c r="W881" s="80"/>
      <c r="X881" s="80"/>
      <c r="Y881" s="80"/>
      <c r="Z881" s="80"/>
      <c r="AA881" s="80"/>
      <c r="AB881" s="80"/>
    </row>
    <row r="882" spans="1:28" ht="15.75">
      <c r="A882" s="80"/>
      <c r="B882" s="80"/>
      <c r="C882" s="80"/>
      <c r="D882" s="80"/>
      <c r="E882" s="80"/>
      <c r="F882" s="80"/>
      <c r="G882" s="80"/>
      <c r="H882" s="80"/>
      <c r="I882" s="80"/>
      <c r="J882" s="80"/>
      <c r="K882" s="80"/>
      <c r="L882" s="80"/>
      <c r="M882" s="80"/>
      <c r="N882" s="143"/>
      <c r="O882" s="143"/>
      <c r="P882" s="143"/>
      <c r="Q882" s="143"/>
      <c r="R882" s="143"/>
      <c r="S882" s="80"/>
      <c r="T882" s="80"/>
      <c r="U882" s="80"/>
      <c r="V882" s="80"/>
      <c r="W882" s="80"/>
      <c r="X882" s="80"/>
      <c r="Y882" s="80"/>
      <c r="Z882" s="80"/>
      <c r="AA882" s="80"/>
      <c r="AB882" s="80"/>
    </row>
    <row r="883" spans="1:28" ht="15.75">
      <c r="A883" s="80"/>
      <c r="B883" s="80"/>
      <c r="C883" s="80"/>
      <c r="D883" s="80"/>
      <c r="E883" s="80"/>
      <c r="F883" s="80"/>
      <c r="G883" s="80"/>
      <c r="H883" s="80"/>
      <c r="I883" s="80"/>
      <c r="J883" s="80"/>
      <c r="K883" s="80"/>
      <c r="L883" s="80"/>
      <c r="M883" s="80"/>
      <c r="N883" s="143"/>
      <c r="O883" s="143"/>
      <c r="P883" s="143"/>
      <c r="Q883" s="143"/>
      <c r="R883" s="143"/>
      <c r="S883" s="80"/>
      <c r="T883" s="80"/>
      <c r="U883" s="80"/>
      <c r="V883" s="80"/>
      <c r="W883" s="80"/>
      <c r="X883" s="80"/>
      <c r="Y883" s="80"/>
      <c r="Z883" s="80"/>
      <c r="AA883" s="80"/>
      <c r="AB883" s="80"/>
    </row>
    <row r="884" spans="1:28" ht="15.75">
      <c r="A884" s="80"/>
      <c r="B884" s="80"/>
      <c r="C884" s="80"/>
      <c r="D884" s="80"/>
      <c r="E884" s="80"/>
      <c r="F884" s="80"/>
      <c r="G884" s="80"/>
      <c r="H884" s="80"/>
      <c r="I884" s="80"/>
      <c r="J884" s="80"/>
      <c r="K884" s="80"/>
      <c r="L884" s="80"/>
      <c r="M884" s="80"/>
      <c r="N884" s="143"/>
      <c r="O884" s="143"/>
      <c r="P884" s="143"/>
      <c r="Q884" s="143"/>
      <c r="R884" s="143"/>
      <c r="S884" s="80"/>
      <c r="T884" s="80"/>
      <c r="U884" s="80"/>
      <c r="V884" s="80"/>
      <c r="W884" s="80"/>
      <c r="X884" s="80"/>
      <c r="Y884" s="80"/>
      <c r="Z884" s="80"/>
      <c r="AA884" s="80"/>
      <c r="AB884" s="80"/>
    </row>
    <row r="885" spans="1:28" ht="15.75">
      <c r="A885" s="80"/>
      <c r="B885" s="80"/>
      <c r="C885" s="80"/>
      <c r="D885" s="80"/>
      <c r="E885" s="80"/>
      <c r="F885" s="80"/>
      <c r="G885" s="80"/>
      <c r="H885" s="80"/>
      <c r="I885" s="80"/>
      <c r="J885" s="80"/>
      <c r="K885" s="80"/>
      <c r="L885" s="80"/>
      <c r="M885" s="80"/>
      <c r="N885" s="143"/>
      <c r="O885" s="143"/>
      <c r="P885" s="143"/>
      <c r="Q885" s="143"/>
      <c r="R885" s="143"/>
      <c r="S885" s="80"/>
      <c r="T885" s="80"/>
      <c r="U885" s="80"/>
      <c r="V885" s="80"/>
      <c r="W885" s="80"/>
      <c r="X885" s="80"/>
      <c r="Y885" s="80"/>
      <c r="Z885" s="80"/>
      <c r="AA885" s="80"/>
      <c r="AB885" s="80"/>
    </row>
    <row r="886" spans="1:28" ht="15.75">
      <c r="A886" s="80"/>
      <c r="B886" s="80"/>
      <c r="C886" s="80"/>
      <c r="D886" s="80"/>
      <c r="E886" s="80"/>
      <c r="F886" s="80"/>
      <c r="G886" s="80"/>
      <c r="H886" s="80"/>
      <c r="I886" s="80"/>
      <c r="J886" s="80"/>
      <c r="K886" s="80"/>
      <c r="L886" s="80"/>
      <c r="M886" s="80"/>
      <c r="N886" s="143"/>
      <c r="O886" s="143"/>
      <c r="P886" s="143"/>
      <c r="Q886" s="143"/>
      <c r="R886" s="143"/>
      <c r="S886" s="80"/>
      <c r="T886" s="80"/>
      <c r="U886" s="80"/>
      <c r="V886" s="80"/>
      <c r="W886" s="80"/>
      <c r="X886" s="80"/>
      <c r="Y886" s="80"/>
      <c r="Z886" s="80"/>
      <c r="AA886" s="80"/>
      <c r="AB886" s="80"/>
    </row>
    <row r="887" spans="1:28" ht="15.75">
      <c r="A887" s="80"/>
      <c r="B887" s="80"/>
      <c r="C887" s="80"/>
      <c r="D887" s="80"/>
      <c r="E887" s="80"/>
      <c r="F887" s="80"/>
      <c r="G887" s="80"/>
      <c r="H887" s="80"/>
      <c r="I887" s="80"/>
      <c r="J887" s="80"/>
      <c r="K887" s="80"/>
      <c r="L887" s="80"/>
      <c r="M887" s="80"/>
      <c r="N887" s="143"/>
      <c r="O887" s="143"/>
      <c r="P887" s="143"/>
      <c r="Q887" s="143"/>
      <c r="R887" s="143"/>
      <c r="S887" s="80"/>
      <c r="T887" s="80"/>
      <c r="U887" s="80"/>
      <c r="V887" s="80"/>
      <c r="W887" s="80"/>
      <c r="X887" s="80"/>
      <c r="Y887" s="80"/>
      <c r="Z887" s="80"/>
      <c r="AA887" s="80"/>
      <c r="AB887" s="80"/>
    </row>
    <row r="888" spans="1:28" ht="15.75">
      <c r="A888" s="80"/>
      <c r="B888" s="80"/>
      <c r="C888" s="80"/>
      <c r="D888" s="80"/>
      <c r="E888" s="80"/>
      <c r="F888" s="80"/>
      <c r="G888" s="80"/>
      <c r="H888" s="80"/>
      <c r="I888" s="80"/>
      <c r="J888" s="80"/>
      <c r="K888" s="80"/>
      <c r="L888" s="80"/>
      <c r="M888" s="80"/>
      <c r="N888" s="143"/>
      <c r="O888" s="143"/>
      <c r="P888" s="143"/>
      <c r="Q888" s="143"/>
      <c r="R888" s="143"/>
      <c r="S888" s="80"/>
      <c r="T888" s="80"/>
      <c r="U888" s="80"/>
      <c r="V888" s="80"/>
      <c r="W888" s="80"/>
      <c r="X888" s="80"/>
      <c r="Y888" s="80"/>
      <c r="Z888" s="80"/>
      <c r="AA888" s="80"/>
      <c r="AB888" s="80"/>
    </row>
    <row r="889" spans="1:28" ht="15.75">
      <c r="A889" s="80"/>
      <c r="B889" s="80"/>
      <c r="C889" s="80"/>
      <c r="D889" s="80"/>
      <c r="E889" s="80"/>
      <c r="F889" s="80"/>
      <c r="G889" s="80"/>
      <c r="H889" s="80"/>
      <c r="I889" s="80"/>
      <c r="J889" s="80"/>
      <c r="K889" s="80"/>
      <c r="L889" s="80"/>
      <c r="M889" s="80"/>
      <c r="N889" s="143"/>
      <c r="O889" s="143"/>
      <c r="P889" s="143"/>
      <c r="Q889" s="143"/>
      <c r="R889" s="143"/>
      <c r="S889" s="80"/>
      <c r="T889" s="80"/>
      <c r="U889" s="80"/>
      <c r="V889" s="80"/>
      <c r="W889" s="80"/>
      <c r="X889" s="80"/>
      <c r="Y889" s="80"/>
      <c r="Z889" s="80"/>
      <c r="AA889" s="80"/>
      <c r="AB889" s="80"/>
    </row>
    <row r="890" spans="1:28" ht="15.75">
      <c r="A890" s="80"/>
      <c r="B890" s="80"/>
      <c r="C890" s="80"/>
      <c r="D890" s="80"/>
      <c r="E890" s="80"/>
      <c r="F890" s="80"/>
      <c r="G890" s="80"/>
      <c r="H890" s="80"/>
      <c r="I890" s="80"/>
      <c r="J890" s="80"/>
      <c r="K890" s="80"/>
      <c r="L890" s="80"/>
      <c r="M890" s="80"/>
      <c r="N890" s="143"/>
      <c r="O890" s="143"/>
      <c r="P890" s="143"/>
      <c r="Q890" s="143"/>
      <c r="R890" s="143"/>
      <c r="S890" s="80"/>
      <c r="T890" s="80"/>
      <c r="U890" s="80"/>
      <c r="V890" s="80"/>
      <c r="W890" s="80"/>
      <c r="X890" s="80"/>
      <c r="Y890" s="80"/>
      <c r="Z890" s="80"/>
      <c r="AA890" s="80"/>
      <c r="AB890" s="80"/>
    </row>
    <row r="891" spans="1:28" ht="15.75">
      <c r="A891" s="80"/>
      <c r="B891" s="80"/>
      <c r="C891" s="80"/>
      <c r="D891" s="80"/>
      <c r="E891" s="80"/>
      <c r="F891" s="80"/>
      <c r="G891" s="80"/>
      <c r="H891" s="80"/>
      <c r="I891" s="80"/>
      <c r="J891" s="80"/>
      <c r="K891" s="80"/>
      <c r="L891" s="80"/>
      <c r="M891" s="80"/>
      <c r="N891" s="143"/>
      <c r="O891" s="143"/>
      <c r="P891" s="143"/>
      <c r="Q891" s="143"/>
      <c r="R891" s="143"/>
      <c r="S891" s="80"/>
      <c r="T891" s="80"/>
      <c r="U891" s="80"/>
      <c r="V891" s="80"/>
      <c r="W891" s="80"/>
      <c r="X891" s="80"/>
      <c r="Y891" s="80"/>
      <c r="Z891" s="80"/>
      <c r="AA891" s="80"/>
      <c r="AB891" s="80"/>
    </row>
    <row r="892" spans="1:28" ht="15.75">
      <c r="A892" s="80"/>
      <c r="B892" s="80"/>
      <c r="C892" s="80"/>
      <c r="D892" s="80"/>
      <c r="E892" s="80"/>
      <c r="F892" s="80"/>
      <c r="G892" s="80"/>
      <c r="H892" s="80"/>
      <c r="I892" s="80"/>
      <c r="J892" s="80"/>
      <c r="K892" s="80"/>
      <c r="L892" s="80"/>
      <c r="M892" s="80"/>
      <c r="N892" s="143"/>
      <c r="O892" s="143"/>
      <c r="P892" s="143"/>
      <c r="Q892" s="143"/>
      <c r="R892" s="143"/>
      <c r="S892" s="80"/>
      <c r="T892" s="80"/>
      <c r="U892" s="80"/>
      <c r="V892" s="80"/>
      <c r="W892" s="80"/>
      <c r="X892" s="80"/>
      <c r="Y892" s="80"/>
      <c r="Z892" s="80"/>
      <c r="AA892" s="80"/>
      <c r="AB892" s="80"/>
    </row>
    <row r="893" spans="1:28" ht="15.75">
      <c r="A893" s="80"/>
      <c r="B893" s="80"/>
      <c r="C893" s="80"/>
      <c r="D893" s="80"/>
      <c r="E893" s="80"/>
      <c r="F893" s="80"/>
      <c r="G893" s="80"/>
      <c r="H893" s="80"/>
      <c r="I893" s="80"/>
      <c r="J893" s="80"/>
      <c r="K893" s="80"/>
      <c r="L893" s="80"/>
      <c r="M893" s="80"/>
      <c r="N893" s="143"/>
      <c r="O893" s="143"/>
      <c r="P893" s="143"/>
      <c r="Q893" s="143"/>
      <c r="R893" s="143"/>
      <c r="S893" s="80"/>
      <c r="T893" s="80"/>
      <c r="U893" s="80"/>
      <c r="V893" s="80"/>
      <c r="W893" s="80"/>
      <c r="X893" s="80"/>
      <c r="Y893" s="80"/>
      <c r="Z893" s="80"/>
      <c r="AA893" s="80"/>
      <c r="AB893" s="80"/>
    </row>
    <row r="894" spans="1:28" ht="15.75">
      <c r="A894" s="80"/>
      <c r="B894" s="80"/>
      <c r="C894" s="80"/>
      <c r="D894" s="80"/>
      <c r="E894" s="80"/>
      <c r="F894" s="80"/>
      <c r="G894" s="80"/>
      <c r="H894" s="80"/>
      <c r="I894" s="80"/>
      <c r="J894" s="80"/>
      <c r="K894" s="80"/>
      <c r="L894" s="80"/>
      <c r="M894" s="80"/>
      <c r="N894" s="143"/>
      <c r="O894" s="143"/>
      <c r="P894" s="143"/>
      <c r="Q894" s="143"/>
      <c r="R894" s="143"/>
      <c r="S894" s="80"/>
      <c r="T894" s="80"/>
      <c r="U894" s="80"/>
      <c r="V894" s="80"/>
      <c r="W894" s="80"/>
      <c r="X894" s="80"/>
      <c r="Y894" s="80"/>
      <c r="Z894" s="80"/>
      <c r="AA894" s="80"/>
      <c r="AB894" s="80"/>
    </row>
    <row r="895" spans="1:28" ht="15.75">
      <c r="A895" s="80"/>
      <c r="B895" s="80"/>
      <c r="C895" s="80"/>
      <c r="D895" s="80"/>
      <c r="E895" s="80"/>
      <c r="F895" s="80"/>
      <c r="G895" s="80"/>
      <c r="H895" s="80"/>
      <c r="I895" s="80"/>
      <c r="J895" s="80"/>
      <c r="K895" s="80"/>
      <c r="L895" s="80"/>
      <c r="M895" s="80"/>
      <c r="N895" s="143"/>
      <c r="O895" s="143"/>
      <c r="P895" s="143"/>
      <c r="Q895" s="143"/>
      <c r="R895" s="143"/>
      <c r="S895" s="80"/>
      <c r="T895" s="80"/>
      <c r="U895" s="80"/>
      <c r="V895" s="80"/>
      <c r="W895" s="80"/>
      <c r="X895" s="80"/>
      <c r="Y895" s="80"/>
      <c r="Z895" s="80"/>
      <c r="AA895" s="80"/>
      <c r="AB895" s="80"/>
    </row>
    <row r="896" spans="1:28" ht="15.75">
      <c r="A896" s="80"/>
      <c r="B896" s="80"/>
      <c r="C896" s="80"/>
      <c r="D896" s="80"/>
      <c r="E896" s="80"/>
      <c r="F896" s="80"/>
      <c r="G896" s="80"/>
      <c r="H896" s="80"/>
      <c r="I896" s="80"/>
      <c r="J896" s="80"/>
      <c r="K896" s="80"/>
      <c r="L896" s="80"/>
      <c r="M896" s="80"/>
      <c r="N896" s="143"/>
      <c r="O896" s="143"/>
      <c r="P896" s="143"/>
      <c r="Q896" s="143"/>
      <c r="R896" s="143"/>
      <c r="S896" s="80"/>
      <c r="T896" s="80"/>
      <c r="U896" s="80"/>
      <c r="V896" s="80"/>
      <c r="W896" s="80"/>
      <c r="X896" s="80"/>
      <c r="Y896" s="80"/>
      <c r="Z896" s="80"/>
      <c r="AA896" s="80"/>
      <c r="AB896" s="80"/>
    </row>
    <row r="897" spans="1:28" ht="15.75">
      <c r="A897" s="80"/>
      <c r="B897" s="80"/>
      <c r="C897" s="80"/>
      <c r="D897" s="80"/>
      <c r="E897" s="80"/>
      <c r="F897" s="80"/>
      <c r="G897" s="80"/>
      <c r="H897" s="80"/>
      <c r="I897" s="80"/>
      <c r="J897" s="80"/>
      <c r="K897" s="80"/>
      <c r="L897" s="80"/>
      <c r="M897" s="80"/>
      <c r="N897" s="143"/>
      <c r="O897" s="143"/>
      <c r="P897" s="143"/>
      <c r="Q897" s="143"/>
      <c r="R897" s="143"/>
      <c r="S897" s="80"/>
      <c r="T897" s="80"/>
      <c r="U897" s="80"/>
      <c r="V897" s="80"/>
      <c r="W897" s="80"/>
      <c r="X897" s="80"/>
      <c r="Y897" s="80"/>
      <c r="Z897" s="80"/>
      <c r="AA897" s="80"/>
      <c r="AB897" s="80"/>
    </row>
    <row r="898" spans="1:28" ht="15.75">
      <c r="A898" s="80"/>
      <c r="B898" s="80"/>
      <c r="C898" s="80"/>
      <c r="D898" s="80"/>
      <c r="E898" s="80"/>
      <c r="F898" s="80"/>
      <c r="G898" s="80"/>
      <c r="H898" s="80"/>
      <c r="I898" s="80"/>
      <c r="J898" s="80"/>
      <c r="K898" s="80"/>
      <c r="L898" s="80"/>
      <c r="M898" s="80"/>
      <c r="N898" s="143"/>
      <c r="O898" s="143"/>
      <c r="P898" s="143"/>
      <c r="Q898" s="143"/>
      <c r="R898" s="143"/>
      <c r="S898" s="80"/>
      <c r="T898" s="80"/>
      <c r="U898" s="80"/>
      <c r="V898" s="80"/>
      <c r="W898" s="80"/>
      <c r="X898" s="80"/>
      <c r="Y898" s="80"/>
      <c r="Z898" s="80"/>
      <c r="AA898" s="80"/>
      <c r="AB898" s="80"/>
    </row>
    <row r="899" spans="1:28" ht="15.75">
      <c r="A899" s="80"/>
      <c r="B899" s="80"/>
      <c r="C899" s="80"/>
      <c r="D899" s="80"/>
      <c r="E899" s="80"/>
      <c r="F899" s="80"/>
      <c r="G899" s="80"/>
      <c r="H899" s="80"/>
      <c r="I899" s="80"/>
      <c r="J899" s="80"/>
      <c r="K899" s="80"/>
      <c r="L899" s="80"/>
      <c r="M899" s="80"/>
      <c r="N899" s="143"/>
      <c r="O899" s="143"/>
      <c r="P899" s="143"/>
      <c r="Q899" s="143"/>
      <c r="R899" s="143"/>
      <c r="S899" s="80"/>
      <c r="T899" s="80"/>
      <c r="U899" s="80"/>
      <c r="V899" s="80"/>
      <c r="W899" s="80"/>
      <c r="X899" s="80"/>
      <c r="Y899" s="80"/>
      <c r="Z899" s="80"/>
      <c r="AA899" s="80"/>
      <c r="AB899" s="80"/>
    </row>
    <row r="900" spans="1:28" ht="15.75">
      <c r="A900" s="80"/>
      <c r="B900" s="80"/>
      <c r="C900" s="80"/>
      <c r="D900" s="80"/>
      <c r="E900" s="80"/>
      <c r="F900" s="80"/>
      <c r="G900" s="80"/>
      <c r="H900" s="80"/>
      <c r="I900" s="80"/>
      <c r="J900" s="80"/>
      <c r="K900" s="80"/>
      <c r="L900" s="80"/>
      <c r="M900" s="80"/>
      <c r="N900" s="143"/>
      <c r="O900" s="143"/>
      <c r="P900" s="143"/>
      <c r="Q900" s="143"/>
      <c r="R900" s="143"/>
      <c r="S900" s="80"/>
      <c r="T900" s="80"/>
      <c r="U900" s="80"/>
      <c r="V900" s="80"/>
      <c r="W900" s="80"/>
      <c r="X900" s="80"/>
      <c r="Y900" s="80"/>
      <c r="Z900" s="80"/>
      <c r="AA900" s="80"/>
      <c r="AB900" s="80"/>
    </row>
    <row r="901" spans="1:28" ht="15.75">
      <c r="A901" s="80"/>
      <c r="B901" s="80"/>
      <c r="C901" s="80"/>
      <c r="D901" s="80"/>
      <c r="E901" s="80"/>
      <c r="F901" s="80"/>
      <c r="G901" s="80"/>
      <c r="H901" s="80"/>
      <c r="I901" s="80"/>
      <c r="J901" s="80"/>
      <c r="K901" s="80"/>
      <c r="L901" s="80"/>
      <c r="M901" s="80"/>
      <c r="N901" s="143"/>
      <c r="O901" s="143"/>
      <c r="P901" s="143"/>
      <c r="Q901" s="143"/>
      <c r="R901" s="143"/>
      <c r="S901" s="80"/>
      <c r="T901" s="80"/>
      <c r="U901" s="80"/>
      <c r="V901" s="80"/>
      <c r="W901" s="80"/>
      <c r="X901" s="80"/>
      <c r="Y901" s="80"/>
      <c r="Z901" s="80"/>
      <c r="AA901" s="80"/>
      <c r="AB901" s="80"/>
    </row>
    <row r="902" spans="1:28" ht="15.75">
      <c r="A902" s="80"/>
      <c r="B902" s="80"/>
      <c r="C902" s="80"/>
      <c r="D902" s="80"/>
      <c r="E902" s="80"/>
      <c r="F902" s="80"/>
      <c r="G902" s="80"/>
      <c r="H902" s="80"/>
      <c r="I902" s="80"/>
      <c r="J902" s="80"/>
      <c r="K902" s="80"/>
      <c r="L902" s="80"/>
      <c r="M902" s="80"/>
      <c r="N902" s="143"/>
      <c r="O902" s="143"/>
      <c r="P902" s="143"/>
      <c r="Q902" s="143"/>
      <c r="R902" s="143"/>
      <c r="S902" s="80"/>
      <c r="T902" s="80"/>
      <c r="U902" s="80"/>
      <c r="V902" s="80"/>
      <c r="W902" s="80"/>
      <c r="X902" s="80"/>
      <c r="Y902" s="80"/>
      <c r="Z902" s="80"/>
      <c r="AA902" s="80"/>
      <c r="AB902" s="80"/>
    </row>
    <row r="903" spans="1:28" ht="15.75">
      <c r="A903" s="80"/>
      <c r="B903" s="80"/>
      <c r="C903" s="80"/>
      <c r="D903" s="80"/>
      <c r="E903" s="80"/>
      <c r="F903" s="80"/>
      <c r="G903" s="80"/>
      <c r="H903" s="80"/>
      <c r="I903" s="80"/>
      <c r="J903" s="80"/>
      <c r="K903" s="80"/>
      <c r="L903" s="80"/>
      <c r="M903" s="80"/>
      <c r="N903" s="143"/>
      <c r="O903" s="143"/>
      <c r="P903" s="143"/>
      <c r="Q903" s="143"/>
      <c r="R903" s="143"/>
      <c r="S903" s="80"/>
      <c r="T903" s="80"/>
      <c r="U903" s="80"/>
      <c r="V903" s="80"/>
      <c r="W903" s="80"/>
      <c r="X903" s="80"/>
      <c r="Y903" s="80"/>
      <c r="Z903" s="80"/>
      <c r="AA903" s="80"/>
      <c r="AB903" s="80"/>
    </row>
    <row r="904" spans="1:28" ht="15.75">
      <c r="A904" s="80"/>
      <c r="B904" s="80"/>
      <c r="C904" s="80"/>
      <c r="D904" s="80"/>
      <c r="E904" s="80"/>
      <c r="F904" s="80"/>
      <c r="G904" s="80"/>
      <c r="H904" s="80"/>
      <c r="I904" s="80"/>
      <c r="J904" s="80"/>
      <c r="K904" s="80"/>
      <c r="L904" s="80"/>
      <c r="M904" s="80"/>
      <c r="N904" s="143"/>
      <c r="O904" s="143"/>
      <c r="P904" s="143"/>
      <c r="Q904" s="143"/>
      <c r="R904" s="143"/>
      <c r="S904" s="80"/>
      <c r="T904" s="80"/>
      <c r="U904" s="80"/>
      <c r="V904" s="80"/>
      <c r="W904" s="80"/>
      <c r="X904" s="80"/>
      <c r="Y904" s="80"/>
      <c r="Z904" s="80"/>
      <c r="AA904" s="80"/>
      <c r="AB904" s="80"/>
    </row>
    <row r="905" spans="1:28" ht="15.75">
      <c r="A905" s="80"/>
      <c r="B905" s="80"/>
      <c r="C905" s="80"/>
      <c r="D905" s="80"/>
      <c r="E905" s="80"/>
      <c r="F905" s="80"/>
      <c r="G905" s="80"/>
      <c r="H905" s="80"/>
      <c r="I905" s="80"/>
      <c r="J905" s="80"/>
      <c r="K905" s="80"/>
      <c r="L905" s="80"/>
      <c r="M905" s="80"/>
      <c r="N905" s="143"/>
      <c r="O905" s="143"/>
      <c r="P905" s="143"/>
      <c r="Q905" s="143"/>
      <c r="R905" s="143"/>
      <c r="S905" s="80"/>
      <c r="T905" s="80"/>
      <c r="U905" s="80"/>
      <c r="V905" s="80"/>
      <c r="W905" s="80"/>
      <c r="X905" s="80"/>
      <c r="Y905" s="80"/>
      <c r="Z905" s="80"/>
      <c r="AA905" s="80"/>
      <c r="AB905" s="80"/>
    </row>
    <row r="906" spans="1:28" ht="15.75">
      <c r="A906" s="80"/>
      <c r="B906" s="80"/>
      <c r="C906" s="80"/>
      <c r="D906" s="80"/>
      <c r="E906" s="80"/>
      <c r="F906" s="80"/>
      <c r="G906" s="80"/>
      <c r="H906" s="80"/>
      <c r="I906" s="80"/>
      <c r="J906" s="80"/>
      <c r="K906" s="80"/>
      <c r="L906" s="80"/>
      <c r="M906" s="80"/>
      <c r="N906" s="143"/>
      <c r="O906" s="143"/>
      <c r="P906" s="143"/>
      <c r="Q906" s="143"/>
      <c r="R906" s="143"/>
      <c r="S906" s="80"/>
      <c r="T906" s="80"/>
      <c r="U906" s="80"/>
      <c r="V906" s="80"/>
      <c r="W906" s="80"/>
      <c r="X906" s="80"/>
      <c r="Y906" s="80"/>
      <c r="Z906" s="80"/>
      <c r="AA906" s="80"/>
      <c r="AB906" s="80"/>
    </row>
    <row r="907" spans="1:28" ht="15.75">
      <c r="A907" s="80"/>
      <c r="B907" s="80"/>
      <c r="C907" s="80"/>
      <c r="D907" s="80"/>
      <c r="E907" s="80"/>
      <c r="F907" s="80"/>
      <c r="G907" s="80"/>
      <c r="H907" s="80"/>
      <c r="I907" s="80"/>
      <c r="J907" s="80"/>
      <c r="K907" s="80"/>
      <c r="L907" s="80"/>
      <c r="M907" s="80"/>
      <c r="N907" s="143"/>
      <c r="O907" s="143"/>
      <c r="P907" s="143"/>
      <c r="Q907" s="143"/>
      <c r="R907" s="143"/>
      <c r="S907" s="80"/>
      <c r="T907" s="80"/>
      <c r="U907" s="80"/>
      <c r="V907" s="80"/>
      <c r="W907" s="80"/>
      <c r="X907" s="80"/>
      <c r="Y907" s="80"/>
      <c r="Z907" s="80"/>
      <c r="AA907" s="80"/>
      <c r="AB907" s="80"/>
    </row>
    <row r="908" spans="1:28" ht="15.75">
      <c r="A908" s="80"/>
      <c r="B908" s="80"/>
      <c r="C908" s="80"/>
      <c r="D908" s="80"/>
      <c r="E908" s="80"/>
      <c r="F908" s="80"/>
      <c r="G908" s="80"/>
      <c r="H908" s="80"/>
      <c r="I908" s="80"/>
      <c r="J908" s="80"/>
      <c r="K908" s="80"/>
      <c r="L908" s="80"/>
      <c r="M908" s="80"/>
      <c r="N908" s="143"/>
      <c r="O908" s="143"/>
      <c r="P908" s="143"/>
      <c r="Q908" s="143"/>
      <c r="R908" s="143"/>
      <c r="S908" s="80"/>
      <c r="T908" s="80"/>
      <c r="U908" s="80"/>
      <c r="V908" s="80"/>
      <c r="W908" s="80"/>
      <c r="X908" s="80"/>
      <c r="Y908" s="80"/>
      <c r="Z908" s="80"/>
      <c r="AA908" s="80"/>
      <c r="AB908" s="80"/>
    </row>
    <row r="909" spans="1:28" ht="15.75">
      <c r="A909" s="80"/>
      <c r="B909" s="80"/>
      <c r="C909" s="80"/>
      <c r="D909" s="80"/>
      <c r="E909" s="80"/>
      <c r="F909" s="80"/>
      <c r="G909" s="80"/>
      <c r="H909" s="80"/>
      <c r="I909" s="80"/>
      <c r="J909" s="80"/>
      <c r="K909" s="80"/>
      <c r="L909" s="80"/>
      <c r="M909" s="80"/>
      <c r="N909" s="143"/>
      <c r="O909" s="143"/>
      <c r="P909" s="143"/>
      <c r="Q909" s="143"/>
      <c r="R909" s="143"/>
      <c r="S909" s="80"/>
      <c r="T909" s="80"/>
      <c r="U909" s="80"/>
      <c r="V909" s="80"/>
      <c r="W909" s="80"/>
      <c r="X909" s="80"/>
      <c r="Y909" s="80"/>
      <c r="Z909" s="80"/>
      <c r="AA909" s="80"/>
      <c r="AB909" s="80"/>
    </row>
    <row r="910" spans="1:28" ht="15.75">
      <c r="A910" s="80"/>
      <c r="B910" s="80"/>
      <c r="C910" s="80"/>
      <c r="D910" s="80"/>
      <c r="E910" s="80"/>
      <c r="F910" s="80"/>
      <c r="G910" s="80"/>
      <c r="H910" s="80"/>
      <c r="I910" s="80"/>
      <c r="J910" s="80"/>
      <c r="K910" s="80"/>
      <c r="L910" s="80"/>
      <c r="M910" s="80"/>
      <c r="N910" s="143"/>
      <c r="O910" s="143"/>
      <c r="P910" s="143"/>
      <c r="Q910" s="143"/>
      <c r="R910" s="143"/>
      <c r="S910" s="80"/>
      <c r="T910" s="80"/>
      <c r="U910" s="80"/>
      <c r="V910" s="80"/>
      <c r="W910" s="80"/>
      <c r="X910" s="80"/>
      <c r="Y910" s="80"/>
      <c r="Z910" s="80"/>
      <c r="AA910" s="80"/>
      <c r="AB910" s="80"/>
    </row>
    <row r="911" spans="1:28" ht="15.75">
      <c r="A911" s="80"/>
      <c r="B911" s="80"/>
      <c r="C911" s="80"/>
      <c r="D911" s="80"/>
      <c r="E911" s="80"/>
      <c r="F911" s="80"/>
      <c r="G911" s="80"/>
      <c r="H911" s="80"/>
      <c r="I911" s="80"/>
      <c r="J911" s="80"/>
      <c r="K911" s="80"/>
      <c r="L911" s="80"/>
      <c r="M911" s="80"/>
      <c r="N911" s="143"/>
      <c r="O911" s="143"/>
      <c r="P911" s="143"/>
      <c r="Q911" s="143"/>
      <c r="R911" s="143"/>
      <c r="S911" s="80"/>
      <c r="T911" s="80"/>
      <c r="U911" s="80"/>
      <c r="V911" s="80"/>
      <c r="W911" s="80"/>
      <c r="X911" s="80"/>
      <c r="Y911" s="80"/>
      <c r="Z911" s="80"/>
      <c r="AA911" s="80"/>
      <c r="AB911" s="80"/>
    </row>
    <row r="912" spans="1:28" ht="15.75">
      <c r="A912" s="80"/>
      <c r="B912" s="80"/>
      <c r="C912" s="80"/>
      <c r="D912" s="80"/>
      <c r="E912" s="80"/>
      <c r="F912" s="80"/>
      <c r="G912" s="80"/>
      <c r="H912" s="80"/>
      <c r="I912" s="80"/>
      <c r="J912" s="80"/>
      <c r="K912" s="80"/>
      <c r="L912" s="80"/>
      <c r="M912" s="80"/>
      <c r="N912" s="143"/>
      <c r="O912" s="143"/>
      <c r="P912" s="143"/>
      <c r="Q912" s="143"/>
      <c r="R912" s="143"/>
      <c r="S912" s="80"/>
      <c r="T912" s="80"/>
      <c r="U912" s="80"/>
      <c r="V912" s="80"/>
      <c r="W912" s="80"/>
      <c r="X912" s="80"/>
      <c r="Y912" s="80"/>
      <c r="Z912" s="80"/>
      <c r="AA912" s="80"/>
      <c r="AB912" s="80"/>
    </row>
    <row r="913" spans="1:28" ht="15.75">
      <c r="A913" s="80"/>
      <c r="B913" s="80"/>
      <c r="C913" s="80"/>
      <c r="D913" s="80"/>
      <c r="E913" s="80"/>
      <c r="F913" s="80"/>
      <c r="G913" s="80"/>
      <c r="H913" s="80"/>
      <c r="I913" s="80"/>
      <c r="J913" s="80"/>
      <c r="K913" s="80"/>
      <c r="L913" s="80"/>
      <c r="M913" s="80"/>
      <c r="N913" s="143"/>
      <c r="O913" s="143"/>
      <c r="P913" s="143"/>
      <c r="Q913" s="143"/>
      <c r="R913" s="143"/>
      <c r="S913" s="80"/>
      <c r="T913" s="80"/>
      <c r="U913" s="80"/>
      <c r="V913" s="80"/>
      <c r="W913" s="80"/>
      <c r="X913" s="80"/>
      <c r="Y913" s="80"/>
      <c r="Z913" s="80"/>
      <c r="AA913" s="80"/>
      <c r="AB913" s="80"/>
    </row>
    <row r="914" spans="1:28" ht="15.75">
      <c r="A914" s="80"/>
      <c r="B914" s="80"/>
      <c r="C914" s="80"/>
      <c r="D914" s="80"/>
      <c r="E914" s="80"/>
      <c r="F914" s="80"/>
      <c r="G914" s="80"/>
      <c r="H914" s="80"/>
      <c r="I914" s="80"/>
      <c r="J914" s="80"/>
      <c r="K914" s="80"/>
      <c r="L914" s="80"/>
      <c r="M914" s="80"/>
      <c r="N914" s="143"/>
      <c r="O914" s="143"/>
      <c r="P914" s="143"/>
      <c r="Q914" s="143"/>
      <c r="R914" s="143"/>
      <c r="S914" s="80"/>
      <c r="T914" s="80"/>
      <c r="U914" s="80"/>
      <c r="V914" s="80"/>
      <c r="W914" s="80"/>
      <c r="X914" s="80"/>
      <c r="Y914" s="80"/>
      <c r="Z914" s="80"/>
      <c r="AA914" s="80"/>
      <c r="AB914" s="80"/>
    </row>
    <row r="915" spans="1:28" ht="15.75">
      <c r="A915" s="80"/>
      <c r="B915" s="80"/>
      <c r="C915" s="80"/>
      <c r="D915" s="80"/>
      <c r="E915" s="80"/>
      <c r="F915" s="80"/>
      <c r="G915" s="80"/>
      <c r="H915" s="80"/>
      <c r="I915" s="80"/>
      <c r="J915" s="80"/>
      <c r="K915" s="80"/>
      <c r="L915" s="80"/>
      <c r="M915" s="80"/>
      <c r="N915" s="143"/>
      <c r="O915" s="143"/>
      <c r="P915" s="143"/>
      <c r="Q915" s="143"/>
      <c r="R915" s="143"/>
      <c r="S915" s="80"/>
      <c r="T915" s="80"/>
      <c r="U915" s="80"/>
      <c r="V915" s="80"/>
      <c r="W915" s="80"/>
      <c r="X915" s="80"/>
      <c r="Y915" s="80"/>
      <c r="Z915" s="80"/>
      <c r="AA915" s="80"/>
      <c r="AB915" s="80"/>
    </row>
    <row r="916" spans="1:28" ht="15.75">
      <c r="A916" s="80"/>
      <c r="B916" s="80"/>
      <c r="C916" s="80"/>
      <c r="D916" s="80"/>
      <c r="E916" s="80"/>
      <c r="F916" s="80"/>
      <c r="G916" s="80"/>
      <c r="H916" s="80"/>
      <c r="I916" s="80"/>
      <c r="J916" s="80"/>
      <c r="K916" s="80"/>
      <c r="L916" s="80"/>
      <c r="M916" s="80"/>
      <c r="N916" s="143"/>
      <c r="O916" s="143"/>
      <c r="P916" s="143"/>
      <c r="Q916" s="143"/>
      <c r="R916" s="143"/>
      <c r="S916" s="80"/>
      <c r="T916" s="80"/>
      <c r="U916" s="80"/>
      <c r="V916" s="80"/>
      <c r="W916" s="80"/>
      <c r="X916" s="80"/>
      <c r="Y916" s="80"/>
      <c r="Z916" s="80"/>
      <c r="AA916" s="80"/>
      <c r="AB916" s="80"/>
    </row>
    <row r="917" spans="1:28" ht="15.75">
      <c r="A917" s="80"/>
      <c r="B917" s="80"/>
      <c r="C917" s="80"/>
      <c r="D917" s="80"/>
      <c r="E917" s="80"/>
      <c r="F917" s="80"/>
      <c r="G917" s="80"/>
      <c r="H917" s="80"/>
      <c r="I917" s="80"/>
      <c r="J917" s="80"/>
      <c r="K917" s="80"/>
      <c r="L917" s="80"/>
      <c r="M917" s="80"/>
      <c r="N917" s="143"/>
      <c r="O917" s="143"/>
      <c r="P917" s="143"/>
      <c r="Q917" s="143"/>
      <c r="R917" s="143"/>
      <c r="S917" s="80"/>
      <c r="T917" s="80"/>
      <c r="U917" s="80"/>
      <c r="V917" s="80"/>
      <c r="W917" s="80"/>
      <c r="X917" s="80"/>
      <c r="Y917" s="80"/>
      <c r="Z917" s="80"/>
      <c r="AA917" s="80"/>
      <c r="AB917" s="80"/>
    </row>
    <row r="918" spans="1:28" ht="15.75">
      <c r="A918" s="80"/>
      <c r="B918" s="80"/>
      <c r="C918" s="80"/>
      <c r="D918" s="80"/>
      <c r="E918" s="80"/>
      <c r="F918" s="80"/>
      <c r="G918" s="80"/>
      <c r="H918" s="80"/>
      <c r="I918" s="80"/>
      <c r="J918" s="80"/>
      <c r="K918" s="80"/>
      <c r="L918" s="80"/>
      <c r="M918" s="80"/>
      <c r="N918" s="143"/>
      <c r="O918" s="143"/>
      <c r="P918" s="143"/>
      <c r="Q918" s="143"/>
      <c r="R918" s="143"/>
      <c r="S918" s="80"/>
      <c r="T918" s="80"/>
      <c r="U918" s="80"/>
      <c r="V918" s="80"/>
      <c r="W918" s="80"/>
      <c r="X918" s="80"/>
      <c r="Y918" s="80"/>
      <c r="Z918" s="80"/>
      <c r="AA918" s="80"/>
      <c r="AB918" s="80"/>
    </row>
    <row r="919" spans="1:28" ht="15.75">
      <c r="A919" s="80"/>
      <c r="B919" s="80"/>
      <c r="C919" s="80"/>
      <c r="D919" s="80"/>
      <c r="E919" s="80"/>
      <c r="F919" s="80"/>
      <c r="G919" s="80"/>
      <c r="H919" s="80"/>
      <c r="I919" s="80"/>
      <c r="J919" s="80"/>
      <c r="K919" s="80"/>
      <c r="L919" s="80"/>
      <c r="M919" s="80"/>
      <c r="N919" s="143"/>
      <c r="O919" s="143"/>
      <c r="P919" s="143"/>
      <c r="Q919" s="143"/>
      <c r="R919" s="143"/>
      <c r="S919" s="80"/>
      <c r="T919" s="80"/>
      <c r="U919" s="80"/>
      <c r="V919" s="80"/>
      <c r="W919" s="80"/>
      <c r="X919" s="80"/>
      <c r="Y919" s="80"/>
      <c r="Z919" s="80"/>
      <c r="AA919" s="80"/>
      <c r="AB919" s="80"/>
    </row>
    <row r="920" spans="1:28" ht="15.75">
      <c r="A920" s="80"/>
      <c r="B920" s="80"/>
      <c r="C920" s="80"/>
      <c r="D920" s="80"/>
      <c r="E920" s="80"/>
      <c r="F920" s="80"/>
      <c r="G920" s="80"/>
      <c r="H920" s="80"/>
      <c r="I920" s="80"/>
      <c r="J920" s="80"/>
      <c r="K920" s="80"/>
      <c r="L920" s="80"/>
      <c r="M920" s="80"/>
      <c r="N920" s="143"/>
      <c r="O920" s="143"/>
      <c r="P920" s="143"/>
      <c r="Q920" s="143"/>
      <c r="R920" s="143"/>
      <c r="S920" s="80"/>
      <c r="T920" s="80"/>
      <c r="U920" s="80"/>
      <c r="V920" s="80"/>
      <c r="W920" s="80"/>
      <c r="X920" s="80"/>
      <c r="Y920" s="80"/>
      <c r="Z920" s="80"/>
      <c r="AA920" s="80"/>
      <c r="AB920" s="80"/>
    </row>
    <row r="921" spans="1:28" ht="15.75">
      <c r="A921" s="80"/>
      <c r="B921" s="80"/>
      <c r="C921" s="80"/>
      <c r="D921" s="80"/>
      <c r="E921" s="80"/>
      <c r="F921" s="80"/>
      <c r="G921" s="80"/>
      <c r="H921" s="80"/>
      <c r="I921" s="80"/>
      <c r="J921" s="80"/>
      <c r="K921" s="80"/>
      <c r="L921" s="80"/>
      <c r="M921" s="80"/>
      <c r="N921" s="143"/>
      <c r="O921" s="143"/>
      <c r="P921" s="143"/>
      <c r="Q921" s="143"/>
      <c r="R921" s="143"/>
      <c r="S921" s="80"/>
      <c r="T921" s="80"/>
      <c r="U921" s="80"/>
      <c r="V921" s="80"/>
      <c r="W921" s="80"/>
      <c r="X921" s="80"/>
      <c r="Y921" s="80"/>
      <c r="Z921" s="80"/>
      <c r="AA921" s="80"/>
      <c r="AB921" s="80"/>
    </row>
    <row r="922" spans="1:28" ht="15.75">
      <c r="A922" s="80"/>
      <c r="B922" s="80"/>
      <c r="C922" s="80"/>
      <c r="D922" s="80"/>
      <c r="E922" s="80"/>
      <c r="F922" s="80"/>
      <c r="G922" s="80"/>
      <c r="H922" s="80"/>
      <c r="I922" s="80"/>
      <c r="J922" s="80"/>
      <c r="K922" s="80"/>
      <c r="L922" s="80"/>
      <c r="M922" s="80"/>
      <c r="N922" s="143"/>
      <c r="O922" s="143"/>
      <c r="P922" s="143"/>
      <c r="Q922" s="143"/>
      <c r="R922" s="143"/>
      <c r="S922" s="80"/>
      <c r="T922" s="80"/>
      <c r="U922" s="80"/>
      <c r="V922" s="80"/>
      <c r="W922" s="80"/>
      <c r="X922" s="80"/>
      <c r="Y922" s="80"/>
      <c r="Z922" s="80"/>
      <c r="AA922" s="80"/>
      <c r="AB922" s="80"/>
    </row>
    <row r="923" spans="1:28" ht="15.75">
      <c r="A923" s="80"/>
      <c r="B923" s="80"/>
      <c r="C923" s="80"/>
      <c r="D923" s="80"/>
      <c r="E923" s="80"/>
      <c r="F923" s="80"/>
      <c r="G923" s="80"/>
      <c r="H923" s="80"/>
      <c r="I923" s="80"/>
      <c r="J923" s="80"/>
      <c r="K923" s="80"/>
      <c r="L923" s="80"/>
      <c r="M923" s="80"/>
      <c r="N923" s="143"/>
      <c r="O923" s="143"/>
      <c r="P923" s="143"/>
      <c r="Q923" s="143"/>
      <c r="R923" s="143"/>
      <c r="S923" s="80"/>
      <c r="T923" s="80"/>
      <c r="U923" s="80"/>
      <c r="V923" s="80"/>
      <c r="W923" s="80"/>
      <c r="X923" s="80"/>
      <c r="Y923" s="80"/>
      <c r="Z923" s="80"/>
      <c r="AA923" s="80"/>
      <c r="AB923" s="80"/>
    </row>
    <row r="924" spans="1:28" ht="15.75">
      <c r="A924" s="80"/>
      <c r="B924" s="80"/>
      <c r="C924" s="80"/>
      <c r="D924" s="80"/>
      <c r="E924" s="80"/>
      <c r="F924" s="80"/>
      <c r="G924" s="80"/>
      <c r="H924" s="80"/>
      <c r="I924" s="80"/>
      <c r="J924" s="80"/>
      <c r="K924" s="80"/>
      <c r="L924" s="80"/>
      <c r="M924" s="80"/>
      <c r="N924" s="143"/>
      <c r="O924" s="143"/>
      <c r="P924" s="143"/>
      <c r="Q924" s="143"/>
      <c r="R924" s="143"/>
      <c r="S924" s="80"/>
      <c r="T924" s="80"/>
      <c r="U924" s="80"/>
      <c r="V924" s="80"/>
      <c r="W924" s="80"/>
      <c r="X924" s="80"/>
      <c r="Y924" s="80"/>
      <c r="Z924" s="80"/>
      <c r="AA924" s="80"/>
      <c r="AB924" s="80"/>
    </row>
    <row r="925" spans="1:28" ht="15.75">
      <c r="A925" s="80"/>
      <c r="B925" s="80"/>
      <c r="C925" s="80"/>
      <c r="D925" s="80"/>
      <c r="E925" s="80"/>
      <c r="F925" s="80"/>
      <c r="G925" s="80"/>
      <c r="H925" s="80"/>
      <c r="I925" s="80"/>
      <c r="J925" s="80"/>
      <c r="K925" s="80"/>
      <c r="L925" s="80"/>
      <c r="M925" s="80"/>
      <c r="N925" s="143"/>
      <c r="O925" s="143"/>
      <c r="P925" s="143"/>
      <c r="Q925" s="143"/>
      <c r="R925" s="143"/>
      <c r="S925" s="80"/>
      <c r="T925" s="80"/>
      <c r="U925" s="80"/>
      <c r="V925" s="80"/>
      <c r="W925" s="80"/>
      <c r="X925" s="80"/>
      <c r="Y925" s="80"/>
      <c r="Z925" s="80"/>
      <c r="AA925" s="80"/>
      <c r="AB925" s="80"/>
    </row>
    <row r="926" spans="1:28" ht="15.75">
      <c r="A926" s="80"/>
      <c r="B926" s="80"/>
      <c r="C926" s="80"/>
      <c r="D926" s="80"/>
      <c r="E926" s="80"/>
      <c r="F926" s="80"/>
      <c r="G926" s="80"/>
      <c r="H926" s="80"/>
      <c r="I926" s="80"/>
      <c r="J926" s="80"/>
      <c r="K926" s="80"/>
      <c r="L926" s="80"/>
      <c r="M926" s="80"/>
      <c r="N926" s="143"/>
      <c r="O926" s="143"/>
      <c r="P926" s="143"/>
      <c r="Q926" s="143"/>
      <c r="R926" s="143"/>
      <c r="S926" s="80"/>
      <c r="T926" s="80"/>
      <c r="U926" s="80"/>
      <c r="V926" s="80"/>
      <c r="W926" s="80"/>
      <c r="X926" s="80"/>
      <c r="Y926" s="80"/>
      <c r="Z926" s="80"/>
      <c r="AA926" s="80"/>
      <c r="AB926" s="80"/>
    </row>
    <row r="927" spans="1:28" ht="15.75">
      <c r="A927" s="80"/>
      <c r="B927" s="80"/>
      <c r="C927" s="80"/>
      <c r="D927" s="80"/>
      <c r="E927" s="80"/>
      <c r="F927" s="80"/>
      <c r="G927" s="80"/>
      <c r="H927" s="80"/>
      <c r="I927" s="80"/>
      <c r="J927" s="80"/>
      <c r="K927" s="80"/>
      <c r="L927" s="80"/>
      <c r="M927" s="80"/>
      <c r="N927" s="143"/>
      <c r="O927" s="143"/>
      <c r="P927" s="143"/>
      <c r="Q927" s="143"/>
      <c r="R927" s="143"/>
      <c r="S927" s="80"/>
      <c r="T927" s="80"/>
      <c r="U927" s="80"/>
      <c r="V927" s="80"/>
      <c r="W927" s="80"/>
      <c r="X927" s="80"/>
      <c r="Y927" s="80"/>
      <c r="Z927" s="80"/>
      <c r="AA927" s="80"/>
      <c r="AB927" s="80"/>
    </row>
    <row r="928" spans="1:28" ht="15.75">
      <c r="A928" s="80"/>
      <c r="B928" s="80"/>
      <c r="C928" s="80"/>
      <c r="D928" s="80"/>
      <c r="E928" s="80"/>
      <c r="F928" s="80"/>
      <c r="G928" s="80"/>
      <c r="H928" s="80"/>
      <c r="I928" s="80"/>
      <c r="J928" s="80"/>
      <c r="K928" s="80"/>
      <c r="L928" s="80"/>
      <c r="M928" s="80"/>
      <c r="N928" s="143"/>
      <c r="O928" s="143"/>
      <c r="P928" s="143"/>
      <c r="Q928" s="143"/>
      <c r="R928" s="143"/>
      <c r="S928" s="80"/>
      <c r="T928" s="80"/>
      <c r="U928" s="80"/>
      <c r="V928" s="80"/>
      <c r="W928" s="80"/>
      <c r="X928" s="80"/>
      <c r="Y928" s="80"/>
      <c r="Z928" s="80"/>
      <c r="AA928" s="80"/>
      <c r="AB928" s="80"/>
    </row>
    <row r="929" spans="1:28" ht="15.75">
      <c r="A929" s="80"/>
      <c r="B929" s="80"/>
      <c r="C929" s="80"/>
      <c r="D929" s="80"/>
      <c r="E929" s="80"/>
      <c r="F929" s="80"/>
      <c r="G929" s="80"/>
      <c r="H929" s="80"/>
      <c r="I929" s="80"/>
      <c r="J929" s="80"/>
      <c r="K929" s="80"/>
      <c r="L929" s="80"/>
      <c r="M929" s="80"/>
      <c r="N929" s="143"/>
      <c r="O929" s="143"/>
      <c r="P929" s="143"/>
      <c r="Q929" s="143"/>
      <c r="R929" s="143"/>
      <c r="S929" s="80"/>
      <c r="T929" s="80"/>
      <c r="U929" s="80"/>
      <c r="V929" s="80"/>
      <c r="W929" s="80"/>
      <c r="X929" s="80"/>
      <c r="Y929" s="80"/>
      <c r="Z929" s="80"/>
      <c r="AA929" s="80"/>
      <c r="AB929" s="80"/>
    </row>
    <row r="930" spans="1:28" ht="15.75">
      <c r="A930" s="80"/>
      <c r="B930" s="80"/>
      <c r="C930" s="80"/>
      <c r="D930" s="80"/>
      <c r="E930" s="80"/>
      <c r="F930" s="80"/>
      <c r="G930" s="80"/>
      <c r="H930" s="80"/>
      <c r="I930" s="80"/>
      <c r="J930" s="80"/>
      <c r="K930" s="80"/>
      <c r="L930" s="80"/>
      <c r="M930" s="80"/>
      <c r="N930" s="143"/>
      <c r="O930" s="143"/>
      <c r="P930" s="143"/>
      <c r="Q930" s="143"/>
      <c r="R930" s="143"/>
      <c r="S930" s="80"/>
      <c r="T930" s="80"/>
      <c r="U930" s="80"/>
      <c r="V930" s="80"/>
      <c r="W930" s="80"/>
      <c r="X930" s="80"/>
      <c r="Y930" s="80"/>
      <c r="Z930" s="80"/>
      <c r="AA930" s="80"/>
      <c r="AB930" s="80"/>
    </row>
    <row r="931" spans="1:28" ht="15.75">
      <c r="A931" s="80"/>
      <c r="B931" s="80"/>
      <c r="C931" s="80"/>
      <c r="D931" s="80"/>
      <c r="E931" s="80"/>
      <c r="F931" s="80"/>
      <c r="G931" s="80"/>
      <c r="H931" s="80"/>
      <c r="I931" s="80"/>
      <c r="J931" s="80"/>
      <c r="K931" s="80"/>
      <c r="L931" s="80"/>
      <c r="M931" s="80"/>
      <c r="N931" s="143"/>
      <c r="O931" s="143"/>
      <c r="P931" s="143"/>
      <c r="Q931" s="143"/>
      <c r="R931" s="143"/>
      <c r="S931" s="80"/>
      <c r="T931" s="80"/>
      <c r="U931" s="80"/>
      <c r="V931" s="80"/>
      <c r="W931" s="80"/>
      <c r="X931" s="80"/>
      <c r="Y931" s="80"/>
      <c r="Z931" s="80"/>
      <c r="AA931" s="80"/>
      <c r="AB931" s="80"/>
    </row>
    <row r="932" spans="1:28" ht="15.75">
      <c r="A932" s="80"/>
      <c r="B932" s="80"/>
      <c r="C932" s="80"/>
      <c r="D932" s="80"/>
      <c r="E932" s="80"/>
      <c r="F932" s="80"/>
      <c r="G932" s="80"/>
      <c r="H932" s="80"/>
      <c r="I932" s="80"/>
      <c r="J932" s="80"/>
      <c r="K932" s="80"/>
      <c r="L932" s="80"/>
      <c r="M932" s="80"/>
      <c r="N932" s="143"/>
      <c r="O932" s="143"/>
      <c r="P932" s="143"/>
      <c r="Q932" s="143"/>
      <c r="R932" s="143"/>
      <c r="S932" s="80"/>
      <c r="T932" s="80"/>
      <c r="U932" s="80"/>
      <c r="V932" s="80"/>
      <c r="W932" s="80"/>
      <c r="X932" s="80"/>
      <c r="Y932" s="80"/>
      <c r="Z932" s="80"/>
      <c r="AA932" s="80"/>
      <c r="AB932" s="80"/>
    </row>
    <row r="933" spans="1:28" ht="15.75">
      <c r="A933" s="80"/>
      <c r="B933" s="80"/>
      <c r="C933" s="80"/>
      <c r="D933" s="80"/>
      <c r="E933" s="80"/>
      <c r="F933" s="80"/>
      <c r="G933" s="80"/>
      <c r="H933" s="80"/>
      <c r="I933" s="80"/>
      <c r="J933" s="80"/>
      <c r="K933" s="80"/>
      <c r="L933" s="80"/>
      <c r="M933" s="80"/>
      <c r="N933" s="143"/>
      <c r="O933" s="143"/>
      <c r="P933" s="143"/>
      <c r="Q933" s="143"/>
      <c r="R933" s="143"/>
      <c r="S933" s="80"/>
      <c r="T933" s="80"/>
      <c r="U933" s="80"/>
      <c r="V933" s="80"/>
      <c r="W933" s="80"/>
      <c r="X933" s="80"/>
      <c r="Y933" s="80"/>
      <c r="Z933" s="80"/>
      <c r="AA933" s="80"/>
      <c r="AB933" s="80"/>
    </row>
    <row r="934" spans="1:28" ht="15.75">
      <c r="A934" s="80"/>
      <c r="B934" s="80"/>
      <c r="C934" s="80"/>
      <c r="D934" s="80"/>
      <c r="E934" s="80"/>
      <c r="F934" s="80"/>
      <c r="G934" s="80"/>
      <c r="H934" s="80"/>
      <c r="I934" s="80"/>
      <c r="J934" s="80"/>
      <c r="K934" s="80"/>
      <c r="L934" s="80"/>
      <c r="M934" s="80"/>
      <c r="N934" s="143"/>
      <c r="O934" s="143"/>
      <c r="P934" s="143"/>
      <c r="Q934" s="143"/>
      <c r="R934" s="143"/>
      <c r="S934" s="80"/>
      <c r="T934" s="80"/>
      <c r="U934" s="80"/>
      <c r="V934" s="80"/>
      <c r="W934" s="80"/>
      <c r="X934" s="80"/>
      <c r="Y934" s="80"/>
      <c r="Z934" s="80"/>
      <c r="AA934" s="80"/>
      <c r="AB934" s="80"/>
    </row>
    <row r="935" spans="1:28" ht="15.75">
      <c r="A935" s="80"/>
      <c r="B935" s="80"/>
      <c r="C935" s="80"/>
      <c r="D935" s="80"/>
      <c r="E935" s="80"/>
      <c r="F935" s="80"/>
      <c r="G935" s="80"/>
      <c r="H935" s="80"/>
      <c r="I935" s="80"/>
      <c r="J935" s="80"/>
      <c r="K935" s="80"/>
      <c r="L935" s="80"/>
      <c r="M935" s="80"/>
      <c r="N935" s="143"/>
      <c r="O935" s="143"/>
      <c r="P935" s="143"/>
      <c r="Q935" s="143"/>
      <c r="R935" s="143"/>
      <c r="S935" s="80"/>
      <c r="T935" s="80"/>
      <c r="U935" s="80"/>
      <c r="V935" s="80"/>
      <c r="W935" s="80"/>
      <c r="X935" s="80"/>
      <c r="Y935" s="80"/>
      <c r="Z935" s="80"/>
      <c r="AA935" s="80"/>
      <c r="AB935" s="80"/>
    </row>
    <row r="936" spans="1:28" ht="15.75">
      <c r="A936" s="80"/>
      <c r="B936" s="80"/>
      <c r="C936" s="80"/>
      <c r="D936" s="80"/>
      <c r="E936" s="80"/>
      <c r="F936" s="80"/>
      <c r="G936" s="80"/>
      <c r="H936" s="80"/>
      <c r="I936" s="80"/>
      <c r="J936" s="80"/>
      <c r="K936" s="80"/>
      <c r="L936" s="80"/>
      <c r="M936" s="80"/>
      <c r="N936" s="143"/>
      <c r="O936" s="143"/>
      <c r="P936" s="143"/>
      <c r="Q936" s="143"/>
      <c r="R936" s="143"/>
      <c r="S936" s="80"/>
      <c r="T936" s="80"/>
      <c r="U936" s="80"/>
      <c r="V936" s="80"/>
      <c r="W936" s="80"/>
      <c r="X936" s="80"/>
      <c r="Y936" s="80"/>
      <c r="Z936" s="80"/>
      <c r="AA936" s="80"/>
      <c r="AB936" s="80"/>
    </row>
    <row r="937" spans="1:28" ht="15.75">
      <c r="A937" s="80"/>
      <c r="B937" s="80"/>
      <c r="C937" s="80"/>
      <c r="D937" s="80"/>
      <c r="E937" s="80"/>
      <c r="F937" s="80"/>
      <c r="G937" s="80"/>
      <c r="H937" s="80"/>
      <c r="I937" s="80"/>
      <c r="J937" s="80"/>
      <c r="K937" s="80"/>
      <c r="L937" s="80"/>
      <c r="M937" s="80"/>
      <c r="N937" s="143"/>
      <c r="O937" s="143"/>
      <c r="P937" s="143"/>
      <c r="Q937" s="143"/>
      <c r="R937" s="143"/>
      <c r="S937" s="80"/>
      <c r="T937" s="80"/>
      <c r="U937" s="80"/>
      <c r="V937" s="80"/>
      <c r="W937" s="80"/>
      <c r="X937" s="80"/>
      <c r="Y937" s="80"/>
      <c r="Z937" s="80"/>
      <c r="AA937" s="80"/>
      <c r="AB937" s="80"/>
    </row>
    <row r="938" spans="1:28" ht="15.75">
      <c r="A938" s="80"/>
      <c r="B938" s="80"/>
      <c r="C938" s="80"/>
      <c r="D938" s="80"/>
      <c r="E938" s="80"/>
      <c r="F938" s="80"/>
      <c r="G938" s="80"/>
      <c r="H938" s="80"/>
      <c r="I938" s="80"/>
      <c r="J938" s="80"/>
      <c r="K938" s="80"/>
      <c r="L938" s="80"/>
      <c r="M938" s="80"/>
      <c r="N938" s="143"/>
      <c r="O938" s="143"/>
      <c r="P938" s="143"/>
      <c r="Q938" s="143"/>
      <c r="R938" s="143"/>
      <c r="S938" s="80"/>
      <c r="T938" s="80"/>
      <c r="U938" s="80"/>
      <c r="V938" s="80"/>
      <c r="W938" s="80"/>
      <c r="X938" s="80"/>
      <c r="Y938" s="80"/>
      <c r="Z938" s="80"/>
      <c r="AA938" s="80"/>
      <c r="AB938" s="80"/>
    </row>
    <row r="939" spans="1:28" ht="15.75">
      <c r="A939" s="80"/>
      <c r="B939" s="80"/>
      <c r="C939" s="80"/>
      <c r="D939" s="80"/>
      <c r="E939" s="80"/>
      <c r="F939" s="80"/>
      <c r="G939" s="80"/>
      <c r="H939" s="80"/>
      <c r="I939" s="80"/>
      <c r="J939" s="80"/>
      <c r="K939" s="80"/>
      <c r="L939" s="80"/>
      <c r="M939" s="80"/>
      <c r="N939" s="143"/>
      <c r="O939" s="143"/>
      <c r="P939" s="143"/>
      <c r="Q939" s="143"/>
      <c r="R939" s="143"/>
      <c r="S939" s="80"/>
      <c r="T939" s="80"/>
      <c r="U939" s="80"/>
      <c r="V939" s="80"/>
      <c r="W939" s="80"/>
      <c r="X939" s="80"/>
      <c r="Y939" s="80"/>
      <c r="Z939" s="80"/>
      <c r="AA939" s="80"/>
      <c r="AB939" s="80"/>
    </row>
    <row r="940" spans="1:28" ht="15.75">
      <c r="A940" s="80"/>
      <c r="B940" s="80"/>
      <c r="C940" s="80"/>
      <c r="D940" s="80"/>
      <c r="E940" s="80"/>
      <c r="F940" s="80"/>
      <c r="G940" s="80"/>
      <c r="H940" s="80"/>
      <c r="I940" s="80"/>
      <c r="J940" s="80"/>
      <c r="K940" s="80"/>
      <c r="L940" s="80"/>
      <c r="M940" s="80"/>
      <c r="N940" s="143"/>
      <c r="O940" s="143"/>
      <c r="P940" s="143"/>
      <c r="Q940" s="143"/>
      <c r="R940" s="143"/>
      <c r="S940" s="80"/>
      <c r="T940" s="80"/>
      <c r="U940" s="80"/>
      <c r="V940" s="80"/>
      <c r="W940" s="80"/>
      <c r="X940" s="80"/>
      <c r="Y940" s="80"/>
      <c r="Z940" s="80"/>
      <c r="AA940" s="80"/>
      <c r="AB940" s="80"/>
    </row>
    <row r="941" spans="1:28" ht="15.75">
      <c r="A941" s="80"/>
      <c r="B941" s="80"/>
      <c r="C941" s="80"/>
      <c r="D941" s="80"/>
      <c r="E941" s="80"/>
      <c r="F941" s="80"/>
      <c r="G941" s="80"/>
      <c r="H941" s="80"/>
      <c r="I941" s="80"/>
      <c r="J941" s="80"/>
      <c r="K941" s="80"/>
      <c r="L941" s="80"/>
      <c r="M941" s="80"/>
      <c r="N941" s="143"/>
      <c r="O941" s="143"/>
      <c r="P941" s="143"/>
      <c r="Q941" s="143"/>
      <c r="R941" s="143"/>
      <c r="S941" s="80"/>
      <c r="T941" s="80"/>
      <c r="U941" s="80"/>
      <c r="V941" s="80"/>
      <c r="W941" s="80"/>
      <c r="X941" s="80"/>
      <c r="Y941" s="80"/>
      <c r="Z941" s="80"/>
      <c r="AA941" s="80"/>
      <c r="AB941" s="80"/>
    </row>
    <row r="942" spans="1:28" ht="15.75">
      <c r="A942" s="80"/>
      <c r="B942" s="80"/>
      <c r="C942" s="80"/>
      <c r="D942" s="80"/>
      <c r="E942" s="80"/>
      <c r="F942" s="80"/>
      <c r="G942" s="80"/>
      <c r="H942" s="80"/>
      <c r="I942" s="80"/>
      <c r="J942" s="80"/>
      <c r="K942" s="80"/>
      <c r="L942" s="80"/>
      <c r="M942" s="80"/>
      <c r="N942" s="143"/>
      <c r="O942" s="143"/>
      <c r="P942" s="143"/>
      <c r="Q942" s="143"/>
      <c r="R942" s="143"/>
      <c r="S942" s="80"/>
      <c r="T942" s="80"/>
      <c r="U942" s="80"/>
      <c r="V942" s="80"/>
      <c r="W942" s="80"/>
      <c r="X942" s="80"/>
      <c r="Y942" s="80"/>
      <c r="Z942" s="80"/>
      <c r="AA942" s="80"/>
      <c r="AB942" s="80"/>
    </row>
    <row r="943" spans="1:28" ht="15.75">
      <c r="A943" s="80"/>
      <c r="B943" s="80"/>
      <c r="C943" s="80"/>
      <c r="D943" s="80"/>
      <c r="E943" s="80"/>
      <c r="F943" s="80"/>
      <c r="G943" s="80"/>
      <c r="H943" s="80"/>
      <c r="I943" s="80"/>
      <c r="J943" s="80"/>
      <c r="K943" s="80"/>
      <c r="L943" s="80"/>
      <c r="M943" s="80"/>
      <c r="N943" s="143"/>
      <c r="O943" s="143"/>
      <c r="P943" s="143"/>
      <c r="Q943" s="143"/>
      <c r="R943" s="143"/>
      <c r="S943" s="80"/>
      <c r="T943" s="80"/>
      <c r="U943" s="80"/>
      <c r="V943" s="80"/>
      <c r="W943" s="80"/>
      <c r="X943" s="80"/>
      <c r="Y943" s="80"/>
      <c r="Z943" s="80"/>
      <c r="AA943" s="80"/>
      <c r="AB943" s="80"/>
    </row>
    <row r="944" spans="1:28" ht="15.75">
      <c r="A944" s="80"/>
      <c r="B944" s="80"/>
      <c r="C944" s="80"/>
      <c r="D944" s="80"/>
      <c r="E944" s="80"/>
      <c r="F944" s="80"/>
      <c r="G944" s="80"/>
      <c r="H944" s="80"/>
      <c r="I944" s="80"/>
      <c r="J944" s="80"/>
      <c r="K944" s="80"/>
      <c r="L944" s="80"/>
      <c r="M944" s="80"/>
      <c r="N944" s="143"/>
      <c r="O944" s="143"/>
      <c r="P944" s="143"/>
      <c r="Q944" s="143"/>
      <c r="R944" s="143"/>
      <c r="S944" s="80"/>
      <c r="T944" s="80"/>
      <c r="U944" s="80"/>
      <c r="V944" s="80"/>
      <c r="W944" s="80"/>
      <c r="X944" s="80"/>
      <c r="Y944" s="80"/>
      <c r="Z944" s="80"/>
      <c r="AA944" s="80"/>
      <c r="AB944" s="80"/>
    </row>
    <row r="945" spans="1:28" ht="15.75">
      <c r="A945" s="80"/>
      <c r="B945" s="80"/>
      <c r="C945" s="80"/>
      <c r="D945" s="80"/>
      <c r="E945" s="80"/>
      <c r="F945" s="80"/>
      <c r="G945" s="80"/>
      <c r="H945" s="80"/>
      <c r="I945" s="80"/>
      <c r="J945" s="80"/>
      <c r="K945" s="80"/>
      <c r="L945" s="80"/>
      <c r="M945" s="80"/>
      <c r="N945" s="143"/>
      <c r="O945" s="143"/>
      <c r="P945" s="143"/>
      <c r="Q945" s="143"/>
      <c r="R945" s="143"/>
      <c r="S945" s="80"/>
      <c r="T945" s="80"/>
      <c r="U945" s="80"/>
      <c r="V945" s="80"/>
      <c r="W945" s="80"/>
      <c r="X945" s="80"/>
      <c r="Y945" s="80"/>
      <c r="Z945" s="80"/>
      <c r="AA945" s="80"/>
      <c r="AB945" s="80"/>
    </row>
    <row r="946" spans="1:28" ht="15.75">
      <c r="A946" s="80"/>
      <c r="B946" s="80"/>
      <c r="C946" s="80"/>
      <c r="D946" s="80"/>
      <c r="E946" s="80"/>
      <c r="F946" s="80"/>
      <c r="G946" s="80"/>
      <c r="H946" s="80"/>
      <c r="I946" s="80"/>
      <c r="J946" s="80"/>
      <c r="K946" s="80"/>
      <c r="L946" s="80"/>
      <c r="M946" s="80"/>
      <c r="N946" s="143"/>
      <c r="O946" s="143"/>
      <c r="P946" s="143"/>
      <c r="Q946" s="143"/>
      <c r="R946" s="143"/>
      <c r="S946" s="80"/>
      <c r="T946" s="80"/>
      <c r="U946" s="80"/>
      <c r="V946" s="80"/>
      <c r="W946" s="80"/>
      <c r="X946" s="80"/>
      <c r="Y946" s="80"/>
      <c r="Z946" s="80"/>
      <c r="AA946" s="80"/>
      <c r="AB946" s="80"/>
    </row>
    <row r="947" spans="1:28" ht="15.75">
      <c r="A947" s="80"/>
      <c r="B947" s="80"/>
      <c r="C947" s="80"/>
      <c r="D947" s="80"/>
      <c r="E947" s="80"/>
      <c r="F947" s="80"/>
      <c r="G947" s="80"/>
      <c r="H947" s="80"/>
      <c r="I947" s="80"/>
      <c r="J947" s="80"/>
      <c r="K947" s="80"/>
      <c r="L947" s="80"/>
      <c r="M947" s="80"/>
      <c r="N947" s="143"/>
      <c r="O947" s="143"/>
      <c r="P947" s="143"/>
      <c r="Q947" s="143"/>
      <c r="R947" s="143"/>
      <c r="S947" s="80"/>
      <c r="T947" s="80"/>
      <c r="U947" s="80"/>
      <c r="V947" s="80"/>
      <c r="W947" s="80"/>
      <c r="X947" s="80"/>
      <c r="Y947" s="80"/>
      <c r="Z947" s="80"/>
      <c r="AA947" s="80"/>
      <c r="AB947" s="80"/>
    </row>
    <row r="948" spans="1:28" ht="15.75">
      <c r="A948" s="80"/>
      <c r="B948" s="80"/>
      <c r="C948" s="80"/>
      <c r="D948" s="80"/>
      <c r="E948" s="80"/>
      <c r="F948" s="80"/>
      <c r="G948" s="80"/>
      <c r="H948" s="80"/>
      <c r="I948" s="80"/>
      <c r="J948" s="80"/>
      <c r="K948" s="80"/>
      <c r="L948" s="80"/>
      <c r="M948" s="80"/>
      <c r="N948" s="143"/>
      <c r="O948" s="143"/>
      <c r="P948" s="143"/>
      <c r="Q948" s="143"/>
      <c r="R948" s="143"/>
      <c r="S948" s="80"/>
      <c r="T948" s="80"/>
      <c r="U948" s="80"/>
      <c r="V948" s="80"/>
      <c r="W948" s="80"/>
      <c r="X948" s="80"/>
      <c r="Y948" s="80"/>
      <c r="Z948" s="80"/>
      <c r="AA948" s="80"/>
      <c r="AB948" s="80"/>
    </row>
    <row r="949" spans="1:28" ht="15.75">
      <c r="A949" s="80"/>
      <c r="B949" s="80"/>
      <c r="C949" s="80"/>
      <c r="D949" s="80"/>
      <c r="E949" s="80"/>
      <c r="F949" s="80"/>
      <c r="G949" s="80"/>
      <c r="H949" s="80"/>
      <c r="I949" s="80"/>
      <c r="J949" s="80"/>
      <c r="K949" s="80"/>
      <c r="L949" s="80"/>
      <c r="M949" s="80"/>
      <c r="N949" s="143"/>
      <c r="O949" s="143"/>
      <c r="P949" s="143"/>
      <c r="Q949" s="143"/>
      <c r="R949" s="143"/>
      <c r="S949" s="80"/>
      <c r="T949" s="80"/>
      <c r="U949" s="80"/>
      <c r="V949" s="80"/>
      <c r="W949" s="80"/>
      <c r="X949" s="80"/>
      <c r="Y949" s="80"/>
      <c r="Z949" s="80"/>
      <c r="AA949" s="80"/>
      <c r="AB949" s="80"/>
    </row>
    <row r="950" spans="1:28" ht="15.75">
      <c r="A950" s="80"/>
      <c r="B950" s="80"/>
      <c r="C950" s="80"/>
      <c r="D950" s="80"/>
      <c r="E950" s="80"/>
      <c r="F950" s="80"/>
      <c r="G950" s="80"/>
      <c r="H950" s="80"/>
      <c r="I950" s="80"/>
      <c r="J950" s="80"/>
      <c r="K950" s="80"/>
      <c r="L950" s="80"/>
      <c r="M950" s="80"/>
      <c r="N950" s="143"/>
      <c r="O950" s="143"/>
      <c r="P950" s="143"/>
      <c r="Q950" s="143"/>
      <c r="R950" s="143"/>
      <c r="S950" s="80"/>
      <c r="T950" s="80"/>
      <c r="U950" s="80"/>
      <c r="V950" s="80"/>
      <c r="W950" s="80"/>
      <c r="X950" s="80"/>
      <c r="Y950" s="80"/>
      <c r="Z950" s="80"/>
      <c r="AA950" s="80"/>
      <c r="AB950" s="80"/>
    </row>
    <row r="951" spans="1:28" ht="15.75">
      <c r="A951" s="80"/>
      <c r="B951" s="80"/>
      <c r="C951" s="80"/>
      <c r="D951" s="80"/>
      <c r="E951" s="80"/>
      <c r="F951" s="80"/>
      <c r="G951" s="80"/>
      <c r="H951" s="80"/>
      <c r="I951" s="80"/>
      <c r="J951" s="80"/>
      <c r="K951" s="80"/>
      <c r="L951" s="80"/>
      <c r="M951" s="80"/>
      <c r="N951" s="143"/>
      <c r="O951" s="143"/>
      <c r="P951" s="143"/>
      <c r="Q951" s="143"/>
      <c r="R951" s="143"/>
      <c r="S951" s="80"/>
      <c r="T951" s="80"/>
      <c r="U951" s="80"/>
      <c r="V951" s="80"/>
      <c r="W951" s="80"/>
      <c r="X951" s="80"/>
      <c r="Y951" s="80"/>
      <c r="Z951" s="80"/>
      <c r="AA951" s="80"/>
      <c r="AB951" s="80"/>
    </row>
    <row r="952" spans="1:28" ht="15.75">
      <c r="A952" s="80"/>
      <c r="B952" s="80"/>
      <c r="C952" s="80"/>
      <c r="D952" s="80"/>
      <c r="E952" s="80"/>
      <c r="F952" s="80"/>
      <c r="G952" s="80"/>
      <c r="H952" s="80"/>
      <c r="I952" s="80"/>
      <c r="J952" s="80"/>
      <c r="K952" s="80"/>
      <c r="L952" s="80"/>
      <c r="M952" s="80"/>
      <c r="N952" s="143"/>
      <c r="O952" s="143"/>
      <c r="P952" s="143"/>
      <c r="Q952" s="143"/>
      <c r="R952" s="143"/>
      <c r="S952" s="80"/>
      <c r="T952" s="80"/>
      <c r="U952" s="80"/>
      <c r="V952" s="80"/>
      <c r="W952" s="80"/>
      <c r="X952" s="80"/>
      <c r="Y952" s="80"/>
      <c r="Z952" s="80"/>
      <c r="AA952" s="80"/>
      <c r="AB952" s="80"/>
    </row>
    <row r="953" spans="1:28" ht="15.75">
      <c r="A953" s="80"/>
      <c r="B953" s="80"/>
      <c r="C953" s="80"/>
      <c r="D953" s="80"/>
      <c r="E953" s="80"/>
      <c r="F953" s="80"/>
      <c r="G953" s="80"/>
      <c r="H953" s="80"/>
      <c r="I953" s="80"/>
      <c r="J953" s="80"/>
      <c r="K953" s="80"/>
      <c r="L953" s="80"/>
      <c r="M953" s="80"/>
      <c r="N953" s="143"/>
      <c r="O953" s="143"/>
      <c r="P953" s="143"/>
      <c r="Q953" s="143"/>
      <c r="R953" s="143"/>
      <c r="S953" s="80"/>
      <c r="T953" s="80"/>
      <c r="U953" s="80"/>
      <c r="V953" s="80"/>
      <c r="W953" s="80"/>
      <c r="X953" s="80"/>
      <c r="Y953" s="80"/>
      <c r="Z953" s="80"/>
      <c r="AA953" s="80"/>
      <c r="AB953" s="80"/>
    </row>
    <row r="954" spans="1:28" ht="15.75">
      <c r="A954" s="80"/>
      <c r="B954" s="80"/>
      <c r="C954" s="80"/>
      <c r="D954" s="80"/>
      <c r="E954" s="80"/>
      <c r="F954" s="80"/>
      <c r="G954" s="80"/>
      <c r="H954" s="80"/>
      <c r="I954" s="80"/>
      <c r="J954" s="80"/>
      <c r="K954" s="80"/>
      <c r="L954" s="80"/>
      <c r="M954" s="80"/>
      <c r="N954" s="143"/>
      <c r="O954" s="143"/>
      <c r="P954" s="143"/>
      <c r="Q954" s="143"/>
      <c r="R954" s="143"/>
      <c r="S954" s="80"/>
      <c r="T954" s="80"/>
      <c r="U954" s="80"/>
      <c r="V954" s="80"/>
      <c r="W954" s="80"/>
      <c r="X954" s="80"/>
      <c r="Y954" s="80"/>
      <c r="Z954" s="80"/>
      <c r="AA954" s="80"/>
      <c r="AB954" s="80"/>
    </row>
    <row r="955" spans="1:28" ht="15.75">
      <c r="A955" s="80"/>
      <c r="B955" s="80"/>
      <c r="C955" s="80"/>
      <c r="D955" s="80"/>
      <c r="E955" s="80"/>
      <c r="F955" s="80"/>
      <c r="G955" s="80"/>
      <c r="H955" s="80"/>
      <c r="I955" s="80"/>
      <c r="J955" s="80"/>
      <c r="K955" s="80"/>
      <c r="L955" s="80"/>
      <c r="M955" s="80"/>
      <c r="N955" s="143"/>
      <c r="O955" s="143"/>
      <c r="P955" s="143"/>
      <c r="Q955" s="143"/>
      <c r="R955" s="143"/>
      <c r="S955" s="80"/>
      <c r="T955" s="80"/>
      <c r="U955" s="80"/>
      <c r="V955" s="80"/>
      <c r="W955" s="80"/>
      <c r="X955" s="80"/>
      <c r="Y955" s="80"/>
      <c r="Z955" s="80"/>
      <c r="AA955" s="80"/>
      <c r="AB955" s="80"/>
    </row>
    <row r="956" spans="1:28" ht="15.75">
      <c r="A956" s="80"/>
      <c r="B956" s="80"/>
      <c r="C956" s="80"/>
      <c r="D956" s="80"/>
      <c r="E956" s="80"/>
      <c r="F956" s="80"/>
      <c r="G956" s="80"/>
      <c r="H956" s="80"/>
      <c r="I956" s="80"/>
      <c r="J956" s="80"/>
      <c r="K956" s="80"/>
      <c r="L956" s="80"/>
      <c r="M956" s="80"/>
      <c r="N956" s="143"/>
      <c r="O956" s="143"/>
      <c r="P956" s="143"/>
      <c r="Q956" s="143"/>
      <c r="R956" s="143"/>
      <c r="S956" s="80"/>
      <c r="T956" s="80"/>
      <c r="U956" s="80"/>
      <c r="V956" s="80"/>
      <c r="W956" s="80"/>
      <c r="X956" s="80"/>
      <c r="Y956" s="80"/>
      <c r="Z956" s="80"/>
      <c r="AA956" s="80"/>
      <c r="AB956" s="80"/>
    </row>
    <row r="957" spans="1:28" ht="15.75">
      <c r="A957" s="80"/>
      <c r="B957" s="80"/>
      <c r="C957" s="80"/>
      <c r="D957" s="80"/>
      <c r="E957" s="80"/>
      <c r="F957" s="80"/>
      <c r="G957" s="80"/>
      <c r="H957" s="80"/>
      <c r="I957" s="80"/>
      <c r="J957" s="80"/>
      <c r="K957" s="80"/>
      <c r="L957" s="80"/>
      <c r="M957" s="80"/>
      <c r="N957" s="143"/>
      <c r="O957" s="143"/>
      <c r="P957" s="143"/>
      <c r="Q957" s="143"/>
      <c r="R957" s="143"/>
      <c r="S957" s="80"/>
      <c r="T957" s="80"/>
      <c r="U957" s="80"/>
      <c r="V957" s="80"/>
      <c r="W957" s="80"/>
      <c r="X957" s="80"/>
      <c r="Y957" s="80"/>
      <c r="Z957" s="80"/>
      <c r="AA957" s="80"/>
      <c r="AB957" s="80"/>
    </row>
    <row r="958" spans="1:28" ht="15.75">
      <c r="A958" s="80"/>
      <c r="B958" s="80"/>
      <c r="C958" s="80"/>
      <c r="D958" s="80"/>
      <c r="E958" s="80"/>
      <c r="F958" s="80"/>
      <c r="G958" s="80"/>
      <c r="H958" s="80"/>
      <c r="I958" s="80"/>
      <c r="J958" s="80"/>
      <c r="K958" s="80"/>
      <c r="L958" s="80"/>
      <c r="M958" s="80"/>
      <c r="N958" s="143"/>
      <c r="O958" s="143"/>
      <c r="P958" s="143"/>
      <c r="Q958" s="143"/>
      <c r="R958" s="143"/>
      <c r="S958" s="80"/>
      <c r="T958" s="80"/>
      <c r="U958" s="80"/>
      <c r="V958" s="80"/>
      <c r="W958" s="80"/>
      <c r="X958" s="80"/>
      <c r="Y958" s="80"/>
      <c r="Z958" s="80"/>
      <c r="AA958" s="80"/>
      <c r="AB958" s="80"/>
    </row>
    <row r="959" spans="1:28" ht="15.75">
      <c r="A959" s="80"/>
      <c r="B959" s="80"/>
      <c r="C959" s="80"/>
      <c r="D959" s="80"/>
      <c r="E959" s="80"/>
      <c r="F959" s="80"/>
      <c r="G959" s="80"/>
      <c r="H959" s="80"/>
      <c r="I959" s="80"/>
      <c r="J959" s="80"/>
      <c r="K959" s="80"/>
      <c r="L959" s="80"/>
      <c r="M959" s="80"/>
      <c r="N959" s="143"/>
      <c r="O959" s="143"/>
      <c r="P959" s="143"/>
      <c r="Q959" s="143"/>
      <c r="R959" s="143"/>
      <c r="S959" s="80"/>
      <c r="T959" s="80"/>
      <c r="U959" s="80"/>
      <c r="V959" s="80"/>
      <c r="W959" s="80"/>
      <c r="X959" s="80"/>
      <c r="Y959" s="80"/>
      <c r="Z959" s="80"/>
      <c r="AA959" s="80"/>
      <c r="AB959" s="80"/>
    </row>
    <row r="960" spans="1:28" ht="15.75">
      <c r="A960" s="80"/>
      <c r="B960" s="80"/>
      <c r="C960" s="80"/>
      <c r="D960" s="80"/>
      <c r="E960" s="80"/>
      <c r="F960" s="80"/>
      <c r="G960" s="80"/>
      <c r="H960" s="80"/>
      <c r="I960" s="80"/>
      <c r="J960" s="80"/>
      <c r="K960" s="80"/>
      <c r="L960" s="80"/>
      <c r="M960" s="80"/>
      <c r="N960" s="143"/>
      <c r="O960" s="143"/>
      <c r="P960" s="143"/>
      <c r="Q960" s="143"/>
      <c r="R960" s="143"/>
      <c r="S960" s="80"/>
      <c r="T960" s="80"/>
      <c r="U960" s="80"/>
      <c r="V960" s="80"/>
      <c r="W960" s="80"/>
      <c r="X960" s="80"/>
      <c r="Y960" s="80"/>
      <c r="Z960" s="80"/>
      <c r="AA960" s="80"/>
      <c r="AB960" s="80"/>
    </row>
    <row r="961" spans="1:28" ht="15.75">
      <c r="A961" s="80"/>
      <c r="B961" s="80"/>
      <c r="C961" s="80"/>
      <c r="D961" s="80"/>
      <c r="E961" s="80"/>
      <c r="F961" s="80"/>
      <c r="G961" s="80"/>
      <c r="H961" s="80"/>
      <c r="I961" s="80"/>
      <c r="J961" s="80"/>
      <c r="K961" s="80"/>
      <c r="L961" s="80"/>
      <c r="M961" s="80"/>
      <c r="N961" s="143"/>
      <c r="O961" s="143"/>
      <c r="P961" s="143"/>
      <c r="Q961" s="143"/>
      <c r="R961" s="143"/>
      <c r="S961" s="80"/>
      <c r="T961" s="80"/>
      <c r="U961" s="80"/>
      <c r="V961" s="80"/>
      <c r="W961" s="80"/>
      <c r="X961" s="80"/>
      <c r="Y961" s="80"/>
      <c r="Z961" s="80"/>
      <c r="AA961" s="80"/>
      <c r="AB961" s="80"/>
    </row>
    <row r="962" spans="1:28" ht="15.75">
      <c r="A962" s="80"/>
      <c r="B962" s="80"/>
      <c r="C962" s="80"/>
      <c r="D962" s="80"/>
      <c r="E962" s="80"/>
      <c r="F962" s="80"/>
      <c r="G962" s="80"/>
      <c r="H962" s="80"/>
      <c r="I962" s="80"/>
      <c r="J962" s="80"/>
      <c r="K962" s="80"/>
      <c r="L962" s="80"/>
      <c r="M962" s="80"/>
      <c r="N962" s="143"/>
      <c r="O962" s="143"/>
      <c r="P962" s="143"/>
      <c r="Q962" s="143"/>
      <c r="R962" s="143"/>
      <c r="S962" s="80"/>
      <c r="T962" s="80"/>
      <c r="U962" s="80"/>
      <c r="V962" s="80"/>
      <c r="W962" s="80"/>
      <c r="X962" s="80"/>
      <c r="Y962" s="80"/>
      <c r="Z962" s="80"/>
      <c r="AA962" s="80"/>
      <c r="AB962" s="80"/>
    </row>
    <row r="963" spans="1:28" ht="15.75">
      <c r="A963" s="80"/>
      <c r="B963" s="80"/>
      <c r="C963" s="80"/>
      <c r="D963" s="80"/>
      <c r="E963" s="80"/>
      <c r="F963" s="80"/>
      <c r="G963" s="80"/>
      <c r="H963" s="80"/>
      <c r="I963" s="80"/>
      <c r="J963" s="80"/>
      <c r="K963" s="80"/>
      <c r="L963" s="80"/>
      <c r="M963" s="80"/>
      <c r="N963" s="143"/>
      <c r="O963" s="143"/>
      <c r="P963" s="143"/>
      <c r="Q963" s="143"/>
      <c r="R963" s="143"/>
      <c r="S963" s="80"/>
      <c r="T963" s="80"/>
      <c r="U963" s="80"/>
      <c r="V963" s="80"/>
      <c r="W963" s="80"/>
      <c r="X963" s="80"/>
      <c r="Y963" s="80"/>
      <c r="Z963" s="80"/>
      <c r="AA963" s="80"/>
      <c r="AB963" s="80"/>
    </row>
    <row r="964" spans="1:28" ht="15.75">
      <c r="A964" s="80"/>
      <c r="B964" s="80"/>
      <c r="C964" s="80"/>
      <c r="D964" s="80"/>
      <c r="E964" s="80"/>
      <c r="F964" s="80"/>
      <c r="G964" s="80"/>
      <c r="H964" s="80"/>
      <c r="I964" s="80"/>
      <c r="J964" s="80"/>
      <c r="K964" s="80"/>
      <c r="L964" s="80"/>
      <c r="M964" s="80"/>
      <c r="N964" s="143"/>
      <c r="O964" s="143"/>
      <c r="P964" s="143"/>
      <c r="Q964" s="143"/>
      <c r="R964" s="143"/>
      <c r="S964" s="80"/>
      <c r="T964" s="80"/>
      <c r="U964" s="80"/>
      <c r="V964" s="80"/>
      <c r="W964" s="80"/>
      <c r="X964" s="80"/>
      <c r="Y964" s="80"/>
      <c r="Z964" s="80"/>
      <c r="AA964" s="80"/>
      <c r="AB964" s="80"/>
    </row>
    <row r="965" spans="1:28" ht="15.75">
      <c r="A965" s="80"/>
      <c r="B965" s="80"/>
      <c r="C965" s="80"/>
      <c r="D965" s="80"/>
      <c r="E965" s="80"/>
      <c r="F965" s="80"/>
      <c r="G965" s="80"/>
      <c r="H965" s="80"/>
      <c r="I965" s="80"/>
      <c r="J965" s="80"/>
      <c r="K965" s="80"/>
      <c r="L965" s="80"/>
      <c r="M965" s="80"/>
      <c r="N965" s="143"/>
      <c r="O965" s="143"/>
      <c r="P965" s="143"/>
      <c r="Q965" s="143"/>
      <c r="R965" s="143"/>
      <c r="S965" s="80"/>
      <c r="T965" s="80"/>
      <c r="U965" s="80"/>
      <c r="V965" s="80"/>
      <c r="W965" s="80"/>
      <c r="X965" s="80"/>
      <c r="Y965" s="80"/>
      <c r="Z965" s="80"/>
      <c r="AA965" s="80"/>
      <c r="AB965" s="80"/>
    </row>
    <row r="966" spans="1:28" ht="15.75">
      <c r="A966" s="80"/>
      <c r="B966" s="80"/>
      <c r="C966" s="80"/>
      <c r="D966" s="80"/>
      <c r="E966" s="80"/>
      <c r="F966" s="80"/>
      <c r="G966" s="80"/>
      <c r="H966" s="80"/>
      <c r="I966" s="80"/>
      <c r="J966" s="80"/>
      <c r="K966" s="80"/>
      <c r="L966" s="80"/>
      <c r="M966" s="80"/>
      <c r="N966" s="143"/>
      <c r="O966" s="143"/>
      <c r="P966" s="143"/>
      <c r="Q966" s="143"/>
      <c r="R966" s="143"/>
      <c r="S966" s="80"/>
      <c r="T966" s="80"/>
      <c r="U966" s="80"/>
      <c r="V966" s="80"/>
      <c r="W966" s="80"/>
      <c r="X966" s="80"/>
      <c r="Y966" s="80"/>
      <c r="Z966" s="80"/>
      <c r="AA966" s="80"/>
      <c r="AB966" s="80"/>
    </row>
    <row r="967" spans="1:28" ht="15.75">
      <c r="A967" s="80"/>
      <c r="B967" s="80"/>
      <c r="C967" s="80"/>
      <c r="D967" s="80"/>
      <c r="E967" s="80"/>
      <c r="F967" s="80"/>
      <c r="G967" s="80"/>
      <c r="H967" s="80"/>
      <c r="I967" s="80"/>
      <c r="J967" s="80"/>
      <c r="K967" s="80"/>
      <c r="L967" s="80"/>
      <c r="M967" s="80"/>
      <c r="N967" s="143"/>
      <c r="O967" s="143"/>
      <c r="P967" s="143"/>
      <c r="Q967" s="143"/>
      <c r="R967" s="143"/>
      <c r="S967" s="80"/>
      <c r="T967" s="80"/>
      <c r="U967" s="80"/>
      <c r="V967" s="80"/>
      <c r="W967" s="80"/>
      <c r="X967" s="80"/>
      <c r="Y967" s="80"/>
      <c r="Z967" s="80"/>
      <c r="AA967" s="80"/>
      <c r="AB967" s="80"/>
    </row>
    <row r="968" spans="1:28" ht="15.75">
      <c r="A968" s="80"/>
      <c r="B968" s="80"/>
      <c r="C968" s="80"/>
      <c r="D968" s="80"/>
      <c r="E968" s="80"/>
      <c r="F968" s="80"/>
      <c r="G968" s="80"/>
      <c r="H968" s="80"/>
      <c r="I968" s="80"/>
      <c r="J968" s="80"/>
      <c r="K968" s="80"/>
      <c r="L968" s="80"/>
      <c r="M968" s="80"/>
      <c r="N968" s="143"/>
      <c r="O968" s="143"/>
      <c r="P968" s="143"/>
      <c r="Q968" s="143"/>
      <c r="R968" s="143"/>
      <c r="S968" s="80"/>
      <c r="T968" s="80"/>
      <c r="U968" s="80"/>
      <c r="V968" s="80"/>
      <c r="W968" s="80"/>
      <c r="X968" s="80"/>
      <c r="Y968" s="80"/>
      <c r="Z968" s="80"/>
      <c r="AA968" s="80"/>
      <c r="AB968" s="80"/>
    </row>
    <row r="969" spans="1:28" ht="15.75">
      <c r="A969" s="80"/>
      <c r="B969" s="80"/>
      <c r="C969" s="80"/>
      <c r="D969" s="80"/>
      <c r="E969" s="80"/>
      <c r="F969" s="80"/>
      <c r="G969" s="80"/>
      <c r="H969" s="80"/>
      <c r="I969" s="80"/>
      <c r="J969" s="80"/>
      <c r="K969" s="80"/>
      <c r="L969" s="80"/>
      <c r="M969" s="80"/>
      <c r="N969" s="143"/>
      <c r="O969" s="143"/>
      <c r="P969" s="143"/>
      <c r="Q969" s="143"/>
      <c r="R969" s="143"/>
      <c r="S969" s="80"/>
      <c r="T969" s="80"/>
      <c r="U969" s="80"/>
      <c r="V969" s="80"/>
      <c r="W969" s="80"/>
      <c r="X969" s="80"/>
      <c r="Y969" s="80"/>
      <c r="Z969" s="80"/>
      <c r="AA969" s="80"/>
      <c r="AB969" s="80"/>
    </row>
    <row r="970" spans="1:28" ht="15.75">
      <c r="A970" s="80"/>
      <c r="B970" s="80"/>
      <c r="C970" s="80"/>
      <c r="D970" s="80"/>
      <c r="E970" s="80"/>
      <c r="F970" s="80"/>
      <c r="G970" s="80"/>
      <c r="H970" s="80"/>
      <c r="I970" s="80"/>
      <c r="J970" s="80"/>
      <c r="K970" s="80"/>
      <c r="L970" s="80"/>
      <c r="M970" s="80"/>
      <c r="N970" s="143"/>
      <c r="O970" s="143"/>
      <c r="P970" s="143"/>
      <c r="Q970" s="143"/>
      <c r="R970" s="143"/>
      <c r="S970" s="80"/>
      <c r="T970" s="80"/>
      <c r="U970" s="80"/>
      <c r="V970" s="80"/>
      <c r="W970" s="80"/>
      <c r="X970" s="80"/>
      <c r="Y970" s="80"/>
      <c r="Z970" s="80"/>
      <c r="AA970" s="80"/>
      <c r="AB970" s="80"/>
    </row>
    <row r="971" spans="1:28" ht="15.75">
      <c r="A971" s="80"/>
      <c r="B971" s="80"/>
      <c r="C971" s="80"/>
      <c r="D971" s="80"/>
      <c r="E971" s="80"/>
      <c r="F971" s="80"/>
      <c r="G971" s="80"/>
      <c r="H971" s="80"/>
      <c r="I971" s="80"/>
      <c r="J971" s="80"/>
      <c r="K971" s="80"/>
      <c r="L971" s="80"/>
      <c r="M971" s="80"/>
      <c r="N971" s="143"/>
      <c r="O971" s="143"/>
      <c r="P971" s="143"/>
      <c r="Q971" s="143"/>
      <c r="R971" s="143"/>
      <c r="S971" s="80"/>
      <c r="T971" s="80"/>
      <c r="U971" s="80"/>
      <c r="V971" s="80"/>
      <c r="W971" s="80"/>
      <c r="X971" s="80"/>
      <c r="Y971" s="80"/>
      <c r="Z971" s="80"/>
      <c r="AA971" s="80"/>
      <c r="AB971" s="80"/>
    </row>
    <row r="972" spans="1:28" ht="15.75">
      <c r="A972" s="80"/>
      <c r="B972" s="80"/>
      <c r="C972" s="80"/>
      <c r="D972" s="80"/>
      <c r="E972" s="80"/>
      <c r="F972" s="80"/>
      <c r="G972" s="80"/>
      <c r="H972" s="80"/>
      <c r="I972" s="80"/>
      <c r="J972" s="80"/>
      <c r="K972" s="80"/>
      <c r="L972" s="80"/>
      <c r="M972" s="80"/>
      <c r="N972" s="143"/>
      <c r="O972" s="143"/>
      <c r="P972" s="143"/>
      <c r="Q972" s="143"/>
      <c r="R972" s="143"/>
      <c r="S972" s="80"/>
      <c r="T972" s="80"/>
      <c r="U972" s="80"/>
      <c r="V972" s="80"/>
      <c r="W972" s="80"/>
      <c r="X972" s="80"/>
      <c r="Y972" s="80"/>
      <c r="Z972" s="80"/>
      <c r="AA972" s="80"/>
      <c r="AB972" s="80"/>
    </row>
    <row r="973" spans="1:28" ht="15.75">
      <c r="A973" s="80"/>
      <c r="B973" s="80"/>
      <c r="C973" s="80"/>
      <c r="D973" s="80"/>
      <c r="E973" s="80"/>
      <c r="F973" s="80"/>
      <c r="G973" s="80"/>
      <c r="H973" s="80"/>
      <c r="I973" s="80"/>
      <c r="J973" s="80"/>
      <c r="K973" s="80"/>
      <c r="L973" s="80"/>
      <c r="M973" s="80"/>
      <c r="N973" s="143"/>
      <c r="O973" s="143"/>
      <c r="P973" s="143"/>
      <c r="Q973" s="143"/>
      <c r="R973" s="143"/>
      <c r="S973" s="80"/>
      <c r="T973" s="80"/>
      <c r="U973" s="80"/>
      <c r="V973" s="80"/>
      <c r="W973" s="80"/>
      <c r="X973" s="80"/>
      <c r="Y973" s="80"/>
      <c r="Z973" s="80"/>
      <c r="AA973" s="80"/>
      <c r="AB973" s="80"/>
    </row>
    <row r="974" spans="1:28" ht="15.75">
      <c r="A974" s="80"/>
      <c r="B974" s="80"/>
      <c r="C974" s="80"/>
      <c r="D974" s="80"/>
      <c r="E974" s="80"/>
      <c r="F974" s="80"/>
      <c r="G974" s="80"/>
      <c r="H974" s="80"/>
      <c r="I974" s="80"/>
      <c r="J974" s="80"/>
      <c r="K974" s="80"/>
      <c r="L974" s="80"/>
      <c r="M974" s="80"/>
      <c r="N974" s="143"/>
      <c r="O974" s="143"/>
      <c r="P974" s="143"/>
      <c r="Q974" s="143"/>
      <c r="R974" s="143"/>
      <c r="S974" s="80"/>
      <c r="T974" s="80"/>
      <c r="U974" s="80"/>
      <c r="V974" s="80"/>
      <c r="W974" s="80"/>
      <c r="X974" s="80"/>
      <c r="Y974" s="80"/>
      <c r="Z974" s="80"/>
      <c r="AA974" s="80"/>
      <c r="AB974" s="80"/>
    </row>
    <row r="975" spans="1:28" ht="15.75">
      <c r="A975" s="80"/>
      <c r="B975" s="80"/>
      <c r="C975" s="80"/>
      <c r="D975" s="80"/>
      <c r="E975" s="80"/>
      <c r="F975" s="80"/>
      <c r="G975" s="80"/>
      <c r="H975" s="80"/>
      <c r="I975" s="80"/>
      <c r="J975" s="80"/>
      <c r="K975" s="80"/>
      <c r="L975" s="80"/>
      <c r="M975" s="80"/>
      <c r="N975" s="143"/>
      <c r="O975" s="143"/>
      <c r="P975" s="143"/>
      <c r="Q975" s="143"/>
      <c r="R975" s="143"/>
      <c r="S975" s="80"/>
      <c r="T975" s="80"/>
      <c r="U975" s="80"/>
      <c r="V975" s="80"/>
      <c r="W975" s="80"/>
      <c r="X975" s="80"/>
      <c r="Y975" s="80"/>
      <c r="Z975" s="80"/>
      <c r="AA975" s="80"/>
      <c r="AB975" s="80"/>
    </row>
    <row r="976" spans="1:28" ht="15.75">
      <c r="A976" s="80"/>
      <c r="B976" s="80"/>
      <c r="C976" s="80"/>
      <c r="D976" s="80"/>
      <c r="E976" s="80"/>
      <c r="F976" s="80"/>
      <c r="G976" s="80"/>
      <c r="H976" s="80"/>
      <c r="I976" s="80"/>
      <c r="J976" s="80"/>
      <c r="K976" s="80"/>
      <c r="L976" s="80"/>
      <c r="M976" s="80"/>
      <c r="N976" s="143"/>
      <c r="O976" s="143"/>
      <c r="P976" s="143"/>
      <c r="Q976" s="143"/>
      <c r="R976" s="143"/>
      <c r="S976" s="80"/>
      <c r="T976" s="80"/>
      <c r="U976" s="80"/>
      <c r="V976" s="80"/>
      <c r="W976" s="80"/>
      <c r="X976" s="80"/>
      <c r="Y976" s="80"/>
      <c r="Z976" s="80"/>
      <c r="AA976" s="80"/>
      <c r="AB976" s="80"/>
    </row>
    <row r="977" spans="1:28" ht="15.75">
      <c r="A977" s="80"/>
      <c r="B977" s="80"/>
      <c r="C977" s="80"/>
      <c r="D977" s="80"/>
      <c r="E977" s="80"/>
      <c r="F977" s="80"/>
      <c r="G977" s="80"/>
      <c r="H977" s="80"/>
      <c r="I977" s="80"/>
      <c r="J977" s="80"/>
      <c r="K977" s="80"/>
      <c r="L977" s="80"/>
      <c r="M977" s="80"/>
      <c r="N977" s="143"/>
      <c r="O977" s="143"/>
      <c r="P977" s="143"/>
      <c r="Q977" s="143"/>
      <c r="R977" s="143"/>
      <c r="S977" s="80"/>
      <c r="T977" s="80"/>
      <c r="U977" s="80"/>
      <c r="V977" s="80"/>
      <c r="W977" s="80"/>
      <c r="X977" s="80"/>
      <c r="Y977" s="80"/>
      <c r="Z977" s="80"/>
      <c r="AA977" s="80"/>
      <c r="AB977" s="80"/>
    </row>
    <row r="978" spans="1:28" ht="15.75">
      <c r="A978" s="80"/>
      <c r="B978" s="80"/>
      <c r="C978" s="80"/>
      <c r="D978" s="80"/>
      <c r="E978" s="80"/>
      <c r="F978" s="80"/>
      <c r="G978" s="80"/>
      <c r="H978" s="80"/>
      <c r="I978" s="80"/>
      <c r="J978" s="80"/>
      <c r="K978" s="80"/>
      <c r="L978" s="80"/>
      <c r="M978" s="80"/>
      <c r="N978" s="143"/>
      <c r="O978" s="143"/>
      <c r="P978" s="143"/>
      <c r="Q978" s="143"/>
      <c r="R978" s="143"/>
      <c r="S978" s="80"/>
      <c r="T978" s="80"/>
      <c r="U978" s="80"/>
      <c r="V978" s="80"/>
      <c r="W978" s="80"/>
      <c r="X978" s="80"/>
      <c r="Y978" s="80"/>
      <c r="Z978" s="80"/>
      <c r="AA978" s="80"/>
      <c r="AB978" s="80"/>
    </row>
    <row r="979" spans="1:28" ht="15.75">
      <c r="A979" s="80"/>
      <c r="B979" s="80"/>
      <c r="C979" s="80"/>
      <c r="D979" s="80"/>
      <c r="E979" s="80"/>
      <c r="F979" s="80"/>
      <c r="G979" s="80"/>
      <c r="H979" s="80"/>
      <c r="I979" s="80"/>
      <c r="J979" s="80"/>
      <c r="K979" s="80"/>
      <c r="L979" s="80"/>
      <c r="M979" s="80"/>
      <c r="N979" s="143"/>
      <c r="O979" s="143"/>
      <c r="P979" s="143"/>
      <c r="Q979" s="143"/>
      <c r="R979" s="143"/>
      <c r="S979" s="80"/>
      <c r="T979" s="80"/>
      <c r="U979" s="80"/>
      <c r="V979" s="80"/>
      <c r="W979" s="80"/>
      <c r="X979" s="80"/>
      <c r="Y979" s="80"/>
      <c r="Z979" s="80"/>
      <c r="AA979" s="80"/>
      <c r="AB979" s="80"/>
    </row>
    <row r="980" spans="1:28" ht="15.75">
      <c r="A980" s="80"/>
      <c r="B980" s="80"/>
      <c r="C980" s="80"/>
      <c r="D980" s="80"/>
      <c r="E980" s="80"/>
      <c r="F980" s="80"/>
      <c r="G980" s="80"/>
      <c r="H980" s="80"/>
      <c r="I980" s="80"/>
      <c r="J980" s="80"/>
      <c r="K980" s="80"/>
      <c r="L980" s="80"/>
      <c r="M980" s="80"/>
      <c r="N980" s="143"/>
      <c r="O980" s="143"/>
      <c r="P980" s="143"/>
      <c r="Q980" s="143"/>
      <c r="R980" s="143"/>
      <c r="S980" s="80"/>
      <c r="T980" s="80"/>
      <c r="U980" s="80"/>
      <c r="V980" s="80"/>
      <c r="W980" s="80"/>
      <c r="X980" s="80"/>
      <c r="Y980" s="80"/>
      <c r="Z980" s="80"/>
      <c r="AA980" s="80"/>
      <c r="AB980" s="80"/>
    </row>
    <row r="981" spans="1:28" ht="15.75">
      <c r="A981" s="80"/>
      <c r="B981" s="80"/>
      <c r="C981" s="80"/>
      <c r="D981" s="80"/>
      <c r="E981" s="80"/>
      <c r="F981" s="80"/>
      <c r="G981" s="80"/>
      <c r="H981" s="80"/>
      <c r="I981" s="80"/>
      <c r="J981" s="80"/>
      <c r="K981" s="80"/>
      <c r="L981" s="80"/>
      <c r="M981" s="80"/>
      <c r="N981" s="143"/>
      <c r="O981" s="143"/>
      <c r="P981" s="143"/>
      <c r="Q981" s="143"/>
      <c r="R981" s="143"/>
      <c r="S981" s="80"/>
      <c r="T981" s="80"/>
      <c r="U981" s="80"/>
      <c r="V981" s="80"/>
      <c r="W981" s="80"/>
      <c r="X981" s="80"/>
      <c r="Y981" s="80"/>
      <c r="Z981" s="80"/>
      <c r="AA981" s="80"/>
      <c r="AB981" s="80"/>
    </row>
    <row r="982" spans="1:28" ht="15.75">
      <c r="A982" s="80"/>
      <c r="B982" s="80"/>
      <c r="C982" s="80"/>
      <c r="D982" s="80"/>
      <c r="E982" s="80"/>
      <c r="F982" s="80"/>
      <c r="G982" s="80"/>
      <c r="H982" s="80"/>
      <c r="I982" s="80"/>
      <c r="J982" s="80"/>
      <c r="K982" s="80"/>
      <c r="L982" s="80"/>
      <c r="M982" s="80"/>
      <c r="N982" s="143"/>
      <c r="O982" s="143"/>
      <c r="P982" s="143"/>
      <c r="Q982" s="143"/>
      <c r="R982" s="143"/>
      <c r="S982" s="80"/>
      <c r="T982" s="80"/>
      <c r="U982" s="80"/>
      <c r="V982" s="80"/>
      <c r="W982" s="80"/>
      <c r="X982" s="80"/>
      <c r="Y982" s="80"/>
      <c r="Z982" s="80"/>
      <c r="AA982" s="80"/>
      <c r="AB982" s="80"/>
    </row>
    <row r="983" spans="1:28" ht="15.75">
      <c r="A983" s="80"/>
      <c r="B983" s="80"/>
      <c r="C983" s="80"/>
      <c r="D983" s="80"/>
      <c r="E983" s="80"/>
      <c r="F983" s="80"/>
      <c r="G983" s="80"/>
      <c r="H983" s="80"/>
      <c r="I983" s="80"/>
      <c r="J983" s="80"/>
      <c r="K983" s="80"/>
      <c r="L983" s="80"/>
      <c r="M983" s="80"/>
      <c r="N983" s="143"/>
      <c r="O983" s="143"/>
      <c r="P983" s="143"/>
      <c r="Q983" s="143"/>
      <c r="R983" s="143"/>
      <c r="S983" s="80"/>
      <c r="T983" s="80"/>
      <c r="U983" s="80"/>
      <c r="V983" s="80"/>
      <c r="W983" s="80"/>
      <c r="X983" s="80"/>
      <c r="Y983" s="80"/>
      <c r="Z983" s="80"/>
      <c r="AA983" s="80"/>
      <c r="AB983" s="80"/>
    </row>
    <row r="984" spans="1:28" ht="15.75">
      <c r="A984" s="80"/>
      <c r="B984" s="80"/>
      <c r="C984" s="80"/>
      <c r="D984" s="80"/>
      <c r="E984" s="80"/>
      <c r="F984" s="80"/>
      <c r="G984" s="80"/>
      <c r="H984" s="80"/>
      <c r="I984" s="80"/>
      <c r="J984" s="80"/>
      <c r="K984" s="80"/>
      <c r="L984" s="80"/>
      <c r="M984" s="80"/>
      <c r="N984" s="143"/>
      <c r="O984" s="143"/>
      <c r="P984" s="143"/>
      <c r="Q984" s="143"/>
      <c r="R984" s="143"/>
      <c r="S984" s="80"/>
      <c r="T984" s="80"/>
      <c r="U984" s="80"/>
      <c r="V984" s="80"/>
      <c r="W984" s="80"/>
      <c r="X984" s="80"/>
      <c r="Y984" s="80"/>
      <c r="Z984" s="80"/>
      <c r="AA984" s="80"/>
      <c r="AB984" s="80"/>
    </row>
    <row r="985" spans="1:28" ht="15.75">
      <c r="A985" s="80"/>
      <c r="B985" s="80"/>
      <c r="C985" s="80"/>
      <c r="D985" s="80"/>
      <c r="E985" s="80"/>
      <c r="F985" s="80"/>
      <c r="G985" s="80"/>
      <c r="H985" s="80"/>
      <c r="I985" s="80"/>
      <c r="J985" s="80"/>
      <c r="K985" s="80"/>
      <c r="L985" s="80"/>
      <c r="M985" s="80"/>
      <c r="N985" s="143"/>
      <c r="O985" s="143"/>
      <c r="P985" s="143"/>
      <c r="Q985" s="143"/>
      <c r="R985" s="143"/>
      <c r="S985" s="80"/>
      <c r="T985" s="80"/>
      <c r="U985" s="80"/>
      <c r="V985" s="80"/>
      <c r="W985" s="80"/>
      <c r="X985" s="80"/>
      <c r="Y985" s="80"/>
      <c r="Z985" s="80"/>
      <c r="AA985" s="80"/>
      <c r="AB985" s="80"/>
    </row>
    <row r="986" spans="1:28" ht="15.75">
      <c r="A986" s="80"/>
      <c r="B986" s="80"/>
      <c r="C986" s="80"/>
      <c r="D986" s="80"/>
      <c r="E986" s="80"/>
      <c r="F986" s="80"/>
      <c r="G986" s="80"/>
      <c r="H986" s="80"/>
      <c r="I986" s="80"/>
      <c r="J986" s="80"/>
      <c r="K986" s="80"/>
      <c r="L986" s="80"/>
      <c r="M986" s="80"/>
      <c r="N986" s="143"/>
      <c r="O986" s="143"/>
      <c r="P986" s="143"/>
      <c r="Q986" s="143"/>
      <c r="R986" s="143"/>
      <c r="S986" s="80"/>
      <c r="T986" s="80"/>
      <c r="U986" s="80"/>
      <c r="V986" s="80"/>
      <c r="W986" s="80"/>
      <c r="X986" s="80"/>
      <c r="Y986" s="80"/>
      <c r="Z986" s="80"/>
      <c r="AA986" s="80"/>
      <c r="AB986" s="80"/>
    </row>
    <row r="987" spans="1:28" ht="15.75">
      <c r="A987" s="80"/>
      <c r="B987" s="80"/>
      <c r="C987" s="80"/>
      <c r="D987" s="80"/>
      <c r="E987" s="80"/>
      <c r="F987" s="80"/>
      <c r="G987" s="80"/>
      <c r="H987" s="80"/>
      <c r="I987" s="80"/>
      <c r="J987" s="80"/>
      <c r="K987" s="80"/>
      <c r="L987" s="80"/>
      <c r="M987" s="80"/>
      <c r="N987" s="143"/>
      <c r="O987" s="143"/>
      <c r="P987" s="143"/>
      <c r="Q987" s="143"/>
      <c r="R987" s="143"/>
      <c r="S987" s="80"/>
      <c r="T987" s="80"/>
      <c r="U987" s="80"/>
      <c r="V987" s="80"/>
      <c r="W987" s="80"/>
      <c r="X987" s="80"/>
      <c r="Y987" s="80"/>
      <c r="Z987" s="80"/>
      <c r="AA987" s="80"/>
      <c r="AB987" s="80"/>
    </row>
    <row r="988" spans="1:28" ht="15.75">
      <c r="A988" s="80"/>
      <c r="B988" s="80"/>
      <c r="C988" s="80"/>
      <c r="D988" s="80"/>
      <c r="E988" s="80"/>
      <c r="F988" s="80"/>
      <c r="G988" s="80"/>
      <c r="H988" s="80"/>
      <c r="I988" s="80"/>
      <c r="J988" s="80"/>
      <c r="K988" s="80"/>
      <c r="L988" s="80"/>
      <c r="M988" s="80"/>
      <c r="N988" s="143"/>
      <c r="O988" s="143"/>
      <c r="P988" s="143"/>
      <c r="Q988" s="143"/>
      <c r="R988" s="143"/>
      <c r="S988" s="80"/>
      <c r="T988" s="80"/>
      <c r="U988" s="80"/>
      <c r="V988" s="80"/>
      <c r="W988" s="80"/>
      <c r="X988" s="80"/>
      <c r="Y988" s="80"/>
      <c r="Z988" s="80"/>
      <c r="AA988" s="80"/>
      <c r="AB988" s="80"/>
    </row>
    <row r="989" spans="1:28" ht="15.75">
      <c r="A989" s="80"/>
      <c r="B989" s="80"/>
      <c r="C989" s="80"/>
      <c r="D989" s="80"/>
      <c r="E989" s="80"/>
      <c r="F989" s="80"/>
      <c r="G989" s="80"/>
      <c r="H989" s="80"/>
      <c r="I989" s="80"/>
      <c r="J989" s="80"/>
      <c r="K989" s="80"/>
      <c r="L989" s="80"/>
      <c r="M989" s="80"/>
      <c r="N989" s="143"/>
      <c r="O989" s="143"/>
      <c r="P989" s="143"/>
      <c r="Q989" s="143"/>
      <c r="R989" s="143"/>
      <c r="S989" s="80"/>
      <c r="T989" s="80"/>
      <c r="U989" s="80"/>
      <c r="V989" s="80"/>
      <c r="W989" s="80"/>
      <c r="X989" s="80"/>
      <c r="Y989" s="80"/>
      <c r="Z989" s="80"/>
      <c r="AA989" s="80"/>
      <c r="AB989" s="80"/>
    </row>
    <row r="990" spans="1:28" ht="15.75">
      <c r="A990" s="80"/>
      <c r="B990" s="80"/>
      <c r="C990" s="80"/>
      <c r="D990" s="80"/>
      <c r="E990" s="80"/>
      <c r="F990" s="80"/>
      <c r="G990" s="80"/>
      <c r="H990" s="80"/>
      <c r="I990" s="80"/>
      <c r="J990" s="80"/>
      <c r="K990" s="80"/>
      <c r="L990" s="80"/>
      <c r="M990" s="80"/>
      <c r="N990" s="143"/>
      <c r="O990" s="143"/>
      <c r="P990" s="143"/>
      <c r="Q990" s="143"/>
      <c r="R990" s="143"/>
      <c r="S990" s="80"/>
      <c r="T990" s="80"/>
      <c r="U990" s="80"/>
      <c r="V990" s="80"/>
      <c r="W990" s="80"/>
      <c r="X990" s="80"/>
      <c r="Y990" s="80"/>
      <c r="Z990" s="80"/>
      <c r="AA990" s="80"/>
      <c r="AB990" s="80"/>
    </row>
    <row r="991" spans="1:28" ht="15.75">
      <c r="A991" s="80"/>
      <c r="B991" s="80"/>
      <c r="C991" s="80"/>
      <c r="D991" s="80"/>
      <c r="E991" s="80"/>
      <c r="F991" s="80"/>
      <c r="G991" s="80"/>
      <c r="H991" s="80"/>
      <c r="I991" s="80"/>
      <c r="J991" s="80"/>
      <c r="K991" s="80"/>
      <c r="L991" s="80"/>
      <c r="M991" s="80"/>
      <c r="N991" s="143"/>
      <c r="O991" s="143"/>
      <c r="P991" s="143"/>
      <c r="Q991" s="143"/>
      <c r="R991" s="143"/>
      <c r="S991" s="80"/>
      <c r="T991" s="80"/>
      <c r="U991" s="80"/>
      <c r="V991" s="80"/>
      <c r="W991" s="80"/>
      <c r="X991" s="80"/>
      <c r="Y991" s="80"/>
      <c r="Z991" s="80"/>
      <c r="AA991" s="80"/>
      <c r="AB991" s="80"/>
    </row>
    <row r="992" spans="1:28" ht="15.75">
      <c r="A992" s="80"/>
      <c r="B992" s="80"/>
      <c r="C992" s="80"/>
      <c r="D992" s="80"/>
      <c r="E992" s="80"/>
      <c r="F992" s="80"/>
      <c r="G992" s="80"/>
      <c r="H992" s="80"/>
      <c r="I992" s="80"/>
      <c r="J992" s="80"/>
      <c r="K992" s="80"/>
      <c r="L992" s="80"/>
      <c r="M992" s="80"/>
      <c r="N992" s="143"/>
      <c r="O992" s="143"/>
      <c r="P992" s="143"/>
      <c r="Q992" s="143"/>
      <c r="R992" s="143"/>
      <c r="S992" s="80"/>
      <c r="T992" s="80"/>
      <c r="U992" s="80"/>
      <c r="V992" s="80"/>
      <c r="W992" s="80"/>
      <c r="X992" s="80"/>
      <c r="Y992" s="80"/>
      <c r="Z992" s="80"/>
      <c r="AA992" s="80"/>
      <c r="AB992" s="80"/>
    </row>
    <row r="993" spans="1:28" ht="15.75">
      <c r="A993" s="80"/>
      <c r="B993" s="80"/>
      <c r="C993" s="80"/>
      <c r="D993" s="80"/>
      <c r="E993" s="80"/>
      <c r="F993" s="80"/>
      <c r="G993" s="80"/>
      <c r="H993" s="80"/>
      <c r="I993" s="80"/>
      <c r="J993" s="80"/>
      <c r="K993" s="80"/>
      <c r="L993" s="80"/>
      <c r="M993" s="80"/>
      <c r="N993" s="143"/>
      <c r="O993" s="143"/>
      <c r="P993" s="143"/>
      <c r="Q993" s="143"/>
      <c r="R993" s="143"/>
      <c r="S993" s="80"/>
      <c r="T993" s="80"/>
      <c r="U993" s="80"/>
      <c r="V993" s="80"/>
      <c r="W993" s="80"/>
      <c r="X993" s="80"/>
      <c r="Y993" s="80"/>
      <c r="Z993" s="80"/>
      <c r="AA993" s="80"/>
      <c r="AB993" s="80"/>
    </row>
    <row r="994" spans="1:28" ht="15.75">
      <c r="A994" s="80"/>
      <c r="B994" s="80"/>
      <c r="C994" s="80"/>
      <c r="D994" s="80"/>
      <c r="E994" s="80"/>
      <c r="F994" s="80"/>
      <c r="G994" s="80"/>
      <c r="H994" s="80"/>
      <c r="I994" s="80"/>
      <c r="J994" s="80"/>
      <c r="K994" s="80"/>
      <c r="L994" s="80"/>
      <c r="M994" s="80"/>
      <c r="N994" s="143"/>
      <c r="O994" s="143"/>
      <c r="P994" s="143"/>
      <c r="Q994" s="143"/>
      <c r="R994" s="143"/>
      <c r="S994" s="80"/>
      <c r="T994" s="80"/>
      <c r="U994" s="80"/>
      <c r="V994" s="80"/>
      <c r="W994" s="80"/>
      <c r="X994" s="80"/>
      <c r="Y994" s="80"/>
      <c r="Z994" s="80"/>
      <c r="AA994" s="80"/>
      <c r="AB994" s="80"/>
    </row>
    <row r="995" spans="1:28" ht="15.75">
      <c r="A995" s="80"/>
      <c r="B995" s="80"/>
      <c r="C995" s="80"/>
      <c r="D995" s="80"/>
      <c r="E995" s="80"/>
      <c r="F995" s="80"/>
      <c r="G995" s="80"/>
      <c r="H995" s="80"/>
      <c r="I995" s="80"/>
      <c r="J995" s="80"/>
      <c r="K995" s="80"/>
      <c r="L995" s="80"/>
      <c r="M995" s="80"/>
      <c r="N995" s="143"/>
      <c r="O995" s="143"/>
      <c r="P995" s="143"/>
      <c r="Q995" s="143"/>
      <c r="R995" s="143"/>
      <c r="S995" s="80"/>
      <c r="T995" s="80"/>
      <c r="U995" s="80"/>
      <c r="V995" s="80"/>
      <c r="W995" s="80"/>
      <c r="X995" s="80"/>
      <c r="Y995" s="80"/>
      <c r="Z995" s="80"/>
      <c r="AA995" s="80"/>
      <c r="AB995" s="80"/>
    </row>
    <row r="996" spans="1:28" ht="15.75">
      <c r="A996" s="80"/>
      <c r="B996" s="80"/>
      <c r="C996" s="80"/>
      <c r="D996" s="80"/>
      <c r="E996" s="80"/>
      <c r="F996" s="80"/>
      <c r="G996" s="80"/>
      <c r="H996" s="80"/>
      <c r="I996" s="80"/>
      <c r="J996" s="80"/>
      <c r="K996" s="80"/>
      <c r="L996" s="80"/>
      <c r="M996" s="80"/>
      <c r="N996" s="143"/>
      <c r="O996" s="143"/>
      <c r="P996" s="143"/>
      <c r="Q996" s="143"/>
      <c r="R996" s="143"/>
      <c r="S996" s="80"/>
      <c r="T996" s="80"/>
      <c r="U996" s="80"/>
      <c r="V996" s="80"/>
      <c r="W996" s="80"/>
      <c r="X996" s="80"/>
      <c r="Y996" s="80"/>
      <c r="Z996" s="80"/>
      <c r="AA996" s="80"/>
      <c r="AB996" s="80"/>
    </row>
    <row r="997" spans="1:28" ht="15.75">
      <c r="A997" s="80"/>
      <c r="B997" s="80"/>
      <c r="C997" s="80"/>
      <c r="D997" s="80"/>
      <c r="E997" s="80"/>
      <c r="F997" s="80"/>
      <c r="G997" s="80"/>
      <c r="H997" s="80"/>
      <c r="I997" s="80"/>
      <c r="J997" s="80"/>
      <c r="K997" s="80"/>
      <c r="L997" s="80"/>
      <c r="M997" s="80"/>
      <c r="N997" s="143"/>
      <c r="O997" s="143"/>
      <c r="P997" s="143"/>
      <c r="Q997" s="143"/>
      <c r="R997" s="143"/>
      <c r="S997" s="80"/>
      <c r="T997" s="80"/>
      <c r="U997" s="80"/>
      <c r="V997" s="80"/>
      <c r="W997" s="80"/>
      <c r="X997" s="80"/>
      <c r="Y997" s="80"/>
      <c r="Z997" s="80"/>
      <c r="AA997" s="80"/>
      <c r="AB997" s="80"/>
    </row>
    <row r="998" spans="1:28" ht="15.75">
      <c r="A998" s="80"/>
      <c r="B998" s="80"/>
      <c r="C998" s="80"/>
      <c r="D998" s="80"/>
      <c r="E998" s="80"/>
      <c r="F998" s="80"/>
      <c r="G998" s="80"/>
      <c r="H998" s="80"/>
      <c r="I998" s="80"/>
      <c r="J998" s="80"/>
      <c r="K998" s="80"/>
      <c r="L998" s="80"/>
      <c r="M998" s="80"/>
      <c r="N998" s="143"/>
      <c r="O998" s="143"/>
      <c r="P998" s="143"/>
      <c r="Q998" s="143"/>
      <c r="R998" s="143"/>
      <c r="S998" s="80"/>
      <c r="T998" s="80"/>
      <c r="U998" s="80"/>
      <c r="V998" s="80"/>
      <c r="W998" s="80"/>
      <c r="X998" s="80"/>
      <c r="Y998" s="80"/>
      <c r="Z998" s="80"/>
      <c r="AA998" s="80"/>
      <c r="AB998" s="80"/>
    </row>
    <row r="999" spans="1:28" ht="15.75">
      <c r="A999" s="80"/>
      <c r="B999" s="80"/>
      <c r="C999" s="80"/>
      <c r="D999" s="80"/>
      <c r="E999" s="80"/>
      <c r="F999" s="80"/>
      <c r="G999" s="80"/>
      <c r="H999" s="80"/>
      <c r="I999" s="80"/>
      <c r="J999" s="80"/>
      <c r="K999" s="80"/>
      <c r="L999" s="80"/>
      <c r="M999" s="80"/>
      <c r="N999" s="143"/>
      <c r="O999" s="143"/>
      <c r="P999" s="143"/>
      <c r="Q999" s="143"/>
      <c r="R999" s="143"/>
      <c r="S999" s="80"/>
      <c r="T999" s="80"/>
      <c r="U999" s="80"/>
      <c r="V999" s="80"/>
      <c r="W999" s="80"/>
      <c r="X999" s="80"/>
      <c r="Y999" s="80"/>
      <c r="Z999" s="80"/>
      <c r="AA999" s="80"/>
      <c r="AB999" s="80"/>
    </row>
    <row r="1000" spans="1:28" ht="15.75">
      <c r="A1000" s="80"/>
      <c r="B1000" s="80"/>
      <c r="C1000" s="80"/>
      <c r="D1000" s="80"/>
      <c r="E1000" s="80"/>
      <c r="F1000" s="80"/>
      <c r="G1000" s="80"/>
      <c r="H1000" s="80"/>
      <c r="I1000" s="80"/>
      <c r="J1000" s="80"/>
      <c r="K1000" s="80"/>
      <c r="L1000" s="80"/>
      <c r="M1000" s="80"/>
      <c r="N1000" s="143"/>
      <c r="O1000" s="143"/>
      <c r="P1000" s="143"/>
      <c r="Q1000" s="143"/>
      <c r="R1000" s="143"/>
      <c r="S1000" s="80"/>
      <c r="T1000" s="80"/>
      <c r="U1000" s="80"/>
      <c r="V1000" s="80"/>
      <c r="W1000" s="80"/>
      <c r="X1000" s="80"/>
      <c r="Y1000" s="80"/>
      <c r="Z1000" s="80"/>
      <c r="AA1000" s="80"/>
      <c r="AB1000" s="80"/>
    </row>
    <row r="1001" spans="1:28" ht="15.75">
      <c r="A1001" s="80"/>
      <c r="B1001" s="80"/>
      <c r="C1001" s="80"/>
      <c r="D1001" s="80"/>
      <c r="E1001" s="80"/>
      <c r="F1001" s="80"/>
      <c r="G1001" s="80"/>
      <c r="H1001" s="80"/>
      <c r="I1001" s="80"/>
      <c r="J1001" s="80"/>
      <c r="K1001" s="80"/>
      <c r="L1001" s="80"/>
      <c r="M1001" s="80"/>
      <c r="N1001" s="143"/>
      <c r="O1001" s="143"/>
      <c r="P1001" s="143"/>
      <c r="Q1001" s="143"/>
      <c r="R1001" s="143"/>
      <c r="S1001" s="80"/>
      <c r="T1001" s="80"/>
      <c r="U1001" s="80"/>
      <c r="V1001" s="80"/>
      <c r="W1001" s="80"/>
      <c r="X1001" s="80"/>
      <c r="Y1001" s="80"/>
      <c r="Z1001" s="80"/>
      <c r="AA1001" s="80"/>
      <c r="AB1001" s="80"/>
    </row>
  </sheetData>
  <hyperlinks>
    <hyperlink ref="T123" r:id="rId1"/>
    <hyperlink ref="U168" r:id="rId2"/>
    <hyperlink ref="A1" location="Index!A1" display="Index!A1"/>
  </hyperlinks>
  <pageMargins left="0.7" right="0.7" top="0.75" bottom="0.75" header="0.3" footer="0.3"/>
  <ignoredErrors>
    <ignoredError sqref="Q27:R27" formulaRange="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A9999"/>
  </sheetPr>
  <dimension ref="A1:AE973"/>
  <sheetViews>
    <sheetView workbookViewId="0">
      <selection activeCell="B14" sqref="B14"/>
    </sheetView>
  </sheetViews>
  <sheetFormatPr defaultColWidth="14.33203125" defaultRowHeight="14.25"/>
  <cols>
    <col min="1" max="1" width="37.1328125" customWidth="1"/>
    <col min="2" max="2" width="23.33203125" customWidth="1"/>
    <col min="3" max="3" width="18.33203125" customWidth="1"/>
    <col min="4" max="4" width="6.6640625" customWidth="1"/>
    <col min="5" max="5" width="33.33203125" customWidth="1"/>
    <col min="6" max="6" width="12.33203125" customWidth="1"/>
    <col min="7" max="7" width="11.6640625" customWidth="1"/>
    <col min="8" max="8" width="10.33203125" customWidth="1"/>
    <col min="9" max="9" width="10.1328125" customWidth="1"/>
    <col min="10" max="10" width="9.796875" customWidth="1"/>
    <col min="11" max="11" width="10.33203125" customWidth="1"/>
    <col min="12" max="12" width="18.33203125" customWidth="1"/>
    <col min="13" max="13" width="9.1328125" customWidth="1"/>
    <col min="14" max="14" width="45.33203125" customWidth="1"/>
    <col min="15" max="15" width="15.796875" customWidth="1"/>
    <col min="16" max="16" width="6.33203125" customWidth="1"/>
    <col min="17" max="17" width="25.6640625" customWidth="1"/>
    <col min="18" max="18" width="26.33203125" customWidth="1"/>
    <col min="19" max="19" width="32.33203125" customWidth="1"/>
    <col min="20" max="20" width="33.6640625" customWidth="1"/>
    <col min="21" max="21" width="20.33203125" customWidth="1"/>
    <col min="22" max="22" width="16.33203125" customWidth="1"/>
    <col min="23" max="23" width="31.6640625" customWidth="1"/>
    <col min="24" max="24" width="22" customWidth="1"/>
    <col min="25" max="31" width="8.796875" customWidth="1"/>
  </cols>
  <sheetData>
    <row r="1" spans="1:31" s="739" customFormat="1">
      <c r="A1" s="765" t="s">
        <v>0</v>
      </c>
    </row>
    <row r="2" spans="1:31" ht="15.75">
      <c r="A2" s="148" t="s">
        <v>144</v>
      </c>
      <c r="B2" s="150">
        <v>220000000000</v>
      </c>
      <c r="C2" s="151"/>
      <c r="D2" s="152"/>
      <c r="E2" s="152"/>
      <c r="F2" s="152"/>
      <c r="G2" s="152"/>
      <c r="H2" s="152"/>
      <c r="I2" s="152"/>
      <c r="J2" s="152"/>
      <c r="K2" s="152"/>
      <c r="L2" s="152"/>
      <c r="M2" s="1322" t="s">
        <v>148</v>
      </c>
      <c r="N2" s="1297"/>
      <c r="O2" s="140"/>
      <c r="P2" s="152"/>
      <c r="Q2" s="152"/>
      <c r="R2" s="152"/>
      <c r="S2" s="152"/>
      <c r="T2" s="152"/>
      <c r="U2" s="152"/>
      <c r="V2" s="152"/>
      <c r="W2" s="152"/>
      <c r="X2" s="152"/>
      <c r="Y2" s="152"/>
      <c r="Z2" s="152"/>
      <c r="AA2" s="152"/>
      <c r="AB2" s="152"/>
      <c r="AC2" s="152"/>
      <c r="AD2" s="152"/>
      <c r="AE2" s="152"/>
    </row>
    <row r="3" spans="1:31" ht="15.75">
      <c r="A3" s="153" t="s">
        <v>149</v>
      </c>
      <c r="B3" s="154" t="s">
        <v>150</v>
      </c>
      <c r="C3" s="155" t="s">
        <v>151</v>
      </c>
      <c r="D3" s="152"/>
      <c r="E3" s="152"/>
      <c r="F3" s="152"/>
      <c r="G3" s="152"/>
      <c r="H3" s="152"/>
      <c r="I3" s="152"/>
      <c r="J3" s="152"/>
      <c r="K3" s="152"/>
      <c r="L3" s="152"/>
      <c r="M3" s="148" t="s">
        <v>154</v>
      </c>
      <c r="N3" s="157" t="s">
        <v>4</v>
      </c>
      <c r="O3" s="151"/>
      <c r="P3" s="159"/>
      <c r="Q3" s="152"/>
      <c r="R3" s="159"/>
      <c r="S3" s="159"/>
      <c r="T3" s="159"/>
      <c r="U3" s="159"/>
      <c r="V3" s="159"/>
      <c r="W3" s="159"/>
      <c r="X3" s="152"/>
      <c r="Y3" s="159"/>
      <c r="Z3" s="152"/>
      <c r="AA3" s="152"/>
      <c r="AB3" s="152"/>
      <c r="AC3" s="152"/>
      <c r="AD3" s="152"/>
      <c r="AE3" s="152"/>
    </row>
    <row r="4" spans="1:31" ht="15.75">
      <c r="A4" s="161" t="s">
        <v>157</v>
      </c>
      <c r="B4" s="163">
        <f t="shared" ref="B4:B22" si="0">C4*$B$2</f>
        <v>131675726600.00002</v>
      </c>
      <c r="C4" s="165">
        <f>SUM(C5:C10)</f>
        <v>0.59852603000000004</v>
      </c>
      <c r="D4" s="152"/>
      <c r="E4" s="152"/>
      <c r="F4" s="152"/>
      <c r="G4" s="152"/>
      <c r="H4" s="152"/>
      <c r="I4" s="152"/>
      <c r="J4" s="152"/>
      <c r="K4" s="152"/>
      <c r="L4" s="152"/>
      <c r="M4" s="166">
        <v>1</v>
      </c>
      <c r="N4" s="168" t="s">
        <v>163</v>
      </c>
      <c r="O4" s="933">
        <v>115000</v>
      </c>
      <c r="P4" s="169"/>
      <c r="Q4" s="169"/>
      <c r="R4" s="169"/>
      <c r="S4" s="169"/>
      <c r="T4" s="169"/>
      <c r="U4" s="170"/>
      <c r="V4" s="170"/>
      <c r="W4" s="170"/>
      <c r="X4" s="152"/>
      <c r="Y4" s="159"/>
      <c r="Z4" s="152"/>
      <c r="AA4" s="152"/>
      <c r="AB4" s="152"/>
      <c r="AC4" s="152"/>
      <c r="AD4" s="152"/>
      <c r="AE4" s="152"/>
    </row>
    <row r="5" spans="1:31" ht="15.75">
      <c r="A5" s="171" t="s">
        <v>171</v>
      </c>
      <c r="B5" s="172">
        <f t="shared" si="0"/>
        <v>53328000000</v>
      </c>
      <c r="C5" s="173">
        <v>0.2424</v>
      </c>
      <c r="D5" s="152"/>
      <c r="E5" s="152"/>
      <c r="F5" s="152"/>
      <c r="G5" s="152"/>
      <c r="H5" s="152"/>
      <c r="I5" s="152"/>
      <c r="J5" s="152"/>
      <c r="K5" s="152"/>
      <c r="L5" s="152"/>
      <c r="M5" s="174">
        <v>1</v>
      </c>
      <c r="N5" s="175" t="s">
        <v>176</v>
      </c>
      <c r="O5" s="933">
        <v>110000</v>
      </c>
      <c r="P5" s="159"/>
      <c r="Q5" s="159"/>
      <c r="R5" s="159"/>
      <c r="S5" s="176"/>
      <c r="T5" s="177"/>
      <c r="U5" s="178"/>
      <c r="V5" s="179"/>
      <c r="W5" s="180"/>
      <c r="X5" s="152"/>
      <c r="Y5" s="1321"/>
      <c r="Z5" s="1297"/>
      <c r="AA5" s="1297"/>
      <c r="AB5" s="1297"/>
      <c r="AC5" s="1297"/>
      <c r="AD5" s="1297"/>
      <c r="AE5" s="1297"/>
    </row>
    <row r="6" spans="1:31" ht="15.75">
      <c r="A6" s="182" t="s">
        <v>181</v>
      </c>
      <c r="B6" s="183">
        <f t="shared" si="0"/>
        <v>35011922000</v>
      </c>
      <c r="C6" s="184">
        <v>0.15914510000000001</v>
      </c>
      <c r="D6" s="152"/>
      <c r="E6" s="152"/>
      <c r="F6" s="152"/>
      <c r="G6" s="152"/>
      <c r="H6" s="152"/>
      <c r="I6" s="152"/>
      <c r="J6" s="152"/>
      <c r="K6" s="152"/>
      <c r="L6" s="152"/>
      <c r="M6" s="174">
        <v>1</v>
      </c>
      <c r="N6" s="168" t="s">
        <v>185</v>
      </c>
      <c r="O6" s="933">
        <v>85000</v>
      </c>
      <c r="P6" s="159"/>
      <c r="Q6" s="159"/>
      <c r="R6" s="159"/>
      <c r="S6" s="176"/>
      <c r="T6" s="177"/>
      <c r="U6" s="159"/>
      <c r="V6" s="179"/>
      <c r="W6" s="159"/>
      <c r="X6" s="152"/>
      <c r="Y6" s="185"/>
      <c r="Z6" s="186"/>
      <c r="AA6" s="186"/>
      <c r="AB6" s="186"/>
      <c r="AC6" s="186"/>
      <c r="AD6" s="186"/>
      <c r="AE6" s="186"/>
    </row>
    <row r="7" spans="1:31" ht="15.75">
      <c r="A7" s="182" t="s">
        <v>186</v>
      </c>
      <c r="B7" s="183">
        <f t="shared" si="0"/>
        <v>18326000000</v>
      </c>
      <c r="C7" s="184">
        <v>8.3299999999999999E-2</v>
      </c>
      <c r="D7" s="152"/>
      <c r="E7" s="152"/>
      <c r="F7" s="152"/>
      <c r="G7" s="152"/>
      <c r="H7" s="152"/>
      <c r="I7" s="152"/>
      <c r="J7" s="152"/>
      <c r="K7" s="152"/>
      <c r="L7" s="152"/>
      <c r="M7" s="174">
        <v>1</v>
      </c>
      <c r="N7" s="175" t="s">
        <v>187</v>
      </c>
      <c r="O7" s="933">
        <v>97500</v>
      </c>
      <c r="P7" s="159"/>
      <c r="Q7" s="159"/>
      <c r="R7" s="159"/>
      <c r="S7" s="159"/>
      <c r="T7" s="177"/>
      <c r="U7" s="159"/>
      <c r="V7" s="179"/>
      <c r="W7" s="159"/>
      <c r="X7" s="159"/>
      <c r="Y7" s="185"/>
      <c r="Z7" s="189"/>
      <c r="AA7" s="189"/>
      <c r="AB7" s="189"/>
      <c r="AC7" s="189"/>
      <c r="AD7" s="189"/>
      <c r="AE7" s="189"/>
    </row>
    <row r="8" spans="1:31" ht="15.75">
      <c r="A8" s="182" t="s">
        <v>188</v>
      </c>
      <c r="B8" s="183">
        <f t="shared" si="0"/>
        <v>11677804600</v>
      </c>
      <c r="C8" s="184">
        <v>5.3080929999999998E-2</v>
      </c>
      <c r="D8" s="152"/>
      <c r="E8" s="152"/>
      <c r="F8" s="152"/>
      <c r="G8" s="152"/>
      <c r="H8" s="152"/>
      <c r="I8" s="152"/>
      <c r="J8" s="152"/>
      <c r="K8" s="152"/>
      <c r="L8" s="152"/>
      <c r="M8" s="174">
        <v>1</v>
      </c>
      <c r="N8" s="168" t="s">
        <v>189</v>
      </c>
      <c r="O8" s="933">
        <v>56000</v>
      </c>
      <c r="P8" s="159"/>
      <c r="Q8" s="152"/>
      <c r="R8" s="159"/>
      <c r="S8" s="159"/>
      <c r="T8" s="177"/>
      <c r="U8" s="159"/>
      <c r="V8" s="179"/>
      <c r="W8" s="159"/>
      <c r="X8" s="159"/>
      <c r="Y8" s="185"/>
      <c r="Z8" s="159"/>
      <c r="AA8" s="159"/>
      <c r="AB8" s="159"/>
      <c r="AC8" s="159"/>
      <c r="AD8" s="159"/>
      <c r="AE8" s="159"/>
    </row>
    <row r="9" spans="1:31" ht="15.75">
      <c r="A9" s="192" t="s">
        <v>190</v>
      </c>
      <c r="B9" s="183">
        <f t="shared" si="0"/>
        <v>8338000000.000001</v>
      </c>
      <c r="C9" s="194">
        <v>3.7900000000000003E-2</v>
      </c>
      <c r="D9" s="152"/>
      <c r="E9" s="152"/>
      <c r="F9" s="152"/>
      <c r="G9" s="152"/>
      <c r="H9" s="152"/>
      <c r="I9" s="152"/>
      <c r="J9" s="152"/>
      <c r="K9" s="152"/>
      <c r="L9" s="152"/>
      <c r="M9" s="174">
        <v>2</v>
      </c>
      <c r="N9" s="195" t="s">
        <v>192</v>
      </c>
      <c r="O9" s="933">
        <f>34780*2</f>
        <v>69560</v>
      </c>
      <c r="P9" s="169"/>
      <c r="Q9" s="169"/>
      <c r="R9" s="169"/>
      <c r="S9" s="169"/>
      <c r="T9" s="196"/>
      <c r="U9" s="170"/>
      <c r="V9" s="198"/>
      <c r="W9" s="170"/>
      <c r="X9" s="159"/>
      <c r="Y9" s="159"/>
      <c r="Z9" s="159"/>
      <c r="AA9" s="159"/>
      <c r="AB9" s="159"/>
      <c r="AC9" s="159"/>
      <c r="AD9" s="159"/>
      <c r="AE9" s="152"/>
    </row>
    <row r="10" spans="1:31" ht="15.75">
      <c r="A10" s="200" t="s">
        <v>193</v>
      </c>
      <c r="B10" s="202">
        <f t="shared" si="0"/>
        <v>4994000000</v>
      </c>
      <c r="C10" s="203">
        <v>2.2700000000000001E-2</v>
      </c>
      <c r="D10" s="152"/>
      <c r="E10" s="152"/>
      <c r="F10" s="152"/>
      <c r="G10" s="152"/>
      <c r="H10" s="152"/>
      <c r="I10" s="152"/>
      <c r="J10" s="152"/>
      <c r="K10" s="152"/>
      <c r="L10" s="152"/>
      <c r="M10" s="174">
        <v>1</v>
      </c>
      <c r="N10" s="175" t="s">
        <v>196</v>
      </c>
      <c r="O10" s="937">
        <f>50*0.1*'Avg. Weighted Manufacturer''s Pr'!H23</f>
        <v>31195</v>
      </c>
      <c r="P10" s="159"/>
      <c r="Q10" s="159"/>
      <c r="R10" s="159"/>
      <c r="S10" s="176"/>
      <c r="T10" s="177"/>
      <c r="U10" s="178"/>
      <c r="V10" s="179"/>
      <c r="W10" s="180"/>
      <c r="X10" s="159"/>
      <c r="Y10" s="159"/>
      <c r="Z10" s="159"/>
      <c r="AA10" s="159"/>
      <c r="AB10" s="159"/>
      <c r="AC10" s="159"/>
      <c r="AD10" s="159"/>
      <c r="AE10" s="178"/>
    </row>
    <row r="11" spans="1:31" ht="15.75">
      <c r="A11" s="209" t="s">
        <v>198</v>
      </c>
      <c r="B11" s="210">
        <f t="shared" si="0"/>
        <v>11074800000</v>
      </c>
      <c r="C11" s="211">
        <f>SUM(C12:C19)</f>
        <v>5.0339999999999996E-2</v>
      </c>
      <c r="D11" s="152"/>
      <c r="E11" s="152"/>
      <c r="F11" s="152"/>
      <c r="G11" s="152"/>
      <c r="H11" s="152"/>
      <c r="I11" s="152"/>
      <c r="J11" s="152"/>
      <c r="K11" s="152"/>
      <c r="L11" s="186"/>
      <c r="M11" s="213">
        <f>SUM(M4:M10)</f>
        <v>8</v>
      </c>
      <c r="N11" s="148" t="s">
        <v>202</v>
      </c>
      <c r="O11" s="934">
        <f>SUM(O4:O10)</f>
        <v>564255</v>
      </c>
      <c r="P11" s="159"/>
      <c r="Q11" s="159"/>
      <c r="R11" s="159"/>
      <c r="S11" s="176"/>
      <c r="T11" s="177"/>
      <c r="U11" s="159"/>
      <c r="V11" s="179"/>
      <c r="W11" s="159"/>
      <c r="X11" s="159"/>
      <c r="Y11" s="159"/>
      <c r="Z11" s="159"/>
      <c r="AA11" s="159"/>
      <c r="AB11" s="159"/>
      <c r="AC11" s="159"/>
      <c r="AD11" s="159"/>
      <c r="AE11" s="152"/>
    </row>
    <row r="12" spans="1:31" ht="15.75">
      <c r="A12" s="171" t="s">
        <v>205</v>
      </c>
      <c r="B12" s="172">
        <f t="shared" si="0"/>
        <v>1979999999.9999998</v>
      </c>
      <c r="C12" s="173">
        <v>8.9999999999999993E-3</v>
      </c>
      <c r="D12" s="152"/>
      <c r="E12" s="152"/>
      <c r="F12" s="152"/>
      <c r="G12" s="152"/>
      <c r="H12" s="152"/>
      <c r="I12" s="152"/>
      <c r="J12" s="152"/>
      <c r="K12" s="152"/>
      <c r="L12" s="215"/>
      <c r="M12" s="217"/>
      <c r="N12" s="152"/>
      <c r="O12" s="152"/>
      <c r="P12" s="159"/>
      <c r="Q12" s="159"/>
      <c r="R12" s="159"/>
      <c r="S12" s="159"/>
      <c r="T12" s="177"/>
      <c r="U12" s="159"/>
      <c r="V12" s="179"/>
      <c r="W12" s="159"/>
      <c r="X12" s="159"/>
      <c r="Y12" s="178"/>
      <c r="Z12" s="178"/>
      <c r="AA12" s="178"/>
      <c r="AB12" s="178"/>
      <c r="AC12" s="178"/>
      <c r="AD12" s="178"/>
      <c r="AE12" s="178"/>
    </row>
    <row r="13" spans="1:31" ht="15.75">
      <c r="A13" s="192" t="s">
        <v>212</v>
      </c>
      <c r="B13" s="183">
        <f t="shared" si="0"/>
        <v>2772000000</v>
      </c>
      <c r="C13" s="184">
        <v>1.26E-2</v>
      </c>
      <c r="D13" s="152"/>
      <c r="E13" s="152"/>
      <c r="F13" s="152"/>
      <c r="G13" s="152"/>
      <c r="H13" s="152"/>
      <c r="I13" s="152"/>
      <c r="J13" s="152"/>
      <c r="K13" s="152"/>
      <c r="L13" s="186"/>
      <c r="M13" s="148" t="s">
        <v>154</v>
      </c>
      <c r="N13" s="157" t="s">
        <v>61</v>
      </c>
      <c r="O13" s="157"/>
      <c r="P13" s="218"/>
      <c r="Q13" s="218"/>
      <c r="R13" s="218"/>
      <c r="S13" s="218"/>
      <c r="T13" s="177"/>
      <c r="U13" s="159"/>
      <c r="V13" s="179"/>
      <c r="W13" s="159"/>
      <c r="X13" s="159"/>
      <c r="Y13" s="152"/>
      <c r="Z13" s="152"/>
      <c r="AA13" s="152"/>
      <c r="AB13" s="152"/>
      <c r="AC13" s="152"/>
      <c r="AD13" s="152"/>
      <c r="AE13" s="152"/>
    </row>
    <row r="14" spans="1:31" ht="15.75">
      <c r="A14" s="192" t="s">
        <v>215</v>
      </c>
      <c r="B14" s="183">
        <f t="shared" si="0"/>
        <v>682000000</v>
      </c>
      <c r="C14" s="184">
        <v>3.0999999999999999E-3</v>
      </c>
      <c r="D14" s="152"/>
      <c r="E14" s="152"/>
      <c r="F14" s="152"/>
      <c r="G14" s="152"/>
      <c r="H14" s="152"/>
      <c r="I14" s="152"/>
      <c r="J14" s="152"/>
      <c r="K14" s="152"/>
      <c r="L14" s="215"/>
      <c r="M14" s="166">
        <v>1</v>
      </c>
      <c r="N14" s="175" t="s">
        <v>163</v>
      </c>
      <c r="O14" s="933">
        <f t="shared" ref="O14:O19" si="1">O4*1.03</f>
        <v>118450</v>
      </c>
      <c r="P14" s="159"/>
      <c r="Q14" s="152"/>
      <c r="R14" s="159"/>
      <c r="S14" s="159"/>
      <c r="T14" s="177"/>
      <c r="U14" s="159"/>
      <c r="V14" s="179"/>
      <c r="W14" s="159"/>
      <c r="X14" s="159"/>
      <c r="Y14" s="152"/>
      <c r="Z14" s="152"/>
      <c r="AA14" s="152"/>
      <c r="AB14" s="152"/>
      <c r="AC14" s="152"/>
      <c r="AD14" s="152"/>
      <c r="AE14" s="152"/>
    </row>
    <row r="15" spans="1:31" ht="15.75">
      <c r="A15" s="192" t="s">
        <v>217</v>
      </c>
      <c r="B15" s="183">
        <f t="shared" si="0"/>
        <v>268400000</v>
      </c>
      <c r="C15" s="184">
        <v>1.2199999999999999E-3</v>
      </c>
      <c r="D15" s="152"/>
      <c r="E15" s="152"/>
      <c r="F15" s="152"/>
      <c r="G15" s="152"/>
      <c r="H15" s="152"/>
      <c r="I15" s="152"/>
      <c r="J15" s="152"/>
      <c r="K15" s="152"/>
      <c r="L15" s="152"/>
      <c r="M15" s="174">
        <v>1</v>
      </c>
      <c r="N15" s="175" t="s">
        <v>176</v>
      </c>
      <c r="O15" s="933">
        <f t="shared" si="1"/>
        <v>113300</v>
      </c>
      <c r="P15" s="169"/>
      <c r="Q15" s="169"/>
      <c r="R15" s="169"/>
      <c r="S15" s="169"/>
      <c r="T15" s="196"/>
      <c r="U15" s="170"/>
      <c r="V15" s="198"/>
      <c r="W15" s="159"/>
      <c r="X15" s="159"/>
      <c r="Y15" s="152"/>
      <c r="Z15" s="152"/>
      <c r="AA15" s="152"/>
      <c r="AB15" s="152"/>
      <c r="AC15" s="152"/>
      <c r="AD15" s="152"/>
      <c r="AE15" s="152"/>
    </row>
    <row r="16" spans="1:31" ht="15.75">
      <c r="A16" s="192" t="s">
        <v>218</v>
      </c>
      <c r="B16" s="183">
        <f t="shared" si="0"/>
        <v>220000000</v>
      </c>
      <c r="C16" s="221">
        <v>1E-3</v>
      </c>
      <c r="D16" s="152"/>
      <c r="E16" s="152"/>
      <c r="F16" s="152"/>
      <c r="G16" s="152"/>
      <c r="H16" s="152"/>
      <c r="I16" s="152"/>
      <c r="J16" s="152"/>
      <c r="K16" s="152"/>
      <c r="L16" s="152"/>
      <c r="M16" s="174">
        <v>1</v>
      </c>
      <c r="N16" s="175" t="s">
        <v>185</v>
      </c>
      <c r="O16" s="933">
        <f t="shared" si="1"/>
        <v>87550</v>
      </c>
      <c r="P16" s="159"/>
      <c r="Q16" s="159"/>
      <c r="R16" s="159"/>
      <c r="S16" s="176"/>
      <c r="T16" s="177"/>
      <c r="U16" s="178"/>
      <c r="V16" s="179"/>
      <c r="W16" s="159"/>
      <c r="X16" s="152"/>
      <c r="Y16" s="152"/>
      <c r="Z16" s="152"/>
      <c r="AA16" s="152"/>
      <c r="AB16" s="152"/>
      <c r="AC16" s="152"/>
      <c r="AD16" s="152"/>
      <c r="AE16" s="152"/>
    </row>
    <row r="17" spans="1:31" ht="15.75">
      <c r="A17" s="192" t="s">
        <v>220</v>
      </c>
      <c r="B17" s="183">
        <f t="shared" si="0"/>
        <v>2420000000</v>
      </c>
      <c r="C17" s="184">
        <v>1.0999999999999999E-2</v>
      </c>
      <c r="D17" s="152"/>
      <c r="E17" s="152"/>
      <c r="F17" s="152"/>
      <c r="G17" s="152"/>
      <c r="H17" s="152"/>
      <c r="I17" s="152"/>
      <c r="J17" s="152"/>
      <c r="K17" s="152"/>
      <c r="L17" s="152"/>
      <c r="M17" s="174">
        <v>1</v>
      </c>
      <c r="N17" s="175" t="s">
        <v>187</v>
      </c>
      <c r="O17" s="933">
        <f t="shared" si="1"/>
        <v>100425</v>
      </c>
      <c r="P17" s="159"/>
      <c r="Q17" s="159"/>
      <c r="R17" s="159"/>
      <c r="S17" s="176"/>
      <c r="T17" s="176"/>
      <c r="U17" s="159"/>
      <c r="V17" s="159"/>
      <c r="W17" s="159"/>
      <c r="X17" s="152"/>
      <c r="Y17" s="152"/>
      <c r="Z17" s="152"/>
      <c r="AA17" s="152"/>
      <c r="AB17" s="152"/>
      <c r="AC17" s="152"/>
      <c r="AD17" s="152"/>
      <c r="AE17" s="152"/>
    </row>
    <row r="18" spans="1:31" ht="15.75">
      <c r="A18" s="192" t="s">
        <v>221</v>
      </c>
      <c r="B18" s="183">
        <f t="shared" si="0"/>
        <v>594000000</v>
      </c>
      <c r="C18" s="184">
        <v>2.7000000000000001E-3</v>
      </c>
      <c r="D18" s="224"/>
      <c r="E18" s="152"/>
      <c r="F18" s="152"/>
      <c r="G18" s="152"/>
      <c r="H18" s="152"/>
      <c r="I18" s="152"/>
      <c r="J18" s="152"/>
      <c r="K18" s="152"/>
      <c r="L18" s="152"/>
      <c r="M18" s="174">
        <v>1</v>
      </c>
      <c r="N18" s="175" t="s">
        <v>189</v>
      </c>
      <c r="O18" s="933">
        <f t="shared" si="1"/>
        <v>57680</v>
      </c>
      <c r="P18" s="159"/>
      <c r="Q18" s="159"/>
      <c r="R18" s="159"/>
      <c r="S18" s="159"/>
      <c r="T18" s="159"/>
      <c r="U18" s="159"/>
      <c r="V18" s="159"/>
      <c r="W18" s="218"/>
      <c r="X18" s="159"/>
      <c r="Y18" s="152"/>
      <c r="Z18" s="152"/>
      <c r="AA18" s="152"/>
      <c r="AB18" s="152"/>
      <c r="AC18" s="152"/>
      <c r="AD18" s="152"/>
      <c r="AE18" s="152"/>
    </row>
    <row r="19" spans="1:31" ht="15.75">
      <c r="A19" s="225" t="s">
        <v>222</v>
      </c>
      <c r="B19" s="227">
        <f t="shared" si="0"/>
        <v>2138400000</v>
      </c>
      <c r="C19" s="229">
        <v>9.7199999999999995E-3</v>
      </c>
      <c r="D19" s="152"/>
      <c r="E19" s="80"/>
      <c r="F19" s="80"/>
      <c r="G19" s="80"/>
      <c r="H19" s="80"/>
      <c r="I19" s="80"/>
      <c r="J19" s="80"/>
      <c r="K19" s="152"/>
      <c r="L19" s="152"/>
      <c r="M19" s="174">
        <v>2</v>
      </c>
      <c r="N19" s="195" t="s">
        <v>192</v>
      </c>
      <c r="O19" s="933">
        <f t="shared" si="1"/>
        <v>71646.8</v>
      </c>
      <c r="P19" s="159"/>
      <c r="Q19" s="148" t="s">
        <v>223</v>
      </c>
      <c r="R19" s="152"/>
      <c r="S19" s="152"/>
      <c r="T19" s="152"/>
      <c r="U19" s="152"/>
      <c r="V19" s="159"/>
      <c r="W19" s="180"/>
      <c r="X19" s="159"/>
      <c r="Y19" s="152"/>
      <c r="Z19" s="152"/>
      <c r="AA19" s="152"/>
      <c r="AB19" s="152"/>
      <c r="AC19" s="152"/>
      <c r="AD19" s="152"/>
      <c r="AE19" s="152"/>
    </row>
    <row r="20" spans="1:31" ht="15.75">
      <c r="A20" s="209" t="s">
        <v>224</v>
      </c>
      <c r="B20" s="210">
        <f t="shared" si="0"/>
        <v>14759382000</v>
      </c>
      <c r="C20" s="211">
        <f>SUM(C21:C22)</f>
        <v>6.7088099999999998E-2</v>
      </c>
      <c r="D20" s="152"/>
      <c r="E20" s="80"/>
      <c r="F20" s="80"/>
      <c r="G20" s="80"/>
      <c r="H20" s="80"/>
      <c r="I20" s="80"/>
      <c r="J20" s="80"/>
      <c r="K20" s="152"/>
      <c r="L20" s="152"/>
      <c r="M20" s="174">
        <v>1</v>
      </c>
      <c r="N20" s="175" t="s">
        <v>196</v>
      </c>
      <c r="O20" s="933">
        <f>50*0.1*'Avg. Weighted Manufacturer''s Pr'!I23</f>
        <v>68590</v>
      </c>
      <c r="P20" s="152"/>
      <c r="Q20" s="148" t="s">
        <v>230</v>
      </c>
      <c r="R20" s="148" t="s">
        <v>231</v>
      </c>
      <c r="S20" s="148" t="s">
        <v>232</v>
      </c>
      <c r="T20" s="148" t="s">
        <v>233</v>
      </c>
      <c r="U20" s="148" t="s">
        <v>234</v>
      </c>
      <c r="V20" s="152"/>
      <c r="W20" s="152"/>
      <c r="X20" s="152"/>
      <c r="Y20" s="152"/>
      <c r="Z20" s="152"/>
      <c r="AA20" s="152"/>
      <c r="AB20" s="152"/>
      <c r="AC20" s="152"/>
      <c r="AD20" s="152"/>
      <c r="AE20" s="152"/>
    </row>
    <row r="21" spans="1:31" ht="15.75">
      <c r="A21" s="182" t="s">
        <v>235</v>
      </c>
      <c r="B21" s="183">
        <f t="shared" si="0"/>
        <v>6707382000</v>
      </c>
      <c r="C21" s="184">
        <v>3.0488100000000001E-2</v>
      </c>
      <c r="D21" s="152"/>
      <c r="E21" s="80"/>
      <c r="F21" s="80"/>
      <c r="G21" s="80"/>
      <c r="H21" s="80"/>
      <c r="I21" s="80"/>
      <c r="J21" s="80"/>
      <c r="K21" s="152"/>
      <c r="L21" s="152"/>
      <c r="M21" s="213">
        <f>SUM(M14:M20)</f>
        <v>8</v>
      </c>
      <c r="N21" s="148" t="s">
        <v>202</v>
      </c>
      <c r="O21" s="934">
        <f>SUM(O14:O20)</f>
        <v>617641.80000000005</v>
      </c>
      <c r="P21" s="152"/>
      <c r="Q21" s="933">
        <v>300000</v>
      </c>
      <c r="R21" s="935">
        <v>0.05</v>
      </c>
      <c r="S21" s="935">
        <v>0.1</v>
      </c>
      <c r="T21" s="935">
        <f>S21-R21</f>
        <v>0.05</v>
      </c>
      <c r="U21" s="936">
        <f>Q21/T21</f>
        <v>6000000</v>
      </c>
      <c r="V21" s="152"/>
      <c r="W21" s="152"/>
      <c r="X21" s="152"/>
      <c r="Y21" s="152"/>
      <c r="Z21" s="152"/>
      <c r="AA21" s="152"/>
      <c r="AB21" s="152"/>
      <c r="AC21" s="152"/>
      <c r="AD21" s="152"/>
      <c r="AE21" s="152"/>
    </row>
    <row r="22" spans="1:31" ht="15.75">
      <c r="A22" s="238" t="s">
        <v>240</v>
      </c>
      <c r="B22" s="240">
        <f t="shared" si="0"/>
        <v>8052000000</v>
      </c>
      <c r="C22" s="241">
        <v>3.6600000000000001E-2</v>
      </c>
      <c r="D22" s="152"/>
      <c r="E22" s="243" t="s">
        <v>29</v>
      </c>
      <c r="F22" s="245"/>
      <c r="G22" s="245"/>
      <c r="H22" s="245"/>
      <c r="I22" s="245"/>
      <c r="J22" s="245"/>
      <c r="K22" s="152"/>
      <c r="L22" s="152"/>
      <c r="M22" s="152"/>
      <c r="N22" s="152"/>
      <c r="O22" s="152"/>
      <c r="P22" s="152"/>
      <c r="Q22" s="152"/>
      <c r="R22" s="152"/>
      <c r="S22" s="152"/>
      <c r="T22" s="152"/>
      <c r="U22" s="152"/>
      <c r="V22" s="152"/>
      <c r="W22" s="152"/>
      <c r="X22" s="152"/>
      <c r="Y22" s="152"/>
      <c r="Z22" s="152"/>
      <c r="AA22" s="152"/>
      <c r="AB22" s="152"/>
      <c r="AC22" s="152"/>
      <c r="AD22" s="152"/>
      <c r="AE22" s="152"/>
    </row>
    <row r="23" spans="1:31" ht="15.75">
      <c r="A23" s="247" t="s">
        <v>41</v>
      </c>
      <c r="B23" s="249">
        <f>C23:C24*$B$2</f>
        <v>35200000000</v>
      </c>
      <c r="C23" s="251">
        <v>0.16</v>
      </c>
      <c r="D23" s="152"/>
      <c r="E23" s="252"/>
      <c r="F23" s="253" t="s">
        <v>242</v>
      </c>
      <c r="G23" s="253" t="s">
        <v>243</v>
      </c>
      <c r="H23" s="253" t="s">
        <v>244</v>
      </c>
      <c r="I23" s="253" t="s">
        <v>245</v>
      </c>
      <c r="J23" s="253" t="s">
        <v>67</v>
      </c>
      <c r="K23" s="152"/>
      <c r="L23" s="152"/>
      <c r="M23" s="148" t="s">
        <v>154</v>
      </c>
      <c r="N23" s="157" t="s">
        <v>63</v>
      </c>
      <c r="O23" s="151"/>
      <c r="P23" s="152"/>
      <c r="Q23" s="152"/>
      <c r="R23" s="152"/>
      <c r="S23" s="152"/>
      <c r="T23" s="152"/>
      <c r="U23" s="152"/>
      <c r="V23" s="152"/>
      <c r="W23" s="152"/>
      <c r="X23" s="152"/>
      <c r="Y23" s="152"/>
      <c r="Z23" s="152"/>
      <c r="AA23" s="152"/>
      <c r="AB23" s="152"/>
      <c r="AC23" s="152"/>
      <c r="AD23" s="152"/>
      <c r="AE23" s="152"/>
    </row>
    <row r="24" spans="1:31" ht="15.75">
      <c r="A24" s="255" t="s">
        <v>222</v>
      </c>
      <c r="B24" s="163">
        <f>C23:C24*$B$2</f>
        <v>27357000000</v>
      </c>
      <c r="C24" s="257">
        <v>0.12435</v>
      </c>
      <c r="D24" s="152"/>
      <c r="E24" s="259" t="s">
        <v>41</v>
      </c>
      <c r="F24" s="261">
        <v>0.120019</v>
      </c>
      <c r="G24" s="261">
        <v>0.12013638</v>
      </c>
      <c r="H24" s="261">
        <v>0.12</v>
      </c>
      <c r="I24" s="261">
        <v>0.12</v>
      </c>
      <c r="J24" s="261">
        <v>0.12</v>
      </c>
      <c r="K24" s="152"/>
      <c r="L24" s="152"/>
      <c r="M24" s="166">
        <v>1</v>
      </c>
      <c r="N24" s="175" t="s">
        <v>163</v>
      </c>
      <c r="O24" s="933">
        <f t="shared" ref="O24:O26" si="2">O14*1.03</f>
        <v>122003.5</v>
      </c>
      <c r="P24" s="152"/>
      <c r="Q24" s="148" t="s">
        <v>63</v>
      </c>
      <c r="R24" s="152"/>
      <c r="S24" s="152"/>
      <c r="T24" s="152"/>
      <c r="U24" s="152"/>
      <c r="V24" s="152"/>
      <c r="W24" s="152"/>
      <c r="X24" s="152"/>
      <c r="Y24" s="152"/>
      <c r="Z24" s="152"/>
      <c r="AA24" s="152"/>
      <c r="AB24" s="152"/>
      <c r="AC24" s="152"/>
      <c r="AD24" s="152"/>
      <c r="AE24" s="152"/>
    </row>
    <row r="25" spans="1:31" ht="15.75">
      <c r="A25" s="266" t="s">
        <v>246</v>
      </c>
      <c r="B25" s="268">
        <f>C25*$B$2</f>
        <v>220066908600</v>
      </c>
      <c r="C25" s="938">
        <f>C24+C23+C20+C11+C4</f>
        <v>1.00030413</v>
      </c>
      <c r="D25" s="152"/>
      <c r="E25" s="271" t="s">
        <v>157</v>
      </c>
      <c r="F25" s="173">
        <v>0</v>
      </c>
      <c r="G25" s="173">
        <v>0</v>
      </c>
      <c r="H25" s="173">
        <v>0</v>
      </c>
      <c r="I25" s="273">
        <f>C6*0.5</f>
        <v>7.9572550000000006E-2</v>
      </c>
      <c r="J25" s="273">
        <f>I25+(C8*0.5)</f>
        <v>0.106113015</v>
      </c>
      <c r="K25" s="152"/>
      <c r="L25" s="152"/>
      <c r="M25" s="174">
        <v>1</v>
      </c>
      <c r="N25" s="175" t="s">
        <v>176</v>
      </c>
      <c r="O25" s="933">
        <f t="shared" si="2"/>
        <v>116699</v>
      </c>
      <c r="P25" s="152"/>
      <c r="Q25" s="157" t="s">
        <v>248</v>
      </c>
      <c r="R25" s="277"/>
      <c r="S25" s="279"/>
      <c r="T25" s="279"/>
      <c r="U25" s="279"/>
      <c r="V25" s="279"/>
      <c r="W25" s="279"/>
      <c r="X25" s="279"/>
      <c r="Y25" s="152"/>
      <c r="Z25" s="152"/>
      <c r="AA25" s="152"/>
      <c r="AB25" s="152"/>
      <c r="AC25" s="152"/>
      <c r="AD25" s="152"/>
      <c r="AE25" s="152"/>
    </row>
    <row r="26" spans="1:31" ht="15.75">
      <c r="A26" s="152"/>
      <c r="B26" s="152"/>
      <c r="C26" s="281"/>
      <c r="D26" s="152"/>
      <c r="E26" s="259" t="s">
        <v>198</v>
      </c>
      <c r="F26" s="273">
        <f>C11*0.3*0.8</f>
        <v>1.2081599999999998E-2</v>
      </c>
      <c r="G26" s="273">
        <f t="shared" ref="G26:H26" si="3">F26+(($C$11-F26)*0.3*0.8)</f>
        <v>2.1263615999999999E-2</v>
      </c>
      <c r="H26" s="273">
        <f t="shared" si="3"/>
        <v>2.8241948159999999E-2</v>
      </c>
      <c r="I26" s="273">
        <f>H26+(($C$11-H26)*0.3*0.8)*0.1</f>
        <v>2.8772301404159997E-2</v>
      </c>
      <c r="J26" s="273">
        <f>I26+(($C$11-I26)*0.3*0.8)*0.15</f>
        <v>2.9548738553610239E-2</v>
      </c>
      <c r="K26" s="152"/>
      <c r="L26" s="152"/>
      <c r="M26" s="174">
        <v>1</v>
      </c>
      <c r="N26" s="175" t="s">
        <v>250</v>
      </c>
      <c r="O26" s="933">
        <f t="shared" si="2"/>
        <v>90176.5</v>
      </c>
      <c r="P26" s="152"/>
      <c r="Q26" s="175" t="s">
        <v>252</v>
      </c>
      <c r="R26" s="175" t="s">
        <v>253</v>
      </c>
      <c r="S26" s="175" t="s">
        <v>254</v>
      </c>
      <c r="T26" s="175" t="s">
        <v>255</v>
      </c>
      <c r="U26" s="175" t="s">
        <v>256</v>
      </c>
      <c r="V26" s="195" t="s">
        <v>257</v>
      </c>
      <c r="W26" s="195" t="s">
        <v>258</v>
      </c>
      <c r="X26" s="175" t="s">
        <v>259</v>
      </c>
      <c r="Y26" s="152"/>
      <c r="Z26" s="152"/>
      <c r="AA26" s="152"/>
      <c r="AB26" s="152"/>
      <c r="AC26" s="152"/>
      <c r="AD26" s="152"/>
      <c r="AE26" s="152"/>
    </row>
    <row r="27" spans="1:31" ht="15.75">
      <c r="A27" s="152"/>
      <c r="B27" s="152"/>
      <c r="C27" s="281"/>
      <c r="D27" s="152"/>
      <c r="E27" s="259" t="s">
        <v>260</v>
      </c>
      <c r="F27" s="173">
        <v>0</v>
      </c>
      <c r="G27" s="173">
        <v>0</v>
      </c>
      <c r="H27" s="173">
        <f t="shared" ref="H27:J27" si="4">$C$21*0.5</f>
        <v>1.524405E-2</v>
      </c>
      <c r="I27" s="173">
        <f t="shared" si="4"/>
        <v>1.524405E-2</v>
      </c>
      <c r="J27" s="173">
        <f t="shared" si="4"/>
        <v>1.524405E-2</v>
      </c>
      <c r="K27" s="152"/>
      <c r="L27" s="152"/>
      <c r="M27" s="174">
        <v>1</v>
      </c>
      <c r="N27" s="195" t="s">
        <v>261</v>
      </c>
      <c r="O27" s="933">
        <f>72050*2</f>
        <v>144100</v>
      </c>
      <c r="P27" s="152"/>
      <c r="Q27" s="175" t="s">
        <v>262</v>
      </c>
      <c r="R27" s="235">
        <f>1+1</f>
        <v>2</v>
      </c>
      <c r="S27" s="235">
        <v>3</v>
      </c>
      <c r="T27" s="235">
        <v>2</v>
      </c>
      <c r="U27" s="235">
        <v>5</v>
      </c>
      <c r="V27" s="235">
        <v>2</v>
      </c>
      <c r="W27" s="235">
        <v>2</v>
      </c>
      <c r="X27" s="235">
        <f t="shared" ref="X27:X28" si="5">(R27*S27*T27)+(U27*V27*W27)</f>
        <v>32</v>
      </c>
      <c r="Y27" s="152"/>
      <c r="Z27" s="152"/>
      <c r="AA27" s="152"/>
      <c r="AB27" s="152"/>
      <c r="AC27" s="152"/>
      <c r="AD27" s="152"/>
      <c r="AE27" s="152"/>
    </row>
    <row r="28" spans="1:31" ht="15.75">
      <c r="A28" s="152"/>
      <c r="B28" s="152"/>
      <c r="C28" s="281"/>
      <c r="D28" s="152"/>
      <c r="E28" s="283" t="s">
        <v>264</v>
      </c>
      <c r="F28" s="284">
        <f t="shared" ref="F28:J28" si="6">SUM(F24:F27)</f>
        <v>0.13210060000000001</v>
      </c>
      <c r="G28" s="284">
        <f t="shared" si="6"/>
        <v>0.141399996</v>
      </c>
      <c r="H28" s="284">
        <f t="shared" si="6"/>
        <v>0.16348599816000001</v>
      </c>
      <c r="I28" s="284">
        <f t="shared" si="6"/>
        <v>0.24358890140416001</v>
      </c>
      <c r="J28" s="284">
        <f t="shared" si="6"/>
        <v>0.27090580355361027</v>
      </c>
      <c r="K28" s="152"/>
      <c r="L28" s="152"/>
      <c r="M28" s="174">
        <v>1</v>
      </c>
      <c r="N28" s="195" t="s">
        <v>265</v>
      </c>
      <c r="O28" s="933">
        <f>69250*2</f>
        <v>138500</v>
      </c>
      <c r="P28" s="152"/>
      <c r="Q28" s="175" t="s">
        <v>266</v>
      </c>
      <c r="R28" s="234">
        <v>10</v>
      </c>
      <c r="S28" s="285">
        <v>1</v>
      </c>
      <c r="T28" s="234">
        <v>2</v>
      </c>
      <c r="U28" s="235">
        <f>34+70+42+30+20+40+64</f>
        <v>300</v>
      </c>
      <c r="V28" s="234">
        <v>1</v>
      </c>
      <c r="W28" s="234">
        <v>1</v>
      </c>
      <c r="X28" s="235">
        <f t="shared" si="5"/>
        <v>320</v>
      </c>
      <c r="Y28" s="152"/>
      <c r="Z28" s="152"/>
      <c r="AA28" s="152"/>
      <c r="AB28" s="152"/>
      <c r="AC28" s="152"/>
      <c r="AD28" s="152"/>
      <c r="AE28" s="152"/>
    </row>
    <row r="29" spans="1:31" ht="15.75">
      <c r="A29" s="152"/>
      <c r="B29" s="152"/>
      <c r="C29" s="281"/>
      <c r="D29" s="152"/>
      <c r="E29" s="152"/>
      <c r="F29" s="152"/>
      <c r="G29" s="152"/>
      <c r="H29" s="152"/>
      <c r="I29" s="152"/>
      <c r="J29" s="152"/>
      <c r="K29" s="152"/>
      <c r="L29" s="152"/>
      <c r="M29" s="174">
        <v>2</v>
      </c>
      <c r="N29" s="175" t="s">
        <v>187</v>
      </c>
      <c r="O29" s="933">
        <f>O17*1.03</f>
        <v>103437.75</v>
      </c>
      <c r="P29" s="152"/>
      <c r="Q29" s="152"/>
      <c r="R29" s="152"/>
      <c r="S29" s="152"/>
      <c r="T29" s="152"/>
      <c r="U29" s="152"/>
      <c r="V29" s="152"/>
      <c r="W29" s="148" t="s">
        <v>267</v>
      </c>
      <c r="X29" s="157">
        <f>SUM(X27:X28)</f>
        <v>352</v>
      </c>
      <c r="Y29" s="152"/>
      <c r="Z29" s="152"/>
      <c r="AA29" s="152"/>
      <c r="AB29" s="152"/>
      <c r="AC29" s="152"/>
      <c r="AD29" s="152"/>
      <c r="AE29" s="152"/>
    </row>
    <row r="30" spans="1:31" ht="15.75">
      <c r="A30" s="286" t="s">
        <v>268</v>
      </c>
      <c r="B30" s="287"/>
      <c r="C30" s="288"/>
      <c r="D30" s="287"/>
      <c r="E30" s="289"/>
      <c r="F30" s="152"/>
      <c r="G30" s="152"/>
      <c r="H30" s="152"/>
      <c r="I30" s="152"/>
      <c r="J30" s="152"/>
      <c r="K30" s="152"/>
      <c r="L30" s="152"/>
      <c r="M30" s="174">
        <v>1</v>
      </c>
      <c r="N30" s="195" t="s">
        <v>269</v>
      </c>
      <c r="O30" s="933">
        <f>O18*1.03*2</f>
        <v>118820.8</v>
      </c>
      <c r="P30" s="152"/>
      <c r="Q30" s="152"/>
      <c r="R30" s="152"/>
      <c r="S30" s="152"/>
      <c r="T30" s="152"/>
      <c r="U30" s="152"/>
      <c r="V30" s="152"/>
      <c r="W30" s="152"/>
      <c r="Y30" s="152"/>
      <c r="Z30" s="152"/>
      <c r="AA30" s="152"/>
      <c r="AB30" s="152"/>
      <c r="AC30" s="152"/>
      <c r="AD30" s="152"/>
      <c r="AE30" s="152"/>
    </row>
    <row r="31" spans="1:31" ht="15.75">
      <c r="A31" s="291" t="s">
        <v>272</v>
      </c>
      <c r="B31" s="292" t="s">
        <v>273</v>
      </c>
      <c r="C31" s="294"/>
      <c r="D31" s="295"/>
      <c r="E31" s="296"/>
      <c r="F31" s="152"/>
      <c r="G31" s="152"/>
      <c r="H31" s="152"/>
      <c r="I31" s="152"/>
      <c r="J31" s="152"/>
      <c r="K31" s="152"/>
      <c r="L31" s="152"/>
      <c r="M31" s="174">
        <v>2</v>
      </c>
      <c r="N31" s="195" t="s">
        <v>192</v>
      </c>
      <c r="O31" s="933">
        <f>O19*1.03</f>
        <v>73796.203999999998</v>
      </c>
      <c r="P31" s="152"/>
      <c r="Q31" s="297"/>
      <c r="R31" s="152"/>
      <c r="S31" s="152"/>
      <c r="T31" s="152"/>
      <c r="U31" s="152"/>
      <c r="V31" s="152"/>
      <c r="W31" s="152"/>
      <c r="X31" s="152"/>
      <c r="Y31" s="152"/>
      <c r="Z31" s="152"/>
      <c r="AA31" s="152"/>
      <c r="AB31" s="152"/>
      <c r="AC31" s="152"/>
      <c r="AD31" s="152"/>
      <c r="AE31" s="152"/>
    </row>
    <row r="32" spans="1:31" ht="15.75">
      <c r="A32" s="291" t="s">
        <v>274</v>
      </c>
      <c r="B32" s="292" t="s">
        <v>275</v>
      </c>
      <c r="C32" s="294"/>
      <c r="D32" s="295"/>
      <c r="E32" s="296"/>
      <c r="F32" s="152"/>
      <c r="G32" s="152"/>
      <c r="H32" s="152"/>
      <c r="I32" s="152"/>
      <c r="J32" s="152"/>
      <c r="K32" s="152"/>
      <c r="L32" s="152"/>
      <c r="M32" s="174">
        <v>1</v>
      </c>
      <c r="N32" s="175" t="s">
        <v>276</v>
      </c>
      <c r="O32" s="933">
        <v>100000</v>
      </c>
      <c r="P32" s="152"/>
      <c r="Q32" s="298"/>
      <c r="R32" s="152"/>
      <c r="S32" s="152"/>
      <c r="T32" s="152"/>
      <c r="U32" s="152"/>
      <c r="V32" s="152"/>
      <c r="W32" s="152"/>
      <c r="X32" s="152"/>
      <c r="Y32" s="152"/>
      <c r="Z32" s="152"/>
      <c r="AA32" s="152"/>
      <c r="AB32" s="152"/>
      <c r="AC32" s="152"/>
      <c r="AD32" s="152"/>
      <c r="AE32" s="152"/>
    </row>
    <row r="33" spans="1:31" ht="15.75">
      <c r="A33" s="299" t="s">
        <v>277</v>
      </c>
      <c r="B33" s="300" t="s">
        <v>278</v>
      </c>
      <c r="C33" s="301"/>
      <c r="D33" s="302"/>
      <c r="E33" s="303"/>
      <c r="F33" s="152"/>
      <c r="G33" s="152"/>
      <c r="H33" s="152"/>
      <c r="I33" s="152"/>
      <c r="J33" s="152"/>
      <c r="K33" s="152"/>
      <c r="L33" s="152"/>
      <c r="M33" s="213">
        <f>SUM(M24:M32)</f>
        <v>11</v>
      </c>
      <c r="N33" s="148" t="s">
        <v>202</v>
      </c>
      <c r="O33" s="934">
        <f>SUM(O24:O32)</f>
        <v>1007533.7540000001</v>
      </c>
      <c r="P33" s="305"/>
      <c r="Q33" s="152"/>
      <c r="R33" s="152"/>
      <c r="S33" s="152"/>
      <c r="T33" s="152"/>
      <c r="U33" s="152"/>
      <c r="V33" s="152"/>
      <c r="W33" s="152"/>
      <c r="X33" s="152"/>
      <c r="Y33" s="152"/>
      <c r="Z33" s="152"/>
      <c r="AA33" s="152"/>
      <c r="AB33" s="152"/>
      <c r="AC33" s="152"/>
      <c r="AD33" s="152"/>
      <c r="AE33" s="152"/>
    </row>
    <row r="34" spans="1:31" ht="15.75">
      <c r="A34" s="307"/>
      <c r="B34" s="300" t="s">
        <v>279</v>
      </c>
      <c r="C34" s="301"/>
      <c r="D34" s="302"/>
      <c r="E34" s="303"/>
      <c r="F34" s="152"/>
      <c r="G34" s="152"/>
      <c r="H34" s="152"/>
      <c r="I34" s="152"/>
      <c r="J34" s="152"/>
      <c r="K34" s="152"/>
      <c r="L34" s="152"/>
      <c r="M34" s="152"/>
      <c r="N34" s="152"/>
      <c r="O34" s="152"/>
      <c r="P34" s="152"/>
      <c r="Q34" s="152"/>
      <c r="R34" s="152"/>
      <c r="S34" s="152"/>
      <c r="T34" s="152"/>
      <c r="U34" s="152"/>
      <c r="V34" s="152"/>
      <c r="W34" s="152"/>
      <c r="X34" s="152"/>
      <c r="Y34" s="152"/>
      <c r="Z34" s="152"/>
      <c r="AA34" s="152"/>
      <c r="AB34" s="152"/>
      <c r="AC34" s="152"/>
      <c r="AD34" s="152"/>
      <c r="AE34" s="152"/>
    </row>
    <row r="35" spans="1:31" ht="15.75">
      <c r="A35" s="308"/>
      <c r="B35" s="292" t="s">
        <v>280</v>
      </c>
      <c r="C35" s="294"/>
      <c r="D35" s="295"/>
      <c r="E35" s="296"/>
      <c r="F35" s="152"/>
      <c r="G35" s="152"/>
      <c r="H35" s="152"/>
      <c r="I35" s="152"/>
      <c r="J35" s="152"/>
      <c r="K35" s="152"/>
      <c r="L35" s="152"/>
      <c r="M35" s="148" t="s">
        <v>154</v>
      </c>
      <c r="N35" s="157" t="s">
        <v>65</v>
      </c>
      <c r="O35" s="310"/>
      <c r="P35" s="152"/>
      <c r="Q35" s="148" t="s">
        <v>65</v>
      </c>
      <c r="R35" s="152"/>
      <c r="S35" s="152"/>
      <c r="T35" s="152"/>
      <c r="U35" s="152"/>
      <c r="V35" s="152"/>
      <c r="W35" s="152"/>
      <c r="X35" s="152"/>
      <c r="Y35" s="152"/>
      <c r="Z35" s="152"/>
      <c r="AA35" s="152"/>
      <c r="AB35" s="152"/>
      <c r="AC35" s="152"/>
      <c r="AD35" s="152"/>
      <c r="AE35" s="152"/>
    </row>
    <row r="36" spans="1:31" ht="15.75">
      <c r="A36" s="299" t="s">
        <v>281</v>
      </c>
      <c r="B36" s="300" t="s">
        <v>282</v>
      </c>
      <c r="C36" s="301"/>
      <c r="D36" s="302"/>
      <c r="E36" s="303"/>
      <c r="F36" s="152"/>
      <c r="G36" s="152"/>
      <c r="H36" s="152"/>
      <c r="I36" s="152"/>
      <c r="J36" s="152"/>
      <c r="K36" s="152"/>
      <c r="L36" s="152"/>
      <c r="M36" s="166">
        <v>1</v>
      </c>
      <c r="N36" s="175" t="s">
        <v>163</v>
      </c>
      <c r="O36" s="933">
        <f t="shared" ref="O36:O38" si="7">O24*1.03</f>
        <v>125663.60500000001</v>
      </c>
      <c r="P36" s="152"/>
      <c r="Q36" s="157" t="s">
        <v>248</v>
      </c>
      <c r="R36" s="311"/>
      <c r="S36" s="312"/>
      <c r="T36" s="312"/>
      <c r="U36" s="312"/>
      <c r="V36" s="312"/>
      <c r="W36" s="312"/>
      <c r="X36" s="279"/>
      <c r="Y36" s="152"/>
      <c r="Z36" s="152"/>
      <c r="AA36" s="152"/>
      <c r="AB36" s="152"/>
      <c r="AC36" s="152"/>
      <c r="AD36" s="152"/>
      <c r="AE36" s="152"/>
    </row>
    <row r="37" spans="1:31" ht="15.75">
      <c r="A37" s="307"/>
      <c r="B37" s="300" t="s">
        <v>283</v>
      </c>
      <c r="C37" s="301"/>
      <c r="D37" s="302"/>
      <c r="E37" s="303"/>
      <c r="F37" s="152"/>
      <c r="G37" s="152"/>
      <c r="H37" s="152"/>
      <c r="I37" s="152"/>
      <c r="J37" s="152"/>
      <c r="K37" s="152"/>
      <c r="L37" s="152"/>
      <c r="M37" s="174">
        <v>1</v>
      </c>
      <c r="N37" s="175" t="s">
        <v>176</v>
      </c>
      <c r="O37" s="933">
        <f t="shared" si="7"/>
        <v>120199.97</v>
      </c>
      <c r="P37" s="152"/>
      <c r="Q37" s="175" t="s">
        <v>252</v>
      </c>
      <c r="R37" s="175" t="s">
        <v>253</v>
      </c>
      <c r="S37" s="175" t="s">
        <v>254</v>
      </c>
      <c r="T37" s="175" t="s">
        <v>255</v>
      </c>
      <c r="U37" s="175" t="s">
        <v>256</v>
      </c>
      <c r="V37" s="175" t="s">
        <v>284</v>
      </c>
      <c r="W37" s="175" t="s">
        <v>285</v>
      </c>
      <c r="X37" s="175" t="s">
        <v>259</v>
      </c>
      <c r="Y37" s="152"/>
      <c r="Z37" s="152"/>
      <c r="AA37" s="152"/>
      <c r="AB37" s="152"/>
      <c r="AC37" s="152"/>
      <c r="AD37" s="152"/>
      <c r="AE37" s="152"/>
    </row>
    <row r="38" spans="1:31" ht="15.75">
      <c r="A38" s="307"/>
      <c r="B38" s="300" t="s">
        <v>286</v>
      </c>
      <c r="C38" s="301"/>
      <c r="D38" s="302"/>
      <c r="E38" s="303"/>
      <c r="F38" s="152"/>
      <c r="G38" s="152"/>
      <c r="H38" s="152"/>
      <c r="I38" s="152"/>
      <c r="J38" s="152"/>
      <c r="K38" s="152"/>
      <c r="L38" s="152"/>
      <c r="M38" s="174">
        <v>1</v>
      </c>
      <c r="N38" s="175" t="s">
        <v>250</v>
      </c>
      <c r="O38" s="933">
        <f t="shared" si="7"/>
        <v>92881.794999999998</v>
      </c>
      <c r="P38" s="152"/>
      <c r="Q38" s="175" t="s">
        <v>157</v>
      </c>
      <c r="R38" s="235">
        <v>2</v>
      </c>
      <c r="S38" s="235">
        <v>3</v>
      </c>
      <c r="T38" s="235">
        <v>3</v>
      </c>
      <c r="U38" s="235">
        <v>46</v>
      </c>
      <c r="V38" s="235">
        <v>2</v>
      </c>
      <c r="W38" s="235">
        <v>2</v>
      </c>
      <c r="X38" s="235">
        <f t="shared" ref="X38:X39" si="8">R38*S38*T38+U38*V38*W38</f>
        <v>202</v>
      </c>
      <c r="Y38" s="152"/>
      <c r="Z38" s="152"/>
      <c r="AA38" s="152"/>
      <c r="AB38" s="152"/>
      <c r="AC38" s="152"/>
      <c r="AD38" s="152"/>
      <c r="AE38" s="152"/>
    </row>
    <row r="39" spans="1:31" ht="15.75">
      <c r="A39" s="307"/>
      <c r="B39" s="300" t="s">
        <v>287</v>
      </c>
      <c r="C39" s="301"/>
      <c r="D39" s="302"/>
      <c r="E39" s="303"/>
      <c r="F39" s="152"/>
      <c r="G39" s="152"/>
      <c r="H39" s="152"/>
      <c r="I39" s="152"/>
      <c r="J39" s="152"/>
      <c r="K39" s="152"/>
      <c r="L39" s="152"/>
      <c r="M39" s="174">
        <v>3</v>
      </c>
      <c r="N39" s="195" t="s">
        <v>261</v>
      </c>
      <c r="O39" s="933">
        <f>(72050*3)*1.03</f>
        <v>222634.5</v>
      </c>
      <c r="P39" s="152"/>
      <c r="Q39" s="175" t="s">
        <v>260</v>
      </c>
      <c r="R39" s="235">
        <v>2</v>
      </c>
      <c r="S39" s="235">
        <v>3</v>
      </c>
      <c r="T39" s="235">
        <v>2</v>
      </c>
      <c r="U39" s="235">
        <v>5</v>
      </c>
      <c r="V39" s="235">
        <v>2</v>
      </c>
      <c r="W39" s="235">
        <v>2</v>
      </c>
      <c r="X39" s="235">
        <f t="shared" si="8"/>
        <v>32</v>
      </c>
      <c r="Y39" s="152"/>
      <c r="Z39" s="152"/>
      <c r="AA39" s="152"/>
      <c r="AB39" s="152"/>
      <c r="AC39" s="152"/>
      <c r="AD39" s="152"/>
      <c r="AE39" s="152"/>
    </row>
    <row r="40" spans="1:31" ht="15.75">
      <c r="A40" s="307"/>
      <c r="B40" s="300" t="s">
        <v>288</v>
      </c>
      <c r="C40" s="301"/>
      <c r="D40" s="302"/>
      <c r="E40" s="303"/>
      <c r="F40" s="152"/>
      <c r="G40" s="152"/>
      <c r="H40" s="152"/>
      <c r="I40" s="152"/>
      <c r="J40" s="152"/>
      <c r="K40" s="152"/>
      <c r="L40" s="152"/>
      <c r="M40" s="174">
        <v>3</v>
      </c>
      <c r="N40" s="195" t="s">
        <v>265</v>
      </c>
      <c r="O40" s="933">
        <f>(69250*3)*1.03</f>
        <v>213982.5</v>
      </c>
      <c r="P40" s="152"/>
      <c r="Q40" s="175" t="s">
        <v>266</v>
      </c>
      <c r="R40" s="234">
        <v>10</v>
      </c>
      <c r="S40" s="314">
        <v>1</v>
      </c>
      <c r="T40" s="234">
        <v>2</v>
      </c>
      <c r="U40" s="235">
        <f>34+70+42+30+20+40+64</f>
        <v>300</v>
      </c>
      <c r="V40" s="234">
        <v>1</v>
      </c>
      <c r="W40" s="234">
        <v>1</v>
      </c>
      <c r="X40" s="235">
        <f>(R40*S40*T40)+(U40*V40*W40)</f>
        <v>320</v>
      </c>
      <c r="Y40" s="152"/>
      <c r="Z40" s="152"/>
      <c r="AA40" s="152"/>
      <c r="AB40" s="152"/>
      <c r="AC40" s="152"/>
      <c r="AD40" s="152"/>
      <c r="AE40" s="152"/>
    </row>
    <row r="41" spans="1:31" ht="15.75">
      <c r="A41" s="318"/>
      <c r="B41" s="319" t="s">
        <v>290</v>
      </c>
      <c r="C41" s="320"/>
      <c r="D41" s="321"/>
      <c r="E41" s="322"/>
      <c r="F41" s="152"/>
      <c r="G41" s="152"/>
      <c r="H41" s="152"/>
      <c r="I41" s="152"/>
      <c r="J41" s="152"/>
      <c r="K41" s="152"/>
      <c r="L41" s="152"/>
      <c r="M41" s="174">
        <v>1</v>
      </c>
      <c r="N41" s="175" t="s">
        <v>187</v>
      </c>
      <c r="O41" s="933">
        <f t="shared" ref="O41:O44" si="9">O29*1.03</f>
        <v>106540.88250000001</v>
      </c>
      <c r="P41" s="152"/>
      <c r="Q41" s="152"/>
      <c r="R41" s="152"/>
      <c r="S41" s="152"/>
      <c r="T41" s="152"/>
      <c r="U41" s="152"/>
      <c r="V41" s="152"/>
      <c r="W41" s="148" t="s">
        <v>267</v>
      </c>
      <c r="X41" s="157">
        <f>SUM(X38:X40)</f>
        <v>554</v>
      </c>
      <c r="Y41" s="152"/>
      <c r="Z41" s="152"/>
      <c r="AA41" s="152"/>
      <c r="AB41" s="152"/>
      <c r="AC41" s="152"/>
      <c r="AD41" s="152"/>
      <c r="AE41" s="152"/>
    </row>
    <row r="42" spans="1:31" ht="15.75">
      <c r="A42" s="324"/>
      <c r="B42" s="324"/>
      <c r="C42" s="325"/>
      <c r="D42" s="324"/>
      <c r="E42" s="324"/>
      <c r="F42" s="152"/>
      <c r="G42" s="152"/>
      <c r="H42" s="152"/>
      <c r="I42" s="152"/>
      <c r="J42" s="152"/>
      <c r="K42" s="152"/>
      <c r="L42" s="152"/>
      <c r="M42" s="174">
        <v>2</v>
      </c>
      <c r="N42" s="195" t="s">
        <v>269</v>
      </c>
      <c r="O42" s="933">
        <f t="shared" si="9"/>
        <v>122385.424</v>
      </c>
      <c r="P42" s="152"/>
      <c r="Q42" s="152"/>
      <c r="R42" s="152"/>
      <c r="S42" s="152"/>
      <c r="T42" s="152"/>
      <c r="U42" s="152"/>
      <c r="V42" s="152"/>
      <c r="W42" s="152"/>
      <c r="Y42" s="152"/>
      <c r="Z42" s="152"/>
      <c r="AA42" s="152"/>
      <c r="AB42" s="152"/>
      <c r="AC42" s="152"/>
      <c r="AD42" s="152"/>
      <c r="AE42" s="152"/>
    </row>
    <row r="43" spans="1:31" ht="15.75">
      <c r="A43" s="326" t="s">
        <v>292</v>
      </c>
      <c r="B43" s="327"/>
      <c r="C43" s="328"/>
      <c r="D43" s="327"/>
      <c r="E43" s="329"/>
      <c r="F43" s="152"/>
      <c r="G43" s="152"/>
      <c r="H43" s="152"/>
      <c r="I43" s="152"/>
      <c r="J43" s="152"/>
      <c r="K43" s="152"/>
      <c r="L43" s="152"/>
      <c r="M43" s="174">
        <v>2</v>
      </c>
      <c r="N43" s="195" t="s">
        <v>192</v>
      </c>
      <c r="O43" s="933">
        <f t="shared" si="9"/>
        <v>76010.090119999993</v>
      </c>
      <c r="P43" s="152"/>
      <c r="Q43" s="152"/>
      <c r="R43" s="152"/>
      <c r="S43" s="152"/>
      <c r="T43" s="152"/>
      <c r="U43" s="152"/>
      <c r="V43" s="152"/>
      <c r="W43" s="152"/>
      <c r="X43" s="152"/>
      <c r="Y43" s="152"/>
      <c r="Z43" s="152"/>
      <c r="AA43" s="152"/>
      <c r="AB43" s="152"/>
      <c r="AC43" s="152"/>
      <c r="AD43" s="152"/>
      <c r="AE43" s="152"/>
    </row>
    <row r="44" spans="1:31" ht="15.75">
      <c r="A44" s="330" t="s">
        <v>294</v>
      </c>
      <c r="B44" s="300" t="s">
        <v>295</v>
      </c>
      <c r="C44" s="301"/>
      <c r="D44" s="302"/>
      <c r="E44" s="303"/>
      <c r="F44" s="152"/>
      <c r="G44" s="152"/>
      <c r="H44" s="152"/>
      <c r="I44" s="152"/>
      <c r="J44" s="152"/>
      <c r="K44" s="152"/>
      <c r="L44" s="152"/>
      <c r="M44" s="174">
        <v>1</v>
      </c>
      <c r="N44" s="195" t="s">
        <v>296</v>
      </c>
      <c r="O44" s="933">
        <f t="shared" si="9"/>
        <v>103000</v>
      </c>
      <c r="P44" s="152"/>
      <c r="Q44" s="152"/>
      <c r="R44" s="152"/>
      <c r="S44" s="152"/>
      <c r="T44" s="152"/>
      <c r="U44" s="152"/>
      <c r="V44" s="152"/>
      <c r="W44" s="152"/>
      <c r="X44" s="152"/>
      <c r="Y44" s="152"/>
      <c r="Z44" s="152"/>
      <c r="AA44" s="152"/>
      <c r="AB44" s="152"/>
      <c r="AC44" s="152"/>
      <c r="AD44" s="152"/>
      <c r="AE44" s="152"/>
    </row>
    <row r="45" spans="1:31" ht="15.75">
      <c r="A45" s="291"/>
      <c r="B45" s="292" t="s">
        <v>298</v>
      </c>
      <c r="C45" s="294"/>
      <c r="D45" s="295"/>
      <c r="E45" s="296"/>
      <c r="F45" s="152"/>
      <c r="G45" s="152"/>
      <c r="H45" s="152"/>
      <c r="I45" s="152"/>
      <c r="J45" s="152"/>
      <c r="K45" s="152"/>
      <c r="L45" s="152"/>
      <c r="M45" s="213">
        <f>SUM(M36:M44)</f>
        <v>15</v>
      </c>
      <c r="N45" s="148" t="s">
        <v>202</v>
      </c>
      <c r="O45" s="934">
        <f>SUM(O36:O44)</f>
        <v>1183298.7666199999</v>
      </c>
      <c r="P45" s="152"/>
      <c r="Q45" s="152"/>
      <c r="R45" s="152"/>
      <c r="S45" s="152"/>
      <c r="T45" s="152"/>
      <c r="U45" s="152"/>
      <c r="V45" s="152"/>
      <c r="W45" s="152"/>
      <c r="X45" s="152"/>
      <c r="Y45" s="152"/>
      <c r="Z45" s="152"/>
      <c r="AA45" s="152"/>
      <c r="AB45" s="152"/>
      <c r="AC45" s="152"/>
      <c r="AD45" s="152"/>
      <c r="AE45" s="152"/>
    </row>
    <row r="46" spans="1:31" ht="15.75">
      <c r="A46" s="299" t="s">
        <v>299</v>
      </c>
      <c r="B46" s="300" t="s">
        <v>300</v>
      </c>
      <c r="C46" s="301"/>
      <c r="D46" s="302"/>
      <c r="E46" s="303"/>
      <c r="F46" s="152"/>
      <c r="G46" s="152"/>
      <c r="H46" s="152"/>
      <c r="I46" s="152"/>
      <c r="J46" s="152"/>
      <c r="K46" s="152"/>
      <c r="L46" s="152"/>
      <c r="M46" s="152"/>
      <c r="N46" s="152"/>
      <c r="O46" s="152"/>
      <c r="P46" s="152"/>
      <c r="Q46" s="152"/>
      <c r="R46" s="152"/>
      <c r="S46" s="152"/>
      <c r="T46" s="152"/>
      <c r="U46" s="152"/>
      <c r="V46" s="152"/>
      <c r="W46" s="152"/>
      <c r="X46" s="152"/>
      <c r="Y46" s="152"/>
      <c r="Z46" s="152"/>
      <c r="AA46" s="152"/>
      <c r="AB46" s="152"/>
      <c r="AC46" s="152"/>
      <c r="AD46" s="152"/>
      <c r="AE46" s="152"/>
    </row>
    <row r="47" spans="1:31" ht="15.75">
      <c r="A47" s="302"/>
      <c r="B47" s="292" t="s">
        <v>301</v>
      </c>
      <c r="C47" s="294"/>
      <c r="D47" s="295"/>
      <c r="E47" s="296"/>
      <c r="F47" s="152"/>
      <c r="G47" s="152"/>
      <c r="H47" s="152"/>
      <c r="I47" s="152"/>
      <c r="J47" s="152"/>
      <c r="K47" s="152"/>
      <c r="L47" s="152"/>
      <c r="M47" s="148" t="s">
        <v>154</v>
      </c>
      <c r="N47" s="157" t="s">
        <v>67</v>
      </c>
      <c r="O47" s="151"/>
      <c r="P47" s="152"/>
      <c r="Q47" s="148" t="s">
        <v>67</v>
      </c>
      <c r="R47" s="152"/>
      <c r="S47" s="152"/>
      <c r="T47" s="152"/>
      <c r="U47" s="152"/>
      <c r="V47" s="152"/>
      <c r="W47" s="152"/>
      <c r="X47" s="152"/>
      <c r="Y47" s="152"/>
      <c r="Z47" s="152"/>
      <c r="AA47" s="152"/>
      <c r="AB47" s="152"/>
      <c r="AC47" s="152"/>
      <c r="AD47" s="152"/>
      <c r="AE47" s="152"/>
    </row>
    <row r="48" spans="1:31" ht="15.75">
      <c r="A48" s="308"/>
      <c r="B48" s="292" t="s">
        <v>302</v>
      </c>
      <c r="C48" s="294"/>
      <c r="D48" s="295"/>
      <c r="E48" s="296"/>
      <c r="F48" s="152"/>
      <c r="G48" s="152"/>
      <c r="H48" s="152"/>
      <c r="I48" s="152"/>
      <c r="J48" s="152"/>
      <c r="K48" s="152"/>
      <c r="L48" s="152"/>
      <c r="M48" s="166">
        <v>1</v>
      </c>
      <c r="N48" s="175" t="s">
        <v>163</v>
      </c>
      <c r="O48" s="933">
        <f>O36*1.03</f>
        <v>129433.51315000001</v>
      </c>
      <c r="P48" s="152"/>
      <c r="Q48" s="157" t="s">
        <v>248</v>
      </c>
      <c r="R48" s="311"/>
      <c r="S48" s="312"/>
      <c r="T48" s="312"/>
      <c r="U48" s="312"/>
      <c r="V48" s="312"/>
      <c r="W48" s="312"/>
      <c r="X48" s="279"/>
      <c r="Y48" s="152"/>
      <c r="Z48" s="152"/>
      <c r="AA48" s="152"/>
      <c r="AB48" s="152"/>
      <c r="AC48" s="152"/>
      <c r="AD48" s="152"/>
      <c r="AE48" s="152"/>
    </row>
    <row r="49" spans="1:31" ht="15.75">
      <c r="A49" s="299"/>
      <c r="B49" s="331" t="s">
        <v>303</v>
      </c>
      <c r="C49" s="332"/>
      <c r="D49" s="332"/>
      <c r="E49" s="333"/>
      <c r="F49" s="152"/>
      <c r="G49" s="152"/>
      <c r="H49" s="152"/>
      <c r="I49" s="152"/>
      <c r="J49" s="152"/>
      <c r="K49" s="152"/>
      <c r="L49" s="152"/>
      <c r="M49" s="174">
        <v>1</v>
      </c>
      <c r="N49" s="175" t="s">
        <v>250</v>
      </c>
      <c r="O49" s="933">
        <f t="shared" ref="O49:O52" si="10">O38*1.03</f>
        <v>95668.248850000004</v>
      </c>
      <c r="P49" s="152"/>
      <c r="Q49" s="175" t="s">
        <v>252</v>
      </c>
      <c r="R49" s="175" t="s">
        <v>253</v>
      </c>
      <c r="S49" s="175" t="s">
        <v>254</v>
      </c>
      <c r="T49" s="175" t="s">
        <v>305</v>
      </c>
      <c r="U49" s="175" t="s">
        <v>256</v>
      </c>
      <c r="V49" s="175" t="s">
        <v>284</v>
      </c>
      <c r="W49" s="175" t="s">
        <v>285</v>
      </c>
      <c r="X49" s="175" t="s">
        <v>259</v>
      </c>
      <c r="Y49" s="152"/>
      <c r="Z49" s="152"/>
      <c r="AA49" s="152"/>
      <c r="AB49" s="152"/>
      <c r="AC49" s="152"/>
      <c r="AD49" s="152"/>
      <c r="AE49" s="152"/>
    </row>
    <row r="50" spans="1:31" ht="15.75">
      <c r="A50" s="307"/>
      <c r="B50" s="331" t="s">
        <v>306</v>
      </c>
      <c r="C50" s="334"/>
      <c r="D50" s="332"/>
      <c r="E50" s="333"/>
      <c r="F50" s="152"/>
      <c r="G50" s="152"/>
      <c r="H50" s="152"/>
      <c r="I50" s="152"/>
      <c r="J50" s="152"/>
      <c r="K50" s="152"/>
      <c r="L50" s="152"/>
      <c r="M50" s="174">
        <v>3</v>
      </c>
      <c r="N50" s="195" t="s">
        <v>261</v>
      </c>
      <c r="O50" s="933">
        <f t="shared" si="10"/>
        <v>229313.535</v>
      </c>
      <c r="P50" s="152"/>
      <c r="Q50" s="175" t="s">
        <v>157</v>
      </c>
      <c r="R50" s="235">
        <v>2</v>
      </c>
      <c r="S50" s="235">
        <v>3</v>
      </c>
      <c r="T50" s="235">
        <v>3</v>
      </c>
      <c r="U50" s="235">
        <f>46+18</f>
        <v>64</v>
      </c>
      <c r="V50" s="235">
        <v>2</v>
      </c>
      <c r="W50" s="235">
        <v>2</v>
      </c>
      <c r="X50" s="235">
        <f t="shared" ref="X50:X51" si="11">R50*S50*T50+U50*V50*W50</f>
        <v>274</v>
      </c>
      <c r="Y50" s="152"/>
      <c r="Z50" s="152"/>
      <c r="AA50" s="152"/>
      <c r="AB50" s="152"/>
      <c r="AC50" s="152"/>
      <c r="AD50" s="152"/>
      <c r="AE50" s="152"/>
    </row>
    <row r="51" spans="1:31" ht="15.75">
      <c r="A51" s="307"/>
      <c r="B51" s="331" t="s">
        <v>307</v>
      </c>
      <c r="C51" s="334"/>
      <c r="D51" s="332"/>
      <c r="E51" s="333"/>
      <c r="F51" s="152"/>
      <c r="G51" s="152"/>
      <c r="H51" s="152"/>
      <c r="I51" s="152"/>
      <c r="J51" s="152"/>
      <c r="K51" s="152"/>
      <c r="L51" s="152"/>
      <c r="M51" s="174">
        <v>3</v>
      </c>
      <c r="N51" s="195" t="s">
        <v>265</v>
      </c>
      <c r="O51" s="933">
        <f t="shared" si="10"/>
        <v>220401.97500000001</v>
      </c>
      <c r="P51" s="152"/>
      <c r="Q51" s="175" t="s">
        <v>260</v>
      </c>
      <c r="R51" s="235">
        <v>2</v>
      </c>
      <c r="S51" s="235">
        <v>3</v>
      </c>
      <c r="T51" s="235">
        <v>2</v>
      </c>
      <c r="U51" s="235">
        <v>5</v>
      </c>
      <c r="V51" s="235">
        <v>2</v>
      </c>
      <c r="W51" s="235">
        <v>2</v>
      </c>
      <c r="X51" s="235">
        <f t="shared" si="11"/>
        <v>32</v>
      </c>
      <c r="Y51" s="152"/>
      <c r="Z51" s="152"/>
      <c r="AA51" s="152"/>
      <c r="AB51" s="152"/>
      <c r="AC51" s="152"/>
      <c r="AD51" s="152"/>
      <c r="AE51" s="152"/>
    </row>
    <row r="52" spans="1:31" ht="15.75">
      <c r="A52" s="307"/>
      <c r="B52" s="331" t="s">
        <v>308</v>
      </c>
      <c r="C52" s="334"/>
      <c r="D52" s="332"/>
      <c r="E52" s="333"/>
      <c r="F52" s="152"/>
      <c r="G52" s="152"/>
      <c r="H52" s="152"/>
      <c r="I52" s="152"/>
      <c r="J52" s="152"/>
      <c r="K52" s="152"/>
      <c r="L52" s="152"/>
      <c r="M52" s="174">
        <v>1</v>
      </c>
      <c r="N52" s="175" t="s">
        <v>187</v>
      </c>
      <c r="O52" s="933">
        <f t="shared" si="10"/>
        <v>109737.10897500001</v>
      </c>
      <c r="P52" s="152"/>
      <c r="Q52" s="175" t="s">
        <v>266</v>
      </c>
      <c r="R52" s="234">
        <v>10</v>
      </c>
      <c r="S52" s="314">
        <v>1</v>
      </c>
      <c r="T52" s="234">
        <v>2</v>
      </c>
      <c r="U52" s="235">
        <f>34+70+42+30+20+40+64</f>
        <v>300</v>
      </c>
      <c r="V52" s="234">
        <v>1</v>
      </c>
      <c r="W52" s="234">
        <v>1</v>
      </c>
      <c r="X52" s="235">
        <f>(R52*S52*T52)+(U52*V52*W52)</f>
        <v>320</v>
      </c>
      <c r="Y52" s="152"/>
      <c r="Z52" s="152"/>
      <c r="AA52" s="152"/>
      <c r="AB52" s="152"/>
      <c r="AC52" s="152"/>
      <c r="AD52" s="152"/>
      <c r="AE52" s="152"/>
    </row>
    <row r="53" spans="1:31" ht="15.75">
      <c r="A53" s="307"/>
      <c r="B53" s="332"/>
      <c r="C53" s="332"/>
      <c r="D53" s="332"/>
      <c r="E53" s="333"/>
      <c r="F53" s="152"/>
      <c r="G53" s="152"/>
      <c r="H53" s="152"/>
      <c r="I53" s="152"/>
      <c r="J53" s="152"/>
      <c r="K53" s="152"/>
      <c r="L53" s="152"/>
      <c r="M53" s="174">
        <v>2</v>
      </c>
      <c r="N53" s="195" t="s">
        <v>192</v>
      </c>
      <c r="O53" s="933">
        <f>O43*1.03</f>
        <v>78290.392823599992</v>
      </c>
      <c r="P53" s="152"/>
      <c r="Q53" s="152"/>
      <c r="R53" s="152"/>
      <c r="S53" s="152"/>
      <c r="T53" s="152"/>
      <c r="U53" s="152"/>
      <c r="V53" s="152"/>
      <c r="W53" s="148" t="s">
        <v>267</v>
      </c>
      <c r="X53" s="157">
        <f>SUM(X50:X52)</f>
        <v>626</v>
      </c>
      <c r="Y53" s="152"/>
      <c r="Z53" s="152"/>
      <c r="AA53" s="152"/>
      <c r="AB53" s="152"/>
      <c r="AC53" s="152"/>
      <c r="AD53" s="152"/>
      <c r="AE53" s="152"/>
    </row>
    <row r="54" spans="1:31" ht="15.75">
      <c r="A54" s="318"/>
      <c r="B54" s="319"/>
      <c r="C54" s="320"/>
      <c r="D54" s="321"/>
      <c r="E54" s="322"/>
      <c r="F54" s="152"/>
      <c r="G54" s="152"/>
      <c r="H54" s="152"/>
      <c r="I54" s="152"/>
      <c r="J54" s="152"/>
      <c r="K54" s="152"/>
      <c r="L54" s="152"/>
      <c r="M54" s="174">
        <v>1</v>
      </c>
      <c r="N54" s="175" t="s">
        <v>176</v>
      </c>
      <c r="O54" s="933">
        <f>O37*1.03</f>
        <v>123805.9691</v>
      </c>
      <c r="P54" s="152"/>
      <c r="Q54" s="152"/>
      <c r="R54" s="152"/>
      <c r="S54" s="152"/>
      <c r="T54" s="152"/>
      <c r="U54" s="152"/>
      <c r="V54" s="152"/>
      <c r="W54" s="152"/>
      <c r="Y54" s="152"/>
      <c r="Z54" s="152"/>
      <c r="AA54" s="152"/>
      <c r="AB54" s="152"/>
      <c r="AC54" s="152"/>
      <c r="AD54" s="152"/>
      <c r="AE54" s="152"/>
    </row>
    <row r="55" spans="1:31" ht="15.75">
      <c r="A55" s="152"/>
      <c r="B55" s="152"/>
      <c r="C55" s="281"/>
      <c r="D55" s="152"/>
      <c r="E55" s="152"/>
      <c r="F55" s="152"/>
      <c r="G55" s="152"/>
      <c r="H55" s="152"/>
      <c r="I55" s="152"/>
      <c r="J55" s="152"/>
      <c r="K55" s="152"/>
      <c r="L55" s="152"/>
      <c r="M55" s="174">
        <v>1</v>
      </c>
      <c r="N55" s="195" t="s">
        <v>313</v>
      </c>
      <c r="O55" s="933">
        <f>72000</f>
        <v>72000</v>
      </c>
      <c r="P55" s="152"/>
      <c r="Q55" s="152"/>
      <c r="R55" s="152"/>
      <c r="S55" s="152"/>
      <c r="T55" s="152"/>
      <c r="U55" s="152"/>
      <c r="V55" s="152"/>
      <c r="W55" s="152"/>
      <c r="X55" s="152"/>
      <c r="Y55" s="152"/>
      <c r="Z55" s="152"/>
      <c r="AA55" s="152"/>
      <c r="AB55" s="152"/>
      <c r="AC55" s="152"/>
      <c r="AD55" s="152"/>
      <c r="AE55" s="152"/>
    </row>
    <row r="56" spans="1:31" ht="15.75">
      <c r="A56" s="152"/>
      <c r="B56" s="152"/>
      <c r="C56" s="281"/>
      <c r="D56" s="152"/>
      <c r="E56" s="152"/>
      <c r="F56" s="152"/>
      <c r="G56" s="152"/>
      <c r="H56" s="152"/>
      <c r="I56" s="152"/>
      <c r="J56" s="152"/>
      <c r="K56" s="152"/>
      <c r="L56" s="152"/>
      <c r="M56" s="174">
        <v>2</v>
      </c>
      <c r="N56" s="195" t="s">
        <v>269</v>
      </c>
      <c r="O56" s="933">
        <f>O42*1.03</f>
        <v>126056.98672</v>
      </c>
      <c r="P56" s="152"/>
      <c r="Q56" s="152"/>
      <c r="R56" s="152"/>
      <c r="S56" s="152"/>
      <c r="T56" s="152"/>
      <c r="U56" s="152"/>
      <c r="V56" s="152"/>
      <c r="W56" s="152"/>
      <c r="X56" s="152"/>
      <c r="Y56" s="152"/>
      <c r="Z56" s="152"/>
      <c r="AA56" s="152"/>
      <c r="AB56" s="152"/>
      <c r="AC56" s="152"/>
      <c r="AD56" s="152"/>
      <c r="AE56" s="152"/>
    </row>
    <row r="57" spans="1:31" ht="15.75">
      <c r="A57" s="152"/>
      <c r="B57" s="152"/>
      <c r="C57" s="281"/>
      <c r="D57" s="152"/>
      <c r="E57" s="152"/>
      <c r="F57" s="152"/>
      <c r="G57" s="152"/>
      <c r="H57" s="152"/>
      <c r="I57" s="152"/>
      <c r="J57" s="152"/>
      <c r="K57" s="152"/>
      <c r="L57" s="152"/>
      <c r="M57" s="174">
        <v>1</v>
      </c>
      <c r="N57" s="195" t="s">
        <v>296</v>
      </c>
      <c r="O57" s="933">
        <f>O44*1.03</f>
        <v>106090</v>
      </c>
      <c r="P57" s="152"/>
      <c r="Q57" s="152"/>
      <c r="R57" s="152"/>
      <c r="S57" s="152"/>
      <c r="T57" s="152"/>
      <c r="U57" s="152"/>
      <c r="V57" s="152"/>
      <c r="W57" s="152"/>
      <c r="X57" s="152"/>
      <c r="Y57" s="152"/>
      <c r="Z57" s="152"/>
      <c r="AA57" s="152"/>
      <c r="AB57" s="152"/>
      <c r="AC57" s="152"/>
      <c r="AD57" s="152"/>
      <c r="AE57" s="152"/>
    </row>
    <row r="58" spans="1:31" ht="15.75">
      <c r="A58" s="152"/>
      <c r="B58" s="152"/>
      <c r="C58" s="281"/>
      <c r="D58" s="152"/>
      <c r="E58" s="152"/>
      <c r="F58" s="152"/>
      <c r="G58" s="152"/>
      <c r="H58" s="152"/>
      <c r="I58" s="152"/>
      <c r="J58" s="152"/>
      <c r="K58" s="152"/>
      <c r="L58" s="152"/>
      <c r="M58" s="213">
        <f>SUM(M48:M57)</f>
        <v>16</v>
      </c>
      <c r="N58" s="148" t="s">
        <v>202</v>
      </c>
      <c r="O58" s="934">
        <f>SUM(O48:O57)</f>
        <v>1290797.7296185999</v>
      </c>
      <c r="P58" s="152"/>
      <c r="Q58" s="152"/>
      <c r="R58" s="152"/>
      <c r="S58" s="152"/>
      <c r="T58" s="152"/>
      <c r="U58" s="152"/>
      <c r="V58" s="152"/>
      <c r="W58" s="152"/>
      <c r="X58" s="152"/>
      <c r="Y58" s="152"/>
      <c r="Z58" s="152"/>
      <c r="AA58" s="152"/>
      <c r="AB58" s="152"/>
      <c r="AC58" s="152"/>
      <c r="AD58" s="152"/>
      <c r="AE58" s="152"/>
    </row>
    <row r="59" spans="1:31" ht="15.75">
      <c r="A59" s="152"/>
      <c r="B59" s="152"/>
      <c r="C59" s="281"/>
      <c r="D59" s="152"/>
      <c r="E59" s="152"/>
      <c r="F59" s="152"/>
      <c r="G59" s="152"/>
      <c r="H59" s="152"/>
      <c r="I59" s="152"/>
      <c r="J59" s="152"/>
      <c r="K59" s="152"/>
      <c r="L59" s="152"/>
      <c r="M59" s="152"/>
      <c r="N59" s="152"/>
      <c r="O59" s="152"/>
      <c r="P59" s="152"/>
      <c r="Q59" s="152"/>
      <c r="R59" s="152"/>
      <c r="S59" s="152"/>
      <c r="T59" s="152"/>
      <c r="U59" s="152"/>
      <c r="V59" s="152"/>
      <c r="W59" s="152"/>
      <c r="X59" s="152"/>
      <c r="Y59" s="152"/>
      <c r="Z59" s="152"/>
      <c r="AA59" s="152"/>
      <c r="AB59" s="152"/>
      <c r="AC59" s="152"/>
      <c r="AD59" s="152"/>
      <c r="AE59" s="152"/>
    </row>
    <row r="60" spans="1:31" ht="15.75">
      <c r="A60" s="152"/>
      <c r="B60" s="152"/>
      <c r="C60" s="281"/>
      <c r="D60" s="152"/>
      <c r="E60" s="152"/>
      <c r="F60" s="152"/>
      <c r="G60" s="152"/>
      <c r="H60" s="152"/>
      <c r="I60" s="152"/>
      <c r="J60" s="152"/>
      <c r="K60" s="152"/>
      <c r="L60" s="152"/>
      <c r="M60" s="152"/>
      <c r="N60" s="152"/>
      <c r="O60" s="152"/>
      <c r="P60" s="152"/>
      <c r="Q60" s="152"/>
      <c r="R60" s="152"/>
      <c r="S60" s="152"/>
      <c r="T60" s="152"/>
      <c r="U60" s="152"/>
      <c r="V60" s="152"/>
      <c r="W60" s="152"/>
      <c r="X60" s="152"/>
      <c r="Y60" s="152"/>
      <c r="Z60" s="152"/>
      <c r="AA60" s="152"/>
      <c r="AB60" s="152"/>
      <c r="AC60" s="152"/>
      <c r="AD60" s="152"/>
      <c r="AE60" s="152"/>
    </row>
    <row r="61" spans="1:31" ht="15.75">
      <c r="A61" s="152"/>
      <c r="B61" s="152"/>
      <c r="C61" s="281"/>
      <c r="D61" s="152"/>
      <c r="E61" s="152"/>
      <c r="F61" s="152"/>
      <c r="G61" s="152"/>
      <c r="H61" s="152"/>
      <c r="I61" s="152"/>
      <c r="J61" s="152"/>
      <c r="K61" s="152"/>
      <c r="L61" s="152"/>
      <c r="M61" s="152"/>
      <c r="N61" s="152"/>
      <c r="O61" s="152"/>
      <c r="P61" s="152"/>
      <c r="Q61" s="152"/>
      <c r="R61" s="152"/>
      <c r="S61" s="152"/>
      <c r="T61" s="152"/>
      <c r="U61" s="152"/>
      <c r="V61" s="152"/>
      <c r="W61" s="152"/>
      <c r="X61" s="152"/>
      <c r="Y61" s="152"/>
      <c r="Z61" s="152"/>
      <c r="AA61" s="152"/>
      <c r="AB61" s="152"/>
      <c r="AC61" s="152"/>
      <c r="AD61" s="152"/>
      <c r="AE61" s="152"/>
    </row>
    <row r="62" spans="1:31" ht="15.75">
      <c r="A62" s="152"/>
      <c r="B62" s="152"/>
      <c r="C62" s="281"/>
      <c r="D62" s="152"/>
      <c r="E62" s="152"/>
      <c r="F62" s="152"/>
      <c r="G62" s="152"/>
      <c r="H62" s="152"/>
      <c r="I62" s="152"/>
      <c r="J62" s="152"/>
      <c r="K62" s="152"/>
      <c r="L62" s="152"/>
      <c r="M62" s="152"/>
      <c r="N62" s="152"/>
      <c r="O62" s="152"/>
      <c r="P62" s="152"/>
      <c r="Q62" s="152"/>
      <c r="R62" s="152"/>
      <c r="S62" s="152"/>
      <c r="T62" s="152"/>
      <c r="U62" s="152"/>
      <c r="V62" s="152"/>
      <c r="W62" s="152"/>
      <c r="X62" s="152"/>
      <c r="Y62" s="152"/>
      <c r="Z62" s="152"/>
      <c r="AA62" s="152"/>
      <c r="AB62" s="152"/>
      <c r="AC62" s="152"/>
      <c r="AD62" s="152"/>
      <c r="AE62" s="152"/>
    </row>
    <row r="63" spans="1:31" ht="15.75">
      <c r="A63" s="152"/>
      <c r="B63" s="152"/>
      <c r="C63" s="281"/>
      <c r="D63" s="152"/>
      <c r="E63" s="152"/>
      <c r="F63" s="152"/>
      <c r="G63" s="152"/>
      <c r="H63" s="152"/>
      <c r="I63" s="152"/>
      <c r="J63" s="152"/>
      <c r="K63" s="152"/>
      <c r="L63" s="152"/>
      <c r="M63" s="152"/>
      <c r="N63" s="152"/>
      <c r="O63" s="152"/>
      <c r="P63" s="152"/>
      <c r="Q63" s="152"/>
      <c r="R63" s="152"/>
      <c r="S63" s="152"/>
      <c r="T63" s="152"/>
      <c r="U63" s="152"/>
      <c r="V63" s="152"/>
      <c r="W63" s="152"/>
      <c r="X63" s="152"/>
      <c r="Y63" s="152"/>
      <c r="Z63" s="152"/>
      <c r="AA63" s="152"/>
      <c r="AB63" s="152"/>
      <c r="AC63" s="152"/>
      <c r="AD63" s="152"/>
      <c r="AE63" s="152"/>
    </row>
    <row r="64" spans="1:31" ht="15.75">
      <c r="A64" s="152"/>
      <c r="B64" s="152"/>
      <c r="C64" s="281"/>
      <c r="D64" s="152"/>
      <c r="E64" s="152"/>
      <c r="F64" s="152"/>
      <c r="G64" s="152"/>
      <c r="H64" s="152"/>
      <c r="I64" s="152"/>
      <c r="J64" s="152"/>
      <c r="K64" s="152"/>
      <c r="L64" s="152"/>
      <c r="M64" s="152"/>
      <c r="N64" s="152"/>
      <c r="O64" s="152"/>
      <c r="P64" s="152"/>
      <c r="Q64" s="152"/>
      <c r="R64" s="152"/>
      <c r="S64" s="152"/>
      <c r="T64" s="152"/>
      <c r="U64" s="152"/>
      <c r="V64" s="152"/>
      <c r="W64" s="152"/>
      <c r="X64" s="152"/>
      <c r="Y64" s="152"/>
      <c r="Z64" s="152"/>
      <c r="AA64" s="152"/>
      <c r="AB64" s="152"/>
      <c r="AC64" s="152"/>
      <c r="AD64" s="152"/>
      <c r="AE64" s="152"/>
    </row>
    <row r="65" spans="1:31" ht="15.75">
      <c r="A65" s="152"/>
      <c r="B65" s="152"/>
      <c r="C65" s="281"/>
      <c r="D65" s="152"/>
      <c r="E65" s="152"/>
      <c r="F65" s="152"/>
      <c r="G65" s="152"/>
      <c r="H65" s="152"/>
      <c r="I65" s="152"/>
      <c r="J65" s="152"/>
      <c r="K65" s="152"/>
      <c r="L65" s="152"/>
      <c r="M65" s="152"/>
      <c r="N65" s="152"/>
      <c r="O65" s="152"/>
      <c r="P65" s="152"/>
      <c r="Q65" s="152"/>
      <c r="R65" s="152"/>
      <c r="S65" s="152"/>
      <c r="T65" s="152"/>
      <c r="U65" s="152"/>
      <c r="V65" s="152"/>
      <c r="W65" s="152"/>
      <c r="X65" s="152"/>
      <c r="Y65" s="152"/>
      <c r="Z65" s="152"/>
      <c r="AA65" s="152"/>
      <c r="AB65" s="152"/>
      <c r="AC65" s="152"/>
      <c r="AD65" s="152"/>
      <c r="AE65" s="152"/>
    </row>
    <row r="66" spans="1:31" ht="15.75">
      <c r="A66" s="152"/>
      <c r="B66" s="152"/>
      <c r="C66" s="281"/>
      <c r="D66" s="152"/>
      <c r="E66" s="152"/>
      <c r="F66" s="152"/>
      <c r="G66" s="152"/>
      <c r="H66" s="152"/>
      <c r="I66" s="152"/>
      <c r="J66" s="152"/>
      <c r="K66" s="152"/>
      <c r="L66" s="152"/>
      <c r="M66" s="152"/>
      <c r="N66" s="152"/>
      <c r="O66" s="152"/>
      <c r="P66" s="152"/>
      <c r="Q66" s="152"/>
      <c r="R66" s="152"/>
      <c r="S66" s="152"/>
      <c r="T66" s="152"/>
      <c r="U66" s="152"/>
      <c r="V66" s="152"/>
      <c r="W66" s="152"/>
      <c r="X66" s="152"/>
      <c r="Y66" s="152"/>
      <c r="Z66" s="152"/>
      <c r="AA66" s="152"/>
      <c r="AB66" s="152"/>
      <c r="AC66" s="152"/>
      <c r="AD66" s="152"/>
      <c r="AE66" s="152"/>
    </row>
    <row r="67" spans="1:31" ht="15.75">
      <c r="A67" s="152"/>
      <c r="B67" s="152"/>
      <c r="C67" s="281"/>
      <c r="D67" s="152"/>
      <c r="E67" s="152"/>
      <c r="F67" s="152"/>
      <c r="G67" s="152"/>
      <c r="H67" s="152"/>
      <c r="I67" s="152"/>
      <c r="J67" s="152"/>
      <c r="K67" s="152"/>
      <c r="L67" s="152"/>
      <c r="M67" s="152"/>
      <c r="N67" s="152"/>
      <c r="O67" s="152"/>
      <c r="P67" s="152"/>
      <c r="Q67" s="152"/>
      <c r="R67" s="152"/>
      <c r="S67" s="152"/>
      <c r="T67" s="152"/>
      <c r="U67" s="152"/>
      <c r="V67" s="152"/>
      <c r="W67" s="152"/>
      <c r="X67" s="152"/>
      <c r="Y67" s="152"/>
      <c r="Z67" s="152"/>
      <c r="AA67" s="152"/>
      <c r="AB67" s="152"/>
      <c r="AC67" s="152"/>
      <c r="AD67" s="152"/>
      <c r="AE67" s="152"/>
    </row>
    <row r="68" spans="1:31" ht="15.75">
      <c r="A68" s="152"/>
      <c r="B68" s="152"/>
      <c r="C68" s="281"/>
      <c r="D68" s="152"/>
      <c r="E68" s="152"/>
      <c r="F68" s="152"/>
      <c r="G68" s="152"/>
      <c r="H68" s="152"/>
      <c r="I68" s="152"/>
      <c r="J68" s="152"/>
      <c r="K68" s="152"/>
      <c r="L68" s="152"/>
      <c r="M68" s="152"/>
      <c r="N68" s="152"/>
      <c r="O68" s="152"/>
      <c r="P68" s="152"/>
      <c r="Q68" s="152"/>
      <c r="R68" s="152"/>
      <c r="S68" s="152"/>
      <c r="T68" s="152"/>
      <c r="U68" s="152"/>
      <c r="V68" s="152"/>
      <c r="W68" s="152"/>
      <c r="X68" s="152"/>
      <c r="Y68" s="152"/>
      <c r="Z68" s="152"/>
      <c r="AA68" s="152"/>
      <c r="AB68" s="152"/>
      <c r="AC68" s="152"/>
      <c r="AD68" s="152"/>
      <c r="AE68" s="152"/>
    </row>
    <row r="69" spans="1:31" ht="15.75">
      <c r="A69" s="152"/>
      <c r="B69" s="152"/>
      <c r="C69" s="281"/>
      <c r="D69" s="152"/>
      <c r="E69" s="152"/>
      <c r="F69" s="152"/>
      <c r="G69" s="152"/>
      <c r="H69" s="152"/>
      <c r="I69" s="152"/>
      <c r="J69" s="152"/>
      <c r="K69" s="152"/>
      <c r="L69" s="152"/>
      <c r="M69" s="152"/>
      <c r="N69" s="152"/>
      <c r="O69" s="152"/>
      <c r="P69" s="152"/>
      <c r="Q69" s="152"/>
      <c r="R69" s="152"/>
      <c r="S69" s="152"/>
      <c r="T69" s="152"/>
      <c r="U69" s="152"/>
      <c r="V69" s="152"/>
      <c r="W69" s="152"/>
      <c r="X69" s="152"/>
      <c r="Y69" s="152"/>
      <c r="Z69" s="152"/>
      <c r="AA69" s="152"/>
      <c r="AB69" s="152"/>
      <c r="AC69" s="152"/>
      <c r="AD69" s="152"/>
      <c r="AE69" s="152"/>
    </row>
    <row r="70" spans="1:31" ht="15.75">
      <c r="A70" s="152"/>
      <c r="B70" s="152"/>
      <c r="C70" s="281"/>
      <c r="D70" s="152"/>
      <c r="E70" s="152"/>
      <c r="F70" s="152"/>
      <c r="G70" s="152"/>
      <c r="H70" s="152"/>
      <c r="I70" s="152"/>
      <c r="J70" s="152"/>
      <c r="K70" s="152"/>
      <c r="L70" s="152"/>
      <c r="M70" s="152"/>
      <c r="N70" s="152"/>
      <c r="O70" s="152"/>
      <c r="P70" s="152"/>
      <c r="Q70" s="152"/>
      <c r="R70" s="152"/>
      <c r="S70" s="152"/>
      <c r="T70" s="152"/>
      <c r="U70" s="152"/>
      <c r="V70" s="152"/>
      <c r="W70" s="152"/>
      <c r="X70" s="152"/>
      <c r="Y70" s="152"/>
      <c r="Z70" s="152"/>
      <c r="AA70" s="152"/>
      <c r="AB70" s="152"/>
      <c r="AC70" s="152"/>
      <c r="AD70" s="152"/>
      <c r="AE70" s="152"/>
    </row>
    <row r="71" spans="1:31" ht="15.75">
      <c r="A71" s="152"/>
      <c r="B71" s="152"/>
      <c r="C71" s="281"/>
      <c r="D71" s="152"/>
      <c r="E71" s="152"/>
      <c r="F71" s="152"/>
      <c r="G71" s="152"/>
      <c r="H71" s="152"/>
      <c r="I71" s="152"/>
      <c r="J71" s="152"/>
      <c r="K71" s="152"/>
      <c r="L71" s="152"/>
      <c r="M71" s="152"/>
      <c r="N71" s="152"/>
      <c r="O71" s="152"/>
      <c r="P71" s="152"/>
      <c r="Q71" s="152"/>
      <c r="R71" s="152"/>
      <c r="S71" s="152"/>
      <c r="T71" s="152"/>
      <c r="U71" s="152"/>
      <c r="V71" s="152"/>
      <c r="W71" s="152"/>
      <c r="X71" s="152"/>
      <c r="Y71" s="152"/>
      <c r="Z71" s="152"/>
      <c r="AA71" s="152"/>
      <c r="AB71" s="152"/>
      <c r="AC71" s="152"/>
      <c r="AD71" s="152"/>
      <c r="AE71" s="152"/>
    </row>
    <row r="72" spans="1:31" ht="15.75">
      <c r="A72" s="152"/>
      <c r="B72" s="152"/>
      <c r="C72" s="281"/>
      <c r="D72" s="152"/>
      <c r="E72" s="152"/>
      <c r="F72" s="152"/>
      <c r="G72" s="152"/>
      <c r="H72" s="152"/>
      <c r="I72" s="152"/>
      <c r="J72" s="152"/>
      <c r="K72" s="152"/>
      <c r="L72" s="152"/>
      <c r="M72" s="152"/>
      <c r="N72" s="152"/>
      <c r="O72" s="152"/>
      <c r="P72" s="152"/>
      <c r="Q72" s="152"/>
      <c r="R72" s="152"/>
      <c r="S72" s="152"/>
      <c r="T72" s="152"/>
      <c r="U72" s="152"/>
      <c r="V72" s="152"/>
      <c r="W72" s="152"/>
      <c r="X72" s="152"/>
      <c r="Y72" s="152"/>
      <c r="Z72" s="152"/>
      <c r="AA72" s="152"/>
      <c r="AB72" s="152"/>
      <c r="AC72" s="152"/>
      <c r="AD72" s="152"/>
      <c r="AE72" s="152"/>
    </row>
    <row r="73" spans="1:31" ht="15.75">
      <c r="A73" s="152"/>
      <c r="B73" s="152"/>
      <c r="C73" s="281"/>
      <c r="D73" s="152"/>
      <c r="E73" s="152"/>
      <c r="F73" s="152"/>
      <c r="G73" s="152"/>
      <c r="H73" s="152"/>
      <c r="I73" s="152"/>
      <c r="J73" s="152"/>
      <c r="K73" s="152"/>
      <c r="L73" s="152"/>
      <c r="M73" s="152"/>
      <c r="N73" s="152"/>
      <c r="O73" s="152"/>
      <c r="P73" s="152"/>
      <c r="Q73" s="152"/>
      <c r="R73" s="152"/>
      <c r="S73" s="152"/>
      <c r="T73" s="152"/>
      <c r="U73" s="152"/>
      <c r="V73" s="152"/>
      <c r="W73" s="152"/>
      <c r="X73" s="152"/>
      <c r="Y73" s="152"/>
      <c r="Z73" s="152"/>
      <c r="AA73" s="152"/>
      <c r="AB73" s="152"/>
      <c r="AC73" s="152"/>
      <c r="AD73" s="152"/>
      <c r="AE73" s="152"/>
    </row>
    <row r="74" spans="1:31" ht="15.75">
      <c r="A74" s="152"/>
      <c r="B74" s="152"/>
      <c r="C74" s="281"/>
      <c r="D74" s="152"/>
      <c r="E74" s="152"/>
      <c r="F74" s="152"/>
      <c r="G74" s="152"/>
      <c r="H74" s="152"/>
      <c r="I74" s="152"/>
      <c r="J74" s="152"/>
      <c r="K74" s="152"/>
      <c r="L74" s="152"/>
      <c r="M74" s="152"/>
      <c r="N74" s="152"/>
      <c r="O74" s="152"/>
      <c r="P74" s="152"/>
      <c r="Q74" s="152"/>
      <c r="R74" s="152"/>
      <c r="S74" s="152"/>
      <c r="T74" s="152"/>
      <c r="U74" s="152"/>
      <c r="V74" s="152"/>
      <c r="W74" s="152"/>
      <c r="X74" s="152"/>
      <c r="Y74" s="152"/>
      <c r="Z74" s="152"/>
      <c r="AA74" s="152"/>
      <c r="AB74" s="152"/>
      <c r="AC74" s="152"/>
      <c r="AD74" s="152"/>
      <c r="AE74" s="152"/>
    </row>
    <row r="75" spans="1:31" ht="15.75">
      <c r="A75" s="152"/>
      <c r="B75" s="152"/>
      <c r="C75" s="281"/>
      <c r="D75" s="152"/>
      <c r="E75" s="152"/>
      <c r="F75" s="152"/>
      <c r="G75" s="152"/>
      <c r="H75" s="152"/>
      <c r="I75" s="152"/>
      <c r="J75" s="152"/>
      <c r="K75" s="152"/>
      <c r="L75" s="152"/>
      <c r="M75" s="152"/>
      <c r="N75" s="152"/>
      <c r="O75" s="152"/>
      <c r="P75" s="152"/>
      <c r="Q75" s="152"/>
      <c r="R75" s="152"/>
      <c r="S75" s="152"/>
      <c r="T75" s="152"/>
      <c r="U75" s="152"/>
      <c r="V75" s="152"/>
      <c r="W75" s="152"/>
      <c r="X75" s="152"/>
      <c r="Y75" s="152"/>
      <c r="Z75" s="152"/>
      <c r="AA75" s="152"/>
      <c r="AB75" s="152"/>
      <c r="AC75" s="152"/>
      <c r="AD75" s="152"/>
      <c r="AE75" s="152"/>
    </row>
    <row r="76" spans="1:31" ht="15.75">
      <c r="A76" s="152"/>
      <c r="B76" s="152"/>
      <c r="C76" s="281"/>
      <c r="D76" s="152"/>
      <c r="E76" s="152"/>
      <c r="F76" s="152"/>
      <c r="G76" s="152"/>
      <c r="H76" s="152"/>
      <c r="I76" s="152"/>
      <c r="J76" s="152"/>
      <c r="K76" s="152"/>
      <c r="L76" s="152"/>
      <c r="M76" s="152"/>
      <c r="N76" s="152"/>
      <c r="O76" s="152"/>
      <c r="P76" s="152"/>
      <c r="Q76" s="152"/>
      <c r="R76" s="152"/>
      <c r="S76" s="152"/>
      <c r="T76" s="152"/>
      <c r="U76" s="152"/>
      <c r="V76" s="152"/>
      <c r="W76" s="152"/>
      <c r="X76" s="152"/>
      <c r="Y76" s="152"/>
      <c r="Z76" s="152"/>
      <c r="AA76" s="152"/>
      <c r="AB76" s="152"/>
      <c r="AC76" s="152"/>
      <c r="AD76" s="152"/>
      <c r="AE76" s="152"/>
    </row>
    <row r="77" spans="1:31" ht="15.75">
      <c r="A77" s="152"/>
      <c r="B77" s="152"/>
      <c r="C77" s="281"/>
      <c r="D77" s="152"/>
      <c r="E77" s="152"/>
      <c r="F77" s="152"/>
      <c r="G77" s="152"/>
      <c r="H77" s="152"/>
      <c r="I77" s="152"/>
      <c r="J77" s="152"/>
      <c r="K77" s="152"/>
      <c r="L77" s="152"/>
      <c r="M77" s="152"/>
      <c r="N77" s="152"/>
      <c r="O77" s="152"/>
      <c r="P77" s="152"/>
      <c r="Q77" s="152"/>
      <c r="R77" s="152"/>
      <c r="S77" s="152"/>
      <c r="T77" s="152"/>
      <c r="U77" s="152"/>
      <c r="V77" s="152"/>
      <c r="W77" s="152"/>
      <c r="X77" s="152"/>
      <c r="Y77" s="152"/>
      <c r="Z77" s="152"/>
      <c r="AA77" s="152"/>
      <c r="AB77" s="152"/>
      <c r="AC77" s="152"/>
      <c r="AD77" s="152"/>
      <c r="AE77" s="152"/>
    </row>
    <row r="78" spans="1:31" ht="15.75">
      <c r="A78" s="152"/>
      <c r="B78" s="152"/>
      <c r="C78" s="281"/>
      <c r="D78" s="152"/>
      <c r="E78" s="152"/>
      <c r="F78" s="152"/>
      <c r="G78" s="152"/>
      <c r="H78" s="152"/>
      <c r="I78" s="152"/>
      <c r="J78" s="152"/>
      <c r="K78" s="152"/>
      <c r="L78" s="152"/>
      <c r="M78" s="152"/>
      <c r="N78" s="152"/>
      <c r="O78" s="152"/>
      <c r="P78" s="152"/>
      <c r="Q78" s="152"/>
      <c r="R78" s="152"/>
      <c r="S78" s="152"/>
      <c r="T78" s="152"/>
      <c r="U78" s="152"/>
      <c r="V78" s="152"/>
      <c r="W78" s="152"/>
      <c r="X78" s="152"/>
      <c r="Y78" s="152"/>
      <c r="Z78" s="152"/>
      <c r="AA78" s="152"/>
      <c r="AB78" s="152"/>
      <c r="AC78" s="152"/>
      <c r="AD78" s="152"/>
      <c r="AE78" s="152"/>
    </row>
    <row r="79" spans="1:31" ht="15.75">
      <c r="A79" s="152"/>
      <c r="B79" s="152"/>
      <c r="C79" s="281"/>
      <c r="D79" s="152"/>
      <c r="E79" s="152"/>
      <c r="F79" s="152"/>
      <c r="G79" s="152"/>
      <c r="H79" s="152"/>
      <c r="I79" s="152"/>
      <c r="J79" s="152"/>
      <c r="K79" s="152"/>
      <c r="L79" s="152"/>
      <c r="M79" s="152"/>
      <c r="N79" s="152"/>
      <c r="O79" s="152"/>
      <c r="P79" s="152"/>
      <c r="Q79" s="152"/>
      <c r="R79" s="152"/>
      <c r="S79" s="152"/>
      <c r="T79" s="152"/>
      <c r="U79" s="152"/>
      <c r="V79" s="152"/>
      <c r="W79" s="152"/>
      <c r="X79" s="152"/>
      <c r="Y79" s="152"/>
      <c r="Z79" s="152"/>
      <c r="AA79" s="152"/>
      <c r="AB79" s="152"/>
      <c r="AC79" s="152"/>
      <c r="AD79" s="152"/>
      <c r="AE79" s="152"/>
    </row>
    <row r="80" spans="1:31" ht="15.75">
      <c r="A80" s="152"/>
      <c r="B80" s="152"/>
      <c r="C80" s="281"/>
      <c r="D80" s="152"/>
      <c r="E80" s="152"/>
      <c r="F80" s="152"/>
      <c r="G80" s="152"/>
      <c r="H80" s="152"/>
      <c r="I80" s="152"/>
      <c r="J80" s="152"/>
      <c r="K80" s="152"/>
      <c r="L80" s="152"/>
      <c r="M80" s="152"/>
      <c r="N80" s="152"/>
      <c r="O80" s="152"/>
      <c r="P80" s="152"/>
      <c r="Q80" s="152"/>
      <c r="R80" s="152"/>
      <c r="S80" s="152"/>
      <c r="T80" s="152"/>
      <c r="U80" s="152"/>
      <c r="V80" s="152"/>
      <c r="W80" s="152"/>
      <c r="X80" s="152"/>
      <c r="Y80" s="152"/>
      <c r="Z80" s="152"/>
      <c r="AA80" s="152"/>
      <c r="AB80" s="152"/>
      <c r="AC80" s="152"/>
      <c r="AD80" s="152"/>
      <c r="AE80" s="152"/>
    </row>
    <row r="81" spans="1:31" ht="15.75">
      <c r="A81" s="152"/>
      <c r="B81" s="152"/>
      <c r="C81" s="281"/>
      <c r="D81" s="152"/>
      <c r="E81" s="152"/>
      <c r="F81" s="152"/>
      <c r="G81" s="152"/>
      <c r="H81" s="152"/>
      <c r="I81" s="152"/>
      <c r="J81" s="152"/>
      <c r="K81" s="152"/>
      <c r="L81" s="152"/>
      <c r="M81" s="152"/>
      <c r="N81" s="152"/>
      <c r="O81" s="152"/>
      <c r="P81" s="152"/>
      <c r="Q81" s="152"/>
      <c r="R81" s="152"/>
      <c r="S81" s="152"/>
      <c r="T81" s="152"/>
      <c r="U81" s="152"/>
      <c r="V81" s="152"/>
      <c r="W81" s="152"/>
      <c r="X81" s="152"/>
      <c r="Y81" s="152"/>
      <c r="Z81" s="152"/>
      <c r="AA81" s="152"/>
      <c r="AB81" s="152"/>
      <c r="AC81" s="152"/>
      <c r="AD81" s="152"/>
      <c r="AE81" s="152"/>
    </row>
    <row r="82" spans="1:31" ht="15.75">
      <c r="A82" s="152"/>
      <c r="B82" s="152"/>
      <c r="C82" s="281"/>
      <c r="D82" s="152"/>
      <c r="E82" s="152"/>
      <c r="F82" s="152"/>
      <c r="G82" s="152"/>
      <c r="H82" s="152"/>
      <c r="I82" s="152"/>
      <c r="J82" s="152"/>
      <c r="K82" s="152"/>
      <c r="L82" s="152"/>
      <c r="M82" s="152"/>
      <c r="N82" s="152"/>
      <c r="O82" s="152"/>
      <c r="P82" s="152"/>
      <c r="Q82" s="152"/>
      <c r="R82" s="152"/>
      <c r="S82" s="152"/>
      <c r="T82" s="152"/>
      <c r="U82" s="152"/>
      <c r="V82" s="152"/>
      <c r="W82" s="152"/>
      <c r="X82" s="152"/>
      <c r="Y82" s="152"/>
      <c r="Z82" s="152"/>
      <c r="AA82" s="152"/>
      <c r="AB82" s="152"/>
      <c r="AC82" s="152"/>
      <c r="AD82" s="152"/>
      <c r="AE82" s="152"/>
    </row>
    <row r="83" spans="1:31" ht="15.75">
      <c r="A83" s="152"/>
      <c r="B83" s="152"/>
      <c r="C83" s="281"/>
      <c r="D83" s="152"/>
      <c r="E83" s="152"/>
      <c r="F83" s="152"/>
      <c r="G83" s="152"/>
      <c r="H83" s="152"/>
      <c r="I83" s="152"/>
      <c r="J83" s="152"/>
      <c r="K83" s="152"/>
      <c r="L83" s="152"/>
      <c r="M83" s="152"/>
      <c r="N83" s="152"/>
      <c r="O83" s="152"/>
      <c r="P83" s="152"/>
      <c r="Q83" s="152"/>
      <c r="R83" s="152"/>
      <c r="S83" s="152"/>
      <c r="T83" s="152"/>
      <c r="U83" s="152"/>
      <c r="V83" s="152"/>
      <c r="W83" s="152"/>
      <c r="X83" s="152"/>
      <c r="Y83" s="152"/>
      <c r="Z83" s="152"/>
      <c r="AA83" s="152"/>
      <c r="AB83" s="152"/>
      <c r="AC83" s="152"/>
      <c r="AD83" s="152"/>
      <c r="AE83" s="152"/>
    </row>
    <row r="84" spans="1:31" ht="15.75">
      <c r="A84" s="152"/>
      <c r="B84" s="152"/>
      <c r="C84" s="281"/>
      <c r="D84" s="152"/>
      <c r="E84" s="152"/>
      <c r="F84" s="152"/>
      <c r="G84" s="152"/>
      <c r="H84" s="152"/>
      <c r="I84" s="152"/>
      <c r="J84" s="152"/>
      <c r="K84" s="152"/>
      <c r="L84" s="152"/>
      <c r="M84" s="152"/>
      <c r="N84" s="152"/>
      <c r="O84" s="152"/>
      <c r="P84" s="152"/>
      <c r="Q84" s="152"/>
      <c r="R84" s="152"/>
      <c r="S84" s="152"/>
      <c r="T84" s="152"/>
      <c r="U84" s="152"/>
      <c r="V84" s="152"/>
      <c r="W84" s="152"/>
      <c r="X84" s="152"/>
      <c r="Y84" s="152"/>
      <c r="Z84" s="152"/>
      <c r="AA84" s="152"/>
      <c r="AB84" s="152"/>
      <c r="AC84" s="152"/>
      <c r="AD84" s="152"/>
      <c r="AE84" s="152"/>
    </row>
    <row r="85" spans="1:31" ht="15.75">
      <c r="A85" s="152"/>
      <c r="B85" s="152"/>
      <c r="C85" s="281"/>
      <c r="D85" s="152"/>
      <c r="E85" s="152"/>
      <c r="F85" s="152"/>
      <c r="G85" s="152"/>
      <c r="H85" s="152"/>
      <c r="I85" s="152"/>
      <c r="J85" s="152"/>
      <c r="K85" s="152"/>
      <c r="L85" s="152"/>
      <c r="M85" s="152"/>
      <c r="N85" s="152"/>
      <c r="O85" s="152"/>
      <c r="P85" s="152"/>
      <c r="Q85" s="152"/>
      <c r="R85" s="152"/>
      <c r="S85" s="152"/>
      <c r="T85" s="152"/>
      <c r="U85" s="152"/>
      <c r="V85" s="152"/>
      <c r="W85" s="152"/>
      <c r="X85" s="152"/>
      <c r="Y85" s="152"/>
      <c r="Z85" s="152"/>
      <c r="AA85" s="152"/>
      <c r="AB85" s="152"/>
      <c r="AC85" s="152"/>
      <c r="AD85" s="152"/>
      <c r="AE85" s="152"/>
    </row>
    <row r="86" spans="1:31" ht="15.75">
      <c r="A86" s="152"/>
      <c r="B86" s="152"/>
      <c r="C86" s="281"/>
      <c r="D86" s="152"/>
      <c r="E86" s="152"/>
      <c r="F86" s="152"/>
      <c r="G86" s="152"/>
      <c r="H86" s="152"/>
      <c r="I86" s="152"/>
      <c r="J86" s="152"/>
      <c r="K86" s="152"/>
      <c r="L86" s="152"/>
      <c r="M86" s="152"/>
      <c r="N86" s="152"/>
      <c r="O86" s="152"/>
      <c r="P86" s="152"/>
      <c r="Q86" s="152"/>
      <c r="R86" s="152"/>
      <c r="S86" s="152"/>
      <c r="T86" s="152"/>
      <c r="U86" s="152"/>
      <c r="V86" s="152"/>
      <c r="W86" s="152"/>
      <c r="X86" s="152"/>
      <c r="Y86" s="152"/>
      <c r="Z86" s="152"/>
      <c r="AA86" s="152"/>
      <c r="AB86" s="152"/>
      <c r="AC86" s="152"/>
      <c r="AD86" s="152"/>
      <c r="AE86" s="152"/>
    </row>
    <row r="87" spans="1:31" ht="15.75">
      <c r="A87" s="152"/>
      <c r="B87" s="152"/>
      <c r="C87" s="281"/>
      <c r="D87" s="152"/>
      <c r="E87" s="152"/>
      <c r="F87" s="152"/>
      <c r="G87" s="152"/>
      <c r="H87" s="152"/>
      <c r="I87" s="152"/>
      <c r="J87" s="152"/>
      <c r="K87" s="152"/>
      <c r="L87" s="152"/>
      <c r="M87" s="152"/>
      <c r="N87" s="152"/>
      <c r="O87" s="152"/>
      <c r="P87" s="152"/>
      <c r="Q87" s="152"/>
      <c r="R87" s="152"/>
      <c r="S87" s="152"/>
      <c r="T87" s="152"/>
      <c r="U87" s="152"/>
      <c r="V87" s="152"/>
      <c r="W87" s="152"/>
      <c r="X87" s="152"/>
      <c r="Y87" s="152"/>
      <c r="Z87" s="152"/>
      <c r="AA87" s="152"/>
      <c r="AB87" s="152"/>
      <c r="AC87" s="152"/>
      <c r="AD87" s="152"/>
      <c r="AE87" s="152"/>
    </row>
    <row r="88" spans="1:31" ht="15.75">
      <c r="A88" s="152"/>
      <c r="B88" s="152"/>
      <c r="C88" s="281"/>
      <c r="D88" s="152"/>
      <c r="E88" s="152"/>
      <c r="F88" s="152"/>
      <c r="G88" s="152"/>
      <c r="H88" s="152"/>
      <c r="I88" s="152"/>
      <c r="J88" s="152"/>
      <c r="K88" s="152"/>
      <c r="L88" s="152"/>
      <c r="M88" s="152"/>
      <c r="N88" s="152"/>
      <c r="O88" s="152"/>
      <c r="P88" s="152"/>
      <c r="Q88" s="152"/>
      <c r="R88" s="152"/>
      <c r="S88" s="152"/>
      <c r="T88" s="152"/>
      <c r="U88" s="152"/>
      <c r="V88" s="152"/>
      <c r="W88" s="152"/>
      <c r="X88" s="152"/>
      <c r="Y88" s="152"/>
      <c r="Z88" s="152"/>
      <c r="AA88" s="152"/>
      <c r="AB88" s="152"/>
      <c r="AC88" s="152"/>
      <c r="AD88" s="152"/>
      <c r="AE88" s="152"/>
    </row>
    <row r="89" spans="1:31" ht="15.75">
      <c r="A89" s="152"/>
      <c r="B89" s="152"/>
      <c r="C89" s="281"/>
      <c r="D89" s="152"/>
      <c r="E89" s="152"/>
      <c r="F89" s="152"/>
      <c r="G89" s="152"/>
      <c r="H89" s="152"/>
      <c r="I89" s="152"/>
      <c r="J89" s="152"/>
      <c r="K89" s="152"/>
      <c r="L89" s="152"/>
      <c r="M89" s="152"/>
      <c r="N89" s="152"/>
      <c r="O89" s="152"/>
      <c r="P89" s="152"/>
      <c r="Q89" s="152"/>
      <c r="R89" s="152"/>
      <c r="S89" s="152"/>
      <c r="T89" s="152"/>
      <c r="U89" s="152"/>
      <c r="V89" s="152"/>
      <c r="W89" s="152"/>
      <c r="X89" s="152"/>
      <c r="Y89" s="152"/>
      <c r="Z89" s="152"/>
      <c r="AA89" s="152"/>
      <c r="AB89" s="152"/>
      <c r="AC89" s="152"/>
      <c r="AD89" s="152"/>
      <c r="AE89" s="152"/>
    </row>
    <row r="90" spans="1:31" ht="15.75">
      <c r="A90" s="152"/>
      <c r="B90" s="152"/>
      <c r="C90" s="281"/>
      <c r="D90" s="152"/>
      <c r="E90" s="152"/>
      <c r="F90" s="152"/>
      <c r="G90" s="152"/>
      <c r="H90" s="152"/>
      <c r="I90" s="152"/>
      <c r="J90" s="152"/>
      <c r="K90" s="152"/>
      <c r="L90" s="152"/>
      <c r="M90" s="152"/>
      <c r="N90" s="152"/>
      <c r="O90" s="152"/>
      <c r="P90" s="152"/>
      <c r="Q90" s="152"/>
      <c r="R90" s="152"/>
      <c r="S90" s="152"/>
      <c r="T90" s="152"/>
      <c r="U90" s="152"/>
      <c r="V90" s="152"/>
      <c r="W90" s="152"/>
      <c r="X90" s="152"/>
      <c r="Y90" s="152"/>
      <c r="Z90" s="152"/>
      <c r="AA90" s="152"/>
      <c r="AB90" s="152"/>
      <c r="AC90" s="152"/>
      <c r="AD90" s="152"/>
      <c r="AE90" s="152"/>
    </row>
    <row r="91" spans="1:31" ht="15.75">
      <c r="A91" s="152"/>
      <c r="B91" s="152"/>
      <c r="C91" s="281"/>
      <c r="D91" s="152"/>
      <c r="E91" s="152"/>
      <c r="F91" s="152"/>
      <c r="G91" s="152"/>
      <c r="H91" s="152"/>
      <c r="I91" s="152"/>
      <c r="J91" s="152"/>
      <c r="K91" s="152"/>
      <c r="L91" s="152"/>
      <c r="M91" s="152"/>
      <c r="N91" s="152"/>
      <c r="O91" s="152"/>
      <c r="P91" s="152"/>
      <c r="Q91" s="152"/>
      <c r="R91" s="152"/>
      <c r="S91" s="152"/>
      <c r="T91" s="152"/>
      <c r="U91" s="152"/>
      <c r="V91" s="152"/>
      <c r="W91" s="152"/>
      <c r="X91" s="152"/>
      <c r="Y91" s="152"/>
      <c r="Z91" s="152"/>
      <c r="AA91" s="152"/>
      <c r="AB91" s="152"/>
      <c r="AC91" s="152"/>
      <c r="AD91" s="152"/>
      <c r="AE91" s="152"/>
    </row>
    <row r="92" spans="1:31" ht="15.75">
      <c r="A92" s="152"/>
      <c r="B92" s="152"/>
      <c r="C92" s="281"/>
      <c r="D92" s="152"/>
      <c r="E92" s="152"/>
      <c r="F92" s="152"/>
      <c r="G92" s="152"/>
      <c r="H92" s="152"/>
      <c r="I92" s="152"/>
      <c r="J92" s="152"/>
      <c r="K92" s="152"/>
      <c r="L92" s="152"/>
      <c r="M92" s="152"/>
      <c r="N92" s="152"/>
      <c r="O92" s="152"/>
      <c r="P92" s="152"/>
      <c r="Q92" s="152"/>
      <c r="R92" s="152"/>
      <c r="S92" s="152"/>
      <c r="T92" s="152"/>
      <c r="U92" s="152"/>
      <c r="V92" s="152"/>
      <c r="W92" s="152"/>
      <c r="X92" s="152"/>
      <c r="Y92" s="152"/>
      <c r="Z92" s="152"/>
      <c r="AA92" s="152"/>
      <c r="AB92" s="152"/>
      <c r="AC92" s="152"/>
      <c r="AD92" s="152"/>
      <c r="AE92" s="152"/>
    </row>
    <row r="93" spans="1:31" ht="15.75">
      <c r="A93" s="152"/>
      <c r="B93" s="152"/>
      <c r="C93" s="281"/>
      <c r="D93" s="152"/>
      <c r="E93" s="152"/>
      <c r="F93" s="152"/>
      <c r="G93" s="152"/>
      <c r="H93" s="152"/>
      <c r="I93" s="152"/>
      <c r="J93" s="152"/>
      <c r="K93" s="152"/>
      <c r="L93" s="152"/>
      <c r="M93" s="152"/>
      <c r="N93" s="152"/>
      <c r="O93" s="152"/>
      <c r="P93" s="152"/>
      <c r="Q93" s="152"/>
      <c r="R93" s="152"/>
      <c r="S93" s="152"/>
      <c r="T93" s="152"/>
      <c r="U93" s="152"/>
      <c r="V93" s="152"/>
      <c r="W93" s="152"/>
      <c r="X93" s="152"/>
      <c r="Y93" s="152"/>
      <c r="Z93" s="152"/>
      <c r="AA93" s="152"/>
      <c r="AB93" s="152"/>
      <c r="AC93" s="152"/>
      <c r="AD93" s="152"/>
      <c r="AE93" s="152"/>
    </row>
    <row r="94" spans="1:31" ht="15.75">
      <c r="A94" s="152"/>
      <c r="B94" s="152"/>
      <c r="C94" s="281"/>
      <c r="D94" s="152"/>
      <c r="E94" s="152"/>
      <c r="F94" s="152"/>
      <c r="G94" s="152"/>
      <c r="H94" s="152"/>
      <c r="I94" s="152"/>
      <c r="J94" s="152"/>
      <c r="K94" s="152"/>
      <c r="L94" s="152"/>
      <c r="M94" s="152"/>
      <c r="N94" s="152"/>
      <c r="O94" s="152"/>
      <c r="P94" s="152"/>
      <c r="Q94" s="152"/>
      <c r="R94" s="152"/>
      <c r="S94" s="152"/>
      <c r="T94" s="152"/>
      <c r="U94" s="152"/>
      <c r="V94" s="152"/>
      <c r="W94" s="152"/>
      <c r="X94" s="152"/>
      <c r="Y94" s="152"/>
      <c r="Z94" s="152"/>
      <c r="AA94" s="152"/>
      <c r="AB94" s="152"/>
      <c r="AC94" s="152"/>
      <c r="AD94" s="152"/>
      <c r="AE94" s="152"/>
    </row>
    <row r="95" spans="1:31" ht="15.75">
      <c r="A95" s="152"/>
      <c r="B95" s="152"/>
      <c r="C95" s="281"/>
      <c r="D95" s="152"/>
      <c r="E95" s="152"/>
      <c r="F95" s="152"/>
      <c r="G95" s="152"/>
      <c r="H95" s="152"/>
      <c r="I95" s="152"/>
      <c r="J95" s="152"/>
      <c r="K95" s="152"/>
      <c r="L95" s="152"/>
      <c r="M95" s="152"/>
      <c r="N95" s="152"/>
      <c r="O95" s="152"/>
      <c r="P95" s="152"/>
      <c r="Q95" s="152"/>
      <c r="R95" s="152"/>
      <c r="S95" s="152"/>
      <c r="T95" s="152"/>
      <c r="U95" s="152"/>
      <c r="V95" s="152"/>
      <c r="W95" s="152"/>
      <c r="X95" s="152"/>
      <c r="Y95" s="152"/>
      <c r="Z95" s="152"/>
      <c r="AA95" s="152"/>
      <c r="AB95" s="152"/>
      <c r="AC95" s="152"/>
      <c r="AD95" s="152"/>
      <c r="AE95" s="152"/>
    </row>
    <row r="96" spans="1:31" ht="15.75">
      <c r="A96" s="152"/>
      <c r="B96" s="152"/>
      <c r="C96" s="281"/>
      <c r="D96" s="152"/>
      <c r="E96" s="152"/>
      <c r="F96" s="152"/>
      <c r="G96" s="152"/>
      <c r="H96" s="152"/>
      <c r="I96" s="152"/>
      <c r="J96" s="152"/>
      <c r="K96" s="152"/>
      <c r="L96" s="152"/>
      <c r="M96" s="152"/>
      <c r="N96" s="152"/>
      <c r="O96" s="152"/>
      <c r="P96" s="152"/>
      <c r="Q96" s="152"/>
      <c r="R96" s="152"/>
      <c r="S96" s="152"/>
      <c r="T96" s="152"/>
      <c r="U96" s="152"/>
      <c r="V96" s="152"/>
      <c r="W96" s="152"/>
      <c r="X96" s="152"/>
      <c r="Y96" s="152"/>
      <c r="Z96" s="152"/>
      <c r="AA96" s="152"/>
      <c r="AB96" s="152"/>
      <c r="AC96" s="152"/>
      <c r="AD96" s="152"/>
      <c r="AE96" s="152"/>
    </row>
    <row r="97" spans="1:31" ht="15.75">
      <c r="A97" s="152"/>
      <c r="B97" s="152"/>
      <c r="C97" s="281"/>
      <c r="D97" s="152"/>
      <c r="E97" s="152"/>
      <c r="F97" s="152"/>
      <c r="G97" s="152"/>
      <c r="H97" s="152"/>
      <c r="I97" s="152"/>
      <c r="J97" s="152"/>
      <c r="K97" s="152"/>
      <c r="L97" s="152"/>
      <c r="M97" s="152"/>
      <c r="N97" s="152"/>
      <c r="O97" s="152"/>
      <c r="P97" s="152"/>
      <c r="Q97" s="152"/>
      <c r="R97" s="152"/>
      <c r="S97" s="152"/>
      <c r="T97" s="152"/>
      <c r="U97" s="152"/>
      <c r="V97" s="152"/>
      <c r="W97" s="152"/>
      <c r="X97" s="152"/>
      <c r="Y97" s="152"/>
      <c r="Z97" s="152"/>
      <c r="AA97" s="152"/>
      <c r="AB97" s="152"/>
      <c r="AC97" s="152"/>
      <c r="AD97" s="152"/>
      <c r="AE97" s="152"/>
    </row>
    <row r="98" spans="1:31" ht="15.75">
      <c r="A98" s="152"/>
      <c r="B98" s="152"/>
      <c r="C98" s="281"/>
      <c r="D98" s="152"/>
      <c r="E98" s="152"/>
      <c r="F98" s="152"/>
      <c r="G98" s="152"/>
      <c r="H98" s="152"/>
      <c r="I98" s="152"/>
      <c r="J98" s="152"/>
      <c r="K98" s="152"/>
      <c r="L98" s="152"/>
      <c r="M98" s="152"/>
      <c r="N98" s="152"/>
      <c r="O98" s="152"/>
      <c r="P98" s="152"/>
      <c r="Q98" s="152"/>
      <c r="R98" s="152"/>
      <c r="S98" s="152"/>
      <c r="T98" s="152"/>
      <c r="U98" s="152"/>
      <c r="V98" s="152"/>
      <c r="W98" s="152"/>
      <c r="X98" s="152"/>
      <c r="Y98" s="152"/>
      <c r="Z98" s="152"/>
      <c r="AA98" s="152"/>
      <c r="AB98" s="152"/>
      <c r="AC98" s="152"/>
      <c r="AD98" s="152"/>
      <c r="AE98" s="152"/>
    </row>
    <row r="99" spans="1:31" ht="15.75">
      <c r="A99" s="152"/>
      <c r="B99" s="152"/>
      <c r="C99" s="281"/>
      <c r="D99" s="152"/>
      <c r="E99" s="152"/>
      <c r="F99" s="152"/>
      <c r="G99" s="152"/>
      <c r="H99" s="152"/>
      <c r="I99" s="152"/>
      <c r="J99" s="152"/>
      <c r="K99" s="152"/>
      <c r="L99" s="152"/>
      <c r="M99" s="152"/>
      <c r="N99" s="152"/>
      <c r="O99" s="152"/>
      <c r="P99" s="152"/>
      <c r="Q99" s="152"/>
      <c r="R99" s="152"/>
      <c r="S99" s="152"/>
      <c r="T99" s="152"/>
      <c r="U99" s="152"/>
      <c r="V99" s="152"/>
      <c r="W99" s="152"/>
      <c r="X99" s="152"/>
      <c r="Y99" s="152"/>
      <c r="Z99" s="152"/>
      <c r="AA99" s="152"/>
      <c r="AB99" s="152"/>
      <c r="AC99" s="152"/>
      <c r="AD99" s="152"/>
      <c r="AE99" s="152"/>
    </row>
    <row r="100" spans="1:31" ht="15.75">
      <c r="A100" s="152"/>
      <c r="B100" s="152"/>
      <c r="C100" s="281"/>
      <c r="D100" s="152"/>
      <c r="E100" s="152"/>
      <c r="F100" s="152"/>
      <c r="G100" s="152"/>
      <c r="H100" s="152"/>
      <c r="I100" s="152"/>
      <c r="J100" s="152"/>
      <c r="K100" s="152"/>
      <c r="L100" s="152"/>
      <c r="M100" s="152"/>
      <c r="N100" s="152"/>
      <c r="O100" s="152"/>
      <c r="P100" s="152"/>
      <c r="Q100" s="152"/>
      <c r="R100" s="152"/>
      <c r="S100" s="152"/>
      <c r="T100" s="152"/>
      <c r="U100" s="152"/>
      <c r="V100" s="152"/>
      <c r="W100" s="152"/>
      <c r="X100" s="152"/>
      <c r="Y100" s="152"/>
      <c r="Z100" s="152"/>
      <c r="AA100" s="152"/>
      <c r="AB100" s="152"/>
      <c r="AC100" s="152"/>
      <c r="AD100" s="152"/>
      <c r="AE100" s="152"/>
    </row>
    <row r="101" spans="1:31" ht="15.75">
      <c r="A101" s="152"/>
      <c r="B101" s="152"/>
      <c r="C101" s="281"/>
      <c r="D101" s="152"/>
      <c r="E101" s="152"/>
      <c r="F101" s="152"/>
      <c r="G101" s="152"/>
      <c r="H101" s="152"/>
      <c r="I101" s="152"/>
      <c r="J101" s="152"/>
      <c r="K101" s="152"/>
      <c r="L101" s="152"/>
      <c r="M101" s="152"/>
      <c r="N101" s="152"/>
      <c r="O101" s="152"/>
      <c r="P101" s="152"/>
      <c r="Q101" s="152"/>
      <c r="R101" s="152"/>
      <c r="S101" s="152"/>
      <c r="T101" s="152"/>
      <c r="U101" s="152"/>
      <c r="V101" s="152"/>
      <c r="W101" s="152"/>
      <c r="X101" s="152"/>
      <c r="Y101" s="152"/>
      <c r="Z101" s="152"/>
      <c r="AA101" s="152"/>
      <c r="AB101" s="152"/>
      <c r="AC101" s="152"/>
      <c r="AD101" s="152"/>
      <c r="AE101" s="152"/>
    </row>
    <row r="102" spans="1:31" ht="15.75">
      <c r="A102" s="152"/>
      <c r="B102" s="152"/>
      <c r="C102" s="281"/>
      <c r="D102" s="152"/>
      <c r="E102" s="152"/>
      <c r="F102" s="152"/>
      <c r="G102" s="152"/>
      <c r="H102" s="152"/>
      <c r="I102" s="152"/>
      <c r="J102" s="152"/>
      <c r="K102" s="152"/>
      <c r="L102" s="152"/>
      <c r="M102" s="152"/>
      <c r="N102" s="152"/>
      <c r="O102" s="152"/>
      <c r="P102" s="152"/>
      <c r="Q102" s="152"/>
      <c r="R102" s="152"/>
      <c r="S102" s="152"/>
      <c r="T102" s="152"/>
      <c r="U102" s="152"/>
      <c r="V102" s="152"/>
      <c r="W102" s="152"/>
      <c r="X102" s="152"/>
      <c r="Y102" s="152"/>
      <c r="Z102" s="152"/>
      <c r="AA102" s="152"/>
      <c r="AB102" s="152"/>
      <c r="AC102" s="152"/>
      <c r="AD102" s="152"/>
      <c r="AE102" s="152"/>
    </row>
    <row r="103" spans="1:31" ht="15.75">
      <c r="A103" s="152"/>
      <c r="B103" s="152"/>
      <c r="C103" s="281"/>
      <c r="D103" s="152"/>
      <c r="E103" s="152"/>
      <c r="F103" s="152"/>
      <c r="G103" s="152"/>
      <c r="H103" s="152"/>
      <c r="I103" s="152"/>
      <c r="J103" s="152"/>
      <c r="K103" s="152"/>
      <c r="L103" s="152"/>
      <c r="M103" s="152"/>
      <c r="N103" s="152"/>
      <c r="O103" s="152"/>
      <c r="P103" s="152"/>
      <c r="Q103" s="152"/>
      <c r="R103" s="152"/>
      <c r="S103" s="152"/>
      <c r="T103" s="152"/>
      <c r="U103" s="152"/>
      <c r="V103" s="152"/>
      <c r="W103" s="152"/>
      <c r="X103" s="152"/>
      <c r="Y103" s="152"/>
      <c r="Z103" s="152"/>
      <c r="AA103" s="152"/>
      <c r="AB103" s="152"/>
      <c r="AC103" s="152"/>
      <c r="AD103" s="152"/>
      <c r="AE103" s="152"/>
    </row>
    <row r="104" spans="1:31" ht="15.75">
      <c r="A104" s="152"/>
      <c r="B104" s="152"/>
      <c r="C104" s="281"/>
      <c r="D104" s="152"/>
      <c r="E104" s="152"/>
      <c r="F104" s="152"/>
      <c r="G104" s="152"/>
      <c r="H104" s="152"/>
      <c r="I104" s="152"/>
      <c r="J104" s="152"/>
      <c r="K104" s="152"/>
      <c r="L104" s="152"/>
      <c r="M104" s="152"/>
      <c r="N104" s="152"/>
      <c r="O104" s="152"/>
      <c r="P104" s="152"/>
      <c r="Q104" s="152"/>
      <c r="R104" s="152"/>
      <c r="S104" s="152"/>
      <c r="T104" s="152"/>
      <c r="U104" s="152"/>
      <c r="V104" s="152"/>
      <c r="W104" s="152"/>
      <c r="X104" s="152"/>
      <c r="Y104" s="152"/>
      <c r="Z104" s="152"/>
      <c r="AA104" s="152"/>
      <c r="AB104" s="152"/>
      <c r="AC104" s="152"/>
      <c r="AD104" s="152"/>
      <c r="AE104" s="152"/>
    </row>
    <row r="105" spans="1:31" ht="15.75">
      <c r="A105" s="152"/>
      <c r="B105" s="152"/>
      <c r="C105" s="281"/>
      <c r="D105" s="152"/>
      <c r="E105" s="152"/>
      <c r="F105" s="152"/>
      <c r="G105" s="152"/>
      <c r="H105" s="152"/>
      <c r="I105" s="152"/>
      <c r="J105" s="152"/>
      <c r="K105" s="152"/>
      <c r="L105" s="152"/>
      <c r="M105" s="152"/>
      <c r="N105" s="152"/>
      <c r="O105" s="152"/>
      <c r="P105" s="152"/>
      <c r="Q105" s="152"/>
      <c r="R105" s="152"/>
      <c r="S105" s="152"/>
      <c r="T105" s="152"/>
      <c r="U105" s="152"/>
      <c r="V105" s="152"/>
      <c r="W105" s="152"/>
      <c r="X105" s="152"/>
      <c r="Y105" s="152"/>
      <c r="Z105" s="152"/>
      <c r="AA105" s="152"/>
      <c r="AB105" s="152"/>
      <c r="AC105" s="152"/>
      <c r="AD105" s="152"/>
      <c r="AE105" s="152"/>
    </row>
    <row r="106" spans="1:31" ht="15.75">
      <c r="A106" s="152"/>
      <c r="B106" s="152"/>
      <c r="C106" s="281"/>
      <c r="D106" s="152"/>
      <c r="E106" s="152"/>
      <c r="F106" s="152"/>
      <c r="G106" s="152"/>
      <c r="H106" s="152"/>
      <c r="I106" s="152"/>
      <c r="J106" s="152"/>
      <c r="K106" s="152"/>
      <c r="L106" s="152"/>
      <c r="M106" s="152"/>
      <c r="N106" s="152"/>
      <c r="O106" s="152"/>
      <c r="P106" s="152"/>
      <c r="Q106" s="152"/>
      <c r="R106" s="152"/>
      <c r="S106" s="152"/>
      <c r="T106" s="152"/>
      <c r="U106" s="152"/>
      <c r="V106" s="152"/>
      <c r="W106" s="152"/>
      <c r="X106" s="152"/>
      <c r="Y106" s="152"/>
      <c r="Z106" s="152"/>
      <c r="AA106" s="152"/>
      <c r="AB106" s="152"/>
      <c r="AC106" s="152"/>
      <c r="AD106" s="152"/>
      <c r="AE106" s="152"/>
    </row>
    <row r="107" spans="1:31" ht="15.75">
      <c r="A107" s="152"/>
      <c r="B107" s="152"/>
      <c r="C107" s="281"/>
      <c r="D107" s="152"/>
      <c r="E107" s="152"/>
      <c r="F107" s="152"/>
      <c r="G107" s="152"/>
      <c r="H107" s="152"/>
      <c r="I107" s="152"/>
      <c r="J107" s="152"/>
      <c r="K107" s="152"/>
      <c r="L107" s="152"/>
      <c r="M107" s="152"/>
      <c r="N107" s="152"/>
      <c r="O107" s="152"/>
      <c r="P107" s="152"/>
      <c r="Q107" s="152"/>
      <c r="R107" s="152"/>
      <c r="S107" s="152"/>
      <c r="T107" s="152"/>
      <c r="U107" s="152"/>
      <c r="V107" s="152"/>
      <c r="W107" s="152"/>
      <c r="X107" s="152"/>
      <c r="Y107" s="152"/>
      <c r="Z107" s="152"/>
      <c r="AA107" s="152"/>
      <c r="AB107" s="152"/>
      <c r="AC107" s="152"/>
      <c r="AD107" s="152"/>
      <c r="AE107" s="152"/>
    </row>
    <row r="108" spans="1:31" ht="15.75">
      <c r="A108" s="152"/>
      <c r="B108" s="152"/>
      <c r="C108" s="281"/>
      <c r="D108" s="152"/>
      <c r="E108" s="152"/>
      <c r="F108" s="152"/>
      <c r="G108" s="152"/>
      <c r="H108" s="152"/>
      <c r="I108" s="152"/>
      <c r="J108" s="152"/>
      <c r="K108" s="152"/>
      <c r="L108" s="152"/>
      <c r="M108" s="152"/>
      <c r="N108" s="152"/>
      <c r="O108" s="152"/>
      <c r="P108" s="152"/>
      <c r="Q108" s="152"/>
      <c r="R108" s="152"/>
      <c r="S108" s="152"/>
      <c r="T108" s="152"/>
      <c r="U108" s="152"/>
      <c r="V108" s="152"/>
      <c r="W108" s="152"/>
      <c r="X108" s="152"/>
      <c r="Y108" s="152"/>
      <c r="Z108" s="152"/>
      <c r="AA108" s="152"/>
      <c r="AB108" s="152"/>
      <c r="AC108" s="152"/>
      <c r="AD108" s="152"/>
      <c r="AE108" s="152"/>
    </row>
    <row r="109" spans="1:31" ht="15.75">
      <c r="A109" s="152"/>
      <c r="B109" s="152"/>
      <c r="C109" s="281"/>
      <c r="D109" s="152"/>
      <c r="E109" s="152"/>
      <c r="F109" s="152"/>
      <c r="G109" s="152"/>
      <c r="H109" s="152"/>
      <c r="I109" s="152"/>
      <c r="J109" s="152"/>
      <c r="K109" s="152"/>
      <c r="L109" s="152"/>
      <c r="M109" s="152"/>
      <c r="N109" s="152"/>
      <c r="O109" s="152"/>
      <c r="P109" s="152"/>
      <c r="Q109" s="152"/>
      <c r="R109" s="152"/>
      <c r="S109" s="152"/>
      <c r="T109" s="152"/>
      <c r="U109" s="152"/>
      <c r="V109" s="152"/>
      <c r="W109" s="152"/>
      <c r="X109" s="152"/>
      <c r="Y109" s="152"/>
      <c r="Z109" s="152"/>
      <c r="AA109" s="152"/>
      <c r="AB109" s="152"/>
      <c r="AC109" s="152"/>
      <c r="AD109" s="152"/>
      <c r="AE109" s="152"/>
    </row>
    <row r="110" spans="1:31" ht="15.75">
      <c r="A110" s="152"/>
      <c r="B110" s="152"/>
      <c r="C110" s="281"/>
      <c r="D110" s="152"/>
      <c r="E110" s="152"/>
      <c r="F110" s="152"/>
      <c r="G110" s="152"/>
      <c r="H110" s="152"/>
      <c r="I110" s="152"/>
      <c r="J110" s="152"/>
      <c r="K110" s="152"/>
      <c r="L110" s="152"/>
      <c r="M110" s="152"/>
      <c r="N110" s="152"/>
      <c r="O110" s="152"/>
      <c r="P110" s="152"/>
      <c r="Q110" s="152"/>
      <c r="R110" s="152"/>
      <c r="S110" s="152"/>
      <c r="T110" s="152"/>
      <c r="U110" s="152"/>
      <c r="V110" s="152"/>
      <c r="W110" s="152"/>
      <c r="X110" s="152"/>
      <c r="Y110" s="152"/>
      <c r="Z110" s="152"/>
      <c r="AA110" s="152"/>
      <c r="AB110" s="152"/>
      <c r="AC110" s="152"/>
      <c r="AD110" s="152"/>
      <c r="AE110" s="152"/>
    </row>
    <row r="111" spans="1:31" ht="15.75">
      <c r="A111" s="152"/>
      <c r="B111" s="152"/>
      <c r="C111" s="281"/>
      <c r="D111" s="152"/>
      <c r="E111" s="152"/>
      <c r="F111" s="152"/>
      <c r="G111" s="152"/>
      <c r="H111" s="152"/>
      <c r="I111" s="152"/>
      <c r="J111" s="152"/>
      <c r="K111" s="152"/>
      <c r="L111" s="152"/>
      <c r="M111" s="152"/>
      <c r="N111" s="152"/>
      <c r="O111" s="152"/>
      <c r="P111" s="152"/>
      <c r="Q111" s="152"/>
      <c r="R111" s="152"/>
      <c r="S111" s="152"/>
      <c r="T111" s="152"/>
      <c r="U111" s="152"/>
      <c r="V111" s="152"/>
      <c r="W111" s="152"/>
      <c r="X111" s="152"/>
      <c r="Y111" s="152"/>
      <c r="Z111" s="152"/>
      <c r="AA111" s="152"/>
      <c r="AB111" s="152"/>
      <c r="AC111" s="152"/>
      <c r="AD111" s="152"/>
      <c r="AE111" s="152"/>
    </row>
    <row r="112" spans="1:31" ht="15.75">
      <c r="A112" s="152"/>
      <c r="B112" s="152"/>
      <c r="C112" s="281"/>
      <c r="D112" s="152"/>
      <c r="E112" s="152"/>
      <c r="F112" s="152"/>
      <c r="G112" s="152"/>
      <c r="H112" s="152"/>
      <c r="I112" s="152"/>
      <c r="J112" s="152"/>
      <c r="K112" s="152"/>
      <c r="L112" s="152"/>
      <c r="M112" s="152"/>
      <c r="N112" s="152"/>
      <c r="O112" s="152"/>
      <c r="P112" s="152"/>
      <c r="Q112" s="152"/>
      <c r="R112" s="152"/>
      <c r="S112" s="152"/>
      <c r="T112" s="152"/>
      <c r="U112" s="152"/>
      <c r="V112" s="152"/>
      <c r="W112" s="152"/>
      <c r="X112" s="152"/>
      <c r="Y112" s="152"/>
      <c r="Z112" s="152"/>
      <c r="AA112" s="152"/>
      <c r="AB112" s="152"/>
      <c r="AC112" s="152"/>
      <c r="AD112" s="152"/>
      <c r="AE112" s="152"/>
    </row>
    <row r="113" spans="1:31" ht="15.75">
      <c r="A113" s="152"/>
      <c r="B113" s="152"/>
      <c r="C113" s="281"/>
      <c r="D113" s="152"/>
      <c r="E113" s="152"/>
      <c r="F113" s="152"/>
      <c r="G113" s="152"/>
      <c r="H113" s="152"/>
      <c r="I113" s="152"/>
      <c r="J113" s="152"/>
      <c r="K113" s="152"/>
      <c r="L113" s="152"/>
      <c r="M113" s="152"/>
      <c r="N113" s="152"/>
      <c r="O113" s="152"/>
      <c r="P113" s="152"/>
      <c r="Q113" s="152"/>
      <c r="R113" s="152"/>
      <c r="S113" s="152"/>
      <c r="T113" s="152"/>
      <c r="U113" s="152"/>
      <c r="V113" s="152"/>
      <c r="W113" s="152"/>
      <c r="X113" s="152"/>
      <c r="Y113" s="152"/>
      <c r="Z113" s="152"/>
      <c r="AA113" s="152"/>
      <c r="AB113" s="152"/>
      <c r="AC113" s="152"/>
      <c r="AD113" s="152"/>
      <c r="AE113" s="152"/>
    </row>
    <row r="114" spans="1:31" ht="15.75">
      <c r="A114" s="152"/>
      <c r="B114" s="152"/>
      <c r="C114" s="281"/>
      <c r="D114" s="152"/>
      <c r="E114" s="152"/>
      <c r="F114" s="152"/>
      <c r="G114" s="152"/>
      <c r="H114" s="152"/>
      <c r="I114" s="152"/>
      <c r="J114" s="152"/>
      <c r="K114" s="152"/>
      <c r="L114" s="152"/>
      <c r="M114" s="152"/>
      <c r="N114" s="152"/>
      <c r="O114" s="152"/>
      <c r="P114" s="152"/>
      <c r="Q114" s="152"/>
      <c r="R114" s="152"/>
      <c r="S114" s="152"/>
      <c r="T114" s="152"/>
      <c r="U114" s="152"/>
      <c r="V114" s="152"/>
      <c r="W114" s="152"/>
      <c r="X114" s="152"/>
      <c r="Y114" s="152"/>
      <c r="Z114" s="152"/>
      <c r="AA114" s="152"/>
      <c r="AB114" s="152"/>
      <c r="AC114" s="152"/>
      <c r="AD114" s="152"/>
      <c r="AE114" s="152"/>
    </row>
    <row r="115" spans="1:31" ht="15.75">
      <c r="A115" s="152"/>
      <c r="B115" s="152"/>
      <c r="C115" s="281"/>
      <c r="D115" s="152"/>
      <c r="E115" s="152"/>
      <c r="F115" s="152"/>
      <c r="G115" s="152"/>
      <c r="H115" s="152"/>
      <c r="I115" s="152"/>
      <c r="J115" s="152"/>
      <c r="K115" s="152"/>
      <c r="L115" s="152"/>
      <c r="M115" s="152"/>
      <c r="N115" s="152"/>
      <c r="O115" s="152"/>
      <c r="P115" s="152"/>
      <c r="Q115" s="152"/>
      <c r="R115" s="152"/>
      <c r="S115" s="152"/>
      <c r="T115" s="152"/>
      <c r="U115" s="152"/>
      <c r="V115" s="152"/>
      <c r="W115" s="152"/>
      <c r="X115" s="152"/>
      <c r="Y115" s="152"/>
      <c r="Z115" s="152"/>
      <c r="AA115" s="152"/>
      <c r="AB115" s="152"/>
      <c r="AC115" s="152"/>
      <c r="AD115" s="152"/>
      <c r="AE115" s="152"/>
    </row>
    <row r="116" spans="1:31" ht="15.75">
      <c r="A116" s="152"/>
      <c r="B116" s="152"/>
      <c r="C116" s="281"/>
      <c r="D116" s="152"/>
      <c r="E116" s="152"/>
      <c r="F116" s="152"/>
      <c r="G116" s="152"/>
      <c r="H116" s="152"/>
      <c r="I116" s="152"/>
      <c r="J116" s="152"/>
      <c r="K116" s="152"/>
      <c r="L116" s="152"/>
      <c r="M116" s="152"/>
      <c r="N116" s="152"/>
      <c r="O116" s="152"/>
      <c r="P116" s="152"/>
      <c r="Q116" s="152"/>
      <c r="R116" s="152"/>
      <c r="S116" s="152"/>
      <c r="T116" s="152"/>
      <c r="U116" s="152"/>
      <c r="V116" s="152"/>
      <c r="W116" s="152"/>
      <c r="X116" s="152"/>
      <c r="Y116" s="152"/>
      <c r="Z116" s="152"/>
      <c r="AA116" s="152"/>
      <c r="AB116" s="152"/>
      <c r="AC116" s="152"/>
      <c r="AD116" s="152"/>
      <c r="AE116" s="152"/>
    </row>
    <row r="117" spans="1:31" ht="15.75">
      <c r="A117" s="152"/>
      <c r="B117" s="152"/>
      <c r="C117" s="281"/>
      <c r="D117" s="152"/>
      <c r="E117" s="152"/>
      <c r="F117" s="152"/>
      <c r="G117" s="152"/>
      <c r="H117" s="152"/>
      <c r="I117" s="152"/>
      <c r="J117" s="152"/>
      <c r="K117" s="152"/>
      <c r="L117" s="152"/>
      <c r="M117" s="152"/>
      <c r="N117" s="152"/>
      <c r="O117" s="152"/>
      <c r="P117" s="152"/>
      <c r="Q117" s="152"/>
      <c r="R117" s="152"/>
      <c r="S117" s="152"/>
      <c r="T117" s="152"/>
      <c r="U117" s="152"/>
      <c r="V117" s="152"/>
      <c r="W117" s="152"/>
      <c r="X117" s="152"/>
      <c r="Y117" s="152"/>
      <c r="Z117" s="152"/>
      <c r="AA117" s="152"/>
      <c r="AB117" s="152"/>
      <c r="AC117" s="152"/>
      <c r="AD117" s="152"/>
      <c r="AE117" s="152"/>
    </row>
    <row r="118" spans="1:31" ht="15.75">
      <c r="A118" s="152"/>
      <c r="B118" s="152"/>
      <c r="C118" s="281"/>
      <c r="D118" s="152"/>
      <c r="E118" s="152"/>
      <c r="F118" s="152"/>
      <c r="G118" s="152"/>
      <c r="H118" s="152"/>
      <c r="I118" s="152"/>
      <c r="J118" s="152"/>
      <c r="K118" s="152"/>
      <c r="L118" s="152"/>
      <c r="M118" s="152"/>
      <c r="N118" s="152"/>
      <c r="O118" s="152"/>
      <c r="P118" s="152"/>
      <c r="Q118" s="152"/>
      <c r="R118" s="152"/>
      <c r="S118" s="152"/>
      <c r="T118" s="152"/>
      <c r="U118" s="152"/>
      <c r="V118" s="152"/>
      <c r="W118" s="152"/>
      <c r="X118" s="152"/>
      <c r="Y118" s="152"/>
      <c r="Z118" s="152"/>
      <c r="AA118" s="152"/>
      <c r="AB118" s="152"/>
      <c r="AC118" s="152"/>
      <c r="AD118" s="152"/>
      <c r="AE118" s="152"/>
    </row>
    <row r="119" spans="1:31" ht="15.75">
      <c r="A119" s="152"/>
      <c r="B119" s="152"/>
      <c r="C119" s="281"/>
      <c r="D119" s="152"/>
      <c r="E119" s="152"/>
      <c r="F119" s="152"/>
      <c r="G119" s="152"/>
      <c r="H119" s="152"/>
      <c r="I119" s="152"/>
      <c r="J119" s="152"/>
      <c r="K119" s="152"/>
      <c r="L119" s="152"/>
      <c r="M119" s="152"/>
      <c r="N119" s="152"/>
      <c r="O119" s="152"/>
      <c r="P119" s="152"/>
      <c r="Q119" s="152"/>
      <c r="R119" s="152"/>
      <c r="S119" s="152"/>
      <c r="T119" s="152"/>
      <c r="U119" s="152"/>
      <c r="V119" s="152"/>
      <c r="W119" s="152"/>
      <c r="X119" s="152"/>
      <c r="Y119" s="152"/>
      <c r="Z119" s="152"/>
      <c r="AA119" s="152"/>
      <c r="AB119" s="152"/>
      <c r="AC119" s="152"/>
      <c r="AD119" s="152"/>
      <c r="AE119" s="152"/>
    </row>
    <row r="120" spans="1:31" ht="15.75">
      <c r="A120" s="152"/>
      <c r="B120" s="152"/>
      <c r="C120" s="281"/>
      <c r="D120" s="152"/>
      <c r="E120" s="152"/>
      <c r="F120" s="152"/>
      <c r="G120" s="152"/>
      <c r="H120" s="152"/>
      <c r="I120" s="152"/>
      <c r="J120" s="152"/>
      <c r="K120" s="152"/>
      <c r="L120" s="152"/>
      <c r="M120" s="152"/>
      <c r="N120" s="152"/>
      <c r="O120" s="152"/>
      <c r="P120" s="152"/>
      <c r="Q120" s="152"/>
      <c r="R120" s="152"/>
      <c r="S120" s="152"/>
      <c r="T120" s="152"/>
      <c r="U120" s="152"/>
      <c r="V120" s="152"/>
      <c r="W120" s="152"/>
      <c r="X120" s="152"/>
      <c r="Y120" s="152"/>
      <c r="Z120" s="152"/>
      <c r="AA120" s="152"/>
      <c r="AB120" s="152"/>
      <c r="AC120" s="152"/>
      <c r="AD120" s="152"/>
      <c r="AE120" s="152"/>
    </row>
    <row r="121" spans="1:31" ht="15.75">
      <c r="A121" s="152"/>
      <c r="B121" s="152"/>
      <c r="C121" s="281"/>
      <c r="D121" s="152"/>
      <c r="E121" s="152"/>
      <c r="F121" s="152"/>
      <c r="G121" s="152"/>
      <c r="H121" s="152"/>
      <c r="I121" s="152"/>
      <c r="J121" s="152"/>
      <c r="K121" s="152"/>
      <c r="L121" s="152"/>
      <c r="M121" s="152"/>
      <c r="N121" s="152"/>
      <c r="O121" s="152"/>
      <c r="P121" s="152"/>
      <c r="Q121" s="152"/>
      <c r="R121" s="152"/>
      <c r="S121" s="152"/>
      <c r="T121" s="152"/>
      <c r="U121" s="152"/>
      <c r="V121" s="152"/>
      <c r="W121" s="152"/>
      <c r="X121" s="152"/>
      <c r="Y121" s="152"/>
      <c r="Z121" s="152"/>
      <c r="AA121" s="152"/>
      <c r="AB121" s="152"/>
      <c r="AC121" s="152"/>
      <c r="AD121" s="152"/>
      <c r="AE121" s="152"/>
    </row>
    <row r="122" spans="1:31" ht="15.75">
      <c r="A122" s="152"/>
      <c r="B122" s="152"/>
      <c r="C122" s="281"/>
      <c r="D122" s="152"/>
      <c r="E122" s="152"/>
      <c r="F122" s="152"/>
      <c r="G122" s="152"/>
      <c r="H122" s="152"/>
      <c r="I122" s="152"/>
      <c r="J122" s="152"/>
      <c r="K122" s="152"/>
      <c r="L122" s="152"/>
      <c r="M122" s="152"/>
      <c r="N122" s="152"/>
      <c r="O122" s="152"/>
      <c r="P122" s="152"/>
      <c r="Q122" s="152"/>
      <c r="R122" s="152"/>
      <c r="S122" s="152"/>
      <c r="T122" s="152"/>
      <c r="U122" s="152"/>
      <c r="V122" s="152"/>
      <c r="W122" s="152"/>
      <c r="X122" s="152"/>
      <c r="Y122" s="152"/>
      <c r="Z122" s="152"/>
      <c r="AA122" s="152"/>
      <c r="AB122" s="152"/>
      <c r="AC122" s="152"/>
      <c r="AD122" s="152"/>
      <c r="AE122" s="152"/>
    </row>
    <row r="123" spans="1:31" ht="15.75">
      <c r="A123" s="152"/>
      <c r="B123" s="152"/>
      <c r="C123" s="281"/>
      <c r="D123" s="152"/>
      <c r="E123" s="152"/>
      <c r="F123" s="152"/>
      <c r="G123" s="152"/>
      <c r="H123" s="152"/>
      <c r="I123" s="152"/>
      <c r="J123" s="152"/>
      <c r="K123" s="152"/>
      <c r="L123" s="152"/>
      <c r="M123" s="152"/>
      <c r="N123" s="152"/>
      <c r="O123" s="152"/>
      <c r="P123" s="152"/>
      <c r="Q123" s="152"/>
      <c r="R123" s="152"/>
      <c r="S123" s="152"/>
      <c r="T123" s="152"/>
      <c r="U123" s="152"/>
      <c r="V123" s="152"/>
      <c r="W123" s="152"/>
      <c r="X123" s="152"/>
      <c r="Y123" s="152"/>
      <c r="Z123" s="152"/>
      <c r="AA123" s="152"/>
      <c r="AB123" s="152"/>
      <c r="AC123" s="152"/>
      <c r="AD123" s="152"/>
      <c r="AE123" s="152"/>
    </row>
    <row r="124" spans="1:31" ht="15.75">
      <c r="A124" s="152"/>
      <c r="B124" s="152"/>
      <c r="C124" s="281"/>
      <c r="D124" s="152"/>
      <c r="E124" s="152"/>
      <c r="F124" s="152"/>
      <c r="G124" s="152"/>
      <c r="H124" s="152"/>
      <c r="I124" s="152"/>
      <c r="J124" s="152"/>
      <c r="K124" s="152"/>
      <c r="L124" s="152"/>
      <c r="M124" s="152"/>
      <c r="N124" s="152"/>
      <c r="O124" s="152"/>
      <c r="P124" s="152"/>
      <c r="Q124" s="152"/>
      <c r="R124" s="152"/>
      <c r="S124" s="152"/>
      <c r="T124" s="152"/>
      <c r="U124" s="152"/>
      <c r="V124" s="152"/>
      <c r="W124" s="152"/>
      <c r="X124" s="152"/>
      <c r="Y124" s="152"/>
      <c r="Z124" s="152"/>
      <c r="AA124" s="152"/>
      <c r="AB124" s="152"/>
      <c r="AC124" s="152"/>
      <c r="AD124" s="152"/>
      <c r="AE124" s="152"/>
    </row>
    <row r="125" spans="1:31" ht="15.75">
      <c r="A125" s="152"/>
      <c r="B125" s="152"/>
      <c r="C125" s="281"/>
      <c r="D125" s="152"/>
      <c r="E125" s="152"/>
      <c r="F125" s="152"/>
      <c r="G125" s="152"/>
      <c r="H125" s="152"/>
      <c r="I125" s="152"/>
      <c r="J125" s="152"/>
      <c r="K125" s="152"/>
      <c r="L125" s="152"/>
      <c r="M125" s="152"/>
      <c r="N125" s="152"/>
      <c r="O125" s="152"/>
      <c r="P125" s="152"/>
      <c r="Q125" s="152"/>
      <c r="R125" s="152"/>
      <c r="S125" s="152"/>
      <c r="T125" s="152"/>
      <c r="U125" s="152"/>
      <c r="V125" s="152"/>
      <c r="W125" s="152"/>
      <c r="X125" s="152"/>
      <c r="Y125" s="152"/>
      <c r="Z125" s="152"/>
      <c r="AA125" s="152"/>
      <c r="AB125" s="152"/>
      <c r="AC125" s="152"/>
      <c r="AD125" s="152"/>
      <c r="AE125" s="152"/>
    </row>
    <row r="126" spans="1:31" ht="15.75">
      <c r="A126" s="152"/>
      <c r="B126" s="152"/>
      <c r="C126" s="281"/>
      <c r="D126" s="152"/>
      <c r="E126" s="152"/>
      <c r="F126" s="152"/>
      <c r="G126" s="152"/>
      <c r="H126" s="152"/>
      <c r="I126" s="152"/>
      <c r="J126" s="152"/>
      <c r="K126" s="152"/>
      <c r="L126" s="152"/>
      <c r="M126" s="152"/>
      <c r="N126" s="152"/>
      <c r="O126" s="152"/>
      <c r="P126" s="152"/>
      <c r="Q126" s="152"/>
      <c r="R126" s="152"/>
      <c r="S126" s="152"/>
      <c r="T126" s="152"/>
      <c r="U126" s="152"/>
      <c r="V126" s="152"/>
      <c r="W126" s="152"/>
      <c r="X126" s="152"/>
      <c r="Y126" s="152"/>
      <c r="Z126" s="152"/>
      <c r="AA126" s="152"/>
      <c r="AB126" s="152"/>
      <c r="AC126" s="152"/>
      <c r="AD126" s="152"/>
      <c r="AE126" s="152"/>
    </row>
    <row r="127" spans="1:31" ht="15.75">
      <c r="A127" s="152"/>
      <c r="B127" s="152"/>
      <c r="C127" s="281"/>
      <c r="D127" s="152"/>
      <c r="E127" s="152"/>
      <c r="F127" s="152"/>
      <c r="G127" s="152"/>
      <c r="H127" s="152"/>
      <c r="I127" s="152"/>
      <c r="J127" s="152"/>
      <c r="K127" s="152"/>
      <c r="L127" s="152"/>
      <c r="M127" s="152"/>
      <c r="N127" s="152"/>
      <c r="O127" s="152"/>
      <c r="P127" s="152"/>
      <c r="Q127" s="152"/>
      <c r="R127" s="152"/>
      <c r="S127" s="152"/>
      <c r="T127" s="152"/>
      <c r="U127" s="152"/>
      <c r="V127" s="152"/>
      <c r="W127" s="152"/>
      <c r="X127" s="152"/>
      <c r="Y127" s="152"/>
      <c r="Z127" s="152"/>
      <c r="AA127" s="152"/>
      <c r="AB127" s="152"/>
      <c r="AC127" s="152"/>
      <c r="AD127" s="152"/>
      <c r="AE127" s="152"/>
    </row>
    <row r="128" spans="1:31" ht="15.75">
      <c r="A128" s="152"/>
      <c r="B128" s="152"/>
      <c r="C128" s="281"/>
      <c r="D128" s="152"/>
      <c r="E128" s="152"/>
      <c r="F128" s="152"/>
      <c r="G128" s="152"/>
      <c r="H128" s="152"/>
      <c r="I128" s="152"/>
      <c r="J128" s="152"/>
      <c r="K128" s="152"/>
      <c r="L128" s="152"/>
      <c r="M128" s="152"/>
      <c r="N128" s="152"/>
      <c r="O128" s="152"/>
      <c r="P128" s="152"/>
      <c r="Q128" s="152"/>
      <c r="R128" s="152"/>
      <c r="S128" s="152"/>
      <c r="T128" s="152"/>
      <c r="U128" s="152"/>
      <c r="V128" s="152"/>
      <c r="W128" s="152"/>
      <c r="X128" s="152"/>
      <c r="Y128" s="152"/>
      <c r="Z128" s="152"/>
      <c r="AA128" s="152"/>
      <c r="AB128" s="152"/>
      <c r="AC128" s="152"/>
      <c r="AD128" s="152"/>
      <c r="AE128" s="152"/>
    </row>
    <row r="129" spans="1:31" ht="15.75">
      <c r="A129" s="152"/>
      <c r="B129" s="152"/>
      <c r="C129" s="281"/>
      <c r="D129" s="152"/>
      <c r="E129" s="152"/>
      <c r="F129" s="152"/>
      <c r="G129" s="152"/>
      <c r="H129" s="152"/>
      <c r="I129" s="152"/>
      <c r="J129" s="152"/>
      <c r="K129" s="152"/>
      <c r="L129" s="152"/>
      <c r="M129" s="152"/>
      <c r="N129" s="152"/>
      <c r="O129" s="152"/>
      <c r="P129" s="152"/>
      <c r="Q129" s="152"/>
      <c r="R129" s="152"/>
      <c r="S129" s="152"/>
      <c r="T129" s="152"/>
      <c r="U129" s="152"/>
      <c r="V129" s="152"/>
      <c r="W129" s="152"/>
      <c r="X129" s="152"/>
      <c r="Y129" s="152"/>
      <c r="Z129" s="152"/>
      <c r="AA129" s="152"/>
      <c r="AB129" s="152"/>
      <c r="AC129" s="152"/>
      <c r="AD129" s="152"/>
      <c r="AE129" s="152"/>
    </row>
    <row r="130" spans="1:31" ht="15.75">
      <c r="A130" s="152"/>
      <c r="B130" s="152"/>
      <c r="C130" s="281"/>
      <c r="D130" s="152"/>
      <c r="E130" s="152"/>
      <c r="F130" s="152"/>
      <c r="G130" s="152"/>
      <c r="H130" s="152"/>
      <c r="I130" s="152"/>
      <c r="J130" s="152"/>
      <c r="K130" s="152"/>
      <c r="L130" s="152"/>
      <c r="M130" s="152"/>
      <c r="N130" s="152"/>
      <c r="O130" s="152"/>
      <c r="P130" s="152"/>
      <c r="Q130" s="152"/>
      <c r="R130" s="152"/>
      <c r="S130" s="152"/>
      <c r="T130" s="152"/>
      <c r="U130" s="152"/>
      <c r="V130" s="152"/>
      <c r="W130" s="152"/>
      <c r="X130" s="152"/>
      <c r="Y130" s="152"/>
      <c r="Z130" s="152"/>
      <c r="AA130" s="152"/>
      <c r="AB130" s="152"/>
      <c r="AC130" s="152"/>
      <c r="AD130" s="152"/>
      <c r="AE130" s="152"/>
    </row>
    <row r="131" spans="1:31" ht="15.75">
      <c r="A131" s="152"/>
      <c r="B131" s="152"/>
      <c r="C131" s="281"/>
      <c r="D131" s="152"/>
      <c r="E131" s="152"/>
      <c r="F131" s="152"/>
      <c r="G131" s="152"/>
      <c r="H131" s="152"/>
      <c r="I131" s="152"/>
      <c r="J131" s="152"/>
      <c r="K131" s="152"/>
      <c r="L131" s="152"/>
      <c r="M131" s="152"/>
      <c r="N131" s="152"/>
      <c r="O131" s="152"/>
      <c r="P131" s="152"/>
      <c r="Q131" s="152"/>
      <c r="R131" s="152"/>
      <c r="S131" s="152"/>
      <c r="T131" s="152"/>
      <c r="U131" s="152"/>
      <c r="V131" s="152"/>
      <c r="W131" s="152"/>
      <c r="X131" s="152"/>
      <c r="Y131" s="152"/>
      <c r="Z131" s="152"/>
      <c r="AA131" s="152"/>
      <c r="AB131" s="152"/>
      <c r="AC131" s="152"/>
      <c r="AD131" s="152"/>
      <c r="AE131" s="152"/>
    </row>
    <row r="132" spans="1:31" ht="15.75">
      <c r="A132" s="152"/>
      <c r="B132" s="152"/>
      <c r="C132" s="281"/>
      <c r="D132" s="152"/>
      <c r="E132" s="152"/>
      <c r="F132" s="152"/>
      <c r="G132" s="152"/>
      <c r="H132" s="152"/>
      <c r="I132" s="152"/>
      <c r="J132" s="152"/>
      <c r="K132" s="152"/>
      <c r="L132" s="152"/>
      <c r="M132" s="152"/>
      <c r="N132" s="152"/>
      <c r="O132" s="152"/>
      <c r="P132" s="152"/>
      <c r="Q132" s="152"/>
      <c r="R132" s="152"/>
      <c r="S132" s="152"/>
      <c r="T132" s="152"/>
      <c r="U132" s="152"/>
      <c r="V132" s="152"/>
      <c r="W132" s="152"/>
      <c r="X132" s="152"/>
      <c r="Y132" s="152"/>
      <c r="Z132" s="152"/>
      <c r="AA132" s="152"/>
      <c r="AB132" s="152"/>
      <c r="AC132" s="152"/>
      <c r="AD132" s="152"/>
      <c r="AE132" s="152"/>
    </row>
    <row r="133" spans="1:31" ht="15.75">
      <c r="A133" s="152"/>
      <c r="B133" s="152"/>
      <c r="C133" s="281"/>
      <c r="D133" s="152"/>
      <c r="E133" s="152"/>
      <c r="F133" s="152"/>
      <c r="G133" s="152"/>
      <c r="H133" s="152"/>
      <c r="I133" s="152"/>
      <c r="J133" s="152"/>
      <c r="K133" s="152"/>
      <c r="L133" s="152"/>
      <c r="M133" s="152"/>
      <c r="N133" s="152"/>
      <c r="O133" s="152"/>
      <c r="P133" s="152"/>
      <c r="Q133" s="152"/>
      <c r="R133" s="152"/>
      <c r="S133" s="152"/>
      <c r="T133" s="152"/>
      <c r="U133" s="152"/>
      <c r="V133" s="152"/>
      <c r="W133" s="152"/>
      <c r="X133" s="152"/>
      <c r="Y133" s="152"/>
      <c r="Z133" s="152"/>
      <c r="AA133" s="152"/>
      <c r="AB133" s="152"/>
      <c r="AC133" s="152"/>
      <c r="AD133" s="152"/>
      <c r="AE133" s="152"/>
    </row>
    <row r="134" spans="1:31" ht="15.75">
      <c r="A134" s="152"/>
      <c r="B134" s="152"/>
      <c r="C134" s="281"/>
      <c r="D134" s="152"/>
      <c r="E134" s="152"/>
      <c r="F134" s="152"/>
      <c r="G134" s="152"/>
      <c r="H134" s="152"/>
      <c r="I134" s="152"/>
      <c r="J134" s="152"/>
      <c r="K134" s="152"/>
      <c r="L134" s="152"/>
      <c r="M134" s="152"/>
      <c r="N134" s="152"/>
      <c r="O134" s="152"/>
      <c r="P134" s="152"/>
      <c r="Q134" s="152"/>
      <c r="R134" s="152"/>
      <c r="S134" s="152"/>
      <c r="T134" s="152"/>
      <c r="U134" s="152"/>
      <c r="V134" s="152"/>
      <c r="W134" s="152"/>
      <c r="X134" s="152"/>
      <c r="Y134" s="152"/>
      <c r="Z134" s="152"/>
      <c r="AA134" s="152"/>
      <c r="AB134" s="152"/>
      <c r="AC134" s="152"/>
      <c r="AD134" s="152"/>
      <c r="AE134" s="152"/>
    </row>
    <row r="135" spans="1:31" ht="15.75">
      <c r="A135" s="152"/>
      <c r="B135" s="152"/>
      <c r="C135" s="281"/>
      <c r="D135" s="152"/>
      <c r="E135" s="152"/>
      <c r="F135" s="152"/>
      <c r="G135" s="152"/>
      <c r="H135" s="152"/>
      <c r="I135" s="152"/>
      <c r="J135" s="152"/>
      <c r="K135" s="152"/>
      <c r="L135" s="152"/>
      <c r="M135" s="152"/>
      <c r="N135" s="152"/>
      <c r="O135" s="152"/>
      <c r="P135" s="152"/>
      <c r="Q135" s="152"/>
      <c r="R135" s="152"/>
      <c r="S135" s="152"/>
      <c r="T135" s="152"/>
      <c r="U135" s="152"/>
      <c r="V135" s="152"/>
      <c r="W135" s="152"/>
      <c r="X135" s="152"/>
      <c r="Y135" s="152"/>
      <c r="Z135" s="152"/>
      <c r="AA135" s="152"/>
      <c r="AB135" s="152"/>
      <c r="AC135" s="152"/>
      <c r="AD135" s="152"/>
      <c r="AE135" s="152"/>
    </row>
    <row r="136" spans="1:31" ht="15.75">
      <c r="A136" s="152"/>
      <c r="B136" s="152"/>
      <c r="C136" s="281"/>
      <c r="D136" s="152"/>
      <c r="E136" s="152"/>
      <c r="F136" s="152"/>
      <c r="G136" s="152"/>
      <c r="H136" s="152"/>
      <c r="I136" s="152"/>
      <c r="J136" s="152"/>
      <c r="K136" s="152"/>
      <c r="L136" s="152"/>
      <c r="M136" s="152"/>
      <c r="N136" s="152"/>
      <c r="O136" s="152"/>
      <c r="P136" s="152"/>
      <c r="Q136" s="152"/>
      <c r="R136" s="152"/>
      <c r="S136" s="152"/>
      <c r="T136" s="152"/>
      <c r="U136" s="152"/>
      <c r="V136" s="152"/>
      <c r="W136" s="152"/>
      <c r="X136" s="152"/>
      <c r="Y136" s="152"/>
      <c r="Z136" s="152"/>
      <c r="AA136" s="152"/>
      <c r="AB136" s="152"/>
      <c r="AC136" s="152"/>
      <c r="AD136" s="152"/>
      <c r="AE136" s="152"/>
    </row>
    <row r="137" spans="1:31" ht="15.75">
      <c r="A137" s="152"/>
      <c r="B137" s="152"/>
      <c r="C137" s="281"/>
      <c r="D137" s="152"/>
      <c r="E137" s="152"/>
      <c r="F137" s="152"/>
      <c r="G137" s="152"/>
      <c r="H137" s="152"/>
      <c r="I137" s="152"/>
      <c r="J137" s="152"/>
      <c r="K137" s="152"/>
      <c r="L137" s="152"/>
      <c r="M137" s="152"/>
      <c r="N137" s="152"/>
      <c r="O137" s="152"/>
      <c r="P137" s="152"/>
      <c r="Q137" s="152"/>
      <c r="R137" s="152"/>
      <c r="S137" s="152"/>
      <c r="T137" s="152"/>
      <c r="U137" s="152"/>
      <c r="V137" s="152"/>
      <c r="W137" s="152"/>
      <c r="X137" s="152"/>
      <c r="Y137" s="152"/>
      <c r="Z137" s="152"/>
      <c r="AA137" s="152"/>
      <c r="AB137" s="152"/>
      <c r="AC137" s="152"/>
      <c r="AD137" s="152"/>
      <c r="AE137" s="152"/>
    </row>
    <row r="138" spans="1:31" ht="15.75">
      <c r="A138" s="152"/>
      <c r="B138" s="152"/>
      <c r="C138" s="281"/>
      <c r="D138" s="152"/>
      <c r="E138" s="152"/>
      <c r="F138" s="152"/>
      <c r="G138" s="152"/>
      <c r="H138" s="152"/>
      <c r="I138" s="152"/>
      <c r="J138" s="152"/>
      <c r="K138" s="152"/>
      <c r="L138" s="152"/>
      <c r="M138" s="152"/>
      <c r="N138" s="152"/>
      <c r="O138" s="152"/>
      <c r="P138" s="152"/>
      <c r="Q138" s="152"/>
      <c r="R138" s="152"/>
      <c r="S138" s="152"/>
      <c r="T138" s="152"/>
      <c r="U138" s="152"/>
      <c r="V138" s="152"/>
      <c r="W138" s="152"/>
      <c r="X138" s="152"/>
      <c r="Y138" s="152"/>
      <c r="Z138" s="152"/>
      <c r="AA138" s="152"/>
      <c r="AB138" s="152"/>
      <c r="AC138" s="152"/>
      <c r="AD138" s="152"/>
      <c r="AE138" s="152"/>
    </row>
    <row r="139" spans="1:31" ht="15.75">
      <c r="A139" s="152"/>
      <c r="B139" s="152"/>
      <c r="C139" s="281"/>
      <c r="D139" s="152"/>
      <c r="E139" s="152"/>
      <c r="F139" s="152"/>
      <c r="G139" s="152"/>
      <c r="H139" s="152"/>
      <c r="I139" s="152"/>
      <c r="J139" s="152"/>
      <c r="K139" s="152"/>
      <c r="L139" s="152"/>
      <c r="M139" s="152"/>
      <c r="N139" s="152"/>
      <c r="O139" s="152"/>
      <c r="P139" s="152"/>
      <c r="Q139" s="152"/>
      <c r="R139" s="152"/>
      <c r="S139" s="152"/>
      <c r="T139" s="152"/>
      <c r="U139" s="152"/>
      <c r="V139" s="152"/>
      <c r="W139" s="152"/>
      <c r="X139" s="152"/>
      <c r="Y139" s="152"/>
      <c r="Z139" s="152"/>
      <c r="AA139" s="152"/>
      <c r="AB139" s="152"/>
      <c r="AC139" s="152"/>
      <c r="AD139" s="152"/>
      <c r="AE139" s="152"/>
    </row>
    <row r="140" spans="1:31" ht="15.75">
      <c r="A140" s="152"/>
      <c r="B140" s="152"/>
      <c r="C140" s="281"/>
      <c r="D140" s="152"/>
      <c r="E140" s="152"/>
      <c r="F140" s="152"/>
      <c r="G140" s="152"/>
      <c r="H140" s="152"/>
      <c r="I140" s="152"/>
      <c r="J140" s="152"/>
      <c r="K140" s="152"/>
      <c r="L140" s="152"/>
      <c r="M140" s="152"/>
      <c r="N140" s="152"/>
      <c r="O140" s="152"/>
      <c r="P140" s="152"/>
      <c r="Q140" s="152"/>
      <c r="R140" s="152"/>
      <c r="S140" s="152"/>
      <c r="T140" s="152"/>
      <c r="U140" s="152"/>
      <c r="V140" s="152"/>
      <c r="W140" s="152"/>
      <c r="X140" s="152"/>
      <c r="Y140" s="152"/>
      <c r="Z140" s="152"/>
      <c r="AA140" s="152"/>
      <c r="AB140" s="152"/>
      <c r="AC140" s="152"/>
      <c r="AD140" s="152"/>
      <c r="AE140" s="152"/>
    </row>
    <row r="141" spans="1:31" ht="15.75">
      <c r="A141" s="152"/>
      <c r="B141" s="152"/>
      <c r="C141" s="281"/>
      <c r="D141" s="152"/>
      <c r="E141" s="152"/>
      <c r="F141" s="152"/>
      <c r="G141" s="152"/>
      <c r="H141" s="152"/>
      <c r="I141" s="152"/>
      <c r="J141" s="152"/>
      <c r="K141" s="152"/>
      <c r="L141" s="152"/>
      <c r="M141" s="152"/>
      <c r="N141" s="152"/>
      <c r="O141" s="152"/>
      <c r="P141" s="152"/>
      <c r="Q141" s="152"/>
      <c r="R141" s="152"/>
      <c r="S141" s="152"/>
      <c r="T141" s="152"/>
      <c r="U141" s="152"/>
      <c r="V141" s="152"/>
      <c r="W141" s="152"/>
      <c r="X141" s="152"/>
      <c r="Y141" s="152"/>
      <c r="Z141" s="152"/>
      <c r="AA141" s="152"/>
      <c r="AB141" s="152"/>
      <c r="AC141" s="152"/>
      <c r="AD141" s="152"/>
      <c r="AE141" s="152"/>
    </row>
    <row r="142" spans="1:31" ht="15.75">
      <c r="A142" s="152"/>
      <c r="B142" s="152"/>
      <c r="C142" s="281"/>
      <c r="D142" s="152"/>
      <c r="E142" s="152"/>
      <c r="F142" s="152"/>
      <c r="G142" s="152"/>
      <c r="H142" s="152"/>
      <c r="I142" s="152"/>
      <c r="J142" s="152"/>
      <c r="K142" s="152"/>
      <c r="L142" s="152"/>
      <c r="M142" s="152"/>
      <c r="N142" s="152"/>
      <c r="O142" s="152"/>
      <c r="P142" s="152"/>
      <c r="Q142" s="152"/>
      <c r="R142" s="152"/>
      <c r="S142" s="152"/>
      <c r="T142" s="152"/>
      <c r="U142" s="152"/>
      <c r="V142" s="152"/>
      <c r="W142" s="152"/>
      <c r="X142" s="152"/>
      <c r="Y142" s="152"/>
      <c r="Z142" s="152"/>
      <c r="AA142" s="152"/>
      <c r="AB142" s="152"/>
      <c r="AC142" s="152"/>
      <c r="AD142" s="152"/>
      <c r="AE142" s="152"/>
    </row>
    <row r="143" spans="1:31" ht="15.75">
      <c r="A143" s="152"/>
      <c r="B143" s="152"/>
      <c r="C143" s="281"/>
      <c r="D143" s="152"/>
      <c r="E143" s="152"/>
      <c r="F143" s="152"/>
      <c r="G143" s="152"/>
      <c r="H143" s="152"/>
      <c r="I143" s="152"/>
      <c r="J143" s="152"/>
      <c r="K143" s="152"/>
      <c r="L143" s="152"/>
      <c r="M143" s="152"/>
      <c r="N143" s="152"/>
      <c r="O143" s="152"/>
      <c r="P143" s="152"/>
      <c r="Q143" s="152"/>
      <c r="R143" s="152"/>
      <c r="S143" s="152"/>
      <c r="T143" s="152"/>
      <c r="U143" s="152"/>
      <c r="V143" s="152"/>
      <c r="W143" s="152"/>
      <c r="X143" s="152"/>
      <c r="Y143" s="152"/>
      <c r="Z143" s="152"/>
      <c r="AA143" s="152"/>
      <c r="AB143" s="152"/>
      <c r="AC143" s="152"/>
      <c r="AD143" s="152"/>
      <c r="AE143" s="152"/>
    </row>
    <row r="144" spans="1:31" ht="15.75">
      <c r="A144" s="152"/>
      <c r="B144" s="152"/>
      <c r="C144" s="281"/>
      <c r="D144" s="152"/>
      <c r="E144" s="152"/>
      <c r="F144" s="152"/>
      <c r="G144" s="152"/>
      <c r="H144" s="152"/>
      <c r="I144" s="152"/>
      <c r="J144" s="152"/>
      <c r="K144" s="152"/>
      <c r="L144" s="152"/>
      <c r="M144" s="152"/>
      <c r="N144" s="152"/>
      <c r="O144" s="152"/>
      <c r="P144" s="152"/>
      <c r="Q144" s="152"/>
      <c r="R144" s="152"/>
      <c r="S144" s="152"/>
      <c r="T144" s="152"/>
      <c r="U144" s="152"/>
      <c r="V144" s="152"/>
      <c r="W144" s="152"/>
      <c r="X144" s="152"/>
      <c r="Y144" s="152"/>
      <c r="Z144" s="152"/>
      <c r="AA144" s="152"/>
      <c r="AB144" s="152"/>
      <c r="AC144" s="152"/>
      <c r="AD144" s="152"/>
      <c r="AE144" s="152"/>
    </row>
    <row r="145" spans="1:31" ht="15.75">
      <c r="A145" s="152"/>
      <c r="B145" s="152"/>
      <c r="C145" s="281"/>
      <c r="D145" s="152"/>
      <c r="E145" s="152"/>
      <c r="F145" s="152"/>
      <c r="G145" s="152"/>
      <c r="H145" s="152"/>
      <c r="I145" s="152"/>
      <c r="J145" s="152"/>
      <c r="K145" s="152"/>
      <c r="L145" s="152"/>
      <c r="M145" s="152"/>
      <c r="N145" s="152"/>
      <c r="O145" s="152"/>
      <c r="P145" s="152"/>
      <c r="Q145" s="152"/>
      <c r="R145" s="152"/>
      <c r="S145" s="152"/>
      <c r="T145" s="152"/>
      <c r="U145" s="152"/>
      <c r="V145" s="152"/>
      <c r="W145" s="152"/>
      <c r="X145" s="152"/>
      <c r="Y145" s="152"/>
      <c r="Z145" s="152"/>
      <c r="AA145" s="152"/>
      <c r="AB145" s="152"/>
      <c r="AC145" s="152"/>
      <c r="AD145" s="152"/>
      <c r="AE145" s="152"/>
    </row>
    <row r="146" spans="1:31" ht="15.75">
      <c r="A146" s="152"/>
      <c r="B146" s="152"/>
      <c r="C146" s="281"/>
      <c r="D146" s="152"/>
      <c r="E146" s="152"/>
      <c r="F146" s="152"/>
      <c r="G146" s="152"/>
      <c r="H146" s="152"/>
      <c r="I146" s="152"/>
      <c r="J146" s="152"/>
      <c r="K146" s="152"/>
      <c r="L146" s="152"/>
      <c r="M146" s="152"/>
      <c r="N146" s="152"/>
      <c r="O146" s="152"/>
      <c r="P146" s="152"/>
      <c r="Q146" s="152"/>
      <c r="R146" s="152"/>
      <c r="S146" s="152"/>
      <c r="T146" s="152"/>
      <c r="U146" s="152"/>
      <c r="V146" s="152"/>
      <c r="W146" s="152"/>
      <c r="X146" s="152"/>
      <c r="Y146" s="152"/>
      <c r="Z146" s="152"/>
      <c r="AA146" s="152"/>
      <c r="AB146" s="152"/>
      <c r="AC146" s="152"/>
      <c r="AD146" s="152"/>
      <c r="AE146" s="152"/>
    </row>
    <row r="147" spans="1:31" ht="15.75">
      <c r="A147" s="152"/>
      <c r="B147" s="152"/>
      <c r="C147" s="281"/>
      <c r="D147" s="152"/>
      <c r="E147" s="152"/>
      <c r="F147" s="152"/>
      <c r="G147" s="152"/>
      <c r="H147" s="152"/>
      <c r="I147" s="152"/>
      <c r="J147" s="152"/>
      <c r="K147" s="152"/>
      <c r="L147" s="152"/>
      <c r="M147" s="152"/>
      <c r="N147" s="152"/>
      <c r="O147" s="152"/>
      <c r="P147" s="152"/>
      <c r="Q147" s="152"/>
      <c r="R147" s="152"/>
      <c r="S147" s="152"/>
      <c r="T147" s="152"/>
      <c r="U147" s="152"/>
      <c r="V147" s="152"/>
      <c r="W147" s="152"/>
      <c r="X147" s="152"/>
      <c r="Y147" s="152"/>
      <c r="Z147" s="152"/>
      <c r="AA147" s="152"/>
      <c r="AB147" s="152"/>
      <c r="AC147" s="152"/>
      <c r="AD147" s="152"/>
      <c r="AE147" s="152"/>
    </row>
    <row r="148" spans="1:31" ht="15.75">
      <c r="A148" s="152"/>
      <c r="B148" s="152"/>
      <c r="C148" s="281"/>
      <c r="D148" s="152"/>
      <c r="E148" s="152"/>
      <c r="F148" s="152"/>
      <c r="G148" s="152"/>
      <c r="H148" s="152"/>
      <c r="I148" s="152"/>
      <c r="J148" s="152"/>
      <c r="K148" s="152"/>
      <c r="L148" s="152"/>
      <c r="M148" s="152"/>
      <c r="N148" s="152"/>
      <c r="O148" s="152"/>
      <c r="P148" s="152"/>
      <c r="Q148" s="152"/>
      <c r="R148" s="152"/>
      <c r="S148" s="152"/>
      <c r="T148" s="152"/>
      <c r="U148" s="152"/>
      <c r="V148" s="152"/>
      <c r="W148" s="152"/>
      <c r="X148" s="152"/>
      <c r="Y148" s="152"/>
      <c r="Z148" s="152"/>
      <c r="AA148" s="152"/>
      <c r="AB148" s="152"/>
      <c r="AC148" s="152"/>
      <c r="AD148" s="152"/>
      <c r="AE148" s="152"/>
    </row>
    <row r="149" spans="1:31" ht="15.75">
      <c r="A149" s="152"/>
      <c r="B149" s="152"/>
      <c r="C149" s="281"/>
      <c r="D149" s="152"/>
      <c r="E149" s="152"/>
      <c r="F149" s="152"/>
      <c r="G149" s="152"/>
      <c r="H149" s="152"/>
      <c r="I149" s="152"/>
      <c r="J149" s="152"/>
      <c r="K149" s="152"/>
      <c r="L149" s="152"/>
      <c r="M149" s="152"/>
      <c r="N149" s="152"/>
      <c r="O149" s="152"/>
      <c r="P149" s="152"/>
      <c r="Q149" s="152"/>
      <c r="R149" s="152"/>
      <c r="S149" s="152"/>
      <c r="T149" s="152"/>
      <c r="U149" s="152"/>
      <c r="V149" s="152"/>
      <c r="W149" s="152"/>
      <c r="X149" s="152"/>
      <c r="Y149" s="152"/>
      <c r="Z149" s="152"/>
      <c r="AA149" s="152"/>
      <c r="AB149" s="152"/>
      <c r="AC149" s="152"/>
      <c r="AD149" s="152"/>
      <c r="AE149" s="152"/>
    </row>
    <row r="150" spans="1:31" ht="15.75">
      <c r="A150" s="152"/>
      <c r="B150" s="152"/>
      <c r="C150" s="281"/>
      <c r="D150" s="152"/>
      <c r="E150" s="152"/>
      <c r="F150" s="152"/>
      <c r="G150" s="152"/>
      <c r="H150" s="152"/>
      <c r="I150" s="152"/>
      <c r="J150" s="152"/>
      <c r="K150" s="152"/>
      <c r="L150" s="152"/>
      <c r="M150" s="152"/>
      <c r="N150" s="152"/>
      <c r="O150" s="152"/>
      <c r="P150" s="152"/>
      <c r="Q150" s="152"/>
      <c r="R150" s="152"/>
      <c r="S150" s="152"/>
      <c r="T150" s="152"/>
      <c r="U150" s="152"/>
      <c r="V150" s="152"/>
      <c r="W150" s="152"/>
      <c r="X150" s="152"/>
      <c r="Y150" s="152"/>
      <c r="Z150" s="152"/>
      <c r="AA150" s="152"/>
      <c r="AB150" s="152"/>
      <c r="AC150" s="152"/>
      <c r="AD150" s="152"/>
      <c r="AE150" s="152"/>
    </row>
    <row r="151" spans="1:31" ht="15.75">
      <c r="A151" s="152"/>
      <c r="B151" s="152"/>
      <c r="C151" s="281"/>
      <c r="D151" s="152"/>
      <c r="E151" s="152"/>
      <c r="F151" s="152"/>
      <c r="G151" s="152"/>
      <c r="H151" s="152"/>
      <c r="I151" s="152"/>
      <c r="J151" s="152"/>
      <c r="K151" s="152"/>
      <c r="L151" s="152"/>
      <c r="M151" s="152"/>
      <c r="N151" s="152"/>
      <c r="O151" s="152"/>
      <c r="P151" s="152"/>
      <c r="Q151" s="152"/>
      <c r="R151" s="152"/>
      <c r="S151" s="152"/>
      <c r="T151" s="152"/>
      <c r="U151" s="152"/>
      <c r="V151" s="152"/>
      <c r="W151" s="152"/>
      <c r="X151" s="152"/>
      <c r="Y151" s="152"/>
      <c r="Z151" s="152"/>
      <c r="AA151" s="152"/>
      <c r="AB151" s="152"/>
      <c r="AC151" s="152"/>
      <c r="AD151" s="152"/>
      <c r="AE151" s="152"/>
    </row>
    <row r="152" spans="1:31" ht="15.75">
      <c r="A152" s="152"/>
      <c r="B152" s="152"/>
      <c r="C152" s="281"/>
      <c r="D152" s="152"/>
      <c r="E152" s="152"/>
      <c r="F152" s="152"/>
      <c r="G152" s="152"/>
      <c r="H152" s="152"/>
      <c r="I152" s="152"/>
      <c r="J152" s="152"/>
      <c r="K152" s="152"/>
      <c r="L152" s="152"/>
      <c r="M152" s="152"/>
      <c r="N152" s="152"/>
      <c r="O152" s="152"/>
      <c r="P152" s="152"/>
      <c r="Q152" s="152"/>
      <c r="R152" s="152"/>
      <c r="S152" s="152"/>
      <c r="T152" s="152"/>
      <c r="U152" s="152"/>
      <c r="V152" s="152"/>
      <c r="W152" s="152"/>
      <c r="X152" s="152"/>
      <c r="Y152" s="152"/>
      <c r="Z152" s="152"/>
      <c r="AA152" s="152"/>
      <c r="AB152" s="152"/>
      <c r="AC152" s="152"/>
      <c r="AD152" s="152"/>
      <c r="AE152" s="152"/>
    </row>
    <row r="153" spans="1:31" ht="15.75">
      <c r="A153" s="152"/>
      <c r="B153" s="152"/>
      <c r="C153" s="281"/>
      <c r="D153" s="152"/>
      <c r="E153" s="152"/>
      <c r="F153" s="152"/>
      <c r="G153" s="152"/>
      <c r="H153" s="152"/>
      <c r="I153" s="152"/>
      <c r="J153" s="152"/>
      <c r="K153" s="152"/>
      <c r="L153" s="152"/>
      <c r="M153" s="152"/>
      <c r="N153" s="152"/>
      <c r="O153" s="152"/>
      <c r="P153" s="152"/>
      <c r="Q153" s="152"/>
      <c r="R153" s="152"/>
      <c r="S153" s="152"/>
      <c r="T153" s="152"/>
      <c r="U153" s="152"/>
      <c r="V153" s="152"/>
      <c r="W153" s="152"/>
      <c r="X153" s="152"/>
      <c r="Y153" s="152"/>
      <c r="Z153" s="152"/>
      <c r="AA153" s="152"/>
      <c r="AB153" s="152"/>
      <c r="AC153" s="152"/>
      <c r="AD153" s="152"/>
      <c r="AE153" s="152"/>
    </row>
    <row r="154" spans="1:31" ht="15.75">
      <c r="A154" s="152"/>
      <c r="B154" s="152"/>
      <c r="C154" s="281"/>
      <c r="D154" s="152"/>
      <c r="E154" s="152"/>
      <c r="F154" s="152"/>
      <c r="G154" s="152"/>
      <c r="H154" s="152"/>
      <c r="I154" s="152"/>
      <c r="J154" s="152"/>
      <c r="K154" s="152"/>
      <c r="L154" s="152"/>
      <c r="M154" s="152"/>
      <c r="N154" s="152"/>
      <c r="O154" s="152"/>
      <c r="P154" s="152"/>
      <c r="Q154" s="152"/>
      <c r="R154" s="152"/>
      <c r="S154" s="152"/>
      <c r="T154" s="152"/>
      <c r="U154" s="152"/>
      <c r="V154" s="152"/>
      <c r="W154" s="152"/>
      <c r="X154" s="152"/>
      <c r="Y154" s="152"/>
      <c r="Z154" s="152"/>
      <c r="AA154" s="152"/>
      <c r="AB154" s="152"/>
      <c r="AC154" s="152"/>
      <c r="AD154" s="152"/>
      <c r="AE154" s="152"/>
    </row>
    <row r="155" spans="1:31" ht="15.75">
      <c r="A155" s="152"/>
      <c r="B155" s="152"/>
      <c r="C155" s="281"/>
      <c r="D155" s="152"/>
      <c r="E155" s="152"/>
      <c r="F155" s="152"/>
      <c r="G155" s="152"/>
      <c r="H155" s="152"/>
      <c r="I155" s="152"/>
      <c r="J155" s="152"/>
      <c r="K155" s="152"/>
      <c r="L155" s="152"/>
      <c r="M155" s="152"/>
      <c r="N155" s="152"/>
      <c r="O155" s="152"/>
      <c r="P155" s="152"/>
      <c r="Q155" s="152"/>
      <c r="R155" s="152"/>
      <c r="S155" s="152"/>
      <c r="T155" s="152"/>
      <c r="U155" s="152"/>
      <c r="V155" s="152"/>
      <c r="W155" s="152"/>
      <c r="X155" s="152"/>
      <c r="Y155" s="152"/>
      <c r="Z155" s="152"/>
      <c r="AA155" s="152"/>
      <c r="AB155" s="152"/>
      <c r="AC155" s="152"/>
      <c r="AD155" s="152"/>
      <c r="AE155" s="152"/>
    </row>
    <row r="156" spans="1:31" ht="15.75">
      <c r="A156" s="152"/>
      <c r="B156" s="152"/>
      <c r="C156" s="281"/>
      <c r="D156" s="152"/>
      <c r="E156" s="152"/>
      <c r="F156" s="152"/>
      <c r="G156" s="152"/>
      <c r="H156" s="152"/>
      <c r="I156" s="152"/>
      <c r="J156" s="152"/>
      <c r="K156" s="152"/>
      <c r="L156" s="152"/>
      <c r="M156" s="152"/>
      <c r="N156" s="152"/>
      <c r="O156" s="152"/>
      <c r="P156" s="152"/>
      <c r="Q156" s="152"/>
      <c r="R156" s="152"/>
      <c r="S156" s="152"/>
      <c r="T156" s="152"/>
      <c r="U156" s="152"/>
      <c r="V156" s="152"/>
      <c r="W156" s="152"/>
      <c r="X156" s="152"/>
      <c r="Y156" s="152"/>
      <c r="Z156" s="152"/>
      <c r="AA156" s="152"/>
      <c r="AB156" s="152"/>
      <c r="AC156" s="152"/>
      <c r="AD156" s="152"/>
      <c r="AE156" s="152"/>
    </row>
    <row r="157" spans="1:31" ht="15.75">
      <c r="A157" s="152"/>
      <c r="B157" s="152"/>
      <c r="C157" s="281"/>
      <c r="D157" s="152"/>
      <c r="E157" s="152"/>
      <c r="F157" s="152"/>
      <c r="G157" s="152"/>
      <c r="H157" s="152"/>
      <c r="I157" s="152"/>
      <c r="J157" s="152"/>
      <c r="K157" s="152"/>
      <c r="L157" s="152"/>
      <c r="M157" s="152"/>
      <c r="N157" s="152"/>
      <c r="O157" s="152"/>
      <c r="P157" s="152"/>
      <c r="Q157" s="152"/>
      <c r="R157" s="152"/>
      <c r="S157" s="152"/>
      <c r="T157" s="152"/>
      <c r="U157" s="152"/>
      <c r="V157" s="152"/>
      <c r="W157" s="152"/>
      <c r="X157" s="152"/>
      <c r="Y157" s="152"/>
      <c r="Z157" s="152"/>
      <c r="AA157" s="152"/>
      <c r="AB157" s="152"/>
      <c r="AC157" s="152"/>
      <c r="AD157" s="152"/>
      <c r="AE157" s="152"/>
    </row>
    <row r="158" spans="1:31" ht="15.75">
      <c r="A158" s="152"/>
      <c r="B158" s="152"/>
      <c r="C158" s="281"/>
      <c r="D158" s="152"/>
      <c r="E158" s="152"/>
      <c r="F158" s="152"/>
      <c r="G158" s="152"/>
      <c r="H158" s="152"/>
      <c r="I158" s="152"/>
      <c r="J158" s="152"/>
      <c r="K158" s="152"/>
      <c r="L158" s="152"/>
      <c r="M158" s="152"/>
      <c r="N158" s="152"/>
      <c r="O158" s="152"/>
      <c r="P158" s="152"/>
      <c r="Q158" s="152"/>
      <c r="R158" s="152"/>
      <c r="S158" s="152"/>
      <c r="T158" s="152"/>
      <c r="U158" s="152"/>
      <c r="V158" s="152"/>
      <c r="W158" s="152"/>
      <c r="X158" s="152"/>
      <c r="Y158" s="152"/>
      <c r="Z158" s="152"/>
      <c r="AA158" s="152"/>
      <c r="AB158" s="152"/>
      <c r="AC158" s="152"/>
      <c r="AD158" s="152"/>
      <c r="AE158" s="152"/>
    </row>
    <row r="159" spans="1:31" ht="15.75">
      <c r="A159" s="152"/>
      <c r="B159" s="152"/>
      <c r="C159" s="281"/>
      <c r="D159" s="152"/>
      <c r="E159" s="152"/>
      <c r="F159" s="152"/>
      <c r="G159" s="152"/>
      <c r="H159" s="152"/>
      <c r="I159" s="152"/>
      <c r="J159" s="152"/>
      <c r="K159" s="152"/>
      <c r="L159" s="152"/>
      <c r="M159" s="152"/>
      <c r="N159" s="152"/>
      <c r="O159" s="152"/>
      <c r="P159" s="152"/>
      <c r="Q159" s="152"/>
      <c r="R159" s="152"/>
      <c r="S159" s="152"/>
      <c r="T159" s="152"/>
      <c r="U159" s="152"/>
      <c r="V159" s="152"/>
      <c r="W159" s="152"/>
      <c r="X159" s="152"/>
      <c r="Y159" s="152"/>
      <c r="Z159" s="152"/>
      <c r="AA159" s="152"/>
      <c r="AB159" s="152"/>
      <c r="AC159" s="152"/>
      <c r="AD159" s="152"/>
      <c r="AE159" s="152"/>
    </row>
    <row r="160" spans="1:31" ht="15.75">
      <c r="A160" s="152"/>
      <c r="B160" s="152"/>
      <c r="C160" s="281"/>
      <c r="D160" s="152"/>
      <c r="E160" s="152"/>
      <c r="F160" s="152"/>
      <c r="G160" s="152"/>
      <c r="H160" s="152"/>
      <c r="I160" s="152"/>
      <c r="J160" s="152"/>
      <c r="K160" s="152"/>
      <c r="L160" s="152"/>
      <c r="M160" s="152"/>
      <c r="N160" s="152"/>
      <c r="O160" s="152"/>
      <c r="P160" s="152"/>
      <c r="Q160" s="152"/>
      <c r="R160" s="152"/>
      <c r="S160" s="152"/>
      <c r="T160" s="152"/>
      <c r="U160" s="152"/>
      <c r="V160" s="152"/>
      <c r="W160" s="152"/>
      <c r="X160" s="152"/>
      <c r="Y160" s="152"/>
      <c r="Z160" s="152"/>
      <c r="AA160" s="152"/>
      <c r="AB160" s="152"/>
      <c r="AC160" s="152"/>
      <c r="AD160" s="152"/>
      <c r="AE160" s="152"/>
    </row>
    <row r="161" spans="1:31" ht="15.75">
      <c r="A161" s="152"/>
      <c r="B161" s="152"/>
      <c r="C161" s="281"/>
      <c r="D161" s="152"/>
      <c r="E161" s="152"/>
      <c r="F161" s="152"/>
      <c r="G161" s="152"/>
      <c r="H161" s="152"/>
      <c r="I161" s="152"/>
      <c r="J161" s="152"/>
      <c r="K161" s="152"/>
      <c r="L161" s="152"/>
      <c r="M161" s="152"/>
      <c r="N161" s="152"/>
      <c r="O161" s="152"/>
      <c r="P161" s="152"/>
      <c r="Q161" s="152"/>
      <c r="R161" s="152"/>
      <c r="S161" s="152"/>
      <c r="T161" s="152"/>
      <c r="U161" s="152"/>
      <c r="V161" s="152"/>
      <c r="W161" s="152"/>
      <c r="X161" s="152"/>
      <c r="Y161" s="152"/>
      <c r="Z161" s="152"/>
      <c r="AA161" s="152"/>
      <c r="AB161" s="152"/>
      <c r="AC161" s="152"/>
      <c r="AD161" s="152"/>
      <c r="AE161" s="152"/>
    </row>
    <row r="162" spans="1:31" ht="15.75">
      <c r="A162" s="152"/>
      <c r="B162" s="152"/>
      <c r="C162" s="281"/>
      <c r="D162" s="152"/>
      <c r="E162" s="152"/>
      <c r="F162" s="152"/>
      <c r="G162" s="152"/>
      <c r="H162" s="152"/>
      <c r="I162" s="152"/>
      <c r="J162" s="152"/>
      <c r="K162" s="152"/>
      <c r="L162" s="152"/>
      <c r="M162" s="152"/>
      <c r="N162" s="152"/>
      <c r="O162" s="152"/>
      <c r="P162" s="152"/>
      <c r="Q162" s="152"/>
      <c r="R162" s="152"/>
      <c r="S162" s="152"/>
      <c r="T162" s="152"/>
      <c r="U162" s="152"/>
      <c r="V162" s="152"/>
      <c r="W162" s="152"/>
      <c r="X162" s="152"/>
      <c r="Y162" s="152"/>
      <c r="Z162" s="152"/>
      <c r="AA162" s="152"/>
      <c r="AB162" s="152"/>
      <c r="AC162" s="152"/>
      <c r="AD162" s="152"/>
      <c r="AE162" s="152"/>
    </row>
    <row r="163" spans="1:31" ht="15.75">
      <c r="A163" s="152"/>
      <c r="B163" s="152"/>
      <c r="C163" s="281"/>
      <c r="D163" s="152"/>
      <c r="E163" s="152"/>
      <c r="F163" s="152"/>
      <c r="G163" s="152"/>
      <c r="H163" s="152"/>
      <c r="I163" s="152"/>
      <c r="J163" s="152"/>
      <c r="K163" s="152"/>
      <c r="L163" s="152"/>
      <c r="M163" s="152"/>
      <c r="N163" s="152"/>
      <c r="O163" s="152"/>
      <c r="P163" s="152"/>
      <c r="Q163" s="152"/>
      <c r="R163" s="152"/>
      <c r="S163" s="152"/>
      <c r="T163" s="152"/>
      <c r="U163" s="152"/>
      <c r="V163" s="152"/>
      <c r="W163" s="152"/>
      <c r="X163" s="152"/>
      <c r="Y163" s="152"/>
      <c r="Z163" s="152"/>
      <c r="AA163" s="152"/>
      <c r="AB163" s="152"/>
      <c r="AC163" s="152"/>
      <c r="AD163" s="152"/>
      <c r="AE163" s="152"/>
    </row>
    <row r="164" spans="1:31" ht="15.75">
      <c r="A164" s="152"/>
      <c r="B164" s="152"/>
      <c r="C164" s="281"/>
      <c r="D164" s="152"/>
      <c r="E164" s="152"/>
      <c r="F164" s="152"/>
      <c r="G164" s="152"/>
      <c r="H164" s="152"/>
      <c r="I164" s="152"/>
      <c r="J164" s="152"/>
      <c r="K164" s="152"/>
      <c r="L164" s="152"/>
      <c r="M164" s="152"/>
      <c r="N164" s="152"/>
      <c r="O164" s="152"/>
      <c r="P164" s="152"/>
      <c r="Q164" s="152"/>
      <c r="R164" s="152"/>
      <c r="S164" s="152"/>
      <c r="T164" s="152"/>
      <c r="U164" s="152"/>
      <c r="V164" s="152"/>
      <c r="W164" s="152"/>
      <c r="X164" s="152"/>
      <c r="Y164" s="152"/>
      <c r="Z164" s="152"/>
      <c r="AA164" s="152"/>
      <c r="AB164" s="152"/>
      <c r="AC164" s="152"/>
      <c r="AD164" s="152"/>
      <c r="AE164" s="152"/>
    </row>
    <row r="165" spans="1:31" ht="15.75">
      <c r="A165" s="152"/>
      <c r="B165" s="152"/>
      <c r="C165" s="281"/>
      <c r="D165" s="152"/>
      <c r="E165" s="152"/>
      <c r="F165" s="152"/>
      <c r="G165" s="152"/>
      <c r="H165" s="152"/>
      <c r="I165" s="152"/>
      <c r="J165" s="152"/>
      <c r="K165" s="152"/>
      <c r="L165" s="152"/>
      <c r="M165" s="152"/>
      <c r="N165" s="152"/>
      <c r="O165" s="152"/>
      <c r="P165" s="152"/>
      <c r="Q165" s="152"/>
      <c r="R165" s="152"/>
      <c r="S165" s="152"/>
      <c r="T165" s="152"/>
      <c r="U165" s="152"/>
      <c r="V165" s="152"/>
      <c r="W165" s="152"/>
      <c r="X165" s="152"/>
      <c r="Y165" s="152"/>
      <c r="Z165" s="152"/>
      <c r="AA165" s="152"/>
      <c r="AB165" s="152"/>
      <c r="AC165" s="152"/>
      <c r="AD165" s="152"/>
      <c r="AE165" s="152"/>
    </row>
    <row r="166" spans="1:31" ht="15.75">
      <c r="A166" s="152"/>
      <c r="B166" s="152"/>
      <c r="C166" s="281"/>
      <c r="D166" s="152"/>
      <c r="E166" s="152"/>
      <c r="F166" s="152"/>
      <c r="G166" s="152"/>
      <c r="H166" s="152"/>
      <c r="I166" s="152"/>
      <c r="J166" s="152"/>
      <c r="K166" s="152"/>
      <c r="L166" s="152"/>
      <c r="M166" s="152"/>
      <c r="N166" s="152"/>
      <c r="O166" s="152"/>
      <c r="P166" s="152"/>
      <c r="Q166" s="152"/>
      <c r="R166" s="152"/>
      <c r="S166" s="152"/>
      <c r="T166" s="152"/>
      <c r="U166" s="152"/>
      <c r="V166" s="152"/>
      <c r="W166" s="152"/>
      <c r="X166" s="152"/>
      <c r="Y166" s="152"/>
      <c r="Z166" s="152"/>
      <c r="AA166" s="152"/>
      <c r="AB166" s="152"/>
      <c r="AC166" s="152"/>
      <c r="AD166" s="152"/>
      <c r="AE166" s="152"/>
    </row>
    <row r="167" spans="1:31" ht="15.75">
      <c r="A167" s="152"/>
      <c r="B167" s="152"/>
      <c r="C167" s="281"/>
      <c r="D167" s="152"/>
      <c r="E167" s="152"/>
      <c r="F167" s="152"/>
      <c r="G167" s="152"/>
      <c r="H167" s="152"/>
      <c r="I167" s="152"/>
      <c r="J167" s="152"/>
      <c r="K167" s="152"/>
      <c r="L167" s="152"/>
      <c r="M167" s="152"/>
      <c r="N167" s="152"/>
      <c r="O167" s="152"/>
      <c r="P167" s="152"/>
      <c r="Q167" s="152"/>
      <c r="R167" s="152"/>
      <c r="S167" s="152"/>
      <c r="T167" s="152"/>
      <c r="U167" s="152"/>
      <c r="V167" s="152"/>
      <c r="W167" s="152"/>
      <c r="X167" s="152"/>
      <c r="Y167" s="152"/>
      <c r="Z167" s="152"/>
      <c r="AA167" s="152"/>
      <c r="AB167" s="152"/>
      <c r="AC167" s="152"/>
      <c r="AD167" s="152"/>
      <c r="AE167" s="152"/>
    </row>
    <row r="168" spans="1:31" ht="15.75">
      <c r="A168" s="152"/>
      <c r="B168" s="152"/>
      <c r="C168" s="281"/>
      <c r="D168" s="152"/>
      <c r="E168" s="152"/>
      <c r="F168" s="152"/>
      <c r="G168" s="152"/>
      <c r="H168" s="152"/>
      <c r="I168" s="152"/>
      <c r="J168" s="152"/>
      <c r="K168" s="152"/>
      <c r="L168" s="152"/>
      <c r="M168" s="152"/>
      <c r="N168" s="152"/>
      <c r="O168" s="152"/>
      <c r="P168" s="152"/>
      <c r="Q168" s="152"/>
      <c r="R168" s="152"/>
      <c r="S168" s="152"/>
      <c r="T168" s="152"/>
      <c r="U168" s="152"/>
      <c r="V168" s="152"/>
      <c r="W168" s="152"/>
      <c r="X168" s="152"/>
      <c r="Y168" s="152"/>
      <c r="Z168" s="152"/>
      <c r="AA168" s="152"/>
      <c r="AB168" s="152"/>
      <c r="AC168" s="152"/>
      <c r="AD168" s="152"/>
      <c r="AE168" s="152"/>
    </row>
    <row r="169" spans="1:31" ht="15.75">
      <c r="A169" s="152"/>
      <c r="B169" s="152"/>
      <c r="C169" s="281"/>
      <c r="D169" s="152"/>
      <c r="E169" s="152"/>
      <c r="F169" s="152"/>
      <c r="G169" s="152"/>
      <c r="H169" s="152"/>
      <c r="I169" s="152"/>
      <c r="J169" s="152"/>
      <c r="K169" s="152"/>
      <c r="L169" s="152"/>
      <c r="M169" s="152"/>
      <c r="N169" s="152"/>
      <c r="O169" s="152"/>
      <c r="P169" s="152"/>
      <c r="Q169" s="152"/>
      <c r="R169" s="152"/>
      <c r="S169" s="152"/>
      <c r="T169" s="152"/>
      <c r="U169" s="152"/>
      <c r="V169" s="152"/>
      <c r="W169" s="152"/>
      <c r="X169" s="152"/>
      <c r="Y169" s="152"/>
      <c r="Z169" s="152"/>
      <c r="AA169" s="152"/>
      <c r="AB169" s="152"/>
      <c r="AC169" s="152"/>
      <c r="AD169" s="152"/>
      <c r="AE169" s="152"/>
    </row>
    <row r="170" spans="1:31" ht="15.75">
      <c r="A170" s="152"/>
      <c r="B170" s="152"/>
      <c r="C170" s="281"/>
      <c r="D170" s="152"/>
      <c r="E170" s="152"/>
      <c r="F170" s="152"/>
      <c r="G170" s="152"/>
      <c r="H170" s="152"/>
      <c r="I170" s="152"/>
      <c r="J170" s="152"/>
      <c r="K170" s="152"/>
      <c r="L170" s="152"/>
      <c r="M170" s="152"/>
      <c r="N170" s="152"/>
      <c r="O170" s="152"/>
      <c r="P170" s="152"/>
      <c r="Q170" s="152"/>
      <c r="R170" s="152"/>
      <c r="S170" s="152"/>
      <c r="T170" s="152"/>
      <c r="U170" s="152"/>
      <c r="V170" s="152"/>
      <c r="W170" s="152"/>
      <c r="X170" s="152"/>
      <c r="Y170" s="152"/>
      <c r="Z170" s="152"/>
      <c r="AA170" s="152"/>
      <c r="AB170" s="152"/>
      <c r="AC170" s="152"/>
      <c r="AD170" s="152"/>
      <c r="AE170" s="152"/>
    </row>
    <row r="171" spans="1:31" ht="15.75">
      <c r="A171" s="152"/>
      <c r="B171" s="152"/>
      <c r="C171" s="281"/>
      <c r="D171" s="152"/>
      <c r="E171" s="152"/>
      <c r="F171" s="152"/>
      <c r="G171" s="152"/>
      <c r="H171" s="152"/>
      <c r="I171" s="152"/>
      <c r="J171" s="152"/>
      <c r="K171" s="152"/>
      <c r="L171" s="152"/>
      <c r="M171" s="152"/>
      <c r="N171" s="152"/>
      <c r="O171" s="152"/>
      <c r="P171" s="152"/>
      <c r="Q171" s="152"/>
      <c r="R171" s="152"/>
      <c r="S171" s="152"/>
      <c r="T171" s="152"/>
      <c r="U171" s="152"/>
      <c r="V171" s="152"/>
      <c r="W171" s="152"/>
      <c r="X171" s="152"/>
      <c r="Y171" s="152"/>
      <c r="Z171" s="152"/>
      <c r="AA171" s="152"/>
      <c r="AB171" s="152"/>
      <c r="AC171" s="152"/>
      <c r="AD171" s="152"/>
      <c r="AE171" s="152"/>
    </row>
    <row r="172" spans="1:31" ht="15.75">
      <c r="A172" s="152"/>
      <c r="B172" s="152"/>
      <c r="C172" s="281"/>
      <c r="D172" s="152"/>
      <c r="E172" s="152"/>
      <c r="F172" s="152"/>
      <c r="G172" s="152"/>
      <c r="H172" s="152"/>
      <c r="I172" s="152"/>
      <c r="J172" s="152"/>
      <c r="K172" s="152"/>
      <c r="L172" s="152"/>
      <c r="M172" s="152"/>
      <c r="N172" s="152"/>
      <c r="O172" s="152"/>
      <c r="P172" s="152"/>
      <c r="Q172" s="152"/>
      <c r="R172" s="152"/>
      <c r="S172" s="152"/>
      <c r="T172" s="152"/>
      <c r="U172" s="152"/>
      <c r="V172" s="152"/>
      <c r="W172" s="152"/>
      <c r="X172" s="152"/>
      <c r="Y172" s="152"/>
      <c r="Z172" s="152"/>
      <c r="AA172" s="152"/>
      <c r="AB172" s="152"/>
      <c r="AC172" s="152"/>
      <c r="AD172" s="152"/>
      <c r="AE172" s="152"/>
    </row>
    <row r="173" spans="1:31" ht="15.75">
      <c r="A173" s="152"/>
      <c r="B173" s="152"/>
      <c r="C173" s="281"/>
      <c r="D173" s="152"/>
      <c r="E173" s="152"/>
      <c r="F173" s="152"/>
      <c r="G173" s="152"/>
      <c r="H173" s="152"/>
      <c r="I173" s="152"/>
      <c r="J173" s="152"/>
      <c r="K173" s="152"/>
      <c r="L173" s="152"/>
      <c r="M173" s="152"/>
      <c r="N173" s="152"/>
      <c r="O173" s="152"/>
      <c r="P173" s="152"/>
      <c r="Q173" s="152"/>
      <c r="R173" s="152"/>
      <c r="S173" s="152"/>
      <c r="T173" s="152"/>
      <c r="U173" s="152"/>
      <c r="V173" s="152"/>
      <c r="W173" s="152"/>
      <c r="X173" s="152"/>
      <c r="Y173" s="152"/>
      <c r="Z173" s="152"/>
      <c r="AA173" s="152"/>
      <c r="AB173" s="152"/>
      <c r="AC173" s="152"/>
      <c r="AD173" s="152"/>
      <c r="AE173" s="152"/>
    </row>
    <row r="174" spans="1:31" ht="15.75">
      <c r="A174" s="152"/>
      <c r="B174" s="152"/>
      <c r="C174" s="281"/>
      <c r="D174" s="152"/>
      <c r="E174" s="152"/>
      <c r="F174" s="152"/>
      <c r="G174" s="152"/>
      <c r="H174" s="152"/>
      <c r="I174" s="152"/>
      <c r="J174" s="152"/>
      <c r="K174" s="152"/>
      <c r="L174" s="152"/>
      <c r="M174" s="152"/>
      <c r="N174" s="152"/>
      <c r="O174" s="152"/>
      <c r="P174" s="152"/>
      <c r="Q174" s="152"/>
      <c r="R174" s="152"/>
      <c r="S174" s="152"/>
      <c r="T174" s="152"/>
      <c r="U174" s="152"/>
      <c r="V174" s="152"/>
      <c r="W174" s="152"/>
      <c r="X174" s="152"/>
      <c r="Y174" s="152"/>
      <c r="Z174" s="152"/>
      <c r="AA174" s="152"/>
      <c r="AB174" s="152"/>
      <c r="AC174" s="152"/>
      <c r="AD174" s="152"/>
      <c r="AE174" s="152"/>
    </row>
    <row r="175" spans="1:31" ht="15.75">
      <c r="A175" s="152"/>
      <c r="B175" s="152"/>
      <c r="C175" s="281"/>
      <c r="D175" s="152"/>
      <c r="E175" s="152"/>
      <c r="F175" s="152"/>
      <c r="G175" s="152"/>
      <c r="H175" s="152"/>
      <c r="I175" s="152"/>
      <c r="J175" s="152"/>
      <c r="K175" s="152"/>
      <c r="L175" s="152"/>
      <c r="M175" s="152"/>
      <c r="N175" s="152"/>
      <c r="O175" s="152"/>
      <c r="P175" s="152"/>
      <c r="Q175" s="152"/>
      <c r="R175" s="152"/>
      <c r="S175" s="152"/>
      <c r="T175" s="152"/>
      <c r="U175" s="152"/>
      <c r="V175" s="152"/>
      <c r="W175" s="152"/>
      <c r="X175" s="152"/>
      <c r="Y175" s="152"/>
      <c r="Z175" s="152"/>
      <c r="AA175" s="152"/>
      <c r="AB175" s="152"/>
      <c r="AC175" s="152"/>
      <c r="AD175" s="152"/>
      <c r="AE175" s="152"/>
    </row>
    <row r="176" spans="1:31" ht="15.75">
      <c r="A176" s="152"/>
      <c r="B176" s="152"/>
      <c r="C176" s="281"/>
      <c r="D176" s="152"/>
      <c r="E176" s="152"/>
      <c r="F176" s="152"/>
      <c r="G176" s="152"/>
      <c r="H176" s="152"/>
      <c r="I176" s="152"/>
      <c r="J176" s="152"/>
      <c r="K176" s="152"/>
      <c r="L176" s="152"/>
      <c r="M176" s="152"/>
      <c r="N176" s="152"/>
      <c r="O176" s="152"/>
      <c r="P176" s="152"/>
      <c r="Q176" s="152"/>
      <c r="R176" s="152"/>
      <c r="S176" s="152"/>
      <c r="T176" s="152"/>
      <c r="U176" s="152"/>
      <c r="V176" s="152"/>
      <c r="W176" s="152"/>
      <c r="X176" s="152"/>
      <c r="Y176" s="152"/>
      <c r="Z176" s="152"/>
      <c r="AA176" s="152"/>
      <c r="AB176" s="152"/>
      <c r="AC176" s="152"/>
      <c r="AD176" s="152"/>
      <c r="AE176" s="152"/>
    </row>
    <row r="177" spans="1:31" ht="15.75">
      <c r="A177" s="152"/>
      <c r="B177" s="152"/>
      <c r="C177" s="281"/>
      <c r="D177" s="152"/>
      <c r="E177" s="152"/>
      <c r="F177" s="152"/>
      <c r="G177" s="152"/>
      <c r="H177" s="152"/>
      <c r="I177" s="152"/>
      <c r="J177" s="152"/>
      <c r="K177" s="152"/>
      <c r="L177" s="152"/>
      <c r="M177" s="152"/>
      <c r="N177" s="152"/>
      <c r="O177" s="152"/>
      <c r="P177" s="152"/>
      <c r="Q177" s="152"/>
      <c r="R177" s="152"/>
      <c r="S177" s="152"/>
      <c r="T177" s="152"/>
      <c r="U177" s="152"/>
      <c r="V177" s="152"/>
      <c r="W177" s="152"/>
      <c r="X177" s="152"/>
      <c r="Y177" s="152"/>
      <c r="Z177" s="152"/>
      <c r="AA177" s="152"/>
      <c r="AB177" s="152"/>
      <c r="AC177" s="152"/>
      <c r="AD177" s="152"/>
      <c r="AE177" s="152"/>
    </row>
    <row r="178" spans="1:31" ht="15.75">
      <c r="A178" s="152"/>
      <c r="B178" s="152"/>
      <c r="C178" s="281"/>
      <c r="D178" s="152"/>
      <c r="E178" s="152"/>
      <c r="F178" s="152"/>
      <c r="G178" s="152"/>
      <c r="H178" s="152"/>
      <c r="I178" s="152"/>
      <c r="J178" s="152"/>
      <c r="K178" s="152"/>
      <c r="L178" s="152"/>
      <c r="M178" s="152"/>
      <c r="N178" s="152"/>
      <c r="O178" s="152"/>
      <c r="P178" s="152"/>
      <c r="Q178" s="152"/>
      <c r="R178" s="152"/>
      <c r="S178" s="152"/>
      <c r="T178" s="152"/>
      <c r="U178" s="152"/>
      <c r="V178" s="152"/>
      <c r="W178" s="152"/>
      <c r="X178" s="152"/>
      <c r="Y178" s="152"/>
      <c r="Z178" s="152"/>
      <c r="AA178" s="152"/>
      <c r="AB178" s="152"/>
      <c r="AC178" s="152"/>
      <c r="AD178" s="152"/>
      <c r="AE178" s="152"/>
    </row>
    <row r="179" spans="1:31" ht="15.75">
      <c r="A179" s="152"/>
      <c r="B179" s="152"/>
      <c r="C179" s="281"/>
      <c r="D179" s="152"/>
      <c r="E179" s="152"/>
      <c r="F179" s="152"/>
      <c r="G179" s="152"/>
      <c r="H179" s="152"/>
      <c r="I179" s="152"/>
      <c r="J179" s="152"/>
      <c r="K179" s="152"/>
      <c r="L179" s="152"/>
      <c r="M179" s="152"/>
      <c r="N179" s="152"/>
      <c r="O179" s="152"/>
      <c r="P179" s="152"/>
      <c r="Q179" s="152"/>
      <c r="R179" s="152"/>
      <c r="S179" s="152"/>
      <c r="T179" s="152"/>
      <c r="U179" s="152"/>
      <c r="V179" s="152"/>
      <c r="W179" s="152"/>
      <c r="X179" s="152"/>
      <c r="Y179" s="152"/>
      <c r="Z179" s="152"/>
      <c r="AA179" s="152"/>
      <c r="AB179" s="152"/>
      <c r="AC179" s="152"/>
      <c r="AD179" s="152"/>
      <c r="AE179" s="152"/>
    </row>
    <row r="180" spans="1:31" ht="15.75">
      <c r="A180" s="152"/>
      <c r="B180" s="152"/>
      <c r="C180" s="281"/>
      <c r="D180" s="152"/>
      <c r="E180" s="152"/>
      <c r="F180" s="152"/>
      <c r="G180" s="152"/>
      <c r="H180" s="152"/>
      <c r="I180" s="152"/>
      <c r="J180" s="152"/>
      <c r="K180" s="152"/>
      <c r="L180" s="152"/>
      <c r="M180" s="152"/>
      <c r="N180" s="152"/>
      <c r="O180" s="152"/>
      <c r="P180" s="152"/>
      <c r="Q180" s="152"/>
      <c r="R180" s="152"/>
      <c r="S180" s="152"/>
      <c r="T180" s="152"/>
      <c r="U180" s="152"/>
      <c r="V180" s="152"/>
      <c r="W180" s="152"/>
      <c r="X180" s="152"/>
      <c r="Y180" s="152"/>
      <c r="Z180" s="152"/>
      <c r="AA180" s="152"/>
      <c r="AB180" s="152"/>
      <c r="AC180" s="152"/>
      <c r="AD180" s="152"/>
      <c r="AE180" s="152"/>
    </row>
    <row r="181" spans="1:31" ht="15.75">
      <c r="A181" s="152"/>
      <c r="B181" s="152"/>
      <c r="C181" s="281"/>
      <c r="D181" s="152"/>
      <c r="E181" s="152"/>
      <c r="F181" s="152"/>
      <c r="G181" s="152"/>
      <c r="H181" s="152"/>
      <c r="I181" s="152"/>
      <c r="J181" s="152"/>
      <c r="K181" s="152"/>
      <c r="L181" s="152"/>
      <c r="M181" s="152"/>
      <c r="N181" s="152"/>
      <c r="O181" s="152"/>
      <c r="P181" s="152"/>
      <c r="Q181" s="152"/>
      <c r="R181" s="152"/>
      <c r="S181" s="152"/>
      <c r="T181" s="152"/>
      <c r="U181" s="152"/>
      <c r="V181" s="152"/>
      <c r="W181" s="152"/>
      <c r="X181" s="152"/>
      <c r="Y181" s="152"/>
      <c r="Z181" s="152"/>
      <c r="AA181" s="152"/>
      <c r="AB181" s="152"/>
      <c r="AC181" s="152"/>
      <c r="AD181" s="152"/>
      <c r="AE181" s="152"/>
    </row>
    <row r="182" spans="1:31" ht="15.75">
      <c r="A182" s="152"/>
      <c r="B182" s="152"/>
      <c r="C182" s="281"/>
      <c r="D182" s="152"/>
      <c r="E182" s="152"/>
      <c r="F182" s="152"/>
      <c r="G182" s="152"/>
      <c r="H182" s="152"/>
      <c r="I182" s="152"/>
      <c r="J182" s="152"/>
      <c r="K182" s="152"/>
      <c r="L182" s="152"/>
      <c r="M182" s="152"/>
      <c r="N182" s="152"/>
      <c r="O182" s="152"/>
      <c r="P182" s="152"/>
      <c r="Q182" s="152"/>
      <c r="R182" s="152"/>
      <c r="S182" s="152"/>
      <c r="T182" s="152"/>
      <c r="U182" s="152"/>
      <c r="V182" s="152"/>
      <c r="W182" s="152"/>
      <c r="X182" s="152"/>
      <c r="Y182" s="152"/>
      <c r="Z182" s="152"/>
      <c r="AA182" s="152"/>
      <c r="AB182" s="152"/>
      <c r="AC182" s="152"/>
      <c r="AD182" s="152"/>
      <c r="AE182" s="152"/>
    </row>
    <row r="183" spans="1:31" ht="15.75">
      <c r="A183" s="152"/>
      <c r="B183" s="152"/>
      <c r="C183" s="281"/>
      <c r="D183" s="152"/>
      <c r="E183" s="152"/>
      <c r="F183" s="152"/>
      <c r="G183" s="152"/>
      <c r="H183" s="152"/>
      <c r="I183" s="152"/>
      <c r="J183" s="152"/>
      <c r="K183" s="152"/>
      <c r="L183" s="152"/>
      <c r="M183" s="152"/>
      <c r="N183" s="152"/>
      <c r="O183" s="152"/>
      <c r="P183" s="152"/>
      <c r="Q183" s="152"/>
      <c r="R183" s="152"/>
      <c r="S183" s="152"/>
      <c r="T183" s="152"/>
      <c r="U183" s="152"/>
      <c r="V183" s="152"/>
      <c r="W183" s="152"/>
      <c r="X183" s="152"/>
      <c r="Y183" s="152"/>
      <c r="Z183" s="152"/>
      <c r="AA183" s="152"/>
      <c r="AB183" s="152"/>
      <c r="AC183" s="152"/>
      <c r="AD183" s="152"/>
      <c r="AE183" s="152"/>
    </row>
    <row r="184" spans="1:31" ht="15.75">
      <c r="A184" s="152"/>
      <c r="B184" s="152"/>
      <c r="C184" s="281"/>
      <c r="D184" s="152"/>
      <c r="E184" s="152"/>
      <c r="F184" s="152"/>
      <c r="G184" s="152"/>
      <c r="H184" s="152"/>
      <c r="I184" s="152"/>
      <c r="J184" s="152"/>
      <c r="K184" s="152"/>
      <c r="L184" s="152"/>
      <c r="M184" s="152"/>
      <c r="N184" s="152"/>
      <c r="O184" s="152"/>
      <c r="P184" s="152"/>
      <c r="Q184" s="152"/>
      <c r="R184" s="152"/>
      <c r="S184" s="152"/>
      <c r="T184" s="152"/>
      <c r="U184" s="152"/>
      <c r="V184" s="152"/>
      <c r="W184" s="152"/>
      <c r="X184" s="152"/>
      <c r="Y184" s="152"/>
      <c r="Z184" s="152"/>
      <c r="AA184" s="152"/>
      <c r="AB184" s="152"/>
      <c r="AC184" s="152"/>
      <c r="AD184" s="152"/>
      <c r="AE184" s="152"/>
    </row>
    <row r="185" spans="1:31" ht="15.75">
      <c r="A185" s="152"/>
      <c r="B185" s="152"/>
      <c r="C185" s="281"/>
      <c r="D185" s="152"/>
      <c r="E185" s="152"/>
      <c r="F185" s="152"/>
      <c r="G185" s="152"/>
      <c r="H185" s="152"/>
      <c r="I185" s="152"/>
      <c r="J185" s="152"/>
      <c r="K185" s="152"/>
      <c r="L185" s="152"/>
      <c r="M185" s="152"/>
      <c r="N185" s="152"/>
      <c r="O185" s="152"/>
      <c r="P185" s="152"/>
      <c r="Q185" s="152"/>
      <c r="R185" s="152"/>
      <c r="S185" s="152"/>
      <c r="T185" s="152"/>
      <c r="U185" s="152"/>
      <c r="V185" s="152"/>
      <c r="W185" s="152"/>
      <c r="X185" s="152"/>
      <c r="Y185" s="152"/>
      <c r="Z185" s="152"/>
      <c r="AA185" s="152"/>
      <c r="AB185" s="152"/>
      <c r="AC185" s="152"/>
      <c r="AD185" s="152"/>
      <c r="AE185" s="152"/>
    </row>
    <row r="186" spans="1:31" ht="15.75">
      <c r="A186" s="152"/>
      <c r="B186" s="152"/>
      <c r="C186" s="281"/>
      <c r="D186" s="152"/>
      <c r="E186" s="152"/>
      <c r="F186" s="152"/>
      <c r="G186" s="152"/>
      <c r="H186" s="152"/>
      <c r="I186" s="152"/>
      <c r="J186" s="152"/>
      <c r="K186" s="152"/>
      <c r="L186" s="152"/>
      <c r="M186" s="152"/>
      <c r="N186" s="152"/>
      <c r="O186" s="152"/>
      <c r="P186" s="152"/>
      <c r="Q186" s="152"/>
      <c r="R186" s="152"/>
      <c r="S186" s="152"/>
      <c r="T186" s="152"/>
      <c r="U186" s="152"/>
      <c r="V186" s="152"/>
      <c r="W186" s="152"/>
      <c r="X186" s="152"/>
      <c r="Y186" s="152"/>
      <c r="Z186" s="152"/>
      <c r="AA186" s="152"/>
      <c r="AB186" s="152"/>
      <c r="AC186" s="152"/>
      <c r="AD186" s="152"/>
      <c r="AE186" s="152"/>
    </row>
    <row r="187" spans="1:31" ht="15.75">
      <c r="A187" s="152"/>
      <c r="B187" s="152"/>
      <c r="C187" s="281"/>
      <c r="D187" s="152"/>
      <c r="E187" s="152"/>
      <c r="F187" s="152"/>
      <c r="G187" s="152"/>
      <c r="H187" s="152"/>
      <c r="I187" s="152"/>
      <c r="J187" s="152"/>
      <c r="K187" s="152"/>
      <c r="L187" s="152"/>
      <c r="M187" s="152"/>
      <c r="N187" s="152"/>
      <c r="O187" s="152"/>
      <c r="P187" s="152"/>
      <c r="Q187" s="152"/>
      <c r="R187" s="152"/>
      <c r="S187" s="152"/>
      <c r="T187" s="152"/>
      <c r="U187" s="152"/>
      <c r="V187" s="152"/>
      <c r="W187" s="152"/>
      <c r="X187" s="152"/>
      <c r="Y187" s="152"/>
      <c r="Z187" s="152"/>
      <c r="AA187" s="152"/>
      <c r="AB187" s="152"/>
      <c r="AC187" s="152"/>
      <c r="AD187" s="152"/>
      <c r="AE187" s="152"/>
    </row>
    <row r="188" spans="1:31" ht="15.75">
      <c r="A188" s="152"/>
      <c r="B188" s="152"/>
      <c r="C188" s="281"/>
      <c r="D188" s="152"/>
      <c r="E188" s="152"/>
      <c r="F188" s="152"/>
      <c r="G188" s="152"/>
      <c r="H188" s="152"/>
      <c r="I188" s="152"/>
      <c r="J188" s="152"/>
      <c r="K188" s="152"/>
      <c r="L188" s="152"/>
      <c r="M188" s="152"/>
      <c r="N188" s="152"/>
      <c r="O188" s="152"/>
      <c r="P188" s="152"/>
      <c r="Q188" s="152"/>
      <c r="R188" s="152"/>
      <c r="S188" s="152"/>
      <c r="T188" s="152"/>
      <c r="U188" s="152"/>
      <c r="V188" s="152"/>
      <c r="W188" s="152"/>
      <c r="X188" s="152"/>
      <c r="Y188" s="152"/>
      <c r="Z188" s="152"/>
      <c r="AA188" s="152"/>
      <c r="AB188" s="152"/>
      <c r="AC188" s="152"/>
      <c r="AD188" s="152"/>
      <c r="AE188" s="152"/>
    </row>
    <row r="189" spans="1:31" ht="15.75">
      <c r="A189" s="152"/>
      <c r="B189" s="152"/>
      <c r="C189" s="281"/>
      <c r="D189" s="152"/>
      <c r="E189" s="152"/>
      <c r="F189" s="152"/>
      <c r="G189" s="152"/>
      <c r="H189" s="152"/>
      <c r="I189" s="152"/>
      <c r="J189" s="152"/>
      <c r="K189" s="152"/>
      <c r="L189" s="152"/>
      <c r="M189" s="152"/>
      <c r="N189" s="152"/>
      <c r="O189" s="152"/>
      <c r="P189" s="152"/>
      <c r="Q189" s="152"/>
      <c r="R189" s="152"/>
      <c r="S189" s="152"/>
      <c r="T189" s="152"/>
      <c r="U189" s="152"/>
      <c r="V189" s="152"/>
      <c r="W189" s="152"/>
      <c r="X189" s="152"/>
      <c r="Y189" s="152"/>
      <c r="Z189" s="152"/>
      <c r="AA189" s="152"/>
      <c r="AB189" s="152"/>
      <c r="AC189" s="152"/>
      <c r="AD189" s="152"/>
      <c r="AE189" s="152"/>
    </row>
    <row r="190" spans="1:31" ht="15.75">
      <c r="A190" s="152"/>
      <c r="B190" s="152"/>
      <c r="C190" s="281"/>
      <c r="D190" s="152"/>
      <c r="E190" s="152"/>
      <c r="F190" s="152"/>
      <c r="G190" s="152"/>
      <c r="H190" s="152"/>
      <c r="I190" s="152"/>
      <c r="J190" s="152"/>
      <c r="K190" s="152"/>
      <c r="L190" s="152"/>
      <c r="M190" s="152"/>
      <c r="N190" s="152"/>
      <c r="O190" s="152"/>
      <c r="P190" s="152"/>
      <c r="Q190" s="152"/>
      <c r="R190" s="152"/>
      <c r="S190" s="152"/>
      <c r="T190" s="152"/>
      <c r="U190" s="152"/>
      <c r="V190" s="152"/>
      <c r="W190" s="152"/>
      <c r="X190" s="152"/>
      <c r="Y190" s="152"/>
      <c r="Z190" s="152"/>
      <c r="AA190" s="152"/>
      <c r="AB190" s="152"/>
      <c r="AC190" s="152"/>
      <c r="AD190" s="152"/>
      <c r="AE190" s="152"/>
    </row>
    <row r="191" spans="1:31" ht="15.75">
      <c r="A191" s="152"/>
      <c r="B191" s="152"/>
      <c r="C191" s="281"/>
      <c r="D191" s="152"/>
      <c r="E191" s="152"/>
      <c r="F191" s="152"/>
      <c r="G191" s="152"/>
      <c r="H191" s="152"/>
      <c r="I191" s="152"/>
      <c r="J191" s="152"/>
      <c r="K191" s="152"/>
      <c r="L191" s="152"/>
      <c r="M191" s="152"/>
      <c r="N191" s="152"/>
      <c r="O191" s="152"/>
      <c r="P191" s="152"/>
      <c r="Q191" s="152"/>
      <c r="R191" s="152"/>
      <c r="S191" s="152"/>
      <c r="T191" s="152"/>
      <c r="U191" s="152"/>
      <c r="V191" s="152"/>
      <c r="W191" s="152"/>
      <c r="X191" s="152"/>
      <c r="Y191" s="152"/>
      <c r="Z191" s="152"/>
      <c r="AA191" s="152"/>
      <c r="AB191" s="152"/>
      <c r="AC191" s="152"/>
      <c r="AD191" s="152"/>
      <c r="AE191" s="152"/>
    </row>
    <row r="192" spans="1:31" ht="15.75">
      <c r="A192" s="152"/>
      <c r="B192" s="152"/>
      <c r="C192" s="281"/>
      <c r="D192" s="152"/>
      <c r="E192" s="152"/>
      <c r="F192" s="152"/>
      <c r="G192" s="152"/>
      <c r="H192" s="152"/>
      <c r="I192" s="152"/>
      <c r="J192" s="152"/>
      <c r="K192" s="152"/>
      <c r="L192" s="152"/>
      <c r="M192" s="152"/>
      <c r="N192" s="152"/>
      <c r="O192" s="152"/>
      <c r="P192" s="152"/>
      <c r="Q192" s="152"/>
      <c r="R192" s="152"/>
      <c r="S192" s="152"/>
      <c r="T192" s="152"/>
      <c r="U192" s="152"/>
      <c r="V192" s="152"/>
      <c r="W192" s="152"/>
      <c r="X192" s="152"/>
      <c r="Y192" s="152"/>
      <c r="Z192" s="152"/>
      <c r="AA192" s="152"/>
      <c r="AB192" s="152"/>
      <c r="AC192" s="152"/>
      <c r="AD192" s="152"/>
      <c r="AE192" s="152"/>
    </row>
    <row r="193" spans="1:31" ht="15.75">
      <c r="A193" s="152"/>
      <c r="B193" s="152"/>
      <c r="C193" s="281"/>
      <c r="D193" s="152"/>
      <c r="E193" s="152"/>
      <c r="F193" s="152"/>
      <c r="G193" s="152"/>
      <c r="H193" s="152"/>
      <c r="I193" s="152"/>
      <c r="J193" s="152"/>
      <c r="K193" s="152"/>
      <c r="L193" s="152"/>
      <c r="M193" s="152"/>
      <c r="N193" s="152"/>
      <c r="O193" s="152"/>
      <c r="P193" s="152"/>
      <c r="Q193" s="152"/>
      <c r="R193" s="152"/>
      <c r="S193" s="152"/>
      <c r="T193" s="152"/>
      <c r="U193" s="152"/>
      <c r="V193" s="152"/>
      <c r="W193" s="152"/>
      <c r="X193" s="152"/>
      <c r="Y193" s="152"/>
      <c r="Z193" s="152"/>
      <c r="AA193" s="152"/>
      <c r="AB193" s="152"/>
      <c r="AC193" s="152"/>
      <c r="AD193" s="152"/>
      <c r="AE193" s="152"/>
    </row>
    <row r="194" spans="1:31" ht="15.75">
      <c r="A194" s="152"/>
      <c r="B194" s="152"/>
      <c r="C194" s="281"/>
      <c r="D194" s="152"/>
      <c r="E194" s="152"/>
      <c r="F194" s="152"/>
      <c r="G194" s="152"/>
      <c r="H194" s="152"/>
      <c r="I194" s="152"/>
      <c r="J194" s="152"/>
      <c r="K194" s="152"/>
      <c r="L194" s="152"/>
      <c r="M194" s="152"/>
      <c r="N194" s="152"/>
      <c r="O194" s="152"/>
      <c r="P194" s="152"/>
      <c r="Q194" s="152"/>
      <c r="R194" s="152"/>
      <c r="S194" s="152"/>
      <c r="T194" s="152"/>
      <c r="U194" s="152"/>
      <c r="V194" s="152"/>
      <c r="W194" s="152"/>
      <c r="X194" s="152"/>
      <c r="Y194" s="152"/>
      <c r="Z194" s="152"/>
      <c r="AA194" s="152"/>
      <c r="AB194" s="152"/>
      <c r="AC194" s="152"/>
      <c r="AD194" s="152"/>
      <c r="AE194" s="152"/>
    </row>
    <row r="195" spans="1:31" ht="15.75">
      <c r="A195" s="152"/>
      <c r="B195" s="152"/>
      <c r="C195" s="281"/>
      <c r="D195" s="152"/>
      <c r="E195" s="152"/>
      <c r="F195" s="152"/>
      <c r="G195" s="152"/>
      <c r="H195" s="152"/>
      <c r="I195" s="152"/>
      <c r="J195" s="152"/>
      <c r="K195" s="152"/>
      <c r="L195" s="152"/>
      <c r="M195" s="152"/>
      <c r="N195" s="152"/>
      <c r="O195" s="152"/>
      <c r="P195" s="152"/>
      <c r="Q195" s="152"/>
      <c r="R195" s="152"/>
      <c r="S195" s="152"/>
      <c r="T195" s="152"/>
      <c r="U195" s="152"/>
      <c r="V195" s="152"/>
      <c r="W195" s="152"/>
      <c r="X195" s="152"/>
      <c r="Y195" s="152"/>
      <c r="Z195" s="152"/>
      <c r="AA195" s="152"/>
      <c r="AB195" s="152"/>
      <c r="AC195" s="152"/>
      <c r="AD195" s="152"/>
      <c r="AE195" s="152"/>
    </row>
    <row r="196" spans="1:31" ht="15.75">
      <c r="A196" s="152"/>
      <c r="B196" s="152"/>
      <c r="C196" s="281"/>
      <c r="D196" s="152"/>
      <c r="E196" s="152"/>
      <c r="F196" s="152"/>
      <c r="G196" s="152"/>
      <c r="H196" s="152"/>
      <c r="I196" s="152"/>
      <c r="J196" s="152"/>
      <c r="K196" s="152"/>
      <c r="L196" s="152"/>
      <c r="M196" s="152"/>
      <c r="N196" s="152"/>
      <c r="O196" s="152"/>
      <c r="P196" s="152"/>
      <c r="Q196" s="152"/>
      <c r="R196" s="152"/>
      <c r="S196" s="152"/>
      <c r="T196" s="152"/>
      <c r="U196" s="152"/>
      <c r="V196" s="152"/>
      <c r="W196" s="152"/>
      <c r="X196" s="152"/>
      <c r="Y196" s="152"/>
      <c r="Z196" s="152"/>
      <c r="AA196" s="152"/>
      <c r="AB196" s="152"/>
      <c r="AC196" s="152"/>
      <c r="AD196" s="152"/>
      <c r="AE196" s="152"/>
    </row>
    <row r="197" spans="1:31" ht="15.75">
      <c r="A197" s="152"/>
      <c r="B197" s="152"/>
      <c r="C197" s="281"/>
      <c r="D197" s="152"/>
      <c r="E197" s="152"/>
      <c r="F197" s="152"/>
      <c r="G197" s="152"/>
      <c r="H197" s="152"/>
      <c r="I197" s="152"/>
      <c r="J197" s="152"/>
      <c r="K197" s="152"/>
      <c r="L197" s="152"/>
      <c r="M197" s="152"/>
      <c r="N197" s="152"/>
      <c r="O197" s="152"/>
      <c r="P197" s="152"/>
      <c r="Q197" s="152"/>
      <c r="R197" s="152"/>
      <c r="S197" s="152"/>
      <c r="T197" s="152"/>
      <c r="U197" s="152"/>
      <c r="V197" s="152"/>
      <c r="W197" s="152"/>
      <c r="X197" s="152"/>
      <c r="Y197" s="152"/>
      <c r="Z197" s="152"/>
      <c r="AA197" s="152"/>
      <c r="AB197" s="152"/>
      <c r="AC197" s="152"/>
      <c r="AD197" s="152"/>
      <c r="AE197" s="152"/>
    </row>
    <row r="198" spans="1:31" ht="15.75">
      <c r="A198" s="152"/>
      <c r="B198" s="152"/>
      <c r="C198" s="281"/>
      <c r="D198" s="152"/>
      <c r="E198" s="152"/>
      <c r="F198" s="152"/>
      <c r="G198" s="152"/>
      <c r="H198" s="152"/>
      <c r="I198" s="152"/>
      <c r="J198" s="152"/>
      <c r="K198" s="152"/>
      <c r="L198" s="152"/>
      <c r="M198" s="152"/>
      <c r="N198" s="152"/>
      <c r="O198" s="152"/>
      <c r="P198" s="152"/>
      <c r="Q198" s="152"/>
      <c r="R198" s="152"/>
      <c r="S198" s="152"/>
      <c r="T198" s="152"/>
      <c r="U198" s="152"/>
      <c r="V198" s="152"/>
      <c r="W198" s="152"/>
      <c r="X198" s="152"/>
      <c r="Y198" s="152"/>
      <c r="Z198" s="152"/>
      <c r="AA198" s="152"/>
      <c r="AB198" s="152"/>
      <c r="AC198" s="152"/>
      <c r="AD198" s="152"/>
      <c r="AE198" s="152"/>
    </row>
    <row r="199" spans="1:31" ht="15.75">
      <c r="A199" s="152"/>
      <c r="B199" s="152"/>
      <c r="C199" s="281"/>
      <c r="D199" s="152"/>
      <c r="E199" s="152"/>
      <c r="F199" s="152"/>
      <c r="G199" s="152"/>
      <c r="H199" s="152"/>
      <c r="I199" s="152"/>
      <c r="J199" s="152"/>
      <c r="K199" s="152"/>
      <c r="L199" s="152"/>
      <c r="M199" s="152"/>
      <c r="N199" s="152"/>
      <c r="O199" s="152"/>
      <c r="P199" s="152"/>
      <c r="Q199" s="152"/>
      <c r="R199" s="152"/>
      <c r="S199" s="152"/>
      <c r="T199" s="152"/>
      <c r="U199" s="152"/>
      <c r="V199" s="152"/>
      <c r="W199" s="152"/>
      <c r="X199" s="152"/>
      <c r="Y199" s="152"/>
      <c r="Z199" s="152"/>
      <c r="AA199" s="152"/>
      <c r="AB199" s="152"/>
      <c r="AC199" s="152"/>
      <c r="AD199" s="152"/>
      <c r="AE199" s="152"/>
    </row>
    <row r="200" spans="1:31" ht="15.75">
      <c r="A200" s="152"/>
      <c r="B200" s="152"/>
      <c r="C200" s="281"/>
      <c r="D200" s="152"/>
      <c r="E200" s="152"/>
      <c r="F200" s="152"/>
      <c r="G200" s="152"/>
      <c r="H200" s="152"/>
      <c r="I200" s="152"/>
      <c r="J200" s="152"/>
      <c r="K200" s="152"/>
      <c r="L200" s="152"/>
      <c r="M200" s="152"/>
      <c r="N200" s="152"/>
      <c r="O200" s="152"/>
      <c r="P200" s="152"/>
      <c r="Q200" s="152"/>
      <c r="R200" s="152"/>
      <c r="S200" s="152"/>
      <c r="T200" s="152"/>
      <c r="U200" s="152"/>
      <c r="V200" s="152"/>
      <c r="W200" s="152"/>
      <c r="X200" s="152"/>
      <c r="Y200" s="152"/>
      <c r="Z200" s="152"/>
      <c r="AA200" s="152"/>
      <c r="AB200" s="152"/>
      <c r="AC200" s="152"/>
      <c r="AD200" s="152"/>
      <c r="AE200" s="152"/>
    </row>
    <row r="201" spans="1:31" ht="15.75">
      <c r="A201" s="152"/>
      <c r="B201" s="152"/>
      <c r="C201" s="281"/>
      <c r="D201" s="152"/>
      <c r="E201" s="152"/>
      <c r="F201" s="152"/>
      <c r="G201" s="152"/>
      <c r="H201" s="152"/>
      <c r="I201" s="152"/>
      <c r="J201" s="152"/>
      <c r="K201" s="152"/>
      <c r="L201" s="152"/>
      <c r="M201" s="152"/>
      <c r="N201" s="152"/>
      <c r="O201" s="152"/>
      <c r="P201" s="152"/>
      <c r="Q201" s="152"/>
      <c r="R201" s="152"/>
      <c r="S201" s="152"/>
      <c r="T201" s="152"/>
      <c r="U201" s="152"/>
      <c r="V201" s="152"/>
      <c r="W201" s="152"/>
      <c r="X201" s="152"/>
      <c r="Y201" s="152"/>
      <c r="Z201" s="152"/>
      <c r="AA201" s="152"/>
      <c r="AB201" s="152"/>
      <c r="AC201" s="152"/>
      <c r="AD201" s="152"/>
      <c r="AE201" s="152"/>
    </row>
    <row r="202" spans="1:31" ht="15.75">
      <c r="A202" s="152"/>
      <c r="B202" s="152"/>
      <c r="C202" s="281"/>
      <c r="D202" s="152"/>
      <c r="E202" s="152"/>
      <c r="F202" s="152"/>
      <c r="G202" s="152"/>
      <c r="H202" s="152"/>
      <c r="I202" s="152"/>
      <c r="J202" s="152"/>
      <c r="K202" s="152"/>
      <c r="L202" s="152"/>
      <c r="M202" s="152"/>
      <c r="N202" s="152"/>
      <c r="O202" s="152"/>
      <c r="P202" s="152"/>
      <c r="Q202" s="152"/>
      <c r="R202" s="152"/>
      <c r="S202" s="152"/>
      <c r="T202" s="152"/>
      <c r="U202" s="152"/>
      <c r="V202" s="152"/>
      <c r="W202" s="152"/>
      <c r="X202" s="152"/>
      <c r="Y202" s="152"/>
      <c r="Z202" s="152"/>
      <c r="AA202" s="152"/>
      <c r="AB202" s="152"/>
      <c r="AC202" s="152"/>
      <c r="AD202" s="152"/>
      <c r="AE202" s="152"/>
    </row>
    <row r="203" spans="1:31" ht="15.75">
      <c r="A203" s="152"/>
      <c r="B203" s="152"/>
      <c r="C203" s="281"/>
      <c r="D203" s="152"/>
      <c r="E203" s="152"/>
      <c r="F203" s="152"/>
      <c r="G203" s="152"/>
      <c r="H203" s="152"/>
      <c r="I203" s="152"/>
      <c r="J203" s="152"/>
      <c r="K203" s="152"/>
      <c r="L203" s="152"/>
      <c r="M203" s="152"/>
      <c r="N203" s="152"/>
      <c r="O203" s="152"/>
      <c r="P203" s="152"/>
      <c r="Q203" s="152"/>
      <c r="R203" s="152"/>
      <c r="S203" s="152"/>
      <c r="T203" s="152"/>
      <c r="U203" s="152"/>
      <c r="V203" s="152"/>
      <c r="W203" s="152"/>
      <c r="X203" s="152"/>
      <c r="Y203" s="152"/>
      <c r="Z203" s="152"/>
      <c r="AA203" s="152"/>
      <c r="AB203" s="152"/>
      <c r="AC203" s="152"/>
      <c r="AD203" s="152"/>
      <c r="AE203" s="152"/>
    </row>
    <row r="204" spans="1:31" ht="15.75">
      <c r="A204" s="152"/>
      <c r="B204" s="152"/>
      <c r="C204" s="281"/>
      <c r="D204" s="152"/>
      <c r="E204" s="152"/>
      <c r="F204" s="152"/>
      <c r="G204" s="152"/>
      <c r="H204" s="152"/>
      <c r="I204" s="152"/>
      <c r="J204" s="152"/>
      <c r="K204" s="152"/>
      <c r="L204" s="152"/>
      <c r="M204" s="152"/>
      <c r="N204" s="152"/>
      <c r="O204" s="152"/>
      <c r="P204" s="152"/>
      <c r="Q204" s="152"/>
      <c r="R204" s="152"/>
      <c r="S204" s="152"/>
      <c r="T204" s="152"/>
      <c r="U204" s="152"/>
      <c r="V204" s="152"/>
      <c r="W204" s="152"/>
      <c r="X204" s="152"/>
      <c r="Y204" s="152"/>
      <c r="Z204" s="152"/>
      <c r="AA204" s="152"/>
      <c r="AB204" s="152"/>
      <c r="AC204" s="152"/>
      <c r="AD204" s="152"/>
      <c r="AE204" s="152"/>
    </row>
    <row r="205" spans="1:31" ht="15.75">
      <c r="A205" s="152"/>
      <c r="B205" s="152"/>
      <c r="C205" s="281"/>
      <c r="D205" s="152"/>
      <c r="E205" s="152"/>
      <c r="F205" s="152"/>
      <c r="G205" s="152"/>
      <c r="H205" s="152"/>
      <c r="I205" s="152"/>
      <c r="J205" s="152"/>
      <c r="K205" s="152"/>
      <c r="L205" s="152"/>
      <c r="M205" s="152"/>
      <c r="N205" s="152"/>
      <c r="O205" s="152"/>
      <c r="P205" s="152"/>
      <c r="Q205" s="152"/>
      <c r="R205" s="152"/>
      <c r="S205" s="152"/>
      <c r="T205" s="152"/>
      <c r="U205" s="152"/>
      <c r="V205" s="152"/>
      <c r="W205" s="152"/>
      <c r="X205" s="152"/>
      <c r="Y205" s="152"/>
      <c r="Z205" s="152"/>
      <c r="AA205" s="152"/>
      <c r="AB205" s="152"/>
      <c r="AC205" s="152"/>
      <c r="AD205" s="152"/>
      <c r="AE205" s="152"/>
    </row>
    <row r="206" spans="1:31" ht="15.75">
      <c r="A206" s="152"/>
      <c r="B206" s="152"/>
      <c r="C206" s="281"/>
      <c r="D206" s="152"/>
      <c r="E206" s="152"/>
      <c r="F206" s="152"/>
      <c r="G206" s="152"/>
      <c r="H206" s="152"/>
      <c r="I206" s="152"/>
      <c r="J206" s="152"/>
      <c r="K206" s="152"/>
      <c r="L206" s="152"/>
      <c r="M206" s="152"/>
      <c r="N206" s="152"/>
      <c r="O206" s="152"/>
      <c r="P206" s="152"/>
      <c r="Q206" s="152"/>
      <c r="R206" s="152"/>
      <c r="S206" s="152"/>
      <c r="T206" s="152"/>
      <c r="U206" s="152"/>
      <c r="V206" s="152"/>
      <c r="W206" s="152"/>
      <c r="X206" s="152"/>
      <c r="Y206" s="152"/>
      <c r="Z206" s="152"/>
      <c r="AA206" s="152"/>
      <c r="AB206" s="152"/>
      <c r="AC206" s="152"/>
      <c r="AD206" s="152"/>
      <c r="AE206" s="152"/>
    </row>
    <row r="207" spans="1:31" ht="15.75">
      <c r="A207" s="152"/>
      <c r="B207" s="152"/>
      <c r="C207" s="281"/>
      <c r="D207" s="152"/>
      <c r="E207" s="152"/>
      <c r="F207" s="152"/>
      <c r="G207" s="152"/>
      <c r="H207" s="152"/>
      <c r="I207" s="152"/>
      <c r="J207" s="152"/>
      <c r="K207" s="152"/>
      <c r="L207" s="152"/>
      <c r="M207" s="152"/>
      <c r="N207" s="152"/>
      <c r="O207" s="152"/>
      <c r="P207" s="152"/>
      <c r="Q207" s="152"/>
      <c r="R207" s="152"/>
      <c r="S207" s="152"/>
      <c r="T207" s="152"/>
      <c r="U207" s="152"/>
      <c r="V207" s="152"/>
      <c r="W207" s="152"/>
      <c r="X207" s="152"/>
      <c r="Y207" s="152"/>
      <c r="Z207" s="152"/>
      <c r="AA207" s="152"/>
      <c r="AB207" s="152"/>
      <c r="AC207" s="152"/>
      <c r="AD207" s="152"/>
      <c r="AE207" s="152"/>
    </row>
    <row r="208" spans="1:31" ht="15.75">
      <c r="A208" s="152"/>
      <c r="B208" s="152"/>
      <c r="C208" s="281"/>
      <c r="D208" s="152"/>
      <c r="E208" s="152"/>
      <c r="F208" s="152"/>
      <c r="G208" s="152"/>
      <c r="H208" s="152"/>
      <c r="I208" s="152"/>
      <c r="J208" s="152"/>
      <c r="K208" s="152"/>
      <c r="L208" s="152"/>
      <c r="M208" s="152"/>
      <c r="N208" s="152"/>
      <c r="O208" s="152"/>
      <c r="P208" s="152"/>
      <c r="Q208" s="152"/>
      <c r="R208" s="152"/>
      <c r="S208" s="152"/>
      <c r="T208" s="152"/>
      <c r="U208" s="152"/>
      <c r="V208" s="152"/>
      <c r="W208" s="152"/>
      <c r="X208" s="152"/>
      <c r="Y208" s="152"/>
      <c r="Z208" s="152"/>
      <c r="AA208" s="152"/>
      <c r="AB208" s="152"/>
      <c r="AC208" s="152"/>
      <c r="AD208" s="152"/>
      <c r="AE208" s="152"/>
    </row>
    <row r="209" spans="1:31" ht="15.75">
      <c r="A209" s="152"/>
      <c r="B209" s="152"/>
      <c r="C209" s="281"/>
      <c r="D209" s="152"/>
      <c r="E209" s="152"/>
      <c r="F209" s="152"/>
      <c r="G209" s="152"/>
      <c r="H209" s="152"/>
      <c r="I209" s="152"/>
      <c r="J209" s="152"/>
      <c r="K209" s="152"/>
      <c r="L209" s="152"/>
      <c r="M209" s="152"/>
      <c r="N209" s="152"/>
      <c r="O209" s="152"/>
      <c r="P209" s="152"/>
      <c r="Q209" s="152"/>
      <c r="R209" s="152"/>
      <c r="S209" s="152"/>
      <c r="T209" s="152"/>
      <c r="U209" s="152"/>
      <c r="V209" s="152"/>
      <c r="W209" s="152"/>
      <c r="X209" s="152"/>
      <c r="Y209" s="152"/>
      <c r="Z209" s="152"/>
      <c r="AA209" s="152"/>
      <c r="AB209" s="152"/>
      <c r="AC209" s="152"/>
      <c r="AD209" s="152"/>
      <c r="AE209" s="152"/>
    </row>
    <row r="210" spans="1:31" ht="15.75">
      <c r="A210" s="152"/>
      <c r="B210" s="152"/>
      <c r="C210" s="281"/>
      <c r="D210" s="152"/>
      <c r="E210" s="152"/>
      <c r="F210" s="152"/>
      <c r="G210" s="152"/>
      <c r="H210" s="152"/>
      <c r="I210" s="152"/>
      <c r="J210" s="152"/>
      <c r="K210" s="152"/>
      <c r="L210" s="152"/>
      <c r="M210" s="152"/>
      <c r="N210" s="152"/>
      <c r="O210" s="152"/>
      <c r="P210" s="152"/>
      <c r="Q210" s="152"/>
      <c r="R210" s="152"/>
      <c r="S210" s="152"/>
      <c r="T210" s="152"/>
      <c r="U210" s="152"/>
      <c r="V210" s="152"/>
      <c r="W210" s="152"/>
      <c r="X210" s="152"/>
      <c r="Y210" s="152"/>
      <c r="Z210" s="152"/>
      <c r="AA210" s="152"/>
      <c r="AB210" s="152"/>
      <c r="AC210" s="152"/>
      <c r="AD210" s="152"/>
      <c r="AE210" s="152"/>
    </row>
    <row r="211" spans="1:31" ht="15.75">
      <c r="A211" s="152"/>
      <c r="B211" s="152"/>
      <c r="C211" s="281"/>
      <c r="D211" s="152"/>
      <c r="E211" s="152"/>
      <c r="F211" s="152"/>
      <c r="G211" s="152"/>
      <c r="H211" s="152"/>
      <c r="I211" s="152"/>
      <c r="J211" s="152"/>
      <c r="K211" s="152"/>
      <c r="L211" s="152"/>
      <c r="M211" s="152"/>
      <c r="N211" s="152"/>
      <c r="O211" s="152"/>
      <c r="P211" s="152"/>
      <c r="Q211" s="152"/>
      <c r="R211" s="152"/>
      <c r="S211" s="152"/>
      <c r="T211" s="152"/>
      <c r="U211" s="152"/>
      <c r="V211" s="152"/>
      <c r="W211" s="152"/>
      <c r="X211" s="152"/>
      <c r="Y211" s="152"/>
      <c r="Z211" s="152"/>
      <c r="AA211" s="152"/>
      <c r="AB211" s="152"/>
      <c r="AC211" s="152"/>
      <c r="AD211" s="152"/>
      <c r="AE211" s="152"/>
    </row>
    <row r="212" spans="1:31" ht="15.75">
      <c r="A212" s="152"/>
      <c r="B212" s="152"/>
      <c r="C212" s="281"/>
      <c r="D212" s="152"/>
      <c r="E212" s="152"/>
      <c r="F212" s="152"/>
      <c r="G212" s="152"/>
      <c r="H212" s="152"/>
      <c r="I212" s="152"/>
      <c r="J212" s="152"/>
      <c r="K212" s="152"/>
      <c r="L212" s="152"/>
      <c r="M212" s="152"/>
      <c r="N212" s="152"/>
      <c r="O212" s="152"/>
      <c r="P212" s="152"/>
      <c r="Q212" s="152"/>
      <c r="R212" s="152"/>
      <c r="S212" s="152"/>
      <c r="T212" s="152"/>
      <c r="U212" s="152"/>
      <c r="V212" s="152"/>
      <c r="W212" s="152"/>
      <c r="X212" s="152"/>
      <c r="Y212" s="152"/>
      <c r="Z212" s="152"/>
      <c r="AA212" s="152"/>
      <c r="AB212" s="152"/>
      <c r="AC212" s="152"/>
      <c r="AD212" s="152"/>
      <c r="AE212" s="152"/>
    </row>
    <row r="213" spans="1:31" ht="15.75">
      <c r="A213" s="152"/>
      <c r="B213" s="152"/>
      <c r="C213" s="281"/>
      <c r="D213" s="152"/>
      <c r="E213" s="152"/>
      <c r="F213" s="152"/>
      <c r="G213" s="152"/>
      <c r="H213" s="152"/>
      <c r="I213" s="152"/>
      <c r="J213" s="152"/>
      <c r="K213" s="152"/>
      <c r="L213" s="152"/>
      <c r="M213" s="152"/>
      <c r="N213" s="152"/>
      <c r="O213" s="152"/>
      <c r="P213" s="152"/>
      <c r="Q213" s="152"/>
      <c r="R213" s="152"/>
      <c r="S213" s="152"/>
      <c r="T213" s="152"/>
      <c r="U213" s="152"/>
      <c r="V213" s="152"/>
      <c r="W213" s="152"/>
      <c r="X213" s="152"/>
      <c r="Y213" s="152"/>
      <c r="Z213" s="152"/>
      <c r="AA213" s="152"/>
      <c r="AB213" s="152"/>
      <c r="AC213" s="152"/>
      <c r="AD213" s="152"/>
      <c r="AE213" s="152"/>
    </row>
    <row r="214" spans="1:31" ht="15.75">
      <c r="A214" s="152"/>
      <c r="B214" s="152"/>
      <c r="C214" s="281"/>
      <c r="D214" s="152"/>
      <c r="E214" s="152"/>
      <c r="F214" s="152"/>
      <c r="G214" s="152"/>
      <c r="H214" s="152"/>
      <c r="I214" s="152"/>
      <c r="J214" s="152"/>
      <c r="K214" s="152"/>
      <c r="L214" s="152"/>
      <c r="M214" s="152"/>
      <c r="N214" s="152"/>
      <c r="O214" s="152"/>
      <c r="P214" s="152"/>
      <c r="Q214" s="152"/>
      <c r="R214" s="152"/>
      <c r="S214" s="152"/>
      <c r="T214" s="152"/>
      <c r="U214" s="152"/>
      <c r="V214" s="152"/>
      <c r="W214" s="152"/>
      <c r="X214" s="152"/>
      <c r="Y214" s="152"/>
      <c r="Z214" s="152"/>
      <c r="AA214" s="152"/>
      <c r="AB214" s="152"/>
      <c r="AC214" s="152"/>
      <c r="AD214" s="152"/>
      <c r="AE214" s="152"/>
    </row>
    <row r="215" spans="1:31" ht="15.75">
      <c r="A215" s="152"/>
      <c r="B215" s="152"/>
      <c r="C215" s="281"/>
      <c r="D215" s="152"/>
      <c r="E215" s="152"/>
      <c r="F215" s="152"/>
      <c r="G215" s="152"/>
      <c r="H215" s="152"/>
      <c r="I215" s="152"/>
      <c r="J215" s="152"/>
      <c r="K215" s="152"/>
      <c r="L215" s="152"/>
      <c r="M215" s="152"/>
      <c r="N215" s="152"/>
      <c r="O215" s="152"/>
      <c r="P215" s="152"/>
      <c r="Q215" s="152"/>
      <c r="R215" s="152"/>
      <c r="S215" s="152"/>
      <c r="T215" s="152"/>
      <c r="U215" s="152"/>
      <c r="V215" s="152"/>
      <c r="W215" s="152"/>
      <c r="X215" s="152"/>
      <c r="Y215" s="152"/>
      <c r="Z215" s="152"/>
      <c r="AA215" s="152"/>
      <c r="AB215" s="152"/>
      <c r="AC215" s="152"/>
      <c r="AD215" s="152"/>
      <c r="AE215" s="152"/>
    </row>
    <row r="216" spans="1:31" ht="15.75">
      <c r="A216" s="152"/>
      <c r="B216" s="152"/>
      <c r="C216" s="281"/>
      <c r="D216" s="152"/>
      <c r="E216" s="152"/>
      <c r="F216" s="152"/>
      <c r="G216" s="152"/>
      <c r="H216" s="152"/>
      <c r="I216" s="152"/>
      <c r="J216" s="152"/>
      <c r="K216" s="152"/>
      <c r="L216" s="152"/>
      <c r="M216" s="152"/>
      <c r="N216" s="152"/>
      <c r="O216" s="152"/>
      <c r="P216" s="152"/>
      <c r="Q216" s="152"/>
      <c r="R216" s="152"/>
      <c r="S216" s="152"/>
      <c r="T216" s="152"/>
      <c r="U216" s="152"/>
      <c r="V216" s="152"/>
      <c r="W216" s="152"/>
      <c r="X216" s="152"/>
      <c r="Y216" s="152"/>
      <c r="Z216" s="152"/>
      <c r="AA216" s="152"/>
      <c r="AB216" s="152"/>
      <c r="AC216" s="152"/>
      <c r="AD216" s="152"/>
      <c r="AE216" s="152"/>
    </row>
    <row r="217" spans="1:31" ht="15.75">
      <c r="A217" s="152"/>
      <c r="B217" s="152"/>
      <c r="C217" s="281"/>
      <c r="D217" s="152"/>
      <c r="E217" s="152"/>
      <c r="F217" s="152"/>
      <c r="G217" s="152"/>
      <c r="H217" s="152"/>
      <c r="I217" s="152"/>
      <c r="J217" s="152"/>
      <c r="K217" s="152"/>
      <c r="L217" s="152"/>
      <c r="M217" s="152"/>
      <c r="N217" s="152"/>
      <c r="O217" s="152"/>
      <c r="P217" s="152"/>
      <c r="Q217" s="152"/>
      <c r="R217" s="152"/>
      <c r="S217" s="152"/>
      <c r="T217" s="152"/>
      <c r="U217" s="152"/>
      <c r="V217" s="152"/>
      <c r="W217" s="152"/>
      <c r="X217" s="152"/>
      <c r="Y217" s="152"/>
      <c r="Z217" s="152"/>
      <c r="AA217" s="152"/>
      <c r="AB217" s="152"/>
      <c r="AC217" s="152"/>
      <c r="AD217" s="152"/>
      <c r="AE217" s="152"/>
    </row>
    <row r="218" spans="1:31" ht="15.75">
      <c r="A218" s="152"/>
      <c r="B218" s="152"/>
      <c r="C218" s="281"/>
      <c r="D218" s="152"/>
      <c r="E218" s="152"/>
      <c r="F218" s="152"/>
      <c r="G218" s="152"/>
      <c r="H218" s="152"/>
      <c r="I218" s="152"/>
      <c r="J218" s="152"/>
      <c r="K218" s="152"/>
      <c r="L218" s="152"/>
      <c r="M218" s="152"/>
      <c r="N218" s="152"/>
      <c r="O218" s="152"/>
      <c r="P218" s="152"/>
      <c r="Q218" s="152"/>
      <c r="R218" s="152"/>
      <c r="S218" s="152"/>
      <c r="T218" s="152"/>
      <c r="U218" s="152"/>
      <c r="V218" s="152"/>
      <c r="W218" s="152"/>
      <c r="X218" s="152"/>
      <c r="Y218" s="152"/>
      <c r="Z218" s="152"/>
      <c r="AA218" s="152"/>
      <c r="AB218" s="152"/>
      <c r="AC218" s="152"/>
      <c r="AD218" s="152"/>
      <c r="AE218" s="152"/>
    </row>
    <row r="219" spans="1:31" ht="15.75">
      <c r="A219" s="152"/>
      <c r="B219" s="152"/>
      <c r="C219" s="281"/>
      <c r="D219" s="152"/>
      <c r="E219" s="152"/>
      <c r="F219" s="152"/>
      <c r="G219" s="152"/>
      <c r="H219" s="152"/>
      <c r="I219" s="152"/>
      <c r="J219" s="152"/>
      <c r="K219" s="152"/>
      <c r="L219" s="152"/>
      <c r="M219" s="152"/>
      <c r="N219" s="152"/>
      <c r="O219" s="152"/>
      <c r="P219" s="152"/>
      <c r="Q219" s="152"/>
      <c r="R219" s="152"/>
      <c r="S219" s="152"/>
      <c r="T219" s="152"/>
      <c r="U219" s="152"/>
      <c r="V219" s="152"/>
      <c r="W219" s="152"/>
      <c r="X219" s="152"/>
      <c r="Y219" s="152"/>
      <c r="Z219" s="152"/>
      <c r="AA219" s="152"/>
      <c r="AB219" s="152"/>
      <c r="AC219" s="152"/>
      <c r="AD219" s="152"/>
      <c r="AE219" s="152"/>
    </row>
    <row r="220" spans="1:31" ht="15.75">
      <c r="A220" s="152"/>
      <c r="B220" s="152"/>
      <c r="C220" s="281"/>
      <c r="D220" s="152"/>
      <c r="E220" s="152"/>
      <c r="F220" s="152"/>
      <c r="G220" s="152"/>
      <c r="H220" s="152"/>
      <c r="I220" s="152"/>
      <c r="J220" s="152"/>
      <c r="K220" s="152"/>
      <c r="L220" s="152"/>
      <c r="M220" s="152"/>
      <c r="N220" s="152"/>
      <c r="O220" s="152"/>
      <c r="P220" s="152"/>
      <c r="Q220" s="152"/>
      <c r="R220" s="152"/>
      <c r="S220" s="152"/>
      <c r="T220" s="152"/>
      <c r="U220" s="152"/>
      <c r="V220" s="152"/>
      <c r="W220" s="152"/>
      <c r="X220" s="152"/>
      <c r="Y220" s="152"/>
      <c r="Z220" s="152"/>
      <c r="AA220" s="152"/>
      <c r="AB220" s="152"/>
      <c r="AC220" s="152"/>
      <c r="AD220" s="152"/>
      <c r="AE220" s="152"/>
    </row>
    <row r="221" spans="1:31" ht="15.75">
      <c r="A221" s="152"/>
      <c r="B221" s="152"/>
      <c r="C221" s="281"/>
      <c r="D221" s="152"/>
      <c r="E221" s="152"/>
      <c r="F221" s="152"/>
      <c r="G221" s="152"/>
      <c r="H221" s="152"/>
      <c r="I221" s="152"/>
      <c r="J221" s="152"/>
      <c r="K221" s="152"/>
      <c r="L221" s="152"/>
      <c r="M221" s="152"/>
      <c r="N221" s="152"/>
      <c r="O221" s="152"/>
      <c r="P221" s="152"/>
      <c r="Q221" s="152"/>
      <c r="R221" s="152"/>
      <c r="S221" s="152"/>
      <c r="T221" s="152"/>
      <c r="U221" s="152"/>
      <c r="V221" s="152"/>
      <c r="W221" s="152"/>
      <c r="X221" s="152"/>
      <c r="Y221" s="152"/>
      <c r="Z221" s="152"/>
      <c r="AA221" s="152"/>
      <c r="AB221" s="152"/>
      <c r="AC221" s="152"/>
      <c r="AD221" s="152"/>
      <c r="AE221" s="152"/>
    </row>
    <row r="222" spans="1:31" ht="15.75">
      <c r="A222" s="152"/>
      <c r="B222" s="152"/>
      <c r="C222" s="281"/>
      <c r="D222" s="152"/>
      <c r="E222" s="152"/>
      <c r="F222" s="152"/>
      <c r="G222" s="152"/>
      <c r="H222" s="152"/>
      <c r="I222" s="152"/>
      <c r="J222" s="152"/>
      <c r="K222" s="152"/>
      <c r="L222" s="152"/>
      <c r="M222" s="152"/>
      <c r="N222" s="152"/>
      <c r="O222" s="152"/>
      <c r="P222" s="152"/>
      <c r="Q222" s="152"/>
      <c r="R222" s="152"/>
      <c r="S222" s="152"/>
      <c r="T222" s="152"/>
      <c r="U222" s="152"/>
      <c r="V222" s="152"/>
      <c r="W222" s="152"/>
      <c r="X222" s="152"/>
      <c r="Y222" s="152"/>
      <c r="Z222" s="152"/>
      <c r="AA222" s="152"/>
      <c r="AB222" s="152"/>
      <c r="AC222" s="152"/>
      <c r="AD222" s="152"/>
      <c r="AE222" s="152"/>
    </row>
    <row r="223" spans="1:31" ht="15.75">
      <c r="A223" s="152"/>
      <c r="B223" s="152"/>
      <c r="C223" s="281"/>
      <c r="D223" s="152"/>
      <c r="E223" s="152"/>
      <c r="F223" s="152"/>
      <c r="G223" s="152"/>
      <c r="H223" s="152"/>
      <c r="I223" s="152"/>
      <c r="J223" s="152"/>
      <c r="K223" s="152"/>
      <c r="L223" s="152"/>
      <c r="M223" s="152"/>
      <c r="N223" s="152"/>
      <c r="O223" s="152"/>
      <c r="P223" s="152"/>
      <c r="Q223" s="152"/>
      <c r="R223" s="152"/>
      <c r="S223" s="152"/>
      <c r="T223" s="152"/>
      <c r="U223" s="152"/>
      <c r="V223" s="152"/>
      <c r="W223" s="152"/>
      <c r="X223" s="152"/>
      <c r="Y223" s="152"/>
      <c r="Z223" s="152"/>
      <c r="AA223" s="152"/>
      <c r="AB223" s="152"/>
      <c r="AC223" s="152"/>
      <c r="AD223" s="152"/>
      <c r="AE223" s="152"/>
    </row>
    <row r="224" spans="1:31" ht="15.75">
      <c r="A224" s="152"/>
      <c r="B224" s="152"/>
      <c r="C224" s="281"/>
      <c r="D224" s="152"/>
      <c r="E224" s="152"/>
      <c r="F224" s="152"/>
      <c r="G224" s="152"/>
      <c r="H224" s="152"/>
      <c r="I224" s="152"/>
      <c r="J224" s="152"/>
      <c r="K224" s="152"/>
      <c r="L224" s="152"/>
      <c r="M224" s="152"/>
      <c r="N224" s="152"/>
      <c r="O224" s="152"/>
      <c r="P224" s="152"/>
      <c r="Q224" s="152"/>
      <c r="R224" s="152"/>
      <c r="S224" s="152"/>
      <c r="T224" s="152"/>
      <c r="U224" s="152"/>
      <c r="V224" s="152"/>
      <c r="W224" s="152"/>
      <c r="X224" s="152"/>
      <c r="Y224" s="152"/>
      <c r="Z224" s="152"/>
      <c r="AA224" s="152"/>
      <c r="AB224" s="152"/>
      <c r="AC224" s="152"/>
      <c r="AD224" s="152"/>
      <c r="AE224" s="152"/>
    </row>
    <row r="225" spans="1:31" ht="15.75">
      <c r="A225" s="152"/>
      <c r="B225" s="152"/>
      <c r="C225" s="281"/>
      <c r="D225" s="152"/>
      <c r="E225" s="152"/>
      <c r="F225" s="152"/>
      <c r="G225" s="152"/>
      <c r="H225" s="152"/>
      <c r="I225" s="152"/>
      <c r="J225" s="152"/>
      <c r="K225" s="152"/>
      <c r="L225" s="152"/>
      <c r="M225" s="152"/>
      <c r="N225" s="152"/>
      <c r="O225" s="152"/>
      <c r="P225" s="152"/>
      <c r="Q225" s="152"/>
      <c r="R225" s="152"/>
      <c r="S225" s="152"/>
      <c r="T225" s="152"/>
      <c r="U225" s="152"/>
      <c r="V225" s="152"/>
      <c r="W225" s="152"/>
      <c r="X225" s="152"/>
      <c r="Y225" s="152"/>
      <c r="Z225" s="152"/>
      <c r="AA225" s="152"/>
      <c r="AB225" s="152"/>
      <c r="AC225" s="152"/>
      <c r="AD225" s="152"/>
      <c r="AE225" s="152"/>
    </row>
    <row r="226" spans="1:31" ht="15.75">
      <c r="A226" s="152"/>
      <c r="B226" s="152"/>
      <c r="C226" s="281"/>
      <c r="D226" s="152"/>
      <c r="E226" s="152"/>
      <c r="F226" s="152"/>
      <c r="G226" s="152"/>
      <c r="H226" s="152"/>
      <c r="I226" s="152"/>
      <c r="J226" s="152"/>
      <c r="K226" s="152"/>
      <c r="L226" s="152"/>
      <c r="M226" s="152"/>
      <c r="N226" s="152"/>
      <c r="O226" s="152"/>
      <c r="P226" s="152"/>
      <c r="Q226" s="152"/>
      <c r="R226" s="152"/>
      <c r="S226" s="152"/>
      <c r="T226" s="152"/>
      <c r="U226" s="152"/>
      <c r="V226" s="152"/>
      <c r="W226" s="152"/>
      <c r="X226" s="152"/>
      <c r="Y226" s="152"/>
      <c r="Z226" s="152"/>
      <c r="AA226" s="152"/>
      <c r="AB226" s="152"/>
      <c r="AC226" s="152"/>
      <c r="AD226" s="152"/>
      <c r="AE226" s="152"/>
    </row>
    <row r="227" spans="1:31" ht="15.75">
      <c r="A227" s="152"/>
      <c r="B227" s="152"/>
      <c r="C227" s="281"/>
      <c r="D227" s="152"/>
      <c r="E227" s="152"/>
      <c r="F227" s="152"/>
      <c r="G227" s="152"/>
      <c r="H227" s="152"/>
      <c r="I227" s="152"/>
      <c r="J227" s="152"/>
      <c r="K227" s="152"/>
      <c r="L227" s="152"/>
      <c r="M227" s="152"/>
      <c r="N227" s="152"/>
      <c r="O227" s="152"/>
      <c r="P227" s="152"/>
      <c r="Q227" s="152"/>
      <c r="R227" s="152"/>
      <c r="S227" s="152"/>
      <c r="T227" s="152"/>
      <c r="U227" s="152"/>
      <c r="V227" s="152"/>
      <c r="W227" s="152"/>
      <c r="X227" s="152"/>
      <c r="Y227" s="152"/>
      <c r="Z227" s="152"/>
      <c r="AA227" s="152"/>
      <c r="AB227" s="152"/>
      <c r="AC227" s="152"/>
      <c r="AD227" s="152"/>
      <c r="AE227" s="152"/>
    </row>
    <row r="228" spans="1:31" ht="15.75">
      <c r="A228" s="152"/>
      <c r="B228" s="152"/>
      <c r="C228" s="281"/>
      <c r="D228" s="152"/>
      <c r="E228" s="152"/>
      <c r="F228" s="152"/>
      <c r="G228" s="152"/>
      <c r="H228" s="152"/>
      <c r="I228" s="152"/>
      <c r="J228" s="152"/>
      <c r="K228" s="152"/>
      <c r="L228" s="152"/>
      <c r="M228" s="152"/>
      <c r="N228" s="152"/>
      <c r="O228" s="152"/>
      <c r="P228" s="152"/>
      <c r="Q228" s="152"/>
      <c r="R228" s="152"/>
      <c r="S228" s="152"/>
      <c r="T228" s="152"/>
      <c r="U228" s="152"/>
      <c r="V228" s="152"/>
      <c r="W228" s="152"/>
      <c r="X228" s="152"/>
      <c r="Y228" s="152"/>
      <c r="Z228" s="152"/>
      <c r="AA228" s="152"/>
      <c r="AB228" s="152"/>
      <c r="AC228" s="152"/>
      <c r="AD228" s="152"/>
      <c r="AE228" s="152"/>
    </row>
    <row r="229" spans="1:31" ht="15.75">
      <c r="A229" s="152"/>
      <c r="B229" s="152"/>
      <c r="C229" s="281"/>
      <c r="D229" s="152"/>
      <c r="E229" s="152"/>
      <c r="F229" s="152"/>
      <c r="G229" s="152"/>
      <c r="H229" s="152"/>
      <c r="I229" s="152"/>
      <c r="J229" s="152"/>
      <c r="K229" s="152"/>
      <c r="L229" s="152"/>
      <c r="M229" s="152"/>
      <c r="N229" s="152"/>
      <c r="O229" s="152"/>
      <c r="P229" s="152"/>
      <c r="Q229" s="152"/>
      <c r="R229" s="152"/>
      <c r="S229" s="152"/>
      <c r="T229" s="152"/>
      <c r="U229" s="152"/>
      <c r="V229" s="152"/>
      <c r="W229" s="152"/>
      <c r="X229" s="152"/>
      <c r="Y229" s="152"/>
      <c r="Z229" s="152"/>
      <c r="AA229" s="152"/>
      <c r="AB229" s="152"/>
      <c r="AC229" s="152"/>
      <c r="AD229" s="152"/>
      <c r="AE229" s="152"/>
    </row>
    <row r="230" spans="1:31" ht="15.75">
      <c r="A230" s="152"/>
      <c r="B230" s="152"/>
      <c r="C230" s="281"/>
      <c r="D230" s="152"/>
      <c r="E230" s="152"/>
      <c r="F230" s="152"/>
      <c r="G230" s="152"/>
      <c r="H230" s="152"/>
      <c r="I230" s="152"/>
      <c r="J230" s="152"/>
      <c r="K230" s="152"/>
      <c r="L230" s="152"/>
      <c r="M230" s="152"/>
      <c r="N230" s="152"/>
      <c r="O230" s="152"/>
      <c r="P230" s="152"/>
      <c r="Q230" s="152"/>
      <c r="R230" s="152"/>
      <c r="S230" s="152"/>
      <c r="T230" s="152"/>
      <c r="U230" s="152"/>
      <c r="V230" s="152"/>
      <c r="W230" s="152"/>
      <c r="X230" s="152"/>
      <c r="Y230" s="152"/>
      <c r="Z230" s="152"/>
      <c r="AA230" s="152"/>
      <c r="AB230" s="152"/>
      <c r="AC230" s="152"/>
      <c r="AD230" s="152"/>
      <c r="AE230" s="152"/>
    </row>
    <row r="231" spans="1:31" ht="15.75">
      <c r="A231" s="152"/>
      <c r="B231" s="152"/>
      <c r="C231" s="281"/>
      <c r="D231" s="152"/>
      <c r="E231" s="152"/>
      <c r="F231" s="152"/>
      <c r="G231" s="152"/>
      <c r="H231" s="152"/>
      <c r="I231" s="152"/>
      <c r="J231" s="152"/>
      <c r="K231" s="152"/>
      <c r="L231" s="152"/>
      <c r="M231" s="152"/>
      <c r="N231" s="152"/>
      <c r="O231" s="152"/>
      <c r="P231" s="152"/>
      <c r="Q231" s="152"/>
      <c r="R231" s="152"/>
      <c r="S231" s="152"/>
      <c r="T231" s="152"/>
      <c r="U231" s="152"/>
      <c r="V231" s="152"/>
      <c r="W231" s="152"/>
      <c r="X231" s="152"/>
      <c r="Y231" s="152"/>
      <c r="Z231" s="152"/>
      <c r="AA231" s="152"/>
      <c r="AB231" s="152"/>
      <c r="AC231" s="152"/>
      <c r="AD231" s="152"/>
      <c r="AE231" s="152"/>
    </row>
    <row r="232" spans="1:31" ht="15.75">
      <c r="A232" s="152"/>
      <c r="B232" s="152"/>
      <c r="C232" s="281"/>
      <c r="D232" s="152"/>
      <c r="E232" s="152"/>
      <c r="F232" s="152"/>
      <c r="G232" s="152"/>
      <c r="H232" s="152"/>
      <c r="I232" s="152"/>
      <c r="J232" s="152"/>
      <c r="K232" s="152"/>
      <c r="L232" s="152"/>
      <c r="M232" s="152"/>
      <c r="N232" s="152"/>
      <c r="O232" s="152"/>
      <c r="P232" s="152"/>
      <c r="Q232" s="152"/>
      <c r="R232" s="152"/>
      <c r="S232" s="152"/>
      <c r="T232" s="152"/>
      <c r="U232" s="152"/>
      <c r="V232" s="152"/>
      <c r="W232" s="152"/>
      <c r="X232" s="152"/>
      <c r="Y232" s="152"/>
      <c r="Z232" s="152"/>
      <c r="AA232" s="152"/>
      <c r="AB232" s="152"/>
      <c r="AC232" s="152"/>
      <c r="AD232" s="152"/>
      <c r="AE232" s="152"/>
    </row>
    <row r="233" spans="1:31" ht="15.75">
      <c r="A233" s="152"/>
      <c r="B233" s="152"/>
      <c r="C233" s="281"/>
      <c r="D233" s="152"/>
      <c r="E233" s="152"/>
      <c r="F233" s="152"/>
      <c r="G233" s="152"/>
      <c r="H233" s="152"/>
      <c r="I233" s="152"/>
      <c r="J233" s="152"/>
      <c r="K233" s="152"/>
      <c r="L233" s="152"/>
      <c r="M233" s="152"/>
      <c r="N233" s="152"/>
      <c r="O233" s="152"/>
      <c r="P233" s="152"/>
      <c r="Q233" s="152"/>
      <c r="R233" s="152"/>
      <c r="S233" s="152"/>
      <c r="T233" s="152"/>
      <c r="U233" s="152"/>
      <c r="V233" s="152"/>
      <c r="W233" s="152"/>
      <c r="X233" s="152"/>
      <c r="Y233" s="152"/>
      <c r="Z233" s="152"/>
      <c r="AA233" s="152"/>
      <c r="AB233" s="152"/>
      <c r="AC233" s="152"/>
      <c r="AD233" s="152"/>
      <c r="AE233" s="152"/>
    </row>
    <row r="234" spans="1:31" ht="15.75">
      <c r="A234" s="152"/>
      <c r="B234" s="152"/>
      <c r="C234" s="281"/>
      <c r="D234" s="152"/>
      <c r="E234" s="152"/>
      <c r="F234" s="152"/>
      <c r="G234" s="152"/>
      <c r="H234" s="152"/>
      <c r="I234" s="152"/>
      <c r="J234" s="152"/>
      <c r="K234" s="152"/>
      <c r="L234" s="152"/>
      <c r="M234" s="152"/>
      <c r="N234" s="152"/>
      <c r="O234" s="152"/>
      <c r="P234" s="152"/>
      <c r="Q234" s="152"/>
      <c r="R234" s="152"/>
      <c r="S234" s="152"/>
      <c r="T234" s="152"/>
      <c r="U234" s="152"/>
      <c r="V234" s="152"/>
      <c r="W234" s="152"/>
      <c r="X234" s="152"/>
      <c r="Y234" s="152"/>
      <c r="Z234" s="152"/>
      <c r="AA234" s="152"/>
      <c r="AB234" s="152"/>
      <c r="AC234" s="152"/>
      <c r="AD234" s="152"/>
      <c r="AE234" s="152"/>
    </row>
    <row r="235" spans="1:31" ht="15.75">
      <c r="A235" s="152"/>
      <c r="B235" s="152"/>
      <c r="C235" s="281"/>
      <c r="D235" s="152"/>
      <c r="E235" s="152"/>
      <c r="F235" s="152"/>
      <c r="G235" s="152"/>
      <c r="H235" s="152"/>
      <c r="I235" s="152"/>
      <c r="J235" s="152"/>
      <c r="K235" s="152"/>
      <c r="L235" s="152"/>
      <c r="M235" s="152"/>
      <c r="N235" s="152"/>
      <c r="O235" s="152"/>
      <c r="P235" s="152"/>
      <c r="Q235" s="152"/>
      <c r="R235" s="152"/>
      <c r="S235" s="152"/>
      <c r="T235" s="152"/>
      <c r="U235" s="152"/>
      <c r="V235" s="152"/>
      <c r="W235" s="152"/>
      <c r="X235" s="152"/>
      <c r="Y235" s="152"/>
      <c r="Z235" s="152"/>
      <c r="AA235" s="152"/>
      <c r="AB235" s="152"/>
      <c r="AC235" s="152"/>
      <c r="AD235" s="152"/>
      <c r="AE235" s="152"/>
    </row>
    <row r="236" spans="1:31" ht="15.75">
      <c r="A236" s="152"/>
      <c r="B236" s="152"/>
      <c r="C236" s="281"/>
      <c r="D236" s="152"/>
      <c r="E236" s="152"/>
      <c r="F236" s="152"/>
      <c r="G236" s="152"/>
      <c r="H236" s="152"/>
      <c r="I236" s="152"/>
      <c r="J236" s="152"/>
      <c r="K236" s="152"/>
      <c r="L236" s="152"/>
      <c r="M236" s="152"/>
      <c r="N236" s="152"/>
      <c r="O236" s="152"/>
      <c r="P236" s="152"/>
      <c r="Q236" s="152"/>
      <c r="R236" s="152"/>
      <c r="S236" s="152"/>
      <c r="T236" s="152"/>
      <c r="U236" s="152"/>
      <c r="V236" s="152"/>
      <c r="W236" s="152"/>
      <c r="X236" s="152"/>
      <c r="Y236" s="152"/>
      <c r="Z236" s="152"/>
      <c r="AA236" s="152"/>
      <c r="AB236" s="152"/>
      <c r="AC236" s="152"/>
      <c r="AD236" s="152"/>
      <c r="AE236" s="152"/>
    </row>
    <row r="237" spans="1:31" ht="15.75">
      <c r="A237" s="152"/>
      <c r="B237" s="152"/>
      <c r="C237" s="281"/>
      <c r="D237" s="152"/>
      <c r="E237" s="152"/>
      <c r="F237" s="152"/>
      <c r="G237" s="152"/>
      <c r="H237" s="152"/>
      <c r="I237" s="152"/>
      <c r="J237" s="152"/>
      <c r="K237" s="152"/>
      <c r="L237" s="152"/>
      <c r="M237" s="152"/>
      <c r="N237" s="152"/>
      <c r="O237" s="152"/>
      <c r="P237" s="152"/>
      <c r="Q237" s="152"/>
      <c r="R237" s="152"/>
      <c r="S237" s="152"/>
      <c r="T237" s="152"/>
      <c r="U237" s="152"/>
      <c r="V237" s="152"/>
      <c r="W237" s="152"/>
      <c r="X237" s="152"/>
      <c r="Y237" s="152"/>
      <c r="Z237" s="152"/>
      <c r="AA237" s="152"/>
      <c r="AB237" s="152"/>
      <c r="AC237" s="152"/>
      <c r="AD237" s="152"/>
      <c r="AE237" s="152"/>
    </row>
    <row r="238" spans="1:31" ht="15.75">
      <c r="A238" s="152"/>
      <c r="B238" s="152"/>
      <c r="C238" s="281"/>
      <c r="D238" s="152"/>
      <c r="E238" s="152"/>
      <c r="F238" s="152"/>
      <c r="G238" s="152"/>
      <c r="H238" s="152"/>
      <c r="I238" s="152"/>
      <c r="J238" s="152"/>
      <c r="K238" s="152"/>
      <c r="L238" s="152"/>
      <c r="M238" s="152"/>
      <c r="N238" s="152"/>
      <c r="O238" s="152"/>
      <c r="P238" s="152"/>
      <c r="Q238" s="152"/>
      <c r="R238" s="152"/>
      <c r="S238" s="152"/>
      <c r="T238" s="152"/>
      <c r="U238" s="152"/>
      <c r="V238" s="152"/>
      <c r="W238" s="152"/>
      <c r="X238" s="152"/>
      <c r="Y238" s="152"/>
      <c r="Z238" s="152"/>
      <c r="AA238" s="152"/>
      <c r="AB238" s="152"/>
      <c r="AC238" s="152"/>
      <c r="AD238" s="152"/>
      <c r="AE238" s="152"/>
    </row>
    <row r="239" spans="1:31" ht="15.75">
      <c r="A239" s="152"/>
      <c r="B239" s="152"/>
      <c r="C239" s="281"/>
      <c r="D239" s="152"/>
      <c r="E239" s="152"/>
      <c r="F239" s="152"/>
      <c r="G239" s="152"/>
      <c r="H239" s="152"/>
      <c r="I239" s="152"/>
      <c r="J239" s="152"/>
      <c r="K239" s="152"/>
      <c r="L239" s="152"/>
      <c r="M239" s="152"/>
      <c r="N239" s="152"/>
      <c r="O239" s="152"/>
      <c r="P239" s="152"/>
      <c r="Q239" s="152"/>
      <c r="R239" s="152"/>
      <c r="S239" s="152"/>
      <c r="T239" s="152"/>
      <c r="U239" s="152"/>
      <c r="V239" s="152"/>
      <c r="W239" s="152"/>
      <c r="X239" s="152"/>
      <c r="Y239" s="152"/>
      <c r="Z239" s="152"/>
      <c r="AA239" s="152"/>
      <c r="AB239" s="152"/>
      <c r="AC239" s="152"/>
      <c r="AD239" s="152"/>
      <c r="AE239" s="152"/>
    </row>
    <row r="240" spans="1:31" ht="15.75">
      <c r="A240" s="152"/>
      <c r="B240" s="152"/>
      <c r="C240" s="281"/>
      <c r="D240" s="152"/>
      <c r="E240" s="152"/>
      <c r="F240" s="152"/>
      <c r="G240" s="152"/>
      <c r="H240" s="152"/>
      <c r="I240" s="152"/>
      <c r="J240" s="152"/>
      <c r="K240" s="152"/>
      <c r="L240" s="152"/>
      <c r="M240" s="152"/>
      <c r="N240" s="152"/>
      <c r="O240" s="152"/>
      <c r="P240" s="152"/>
      <c r="Q240" s="152"/>
      <c r="R240" s="152"/>
      <c r="S240" s="152"/>
      <c r="T240" s="152"/>
      <c r="U240" s="152"/>
      <c r="V240" s="152"/>
      <c r="W240" s="152"/>
      <c r="X240" s="152"/>
      <c r="Y240" s="152"/>
      <c r="Z240" s="152"/>
      <c r="AA240" s="152"/>
      <c r="AB240" s="152"/>
      <c r="AC240" s="152"/>
      <c r="AD240" s="152"/>
      <c r="AE240" s="152"/>
    </row>
    <row r="241" spans="1:31" ht="15.75">
      <c r="A241" s="152"/>
      <c r="B241" s="152"/>
      <c r="C241" s="281"/>
      <c r="D241" s="152"/>
      <c r="E241" s="152"/>
      <c r="F241" s="152"/>
      <c r="G241" s="152"/>
      <c r="H241" s="152"/>
      <c r="I241" s="152"/>
      <c r="J241" s="152"/>
      <c r="K241" s="152"/>
      <c r="L241" s="152"/>
      <c r="M241" s="152"/>
      <c r="N241" s="152"/>
      <c r="O241" s="152"/>
      <c r="P241" s="152"/>
      <c r="Q241" s="152"/>
      <c r="R241" s="152"/>
      <c r="S241" s="152"/>
      <c r="T241" s="152"/>
      <c r="U241" s="152"/>
      <c r="V241" s="152"/>
      <c r="W241" s="152"/>
      <c r="X241" s="152"/>
      <c r="Y241" s="152"/>
      <c r="Z241" s="152"/>
      <c r="AA241" s="152"/>
      <c r="AB241" s="152"/>
      <c r="AC241" s="152"/>
      <c r="AD241" s="152"/>
      <c r="AE241" s="152"/>
    </row>
    <row r="242" spans="1:31" ht="15.75">
      <c r="A242" s="152"/>
      <c r="B242" s="152"/>
      <c r="C242" s="281"/>
      <c r="D242" s="152"/>
      <c r="E242" s="152"/>
      <c r="F242" s="152"/>
      <c r="G242" s="152"/>
      <c r="H242" s="152"/>
      <c r="I242" s="152"/>
      <c r="J242" s="152"/>
      <c r="K242" s="152"/>
      <c r="L242" s="152"/>
      <c r="M242" s="152"/>
      <c r="N242" s="152"/>
      <c r="O242" s="152"/>
      <c r="P242" s="152"/>
      <c r="Q242" s="152"/>
      <c r="R242" s="152"/>
      <c r="S242" s="152"/>
      <c r="T242" s="152"/>
      <c r="U242" s="152"/>
      <c r="V242" s="152"/>
      <c r="W242" s="152"/>
      <c r="X242" s="152"/>
      <c r="Y242" s="152"/>
      <c r="Z242" s="152"/>
      <c r="AA242" s="152"/>
      <c r="AB242" s="152"/>
      <c r="AC242" s="152"/>
      <c r="AD242" s="152"/>
      <c r="AE242" s="152"/>
    </row>
    <row r="243" spans="1:31" ht="15.75">
      <c r="A243" s="152"/>
      <c r="B243" s="152"/>
      <c r="C243" s="281"/>
      <c r="D243" s="152"/>
      <c r="E243" s="152"/>
      <c r="F243" s="152"/>
      <c r="G243" s="152"/>
      <c r="H243" s="152"/>
      <c r="I243" s="152"/>
      <c r="J243" s="152"/>
      <c r="K243" s="152"/>
      <c r="L243" s="152"/>
      <c r="M243" s="152"/>
      <c r="N243" s="152"/>
      <c r="O243" s="152"/>
      <c r="P243" s="152"/>
      <c r="Q243" s="152"/>
      <c r="R243" s="152"/>
      <c r="S243" s="152"/>
      <c r="T243" s="152"/>
      <c r="U243" s="152"/>
      <c r="V243" s="152"/>
      <c r="W243" s="152"/>
      <c r="X243" s="152"/>
      <c r="Y243" s="152"/>
      <c r="Z243" s="152"/>
      <c r="AA243" s="152"/>
      <c r="AB243" s="152"/>
      <c r="AC243" s="152"/>
      <c r="AD243" s="152"/>
      <c r="AE243" s="152"/>
    </row>
    <row r="244" spans="1:31" ht="15.75">
      <c r="A244" s="152"/>
      <c r="B244" s="152"/>
      <c r="C244" s="281"/>
      <c r="D244" s="152"/>
      <c r="E244" s="152"/>
      <c r="F244" s="152"/>
      <c r="G244" s="152"/>
      <c r="H244" s="152"/>
      <c r="I244" s="152"/>
      <c r="J244" s="152"/>
      <c r="K244" s="152"/>
      <c r="L244" s="152"/>
      <c r="M244" s="152"/>
      <c r="N244" s="152"/>
      <c r="O244" s="152"/>
      <c r="P244" s="152"/>
      <c r="Q244" s="152"/>
      <c r="R244" s="152"/>
      <c r="S244" s="152"/>
      <c r="T244" s="152"/>
      <c r="U244" s="152"/>
      <c r="V244" s="152"/>
      <c r="W244" s="152"/>
      <c r="X244" s="152"/>
      <c r="Y244" s="152"/>
      <c r="Z244" s="152"/>
      <c r="AA244" s="152"/>
      <c r="AB244" s="152"/>
      <c r="AC244" s="152"/>
      <c r="AD244" s="152"/>
      <c r="AE244" s="152"/>
    </row>
    <row r="245" spans="1:31" ht="15.75">
      <c r="A245" s="152"/>
      <c r="B245" s="152"/>
      <c r="C245" s="281"/>
      <c r="D245" s="152"/>
      <c r="E245" s="152"/>
      <c r="F245" s="152"/>
      <c r="G245" s="152"/>
      <c r="H245" s="152"/>
      <c r="I245" s="152"/>
      <c r="J245" s="152"/>
      <c r="K245" s="152"/>
      <c r="L245" s="152"/>
      <c r="M245" s="152"/>
      <c r="N245" s="152"/>
      <c r="O245" s="152"/>
      <c r="P245" s="152"/>
      <c r="Q245" s="152"/>
      <c r="R245" s="152"/>
      <c r="S245" s="152"/>
      <c r="T245" s="152"/>
      <c r="U245" s="152"/>
      <c r="V245" s="152"/>
      <c r="W245" s="152"/>
      <c r="X245" s="152"/>
      <c r="Y245" s="152"/>
      <c r="Z245" s="152"/>
      <c r="AA245" s="152"/>
      <c r="AB245" s="152"/>
      <c r="AC245" s="152"/>
      <c r="AD245" s="152"/>
      <c r="AE245" s="152"/>
    </row>
    <row r="246" spans="1:31" ht="15.75">
      <c r="A246" s="152"/>
      <c r="B246" s="152"/>
      <c r="C246" s="281"/>
      <c r="D246" s="152"/>
      <c r="E246" s="152"/>
      <c r="F246" s="152"/>
      <c r="G246" s="152"/>
      <c r="H246" s="152"/>
      <c r="I246" s="152"/>
      <c r="J246" s="152"/>
      <c r="K246" s="152"/>
      <c r="L246" s="152"/>
      <c r="M246" s="152"/>
      <c r="N246" s="152"/>
      <c r="O246" s="152"/>
      <c r="P246" s="152"/>
      <c r="Q246" s="152"/>
      <c r="R246" s="152"/>
      <c r="S246" s="152"/>
      <c r="T246" s="152"/>
      <c r="U246" s="152"/>
      <c r="V246" s="152"/>
      <c r="W246" s="152"/>
      <c r="X246" s="152"/>
      <c r="Y246" s="152"/>
      <c r="Z246" s="152"/>
      <c r="AA246" s="152"/>
      <c r="AB246" s="152"/>
      <c r="AC246" s="152"/>
      <c r="AD246" s="152"/>
      <c r="AE246" s="152"/>
    </row>
    <row r="247" spans="1:31" ht="15.75">
      <c r="A247" s="152"/>
      <c r="B247" s="152"/>
      <c r="C247" s="281"/>
      <c r="D247" s="152"/>
      <c r="E247" s="152"/>
      <c r="F247" s="152"/>
      <c r="G247" s="152"/>
      <c r="H247" s="152"/>
      <c r="I247" s="152"/>
      <c r="J247" s="152"/>
      <c r="K247" s="152"/>
      <c r="L247" s="152"/>
      <c r="M247" s="152"/>
      <c r="N247" s="152"/>
      <c r="O247" s="152"/>
      <c r="P247" s="152"/>
      <c r="Q247" s="152"/>
      <c r="R247" s="152"/>
      <c r="S247" s="152"/>
      <c r="T247" s="152"/>
      <c r="U247" s="152"/>
      <c r="V247" s="152"/>
      <c r="W247" s="152"/>
      <c r="X247" s="152"/>
      <c r="Y247" s="152"/>
      <c r="Z247" s="152"/>
      <c r="AA247" s="152"/>
      <c r="AB247" s="152"/>
      <c r="AC247" s="152"/>
      <c r="AD247" s="152"/>
      <c r="AE247" s="152"/>
    </row>
    <row r="248" spans="1:31" ht="15.75">
      <c r="A248" s="152"/>
      <c r="B248" s="152"/>
      <c r="C248" s="281"/>
      <c r="D248" s="152"/>
      <c r="E248" s="152"/>
      <c r="F248" s="152"/>
      <c r="G248" s="152"/>
      <c r="H248" s="152"/>
      <c r="I248" s="152"/>
      <c r="J248" s="152"/>
      <c r="K248" s="152"/>
      <c r="L248" s="152"/>
      <c r="M248" s="152"/>
      <c r="N248" s="152"/>
      <c r="O248" s="152"/>
      <c r="P248" s="152"/>
      <c r="Q248" s="152"/>
      <c r="R248" s="152"/>
      <c r="S248" s="152"/>
      <c r="T248" s="152"/>
      <c r="U248" s="152"/>
      <c r="V248" s="152"/>
      <c r="W248" s="152"/>
      <c r="X248" s="152"/>
      <c r="Y248" s="152"/>
      <c r="Z248" s="152"/>
      <c r="AA248" s="152"/>
      <c r="AB248" s="152"/>
      <c r="AC248" s="152"/>
      <c r="AD248" s="152"/>
      <c r="AE248" s="152"/>
    </row>
    <row r="249" spans="1:31" ht="15.75">
      <c r="A249" s="152"/>
      <c r="B249" s="152"/>
      <c r="C249" s="281"/>
      <c r="D249" s="152"/>
      <c r="E249" s="152"/>
      <c r="F249" s="152"/>
      <c r="G249" s="152"/>
      <c r="H249" s="152"/>
      <c r="I249" s="152"/>
      <c r="J249" s="152"/>
      <c r="K249" s="152"/>
      <c r="L249" s="152"/>
      <c r="M249" s="152"/>
      <c r="N249" s="152"/>
      <c r="O249" s="152"/>
      <c r="P249" s="152"/>
      <c r="Q249" s="152"/>
      <c r="R249" s="152"/>
      <c r="S249" s="152"/>
      <c r="T249" s="152"/>
      <c r="U249" s="152"/>
      <c r="V249" s="152"/>
      <c r="W249" s="152"/>
      <c r="X249" s="152"/>
      <c r="Y249" s="152"/>
      <c r="Z249" s="152"/>
      <c r="AA249" s="152"/>
      <c r="AB249" s="152"/>
      <c r="AC249" s="152"/>
      <c r="AD249" s="152"/>
      <c r="AE249" s="152"/>
    </row>
    <row r="250" spans="1:31" ht="15.75">
      <c r="A250" s="152"/>
      <c r="B250" s="152"/>
      <c r="C250" s="281"/>
      <c r="D250" s="152"/>
      <c r="E250" s="152"/>
      <c r="F250" s="152"/>
      <c r="G250" s="152"/>
      <c r="H250" s="152"/>
      <c r="I250" s="152"/>
      <c r="J250" s="152"/>
      <c r="K250" s="152"/>
      <c r="L250" s="152"/>
      <c r="M250" s="152"/>
      <c r="N250" s="152"/>
      <c r="O250" s="152"/>
      <c r="P250" s="152"/>
      <c r="Q250" s="152"/>
      <c r="R250" s="152"/>
      <c r="S250" s="152"/>
      <c r="T250" s="152"/>
      <c r="U250" s="152"/>
      <c r="V250" s="152"/>
      <c r="W250" s="152"/>
      <c r="X250" s="152"/>
      <c r="Y250" s="152"/>
      <c r="Z250" s="152"/>
      <c r="AA250" s="152"/>
      <c r="AB250" s="152"/>
      <c r="AC250" s="152"/>
      <c r="AD250" s="152"/>
      <c r="AE250" s="152"/>
    </row>
    <row r="251" spans="1:31" ht="15.75">
      <c r="A251" s="152"/>
      <c r="B251" s="152"/>
      <c r="C251" s="281"/>
      <c r="D251" s="152"/>
      <c r="E251" s="152"/>
      <c r="F251" s="152"/>
      <c r="G251" s="152"/>
      <c r="H251" s="152"/>
      <c r="I251" s="152"/>
      <c r="J251" s="152"/>
      <c r="K251" s="152"/>
      <c r="L251" s="152"/>
      <c r="M251" s="152"/>
      <c r="N251" s="152"/>
      <c r="O251" s="152"/>
      <c r="P251" s="152"/>
      <c r="Q251" s="152"/>
      <c r="R251" s="152"/>
      <c r="S251" s="152"/>
      <c r="T251" s="152"/>
      <c r="U251" s="152"/>
      <c r="V251" s="152"/>
      <c r="W251" s="152"/>
      <c r="X251" s="152"/>
      <c r="Y251" s="152"/>
      <c r="Z251" s="152"/>
      <c r="AA251" s="152"/>
      <c r="AB251" s="152"/>
      <c r="AC251" s="152"/>
      <c r="AD251" s="152"/>
      <c r="AE251" s="152"/>
    </row>
    <row r="252" spans="1:31" ht="15.75">
      <c r="A252" s="152"/>
      <c r="B252" s="152"/>
      <c r="C252" s="281"/>
      <c r="D252" s="152"/>
      <c r="E252" s="152"/>
      <c r="F252" s="152"/>
      <c r="G252" s="152"/>
      <c r="H252" s="152"/>
      <c r="I252" s="152"/>
      <c r="J252" s="152"/>
      <c r="K252" s="152"/>
      <c r="L252" s="152"/>
      <c r="M252" s="152"/>
      <c r="N252" s="152"/>
      <c r="O252" s="152"/>
      <c r="P252" s="152"/>
      <c r="Q252" s="152"/>
      <c r="R252" s="152"/>
      <c r="S252" s="152"/>
      <c r="T252" s="152"/>
      <c r="U252" s="152"/>
      <c r="V252" s="152"/>
      <c r="W252" s="152"/>
      <c r="X252" s="152"/>
      <c r="Y252" s="152"/>
      <c r="Z252" s="152"/>
      <c r="AA252" s="152"/>
      <c r="AB252" s="152"/>
      <c r="AC252" s="152"/>
      <c r="AD252" s="152"/>
      <c r="AE252" s="152"/>
    </row>
    <row r="253" spans="1:31" ht="15.75">
      <c r="A253" s="152"/>
      <c r="B253" s="152"/>
      <c r="C253" s="281"/>
      <c r="D253" s="152"/>
      <c r="E253" s="152"/>
      <c r="F253" s="152"/>
      <c r="G253" s="152"/>
      <c r="H253" s="152"/>
      <c r="I253" s="152"/>
      <c r="J253" s="152"/>
      <c r="K253" s="152"/>
      <c r="L253" s="152"/>
      <c r="M253" s="152"/>
      <c r="N253" s="152"/>
      <c r="O253" s="152"/>
      <c r="P253" s="152"/>
      <c r="Q253" s="152"/>
      <c r="R253" s="152"/>
      <c r="S253" s="152"/>
      <c r="T253" s="152"/>
      <c r="U253" s="152"/>
      <c r="V253" s="152"/>
      <c r="W253" s="152"/>
      <c r="X253" s="152"/>
      <c r="Y253" s="152"/>
      <c r="Z253" s="152"/>
      <c r="AA253" s="152"/>
      <c r="AB253" s="152"/>
      <c r="AC253" s="152"/>
      <c r="AD253" s="152"/>
      <c r="AE253" s="152"/>
    </row>
    <row r="254" spans="1:31" ht="15.75">
      <c r="A254" s="152"/>
      <c r="B254" s="152"/>
      <c r="C254" s="281"/>
      <c r="D254" s="152"/>
      <c r="E254" s="152"/>
      <c r="F254" s="152"/>
      <c r="G254" s="152"/>
      <c r="H254" s="152"/>
      <c r="I254" s="152"/>
      <c r="J254" s="152"/>
      <c r="K254" s="152"/>
      <c r="L254" s="152"/>
      <c r="M254" s="152"/>
      <c r="N254" s="152"/>
      <c r="O254" s="152"/>
      <c r="P254" s="152"/>
      <c r="Q254" s="152"/>
      <c r="R254" s="152"/>
      <c r="S254" s="152"/>
      <c r="T254" s="152"/>
      <c r="U254" s="152"/>
      <c r="V254" s="152"/>
      <c r="W254" s="152"/>
      <c r="X254" s="152"/>
      <c r="Y254" s="152"/>
      <c r="Z254" s="152"/>
      <c r="AA254" s="152"/>
      <c r="AB254" s="152"/>
      <c r="AC254" s="152"/>
      <c r="AD254" s="152"/>
      <c r="AE254" s="152"/>
    </row>
    <row r="255" spans="1:31" ht="15.75">
      <c r="A255" s="152"/>
      <c r="B255" s="152"/>
      <c r="C255" s="281"/>
      <c r="D255" s="152"/>
      <c r="E255" s="152"/>
      <c r="F255" s="152"/>
      <c r="G255" s="152"/>
      <c r="H255" s="152"/>
      <c r="I255" s="152"/>
      <c r="J255" s="152"/>
      <c r="K255" s="152"/>
      <c r="L255" s="152"/>
      <c r="M255" s="152"/>
      <c r="N255" s="152"/>
      <c r="O255" s="152"/>
      <c r="P255" s="152"/>
      <c r="Q255" s="152"/>
      <c r="R255" s="152"/>
      <c r="S255" s="152"/>
      <c r="T255" s="152"/>
      <c r="U255" s="152"/>
      <c r="V255" s="152"/>
      <c r="W255" s="152"/>
      <c r="X255" s="152"/>
      <c r="Y255" s="152"/>
      <c r="Z255" s="152"/>
      <c r="AA255" s="152"/>
      <c r="AB255" s="152"/>
      <c r="AC255" s="152"/>
      <c r="AD255" s="152"/>
      <c r="AE255" s="152"/>
    </row>
    <row r="256" spans="1:31" ht="15.75">
      <c r="A256" s="152"/>
      <c r="B256" s="152"/>
      <c r="C256" s="281"/>
      <c r="D256" s="152"/>
      <c r="E256" s="152"/>
      <c r="F256" s="152"/>
      <c r="G256" s="152"/>
      <c r="H256" s="152"/>
      <c r="I256" s="152"/>
      <c r="J256" s="152"/>
      <c r="K256" s="152"/>
      <c r="L256" s="152"/>
      <c r="M256" s="152"/>
      <c r="N256" s="152"/>
      <c r="O256" s="152"/>
      <c r="P256" s="152"/>
      <c r="Q256" s="152"/>
      <c r="R256" s="152"/>
      <c r="S256" s="152"/>
      <c r="T256" s="152"/>
      <c r="U256" s="152"/>
      <c r="V256" s="152"/>
      <c r="W256" s="152"/>
      <c r="X256" s="152"/>
      <c r="Y256" s="152"/>
      <c r="Z256" s="152"/>
      <c r="AA256" s="152"/>
      <c r="AB256" s="152"/>
      <c r="AC256" s="152"/>
      <c r="AD256" s="152"/>
      <c r="AE256" s="152"/>
    </row>
    <row r="257" spans="1:31" ht="15.75">
      <c r="A257" s="152"/>
      <c r="B257" s="152"/>
      <c r="C257" s="281"/>
      <c r="D257" s="152"/>
      <c r="E257" s="152"/>
      <c r="F257" s="152"/>
      <c r="G257" s="152"/>
      <c r="H257" s="152"/>
      <c r="I257" s="152"/>
      <c r="J257" s="152"/>
      <c r="K257" s="152"/>
      <c r="L257" s="152"/>
      <c r="M257" s="152"/>
      <c r="N257" s="152"/>
      <c r="O257" s="152"/>
      <c r="P257" s="152"/>
      <c r="Q257" s="152"/>
      <c r="R257" s="152"/>
      <c r="S257" s="152"/>
      <c r="T257" s="152"/>
      <c r="U257" s="152"/>
      <c r="V257" s="152"/>
      <c r="W257" s="152"/>
      <c r="X257" s="152"/>
      <c r="Y257" s="152"/>
      <c r="Z257" s="152"/>
      <c r="AA257" s="152"/>
      <c r="AB257" s="152"/>
      <c r="AC257" s="152"/>
      <c r="AD257" s="152"/>
      <c r="AE257" s="152"/>
    </row>
    <row r="258" spans="1:31" ht="15.75">
      <c r="A258" s="152"/>
      <c r="B258" s="152"/>
      <c r="C258" s="281"/>
      <c r="D258" s="152"/>
      <c r="E258" s="152"/>
      <c r="F258" s="152"/>
      <c r="G258" s="152"/>
      <c r="H258" s="152"/>
      <c r="I258" s="152"/>
      <c r="J258" s="152"/>
      <c r="K258" s="152"/>
      <c r="L258" s="152"/>
      <c r="M258" s="152"/>
      <c r="N258" s="152"/>
      <c r="O258" s="152"/>
      <c r="P258" s="152"/>
      <c r="Q258" s="152"/>
      <c r="R258" s="152"/>
      <c r="S258" s="152"/>
      <c r="T258" s="152"/>
      <c r="U258" s="152"/>
      <c r="V258" s="152"/>
      <c r="W258" s="152"/>
      <c r="X258" s="152"/>
      <c r="Y258" s="152"/>
      <c r="Z258" s="152"/>
      <c r="AA258" s="152"/>
      <c r="AB258" s="152"/>
      <c r="AC258" s="152"/>
      <c r="AD258" s="152"/>
      <c r="AE258" s="152"/>
    </row>
    <row r="259" spans="1:31" ht="15.75">
      <c r="A259" s="152"/>
      <c r="B259" s="152"/>
      <c r="C259" s="281"/>
      <c r="D259" s="152"/>
      <c r="E259" s="152"/>
      <c r="F259" s="152"/>
      <c r="G259" s="152"/>
      <c r="H259" s="152"/>
      <c r="I259" s="152"/>
      <c r="J259" s="152"/>
      <c r="K259" s="152"/>
      <c r="L259" s="152"/>
      <c r="M259" s="152"/>
      <c r="N259" s="152"/>
      <c r="O259" s="152"/>
      <c r="P259" s="152"/>
      <c r="Q259" s="152"/>
      <c r="R259" s="152"/>
      <c r="S259" s="152"/>
      <c r="T259" s="152"/>
      <c r="U259" s="152"/>
      <c r="V259" s="152"/>
      <c r="W259" s="152"/>
      <c r="X259" s="152"/>
      <c r="Y259" s="152"/>
      <c r="Z259" s="152"/>
      <c r="AA259" s="152"/>
      <c r="AB259" s="152"/>
      <c r="AC259" s="152"/>
      <c r="AD259" s="152"/>
      <c r="AE259" s="152"/>
    </row>
    <row r="260" spans="1:31" ht="15.75">
      <c r="A260" s="152"/>
      <c r="B260" s="152"/>
      <c r="C260" s="281"/>
      <c r="D260" s="152"/>
      <c r="E260" s="152"/>
      <c r="F260" s="152"/>
      <c r="G260" s="152"/>
      <c r="H260" s="152"/>
      <c r="I260" s="152"/>
      <c r="J260" s="152"/>
      <c r="K260" s="152"/>
      <c r="L260" s="152"/>
      <c r="M260" s="152"/>
      <c r="N260" s="152"/>
      <c r="O260" s="152"/>
      <c r="P260" s="152"/>
      <c r="Q260" s="152"/>
      <c r="R260" s="152"/>
      <c r="S260" s="152"/>
      <c r="T260" s="152"/>
      <c r="U260" s="152"/>
      <c r="V260" s="152"/>
      <c r="W260" s="152"/>
      <c r="X260" s="152"/>
      <c r="Y260" s="152"/>
      <c r="Z260" s="152"/>
      <c r="AA260" s="152"/>
      <c r="AB260" s="152"/>
      <c r="AC260" s="152"/>
      <c r="AD260" s="152"/>
      <c r="AE260" s="152"/>
    </row>
    <row r="261" spans="1:31" ht="15.75">
      <c r="A261" s="152"/>
      <c r="B261" s="152"/>
      <c r="C261" s="281"/>
      <c r="D261" s="152"/>
      <c r="E261" s="152"/>
      <c r="F261" s="152"/>
      <c r="G261" s="152"/>
      <c r="H261" s="152"/>
      <c r="I261" s="152"/>
      <c r="J261" s="152"/>
      <c r="K261" s="152"/>
      <c r="L261" s="152"/>
      <c r="M261" s="152"/>
      <c r="N261" s="152"/>
      <c r="O261" s="152"/>
      <c r="P261" s="152"/>
      <c r="Q261" s="152"/>
      <c r="R261" s="152"/>
      <c r="S261" s="152"/>
      <c r="T261" s="152"/>
      <c r="U261" s="152"/>
      <c r="V261" s="152"/>
      <c r="W261" s="152"/>
      <c r="X261" s="152"/>
      <c r="Y261" s="152"/>
      <c r="Z261" s="152"/>
      <c r="AA261" s="152"/>
      <c r="AB261" s="152"/>
      <c r="AC261" s="152"/>
      <c r="AD261" s="152"/>
      <c r="AE261" s="152"/>
    </row>
    <row r="262" spans="1:31" ht="15.75">
      <c r="A262" s="152"/>
      <c r="B262" s="152"/>
      <c r="C262" s="281"/>
      <c r="D262" s="152"/>
      <c r="E262" s="152"/>
      <c r="F262" s="152"/>
      <c r="G262" s="152"/>
      <c r="H262" s="152"/>
      <c r="I262" s="152"/>
      <c r="J262" s="152"/>
      <c r="K262" s="152"/>
      <c r="L262" s="152"/>
      <c r="M262" s="152"/>
      <c r="N262" s="152"/>
      <c r="O262" s="152"/>
      <c r="P262" s="152"/>
      <c r="Q262" s="152"/>
      <c r="R262" s="152"/>
      <c r="S262" s="152"/>
      <c r="T262" s="152"/>
      <c r="U262" s="152"/>
      <c r="V262" s="152"/>
      <c r="W262" s="152"/>
      <c r="X262" s="152"/>
      <c r="Y262" s="152"/>
      <c r="Z262" s="152"/>
      <c r="AA262" s="152"/>
      <c r="AB262" s="152"/>
      <c r="AC262" s="152"/>
      <c r="AD262" s="152"/>
      <c r="AE262" s="152"/>
    </row>
    <row r="263" spans="1:31" ht="15.75">
      <c r="A263" s="152"/>
      <c r="B263" s="152"/>
      <c r="C263" s="281"/>
      <c r="D263" s="152"/>
      <c r="E263" s="152"/>
      <c r="F263" s="152"/>
      <c r="G263" s="152"/>
      <c r="H263" s="152"/>
      <c r="I263" s="152"/>
      <c r="J263" s="152"/>
      <c r="K263" s="152"/>
      <c r="L263" s="152"/>
      <c r="M263" s="152"/>
      <c r="N263" s="152"/>
      <c r="O263" s="152"/>
      <c r="P263" s="152"/>
      <c r="Q263" s="152"/>
      <c r="R263" s="152"/>
      <c r="S263" s="152"/>
      <c r="T263" s="152"/>
      <c r="U263" s="152"/>
      <c r="V263" s="152"/>
      <c r="W263" s="152"/>
      <c r="X263" s="152"/>
      <c r="Y263" s="152"/>
      <c r="Z263" s="152"/>
      <c r="AA263" s="152"/>
      <c r="AB263" s="152"/>
      <c r="AC263" s="152"/>
      <c r="AD263" s="152"/>
      <c r="AE263" s="152"/>
    </row>
    <row r="264" spans="1:31" ht="15.75">
      <c r="A264" s="152"/>
      <c r="B264" s="152"/>
      <c r="C264" s="281"/>
      <c r="D264" s="152"/>
      <c r="E264" s="152"/>
      <c r="F264" s="152"/>
      <c r="G264" s="152"/>
      <c r="H264" s="152"/>
      <c r="I264" s="152"/>
      <c r="J264" s="152"/>
      <c r="K264" s="152"/>
      <c r="L264" s="152"/>
      <c r="M264" s="152"/>
      <c r="N264" s="152"/>
      <c r="O264" s="152"/>
      <c r="P264" s="152"/>
      <c r="Q264" s="152"/>
      <c r="R264" s="152"/>
      <c r="S264" s="152"/>
      <c r="T264" s="152"/>
      <c r="U264" s="152"/>
      <c r="V264" s="152"/>
      <c r="W264" s="152"/>
      <c r="X264" s="152"/>
      <c r="Y264" s="152"/>
      <c r="Z264" s="152"/>
      <c r="AA264" s="152"/>
      <c r="AB264" s="152"/>
      <c r="AC264" s="152"/>
      <c r="AD264" s="152"/>
      <c r="AE264" s="152"/>
    </row>
    <row r="265" spans="1:31" ht="15.75">
      <c r="A265" s="152"/>
      <c r="B265" s="152"/>
      <c r="C265" s="281"/>
      <c r="D265" s="152"/>
      <c r="E265" s="152"/>
      <c r="F265" s="152"/>
      <c r="G265" s="152"/>
      <c r="H265" s="152"/>
      <c r="I265" s="152"/>
      <c r="J265" s="152"/>
      <c r="K265" s="152"/>
      <c r="L265" s="152"/>
      <c r="M265" s="152"/>
      <c r="N265" s="152"/>
      <c r="O265" s="152"/>
      <c r="P265" s="152"/>
      <c r="Q265" s="152"/>
      <c r="R265" s="152"/>
      <c r="S265" s="152"/>
      <c r="T265" s="152"/>
      <c r="U265" s="152"/>
      <c r="V265" s="152"/>
      <c r="W265" s="152"/>
      <c r="X265" s="152"/>
      <c r="Y265" s="152"/>
      <c r="Z265" s="152"/>
      <c r="AA265" s="152"/>
      <c r="AB265" s="152"/>
      <c r="AC265" s="152"/>
      <c r="AD265" s="152"/>
      <c r="AE265" s="152"/>
    </row>
    <row r="266" spans="1:31" ht="15.75">
      <c r="A266" s="152"/>
      <c r="B266" s="152"/>
      <c r="C266" s="281"/>
      <c r="D266" s="152"/>
      <c r="E266" s="152"/>
      <c r="F266" s="152"/>
      <c r="G266" s="152"/>
      <c r="H266" s="152"/>
      <c r="I266" s="152"/>
      <c r="J266" s="152"/>
      <c r="K266" s="152"/>
      <c r="L266" s="152"/>
      <c r="M266" s="152"/>
      <c r="N266" s="152"/>
      <c r="O266" s="152"/>
      <c r="P266" s="152"/>
      <c r="Q266" s="152"/>
      <c r="R266" s="152"/>
      <c r="S266" s="152"/>
      <c r="T266" s="152"/>
      <c r="U266" s="152"/>
      <c r="V266" s="152"/>
      <c r="W266" s="152"/>
      <c r="X266" s="152"/>
      <c r="Y266" s="152"/>
      <c r="Z266" s="152"/>
      <c r="AA266" s="152"/>
      <c r="AB266" s="152"/>
      <c r="AC266" s="152"/>
      <c r="AD266" s="152"/>
      <c r="AE266" s="152"/>
    </row>
    <row r="267" spans="1:31" ht="15.75">
      <c r="A267" s="152"/>
      <c r="B267" s="152"/>
      <c r="C267" s="281"/>
      <c r="D267" s="152"/>
      <c r="E267" s="152"/>
      <c r="F267" s="152"/>
      <c r="G267" s="152"/>
      <c r="H267" s="152"/>
      <c r="I267" s="152"/>
      <c r="J267" s="152"/>
      <c r="K267" s="152"/>
      <c r="L267" s="152"/>
      <c r="M267" s="152"/>
      <c r="N267" s="152"/>
      <c r="O267" s="152"/>
      <c r="P267" s="152"/>
      <c r="Q267" s="152"/>
      <c r="R267" s="152"/>
      <c r="S267" s="152"/>
      <c r="T267" s="152"/>
      <c r="U267" s="152"/>
      <c r="V267" s="152"/>
      <c r="W267" s="152"/>
      <c r="X267" s="152"/>
      <c r="Y267" s="152"/>
      <c r="Z267" s="152"/>
      <c r="AA267" s="152"/>
      <c r="AB267" s="152"/>
      <c r="AC267" s="152"/>
      <c r="AD267" s="152"/>
      <c r="AE267" s="152"/>
    </row>
    <row r="268" spans="1:31" ht="15.75">
      <c r="A268" s="152"/>
      <c r="B268" s="152"/>
      <c r="C268" s="281"/>
      <c r="D268" s="152"/>
      <c r="E268" s="152"/>
      <c r="F268" s="152"/>
      <c r="G268" s="152"/>
      <c r="H268" s="152"/>
      <c r="I268" s="152"/>
      <c r="J268" s="152"/>
      <c r="K268" s="152"/>
      <c r="L268" s="152"/>
      <c r="M268" s="152"/>
      <c r="N268" s="152"/>
      <c r="O268" s="152"/>
      <c r="P268" s="152"/>
      <c r="Q268" s="152"/>
      <c r="R268" s="152"/>
      <c r="S268" s="152"/>
      <c r="T268" s="152"/>
      <c r="U268" s="152"/>
      <c r="V268" s="152"/>
      <c r="W268" s="152"/>
      <c r="X268" s="152"/>
      <c r="Y268" s="152"/>
      <c r="Z268" s="152"/>
      <c r="AA268" s="152"/>
      <c r="AB268" s="152"/>
      <c r="AC268" s="152"/>
      <c r="AD268" s="152"/>
      <c r="AE268" s="152"/>
    </row>
    <row r="269" spans="1:31" ht="15.75">
      <c r="A269" s="152"/>
      <c r="B269" s="152"/>
      <c r="C269" s="281"/>
      <c r="D269" s="152"/>
      <c r="E269" s="152"/>
      <c r="F269" s="152"/>
      <c r="G269" s="152"/>
      <c r="H269" s="152"/>
      <c r="I269" s="152"/>
      <c r="J269" s="152"/>
      <c r="K269" s="152"/>
      <c r="L269" s="152"/>
      <c r="M269" s="152"/>
      <c r="N269" s="152"/>
      <c r="O269" s="152"/>
      <c r="P269" s="152"/>
      <c r="Q269" s="152"/>
      <c r="R269" s="152"/>
      <c r="S269" s="152"/>
      <c r="T269" s="152"/>
      <c r="U269" s="152"/>
      <c r="V269" s="152"/>
      <c r="W269" s="152"/>
      <c r="X269" s="152"/>
      <c r="Y269" s="152"/>
      <c r="Z269" s="152"/>
      <c r="AA269" s="152"/>
      <c r="AB269" s="152"/>
      <c r="AC269" s="152"/>
      <c r="AD269" s="152"/>
      <c r="AE269" s="152"/>
    </row>
    <row r="270" spans="1:31" ht="15.75">
      <c r="A270" s="152"/>
      <c r="B270" s="152"/>
      <c r="C270" s="281"/>
      <c r="D270" s="152"/>
      <c r="E270" s="152"/>
      <c r="F270" s="152"/>
      <c r="G270" s="152"/>
      <c r="H270" s="152"/>
      <c r="I270" s="152"/>
      <c r="J270" s="152"/>
      <c r="K270" s="152"/>
      <c r="L270" s="152"/>
      <c r="M270" s="152"/>
      <c r="N270" s="152"/>
      <c r="O270" s="152"/>
      <c r="P270" s="152"/>
      <c r="Q270" s="152"/>
      <c r="R270" s="152"/>
      <c r="S270" s="152"/>
      <c r="T270" s="152"/>
      <c r="U270" s="152"/>
      <c r="V270" s="152"/>
      <c r="W270" s="152"/>
      <c r="X270" s="152"/>
      <c r="Y270" s="152"/>
      <c r="Z270" s="152"/>
      <c r="AA270" s="152"/>
      <c r="AB270" s="152"/>
      <c r="AC270" s="152"/>
      <c r="AD270" s="152"/>
      <c r="AE270" s="152"/>
    </row>
    <row r="271" spans="1:31" ht="15.75">
      <c r="A271" s="152"/>
      <c r="B271" s="152"/>
      <c r="C271" s="281"/>
      <c r="D271" s="152"/>
      <c r="E271" s="152"/>
      <c r="F271" s="152"/>
      <c r="G271" s="152"/>
      <c r="H271" s="152"/>
      <c r="I271" s="152"/>
      <c r="J271" s="152"/>
      <c r="K271" s="152"/>
      <c r="L271" s="152"/>
      <c r="M271" s="152"/>
      <c r="N271" s="152"/>
      <c r="O271" s="152"/>
      <c r="P271" s="152"/>
      <c r="Q271" s="152"/>
      <c r="R271" s="152"/>
      <c r="S271" s="152"/>
      <c r="T271" s="152"/>
      <c r="U271" s="152"/>
      <c r="V271" s="152"/>
      <c r="W271" s="152"/>
      <c r="X271" s="152"/>
      <c r="Y271" s="152"/>
      <c r="Z271" s="152"/>
      <c r="AA271" s="152"/>
      <c r="AB271" s="152"/>
      <c r="AC271" s="152"/>
      <c r="AD271" s="152"/>
      <c r="AE271" s="152"/>
    </row>
    <row r="272" spans="1:31" ht="15.75">
      <c r="A272" s="152"/>
      <c r="B272" s="152"/>
      <c r="C272" s="281"/>
      <c r="D272" s="152"/>
      <c r="E272" s="152"/>
      <c r="F272" s="152"/>
      <c r="G272" s="152"/>
      <c r="H272" s="152"/>
      <c r="I272" s="152"/>
      <c r="J272" s="152"/>
      <c r="K272" s="152"/>
      <c r="L272" s="152"/>
      <c r="M272" s="152"/>
      <c r="N272" s="152"/>
      <c r="O272" s="152"/>
      <c r="P272" s="152"/>
      <c r="Q272" s="152"/>
      <c r="R272" s="152"/>
      <c r="S272" s="152"/>
      <c r="T272" s="152"/>
      <c r="U272" s="152"/>
      <c r="V272" s="152"/>
      <c r="W272" s="152"/>
      <c r="X272" s="152"/>
      <c r="Y272" s="152"/>
      <c r="Z272" s="152"/>
      <c r="AA272" s="152"/>
      <c r="AB272" s="152"/>
      <c r="AC272" s="152"/>
      <c r="AD272" s="152"/>
      <c r="AE272" s="152"/>
    </row>
    <row r="273" spans="1:31" ht="15.75">
      <c r="A273" s="152"/>
      <c r="B273" s="152"/>
      <c r="C273" s="281"/>
      <c r="D273" s="152"/>
      <c r="E273" s="152"/>
      <c r="F273" s="152"/>
      <c r="G273" s="152"/>
      <c r="H273" s="152"/>
      <c r="I273" s="152"/>
      <c r="J273" s="152"/>
      <c r="K273" s="152"/>
      <c r="L273" s="152"/>
      <c r="M273" s="152"/>
      <c r="N273" s="152"/>
      <c r="O273" s="152"/>
      <c r="P273" s="152"/>
      <c r="Q273" s="152"/>
      <c r="R273" s="152"/>
      <c r="S273" s="152"/>
      <c r="T273" s="152"/>
      <c r="U273" s="152"/>
      <c r="V273" s="152"/>
      <c r="W273" s="152"/>
      <c r="X273" s="152"/>
      <c r="Y273" s="152"/>
      <c r="Z273" s="152"/>
      <c r="AA273" s="152"/>
      <c r="AB273" s="152"/>
      <c r="AC273" s="152"/>
      <c r="AD273" s="152"/>
      <c r="AE273" s="152"/>
    </row>
    <row r="274" spans="1:31" ht="15.75">
      <c r="A274" s="152"/>
      <c r="B274" s="152"/>
      <c r="C274" s="281"/>
      <c r="D274" s="152"/>
      <c r="E274" s="152"/>
      <c r="F274" s="152"/>
      <c r="G274" s="152"/>
      <c r="H274" s="152"/>
      <c r="I274" s="152"/>
      <c r="J274" s="152"/>
      <c r="K274" s="152"/>
      <c r="L274" s="152"/>
      <c r="M274" s="152"/>
      <c r="N274" s="152"/>
      <c r="O274" s="152"/>
      <c r="P274" s="152"/>
      <c r="Q274" s="152"/>
      <c r="R274" s="152"/>
      <c r="S274" s="152"/>
      <c r="T274" s="152"/>
      <c r="U274" s="152"/>
      <c r="V274" s="152"/>
      <c r="W274" s="152"/>
      <c r="X274" s="152"/>
      <c r="Y274" s="152"/>
      <c r="Z274" s="152"/>
      <c r="AA274" s="152"/>
      <c r="AB274" s="152"/>
      <c r="AC274" s="152"/>
      <c r="AD274" s="152"/>
      <c r="AE274" s="152"/>
    </row>
    <row r="275" spans="1:31" ht="15.75">
      <c r="A275" s="152"/>
      <c r="B275" s="152"/>
      <c r="C275" s="281"/>
      <c r="D275" s="152"/>
      <c r="E275" s="152"/>
      <c r="F275" s="152"/>
      <c r="G275" s="152"/>
      <c r="H275" s="152"/>
      <c r="I275" s="152"/>
      <c r="J275" s="152"/>
      <c r="K275" s="152"/>
      <c r="L275" s="152"/>
      <c r="M275" s="152"/>
      <c r="N275" s="152"/>
      <c r="O275" s="152"/>
      <c r="P275" s="152"/>
      <c r="Q275" s="152"/>
      <c r="R275" s="152"/>
      <c r="S275" s="152"/>
      <c r="T275" s="152"/>
      <c r="U275" s="152"/>
      <c r="V275" s="152"/>
      <c r="W275" s="152"/>
      <c r="X275" s="152"/>
      <c r="Y275" s="152"/>
      <c r="Z275" s="152"/>
      <c r="AA275" s="152"/>
      <c r="AB275" s="152"/>
      <c r="AC275" s="152"/>
      <c r="AD275" s="152"/>
      <c r="AE275" s="152"/>
    </row>
    <row r="276" spans="1:31" ht="15.75">
      <c r="A276" s="152"/>
      <c r="B276" s="152"/>
      <c r="C276" s="281"/>
      <c r="D276" s="152"/>
      <c r="E276" s="152"/>
      <c r="F276" s="152"/>
      <c r="G276" s="152"/>
      <c r="H276" s="152"/>
      <c r="I276" s="152"/>
      <c r="J276" s="152"/>
      <c r="K276" s="152"/>
      <c r="L276" s="152"/>
      <c r="M276" s="152"/>
      <c r="N276" s="152"/>
      <c r="O276" s="152"/>
      <c r="P276" s="152"/>
      <c r="Q276" s="152"/>
      <c r="R276" s="152"/>
      <c r="S276" s="152"/>
      <c r="T276" s="152"/>
      <c r="U276" s="152"/>
      <c r="V276" s="152"/>
      <c r="W276" s="152"/>
      <c r="X276" s="152"/>
      <c r="Y276" s="152"/>
      <c r="Z276" s="152"/>
      <c r="AA276" s="152"/>
      <c r="AB276" s="152"/>
      <c r="AC276" s="152"/>
      <c r="AD276" s="152"/>
      <c r="AE276" s="152"/>
    </row>
    <row r="277" spans="1:31" ht="15.75">
      <c r="A277" s="152"/>
      <c r="B277" s="152"/>
      <c r="C277" s="281"/>
      <c r="D277" s="152"/>
      <c r="E277" s="152"/>
      <c r="F277" s="152"/>
      <c r="G277" s="152"/>
      <c r="H277" s="152"/>
      <c r="I277" s="152"/>
      <c r="J277" s="152"/>
      <c r="K277" s="152"/>
      <c r="L277" s="152"/>
      <c r="M277" s="152"/>
      <c r="N277" s="152"/>
      <c r="O277" s="152"/>
      <c r="P277" s="152"/>
      <c r="Q277" s="152"/>
      <c r="R277" s="152"/>
      <c r="S277" s="152"/>
      <c r="T277" s="152"/>
      <c r="U277" s="152"/>
      <c r="V277" s="152"/>
      <c r="W277" s="152"/>
      <c r="X277" s="152"/>
      <c r="Y277" s="152"/>
      <c r="Z277" s="152"/>
      <c r="AA277" s="152"/>
      <c r="AB277" s="152"/>
      <c r="AC277" s="152"/>
      <c r="AD277" s="152"/>
      <c r="AE277" s="152"/>
    </row>
    <row r="278" spans="1:31" ht="15.75">
      <c r="A278" s="152"/>
      <c r="B278" s="152"/>
      <c r="C278" s="281"/>
      <c r="D278" s="152"/>
      <c r="E278" s="152"/>
      <c r="F278" s="152"/>
      <c r="G278" s="152"/>
      <c r="H278" s="152"/>
      <c r="I278" s="152"/>
      <c r="J278" s="152"/>
      <c r="K278" s="152"/>
      <c r="L278" s="152"/>
      <c r="M278" s="152"/>
      <c r="N278" s="152"/>
      <c r="O278" s="152"/>
      <c r="P278" s="152"/>
      <c r="Q278" s="152"/>
      <c r="R278" s="152"/>
      <c r="S278" s="152"/>
      <c r="T278" s="152"/>
      <c r="U278" s="152"/>
      <c r="V278" s="152"/>
      <c r="W278" s="152"/>
      <c r="X278" s="152"/>
      <c r="Y278" s="152"/>
      <c r="Z278" s="152"/>
      <c r="AA278" s="152"/>
      <c r="AB278" s="152"/>
      <c r="AC278" s="152"/>
      <c r="AD278" s="152"/>
      <c r="AE278" s="152"/>
    </row>
    <row r="279" spans="1:31" ht="15.75">
      <c r="A279" s="152"/>
      <c r="B279" s="152"/>
      <c r="C279" s="281"/>
      <c r="D279" s="152"/>
      <c r="E279" s="152"/>
      <c r="F279" s="152"/>
      <c r="G279" s="152"/>
      <c r="H279" s="152"/>
      <c r="I279" s="152"/>
      <c r="J279" s="152"/>
      <c r="K279" s="152"/>
      <c r="L279" s="152"/>
      <c r="M279" s="152"/>
      <c r="N279" s="152"/>
      <c r="O279" s="152"/>
      <c r="P279" s="152"/>
      <c r="Q279" s="152"/>
      <c r="R279" s="152"/>
      <c r="S279" s="152"/>
      <c r="T279" s="152"/>
      <c r="U279" s="152"/>
      <c r="V279" s="152"/>
      <c r="W279" s="152"/>
      <c r="X279" s="152"/>
      <c r="Y279" s="152"/>
      <c r="Z279" s="152"/>
      <c r="AA279" s="152"/>
      <c r="AB279" s="152"/>
      <c r="AC279" s="152"/>
      <c r="AD279" s="152"/>
      <c r="AE279" s="152"/>
    </row>
    <row r="280" spans="1:31" ht="15.75">
      <c r="A280" s="152"/>
      <c r="B280" s="152"/>
      <c r="C280" s="281"/>
      <c r="D280" s="152"/>
      <c r="E280" s="152"/>
      <c r="F280" s="152"/>
      <c r="G280" s="152"/>
      <c r="H280" s="152"/>
      <c r="I280" s="152"/>
      <c r="J280" s="152"/>
      <c r="K280" s="152"/>
      <c r="L280" s="152"/>
      <c r="M280" s="152"/>
      <c r="N280" s="152"/>
      <c r="O280" s="152"/>
      <c r="P280" s="152"/>
      <c r="Q280" s="152"/>
      <c r="R280" s="152"/>
      <c r="S280" s="152"/>
      <c r="T280" s="152"/>
      <c r="U280" s="152"/>
      <c r="V280" s="152"/>
      <c r="W280" s="152"/>
      <c r="X280" s="152"/>
      <c r="Y280" s="152"/>
      <c r="Z280" s="152"/>
      <c r="AA280" s="152"/>
      <c r="AB280" s="152"/>
      <c r="AC280" s="152"/>
      <c r="AD280" s="152"/>
      <c r="AE280" s="152"/>
    </row>
    <row r="281" spans="1:31" ht="15.75">
      <c r="A281" s="152"/>
      <c r="B281" s="152"/>
      <c r="C281" s="281"/>
      <c r="D281" s="152"/>
      <c r="E281" s="152"/>
      <c r="F281" s="152"/>
      <c r="G281" s="152"/>
      <c r="H281" s="152"/>
      <c r="I281" s="152"/>
      <c r="J281" s="152"/>
      <c r="K281" s="152"/>
      <c r="L281" s="152"/>
      <c r="M281" s="152"/>
      <c r="N281" s="152"/>
      <c r="O281" s="152"/>
      <c r="P281" s="152"/>
      <c r="Q281" s="152"/>
      <c r="R281" s="152"/>
      <c r="S281" s="152"/>
      <c r="T281" s="152"/>
      <c r="U281" s="152"/>
      <c r="V281" s="152"/>
      <c r="W281" s="152"/>
      <c r="X281" s="152"/>
      <c r="Y281" s="152"/>
      <c r="Z281" s="152"/>
      <c r="AA281" s="152"/>
      <c r="AB281" s="152"/>
      <c r="AC281" s="152"/>
      <c r="AD281" s="152"/>
      <c r="AE281" s="152"/>
    </row>
    <row r="282" spans="1:31" ht="15.75">
      <c r="A282" s="152"/>
      <c r="B282" s="152"/>
      <c r="C282" s="281"/>
      <c r="D282" s="152"/>
      <c r="E282" s="152"/>
      <c r="F282" s="152"/>
      <c r="G282" s="152"/>
      <c r="H282" s="152"/>
      <c r="I282" s="152"/>
      <c r="J282" s="152"/>
      <c r="K282" s="152"/>
      <c r="L282" s="152"/>
      <c r="M282" s="152"/>
      <c r="N282" s="152"/>
      <c r="O282" s="152"/>
      <c r="P282" s="152"/>
      <c r="Q282" s="152"/>
      <c r="R282" s="152"/>
      <c r="S282" s="152"/>
      <c r="T282" s="152"/>
      <c r="U282" s="152"/>
      <c r="V282" s="152"/>
      <c r="W282" s="152"/>
      <c r="X282" s="152"/>
      <c r="Y282" s="152"/>
      <c r="Z282" s="152"/>
      <c r="AA282" s="152"/>
      <c r="AB282" s="152"/>
      <c r="AC282" s="152"/>
      <c r="AD282" s="152"/>
      <c r="AE282" s="152"/>
    </row>
    <row r="283" spans="1:31" ht="15.75">
      <c r="A283" s="152"/>
      <c r="B283" s="152"/>
      <c r="C283" s="281"/>
      <c r="D283" s="152"/>
      <c r="E283" s="152"/>
      <c r="F283" s="152"/>
      <c r="G283" s="152"/>
      <c r="H283" s="152"/>
      <c r="I283" s="152"/>
      <c r="J283" s="152"/>
      <c r="K283" s="152"/>
      <c r="L283" s="152"/>
      <c r="M283" s="152"/>
      <c r="N283" s="152"/>
      <c r="O283" s="152"/>
      <c r="P283" s="152"/>
      <c r="Q283" s="152"/>
      <c r="R283" s="152"/>
      <c r="S283" s="152"/>
      <c r="T283" s="152"/>
      <c r="U283" s="152"/>
      <c r="V283" s="152"/>
      <c r="W283" s="152"/>
      <c r="X283" s="152"/>
      <c r="Y283" s="152"/>
      <c r="Z283" s="152"/>
      <c r="AA283" s="152"/>
      <c r="AB283" s="152"/>
      <c r="AC283" s="152"/>
      <c r="AD283" s="152"/>
      <c r="AE283" s="152"/>
    </row>
    <row r="284" spans="1:31" ht="15.75">
      <c r="A284" s="152"/>
      <c r="B284" s="152"/>
      <c r="C284" s="281"/>
      <c r="D284" s="152"/>
      <c r="E284" s="152"/>
      <c r="F284" s="152"/>
      <c r="G284" s="152"/>
      <c r="H284" s="152"/>
      <c r="I284" s="152"/>
      <c r="J284" s="152"/>
      <c r="K284" s="152"/>
      <c r="L284" s="152"/>
      <c r="M284" s="152"/>
      <c r="N284" s="152"/>
      <c r="O284" s="152"/>
      <c r="P284" s="152"/>
      <c r="Q284" s="152"/>
      <c r="R284" s="152"/>
      <c r="S284" s="152"/>
      <c r="T284" s="152"/>
      <c r="U284" s="152"/>
      <c r="V284" s="152"/>
      <c r="W284" s="152"/>
      <c r="X284" s="152"/>
      <c r="Y284" s="152"/>
      <c r="Z284" s="152"/>
      <c r="AA284" s="152"/>
      <c r="AB284" s="152"/>
      <c r="AC284" s="152"/>
      <c r="AD284" s="152"/>
      <c r="AE284" s="152"/>
    </row>
    <row r="285" spans="1:31" ht="15.75">
      <c r="A285" s="152"/>
      <c r="B285" s="152"/>
      <c r="C285" s="281"/>
      <c r="D285" s="152"/>
      <c r="E285" s="152"/>
      <c r="F285" s="152"/>
      <c r="G285" s="152"/>
      <c r="H285" s="152"/>
      <c r="I285" s="152"/>
      <c r="J285" s="152"/>
      <c r="K285" s="152"/>
      <c r="L285" s="152"/>
      <c r="M285" s="152"/>
      <c r="N285" s="152"/>
      <c r="O285" s="152"/>
      <c r="P285" s="152"/>
      <c r="Q285" s="152"/>
      <c r="R285" s="152"/>
      <c r="S285" s="152"/>
      <c r="T285" s="152"/>
      <c r="U285" s="152"/>
      <c r="V285" s="152"/>
      <c r="W285" s="152"/>
      <c r="X285" s="152"/>
      <c r="Y285" s="152"/>
      <c r="Z285" s="152"/>
      <c r="AA285" s="152"/>
      <c r="AB285" s="152"/>
      <c r="AC285" s="152"/>
      <c r="AD285" s="152"/>
      <c r="AE285" s="152"/>
    </row>
    <row r="286" spans="1:31" ht="15.75">
      <c r="A286" s="152"/>
      <c r="B286" s="152"/>
      <c r="C286" s="281"/>
      <c r="D286" s="152"/>
      <c r="E286" s="152"/>
      <c r="F286" s="152"/>
      <c r="G286" s="152"/>
      <c r="H286" s="152"/>
      <c r="I286" s="152"/>
      <c r="J286" s="152"/>
      <c r="K286" s="152"/>
      <c r="L286" s="152"/>
      <c r="M286" s="152"/>
      <c r="N286" s="152"/>
      <c r="O286" s="152"/>
      <c r="P286" s="152"/>
      <c r="Q286" s="152"/>
      <c r="R286" s="152"/>
      <c r="S286" s="152"/>
      <c r="T286" s="152"/>
      <c r="U286" s="152"/>
      <c r="V286" s="152"/>
      <c r="W286" s="152"/>
      <c r="X286" s="152"/>
      <c r="Y286" s="152"/>
      <c r="Z286" s="152"/>
      <c r="AA286" s="152"/>
      <c r="AB286" s="152"/>
      <c r="AC286" s="152"/>
      <c r="AD286" s="152"/>
      <c r="AE286" s="152"/>
    </row>
    <row r="287" spans="1:31" ht="15.75">
      <c r="A287" s="152"/>
      <c r="B287" s="152"/>
      <c r="C287" s="281"/>
      <c r="D287" s="152"/>
      <c r="E287" s="152"/>
      <c r="F287" s="152"/>
      <c r="G287" s="152"/>
      <c r="H287" s="152"/>
      <c r="I287" s="152"/>
      <c r="J287" s="152"/>
      <c r="K287" s="152"/>
      <c r="L287" s="152"/>
      <c r="M287" s="152"/>
      <c r="N287" s="152"/>
      <c r="O287" s="152"/>
      <c r="P287" s="152"/>
      <c r="Q287" s="152"/>
      <c r="R287" s="152"/>
      <c r="S287" s="152"/>
      <c r="T287" s="152"/>
      <c r="U287" s="152"/>
      <c r="V287" s="152"/>
      <c r="W287" s="152"/>
      <c r="X287" s="152"/>
      <c r="Y287" s="152"/>
      <c r="Z287" s="152"/>
      <c r="AA287" s="152"/>
      <c r="AB287" s="152"/>
      <c r="AC287" s="152"/>
      <c r="AD287" s="152"/>
      <c r="AE287" s="152"/>
    </row>
    <row r="288" spans="1:31" ht="15.75">
      <c r="A288" s="152"/>
      <c r="B288" s="152"/>
      <c r="C288" s="281"/>
      <c r="D288" s="152"/>
      <c r="E288" s="152"/>
      <c r="F288" s="152"/>
      <c r="G288" s="152"/>
      <c r="H288" s="152"/>
      <c r="I288" s="152"/>
      <c r="J288" s="152"/>
      <c r="K288" s="152"/>
      <c r="L288" s="152"/>
      <c r="M288" s="152"/>
      <c r="N288" s="152"/>
      <c r="O288" s="152"/>
      <c r="P288" s="152"/>
      <c r="Q288" s="152"/>
      <c r="R288" s="152"/>
      <c r="S288" s="152"/>
      <c r="T288" s="152"/>
      <c r="U288" s="152"/>
      <c r="V288" s="152"/>
      <c r="W288" s="152"/>
      <c r="X288" s="152"/>
      <c r="Y288" s="152"/>
      <c r="Z288" s="152"/>
      <c r="AA288" s="152"/>
      <c r="AB288" s="152"/>
      <c r="AC288" s="152"/>
      <c r="AD288" s="152"/>
      <c r="AE288" s="152"/>
    </row>
    <row r="289" spans="1:31" ht="15.75">
      <c r="A289" s="152"/>
      <c r="B289" s="152"/>
      <c r="C289" s="281"/>
      <c r="D289" s="152"/>
      <c r="E289" s="152"/>
      <c r="F289" s="152"/>
      <c r="G289" s="152"/>
      <c r="H289" s="152"/>
      <c r="I289" s="152"/>
      <c r="J289" s="152"/>
      <c r="K289" s="152"/>
      <c r="L289" s="152"/>
      <c r="M289" s="152"/>
      <c r="N289" s="152"/>
      <c r="O289" s="152"/>
      <c r="P289" s="152"/>
      <c r="Q289" s="152"/>
      <c r="R289" s="152"/>
      <c r="S289" s="152"/>
      <c r="T289" s="152"/>
      <c r="U289" s="152"/>
      <c r="V289" s="152"/>
      <c r="W289" s="152"/>
      <c r="X289" s="152"/>
      <c r="Y289" s="152"/>
      <c r="Z289" s="152"/>
      <c r="AA289" s="152"/>
      <c r="AB289" s="152"/>
      <c r="AC289" s="152"/>
      <c r="AD289" s="152"/>
      <c r="AE289" s="152"/>
    </row>
    <row r="290" spans="1:31" ht="15.75">
      <c r="A290" s="152"/>
      <c r="B290" s="152"/>
      <c r="C290" s="281"/>
      <c r="D290" s="152"/>
      <c r="E290" s="152"/>
      <c r="F290" s="152"/>
      <c r="G290" s="152"/>
      <c r="H290" s="152"/>
      <c r="I290" s="152"/>
      <c r="J290" s="152"/>
      <c r="K290" s="152"/>
      <c r="L290" s="152"/>
      <c r="M290" s="152"/>
      <c r="N290" s="152"/>
      <c r="O290" s="152"/>
      <c r="P290" s="152"/>
      <c r="Q290" s="152"/>
      <c r="R290" s="152"/>
      <c r="S290" s="152"/>
      <c r="T290" s="152"/>
      <c r="U290" s="152"/>
      <c r="V290" s="152"/>
      <c r="W290" s="152"/>
      <c r="X290" s="152"/>
      <c r="Y290" s="152"/>
      <c r="Z290" s="152"/>
      <c r="AA290" s="152"/>
      <c r="AB290" s="152"/>
      <c r="AC290" s="152"/>
      <c r="AD290" s="152"/>
      <c r="AE290" s="152"/>
    </row>
    <row r="291" spans="1:31" ht="15.75">
      <c r="A291" s="152"/>
      <c r="B291" s="152"/>
      <c r="C291" s="281"/>
      <c r="D291" s="152"/>
      <c r="E291" s="152"/>
      <c r="F291" s="152"/>
      <c r="G291" s="152"/>
      <c r="H291" s="152"/>
      <c r="I291" s="152"/>
      <c r="J291" s="152"/>
      <c r="K291" s="152"/>
      <c r="L291" s="152"/>
      <c r="M291" s="152"/>
      <c r="N291" s="152"/>
      <c r="O291" s="152"/>
      <c r="P291" s="152"/>
      <c r="Q291" s="152"/>
      <c r="R291" s="152"/>
      <c r="S291" s="152"/>
      <c r="T291" s="152"/>
      <c r="U291" s="152"/>
      <c r="V291" s="152"/>
      <c r="W291" s="152"/>
      <c r="X291" s="152"/>
      <c r="Y291" s="152"/>
      <c r="Z291" s="152"/>
      <c r="AA291" s="152"/>
      <c r="AB291" s="152"/>
      <c r="AC291" s="152"/>
      <c r="AD291" s="152"/>
      <c r="AE291" s="152"/>
    </row>
    <row r="292" spans="1:31" ht="15.75">
      <c r="A292" s="152"/>
      <c r="B292" s="152"/>
      <c r="C292" s="281"/>
      <c r="D292" s="152"/>
      <c r="E292" s="152"/>
      <c r="F292" s="152"/>
      <c r="G292" s="152"/>
      <c r="H292" s="152"/>
      <c r="I292" s="152"/>
      <c r="J292" s="152"/>
      <c r="K292" s="152"/>
      <c r="L292" s="152"/>
      <c r="M292" s="152"/>
      <c r="N292" s="152"/>
      <c r="O292" s="152"/>
      <c r="P292" s="152"/>
      <c r="Q292" s="152"/>
      <c r="R292" s="152"/>
      <c r="S292" s="152"/>
      <c r="T292" s="152"/>
      <c r="U292" s="152"/>
      <c r="V292" s="152"/>
      <c r="W292" s="152"/>
      <c r="X292" s="152"/>
      <c r="Y292" s="152"/>
      <c r="Z292" s="152"/>
      <c r="AA292" s="152"/>
      <c r="AB292" s="152"/>
      <c r="AC292" s="152"/>
      <c r="AD292" s="152"/>
      <c r="AE292" s="152"/>
    </row>
    <row r="293" spans="1:31" ht="15.75">
      <c r="A293" s="152"/>
      <c r="B293" s="152"/>
      <c r="C293" s="281"/>
      <c r="D293" s="152"/>
      <c r="E293" s="152"/>
      <c r="F293" s="152"/>
      <c r="G293" s="152"/>
      <c r="H293" s="152"/>
      <c r="I293" s="152"/>
      <c r="J293" s="152"/>
      <c r="K293" s="152"/>
      <c r="L293" s="152"/>
      <c r="M293" s="152"/>
      <c r="N293" s="152"/>
      <c r="O293" s="152"/>
      <c r="P293" s="152"/>
      <c r="Q293" s="152"/>
      <c r="R293" s="152"/>
      <c r="S293" s="152"/>
      <c r="T293" s="152"/>
      <c r="U293" s="152"/>
      <c r="V293" s="152"/>
      <c r="W293" s="152"/>
      <c r="X293" s="152"/>
      <c r="Y293" s="152"/>
      <c r="Z293" s="152"/>
      <c r="AA293" s="152"/>
      <c r="AB293" s="152"/>
      <c r="AC293" s="152"/>
      <c r="AD293" s="152"/>
      <c r="AE293" s="152"/>
    </row>
    <row r="294" spans="1:31" ht="15.75">
      <c r="A294" s="152"/>
      <c r="B294" s="152"/>
      <c r="C294" s="281"/>
      <c r="D294" s="152"/>
      <c r="E294" s="152"/>
      <c r="F294" s="152"/>
      <c r="G294" s="152"/>
      <c r="H294" s="152"/>
      <c r="I294" s="152"/>
      <c r="J294" s="152"/>
      <c r="K294" s="152"/>
      <c r="L294" s="152"/>
      <c r="M294" s="152"/>
      <c r="N294" s="152"/>
      <c r="O294" s="152"/>
      <c r="P294" s="152"/>
      <c r="Q294" s="152"/>
      <c r="R294" s="152"/>
      <c r="S294" s="152"/>
      <c r="T294" s="152"/>
      <c r="U294" s="152"/>
      <c r="V294" s="152"/>
      <c r="W294" s="152"/>
      <c r="X294" s="152"/>
      <c r="Y294" s="152"/>
      <c r="Z294" s="152"/>
      <c r="AA294" s="152"/>
      <c r="AB294" s="152"/>
      <c r="AC294" s="152"/>
      <c r="AD294" s="152"/>
      <c r="AE294" s="152"/>
    </row>
    <row r="295" spans="1:31" ht="15.75">
      <c r="A295" s="152"/>
      <c r="B295" s="152"/>
      <c r="C295" s="281"/>
      <c r="D295" s="152"/>
      <c r="E295" s="152"/>
      <c r="F295" s="152"/>
      <c r="G295" s="152"/>
      <c r="H295" s="152"/>
      <c r="I295" s="152"/>
      <c r="J295" s="152"/>
      <c r="K295" s="152"/>
      <c r="L295" s="152"/>
      <c r="M295" s="152"/>
      <c r="N295" s="152"/>
      <c r="O295" s="152"/>
      <c r="P295" s="152"/>
      <c r="Q295" s="152"/>
      <c r="R295" s="152"/>
      <c r="S295" s="152"/>
      <c r="T295" s="152"/>
      <c r="U295" s="152"/>
      <c r="V295" s="152"/>
      <c r="W295" s="152"/>
      <c r="X295" s="152"/>
      <c r="Y295" s="152"/>
      <c r="Z295" s="152"/>
      <c r="AA295" s="152"/>
      <c r="AB295" s="152"/>
      <c r="AC295" s="152"/>
      <c r="AD295" s="152"/>
      <c r="AE295" s="152"/>
    </row>
    <row r="296" spans="1:31" ht="15.75">
      <c r="A296" s="152"/>
      <c r="B296" s="152"/>
      <c r="C296" s="281"/>
      <c r="D296" s="152"/>
      <c r="E296" s="152"/>
      <c r="F296" s="152"/>
      <c r="G296" s="152"/>
      <c r="H296" s="152"/>
      <c r="I296" s="152"/>
      <c r="J296" s="152"/>
      <c r="K296" s="152"/>
      <c r="L296" s="152"/>
      <c r="M296" s="152"/>
      <c r="N296" s="152"/>
      <c r="O296" s="152"/>
      <c r="P296" s="152"/>
      <c r="Q296" s="152"/>
      <c r="R296" s="152"/>
      <c r="S296" s="152"/>
      <c r="T296" s="152"/>
      <c r="U296" s="152"/>
      <c r="V296" s="152"/>
      <c r="W296" s="152"/>
      <c r="X296" s="152"/>
      <c r="Y296" s="152"/>
      <c r="Z296" s="152"/>
      <c r="AA296" s="152"/>
      <c r="AB296" s="152"/>
      <c r="AC296" s="152"/>
      <c r="AD296" s="152"/>
      <c r="AE296" s="152"/>
    </row>
    <row r="297" spans="1:31" ht="15.75">
      <c r="A297" s="152"/>
      <c r="B297" s="152"/>
      <c r="C297" s="281"/>
      <c r="D297" s="152"/>
      <c r="E297" s="152"/>
      <c r="F297" s="152"/>
      <c r="G297" s="152"/>
      <c r="H297" s="152"/>
      <c r="I297" s="152"/>
      <c r="J297" s="152"/>
      <c r="K297" s="152"/>
      <c r="L297" s="152"/>
      <c r="M297" s="152"/>
      <c r="N297" s="152"/>
      <c r="O297" s="152"/>
      <c r="P297" s="152"/>
      <c r="Q297" s="152"/>
      <c r="R297" s="152"/>
      <c r="S297" s="152"/>
      <c r="T297" s="152"/>
      <c r="U297" s="152"/>
      <c r="V297" s="152"/>
      <c r="W297" s="152"/>
      <c r="X297" s="152"/>
      <c r="Y297" s="152"/>
      <c r="Z297" s="152"/>
      <c r="AA297" s="152"/>
      <c r="AB297" s="152"/>
      <c r="AC297" s="152"/>
      <c r="AD297" s="152"/>
      <c r="AE297" s="152"/>
    </row>
    <row r="298" spans="1:31" ht="15.75">
      <c r="A298" s="152"/>
      <c r="B298" s="152"/>
      <c r="C298" s="281"/>
      <c r="D298" s="152"/>
      <c r="E298" s="152"/>
      <c r="F298" s="152"/>
      <c r="G298" s="152"/>
      <c r="H298" s="152"/>
      <c r="I298" s="152"/>
      <c r="J298" s="152"/>
      <c r="K298" s="152"/>
      <c r="L298" s="152"/>
      <c r="M298" s="152"/>
      <c r="N298" s="152"/>
      <c r="O298" s="152"/>
      <c r="P298" s="152"/>
      <c r="Q298" s="152"/>
      <c r="R298" s="152"/>
      <c r="S298" s="152"/>
      <c r="T298" s="152"/>
      <c r="U298" s="152"/>
      <c r="V298" s="152"/>
      <c r="W298" s="152"/>
      <c r="X298" s="152"/>
      <c r="Y298" s="152"/>
      <c r="Z298" s="152"/>
      <c r="AA298" s="152"/>
      <c r="AB298" s="152"/>
      <c r="AC298" s="152"/>
      <c r="AD298" s="152"/>
      <c r="AE298" s="152"/>
    </row>
    <row r="299" spans="1:31" ht="15.75">
      <c r="A299" s="152"/>
      <c r="B299" s="152"/>
      <c r="C299" s="281"/>
      <c r="D299" s="152"/>
      <c r="E299" s="152"/>
      <c r="F299" s="152"/>
      <c r="G299" s="152"/>
      <c r="H299" s="152"/>
      <c r="I299" s="152"/>
      <c r="J299" s="152"/>
      <c r="K299" s="152"/>
      <c r="L299" s="152"/>
      <c r="M299" s="152"/>
      <c r="N299" s="152"/>
      <c r="O299" s="152"/>
      <c r="P299" s="152"/>
      <c r="Q299" s="152"/>
      <c r="R299" s="152"/>
      <c r="S299" s="152"/>
      <c r="T299" s="152"/>
      <c r="U299" s="152"/>
      <c r="V299" s="152"/>
      <c r="W299" s="152"/>
      <c r="X299" s="152"/>
      <c r="Y299" s="152"/>
      <c r="Z299" s="152"/>
      <c r="AA299" s="152"/>
      <c r="AB299" s="152"/>
      <c r="AC299" s="152"/>
      <c r="AD299" s="152"/>
      <c r="AE299" s="152"/>
    </row>
    <row r="300" spans="1:31" ht="15.75">
      <c r="A300" s="152"/>
      <c r="B300" s="152"/>
      <c r="C300" s="281"/>
      <c r="D300" s="152"/>
      <c r="E300" s="152"/>
      <c r="F300" s="152"/>
      <c r="G300" s="152"/>
      <c r="H300" s="152"/>
      <c r="I300" s="152"/>
      <c r="J300" s="152"/>
      <c r="K300" s="152"/>
      <c r="L300" s="152"/>
      <c r="M300" s="152"/>
      <c r="N300" s="152"/>
      <c r="O300" s="152"/>
      <c r="P300" s="152"/>
      <c r="Q300" s="152"/>
      <c r="R300" s="152"/>
      <c r="S300" s="152"/>
      <c r="T300" s="152"/>
      <c r="U300" s="152"/>
      <c r="V300" s="152"/>
      <c r="W300" s="152"/>
      <c r="X300" s="152"/>
      <c r="Y300" s="152"/>
      <c r="Z300" s="152"/>
      <c r="AA300" s="152"/>
      <c r="AB300" s="152"/>
      <c r="AC300" s="152"/>
      <c r="AD300" s="152"/>
      <c r="AE300" s="152"/>
    </row>
    <row r="301" spans="1:31" ht="15.75">
      <c r="A301" s="152"/>
      <c r="B301" s="152"/>
      <c r="C301" s="281"/>
      <c r="D301" s="152"/>
      <c r="E301" s="152"/>
      <c r="F301" s="152"/>
      <c r="G301" s="152"/>
      <c r="H301" s="152"/>
      <c r="I301" s="152"/>
      <c r="J301" s="152"/>
      <c r="K301" s="152"/>
      <c r="L301" s="152"/>
      <c r="M301" s="152"/>
      <c r="N301" s="152"/>
      <c r="O301" s="152"/>
      <c r="P301" s="152"/>
      <c r="Q301" s="152"/>
      <c r="R301" s="152"/>
      <c r="S301" s="152"/>
      <c r="T301" s="152"/>
      <c r="U301" s="152"/>
      <c r="V301" s="152"/>
      <c r="W301" s="152"/>
      <c r="X301" s="152"/>
      <c r="Y301" s="152"/>
      <c r="Z301" s="152"/>
      <c r="AA301" s="152"/>
      <c r="AB301" s="152"/>
      <c r="AC301" s="152"/>
      <c r="AD301" s="152"/>
      <c r="AE301" s="152"/>
    </row>
    <row r="302" spans="1:31" ht="15.75">
      <c r="A302" s="152"/>
      <c r="B302" s="152"/>
      <c r="C302" s="281"/>
      <c r="D302" s="152"/>
      <c r="E302" s="152"/>
      <c r="F302" s="152"/>
      <c r="G302" s="152"/>
      <c r="H302" s="152"/>
      <c r="I302" s="152"/>
      <c r="J302" s="152"/>
      <c r="K302" s="152"/>
      <c r="L302" s="152"/>
      <c r="M302" s="152"/>
      <c r="N302" s="152"/>
      <c r="O302" s="152"/>
      <c r="P302" s="152"/>
      <c r="Q302" s="152"/>
      <c r="R302" s="152"/>
      <c r="S302" s="152"/>
      <c r="T302" s="152"/>
      <c r="U302" s="152"/>
      <c r="V302" s="152"/>
      <c r="W302" s="152"/>
      <c r="X302" s="152"/>
      <c r="Y302" s="152"/>
      <c r="Z302" s="152"/>
      <c r="AA302" s="152"/>
      <c r="AB302" s="152"/>
      <c r="AC302" s="152"/>
      <c r="AD302" s="152"/>
      <c r="AE302" s="152"/>
    </row>
    <row r="303" spans="1:31" ht="15.75">
      <c r="A303" s="152"/>
      <c r="B303" s="152"/>
      <c r="C303" s="281"/>
      <c r="D303" s="152"/>
      <c r="E303" s="152"/>
      <c r="F303" s="152"/>
      <c r="G303" s="152"/>
      <c r="H303" s="152"/>
      <c r="I303" s="152"/>
      <c r="J303" s="152"/>
      <c r="K303" s="152"/>
      <c r="L303" s="152"/>
      <c r="M303" s="152"/>
      <c r="N303" s="152"/>
      <c r="O303" s="152"/>
      <c r="P303" s="152"/>
      <c r="Q303" s="152"/>
      <c r="R303" s="152"/>
      <c r="S303" s="152"/>
      <c r="T303" s="152"/>
      <c r="U303" s="152"/>
      <c r="V303" s="152"/>
      <c r="W303" s="152"/>
      <c r="X303" s="152"/>
      <c r="Y303" s="152"/>
      <c r="Z303" s="152"/>
      <c r="AA303" s="152"/>
      <c r="AB303" s="152"/>
      <c r="AC303" s="152"/>
      <c r="AD303" s="152"/>
      <c r="AE303" s="152"/>
    </row>
    <row r="304" spans="1:31" ht="15.75">
      <c r="A304" s="152"/>
      <c r="B304" s="152"/>
      <c r="C304" s="281"/>
      <c r="D304" s="152"/>
      <c r="E304" s="152"/>
      <c r="F304" s="152"/>
      <c r="G304" s="152"/>
      <c r="H304" s="152"/>
      <c r="I304" s="152"/>
      <c r="J304" s="152"/>
      <c r="K304" s="152"/>
      <c r="L304" s="152"/>
      <c r="M304" s="152"/>
      <c r="N304" s="152"/>
      <c r="O304" s="152"/>
      <c r="P304" s="152"/>
      <c r="Q304" s="152"/>
      <c r="R304" s="152"/>
      <c r="S304" s="152"/>
      <c r="T304" s="152"/>
      <c r="U304" s="152"/>
      <c r="V304" s="152"/>
      <c r="W304" s="152"/>
      <c r="X304" s="152"/>
      <c r="Y304" s="152"/>
      <c r="Z304" s="152"/>
      <c r="AA304" s="152"/>
      <c r="AB304" s="152"/>
      <c r="AC304" s="152"/>
      <c r="AD304" s="152"/>
      <c r="AE304" s="152"/>
    </row>
    <row r="305" spans="1:31" ht="15.75">
      <c r="A305" s="152"/>
      <c r="B305" s="152"/>
      <c r="C305" s="281"/>
      <c r="D305" s="152"/>
      <c r="E305" s="152"/>
      <c r="F305" s="152"/>
      <c r="G305" s="152"/>
      <c r="H305" s="152"/>
      <c r="I305" s="152"/>
      <c r="J305" s="152"/>
      <c r="K305" s="152"/>
      <c r="L305" s="152"/>
      <c r="M305" s="152"/>
      <c r="N305" s="152"/>
      <c r="O305" s="152"/>
      <c r="P305" s="152"/>
      <c r="Q305" s="152"/>
      <c r="R305" s="152"/>
      <c r="S305" s="152"/>
      <c r="T305" s="152"/>
      <c r="U305" s="152"/>
      <c r="V305" s="152"/>
      <c r="W305" s="152"/>
      <c r="X305" s="152"/>
      <c r="Y305" s="152"/>
      <c r="Z305" s="152"/>
      <c r="AA305" s="152"/>
      <c r="AB305" s="152"/>
      <c r="AC305" s="152"/>
      <c r="AD305" s="152"/>
      <c r="AE305" s="152"/>
    </row>
    <row r="306" spans="1:31" ht="15.75">
      <c r="A306" s="152"/>
      <c r="B306" s="152"/>
      <c r="C306" s="281"/>
      <c r="D306" s="152"/>
      <c r="E306" s="152"/>
      <c r="F306" s="152"/>
      <c r="G306" s="152"/>
      <c r="H306" s="152"/>
      <c r="I306" s="152"/>
      <c r="J306" s="152"/>
      <c r="K306" s="152"/>
      <c r="L306" s="152"/>
      <c r="M306" s="152"/>
      <c r="N306" s="152"/>
      <c r="O306" s="152"/>
      <c r="P306" s="152"/>
      <c r="Q306" s="152"/>
      <c r="R306" s="152"/>
      <c r="S306" s="152"/>
      <c r="T306" s="152"/>
      <c r="U306" s="152"/>
      <c r="V306" s="152"/>
      <c r="W306" s="152"/>
      <c r="X306" s="152"/>
      <c r="Y306" s="152"/>
      <c r="Z306" s="152"/>
      <c r="AA306" s="152"/>
      <c r="AB306" s="152"/>
      <c r="AC306" s="152"/>
      <c r="AD306" s="152"/>
      <c r="AE306" s="152"/>
    </row>
    <row r="307" spans="1:31" ht="15.75">
      <c r="A307" s="152"/>
      <c r="B307" s="152"/>
      <c r="C307" s="281"/>
      <c r="D307" s="152"/>
      <c r="E307" s="152"/>
      <c r="F307" s="152"/>
      <c r="G307" s="152"/>
      <c r="H307" s="152"/>
      <c r="I307" s="152"/>
      <c r="J307" s="152"/>
      <c r="K307" s="152"/>
      <c r="L307" s="152"/>
      <c r="M307" s="152"/>
      <c r="N307" s="152"/>
      <c r="O307" s="152"/>
      <c r="P307" s="152"/>
      <c r="Q307" s="152"/>
      <c r="R307" s="152"/>
      <c r="S307" s="152"/>
      <c r="T307" s="152"/>
      <c r="U307" s="152"/>
      <c r="V307" s="152"/>
      <c r="W307" s="152"/>
      <c r="X307" s="152"/>
      <c r="Y307" s="152"/>
      <c r="Z307" s="152"/>
      <c r="AA307" s="152"/>
      <c r="AB307" s="152"/>
      <c r="AC307" s="152"/>
      <c r="AD307" s="152"/>
      <c r="AE307" s="152"/>
    </row>
    <row r="308" spans="1:31" ht="15.75">
      <c r="A308" s="152"/>
      <c r="B308" s="152"/>
      <c r="C308" s="281"/>
      <c r="D308" s="152"/>
      <c r="E308" s="152"/>
      <c r="F308" s="152"/>
      <c r="G308" s="152"/>
      <c r="H308" s="152"/>
      <c r="I308" s="152"/>
      <c r="J308" s="152"/>
      <c r="K308" s="152"/>
      <c r="L308" s="152"/>
      <c r="M308" s="152"/>
      <c r="N308" s="152"/>
      <c r="O308" s="152"/>
      <c r="P308" s="152"/>
      <c r="Q308" s="152"/>
      <c r="R308" s="152"/>
      <c r="S308" s="152"/>
      <c r="T308" s="152"/>
      <c r="U308" s="152"/>
      <c r="V308" s="152"/>
      <c r="W308" s="152"/>
      <c r="X308" s="152"/>
      <c r="Y308" s="152"/>
      <c r="Z308" s="152"/>
      <c r="AA308" s="152"/>
      <c r="AB308" s="152"/>
      <c r="AC308" s="152"/>
      <c r="AD308" s="152"/>
      <c r="AE308" s="152"/>
    </row>
    <row r="309" spans="1:31" ht="15.75">
      <c r="A309" s="152"/>
      <c r="B309" s="152"/>
      <c r="C309" s="281"/>
      <c r="D309" s="152"/>
      <c r="E309" s="152"/>
      <c r="F309" s="152"/>
      <c r="G309" s="152"/>
      <c r="H309" s="152"/>
      <c r="I309" s="152"/>
      <c r="J309" s="152"/>
      <c r="K309" s="152"/>
      <c r="L309" s="152"/>
      <c r="M309" s="152"/>
      <c r="N309" s="152"/>
      <c r="O309" s="152"/>
      <c r="P309" s="152"/>
      <c r="Q309" s="152"/>
      <c r="R309" s="152"/>
      <c r="S309" s="152"/>
      <c r="T309" s="152"/>
      <c r="U309" s="152"/>
      <c r="V309" s="152"/>
      <c r="W309" s="152"/>
      <c r="X309" s="152"/>
      <c r="Y309" s="152"/>
      <c r="Z309" s="152"/>
      <c r="AA309" s="152"/>
      <c r="AB309" s="152"/>
      <c r="AC309" s="152"/>
      <c r="AD309" s="152"/>
      <c r="AE309" s="152"/>
    </row>
    <row r="310" spans="1:31" ht="15.75">
      <c r="A310" s="152"/>
      <c r="B310" s="152"/>
      <c r="C310" s="281"/>
      <c r="D310" s="152"/>
      <c r="E310" s="152"/>
      <c r="F310" s="152"/>
      <c r="G310" s="152"/>
      <c r="H310" s="152"/>
      <c r="I310" s="152"/>
      <c r="J310" s="152"/>
      <c r="K310" s="152"/>
      <c r="L310" s="152"/>
      <c r="M310" s="152"/>
      <c r="N310" s="152"/>
      <c r="O310" s="152"/>
      <c r="P310" s="152"/>
      <c r="Q310" s="152"/>
      <c r="R310" s="152"/>
      <c r="S310" s="152"/>
      <c r="T310" s="152"/>
      <c r="U310" s="152"/>
      <c r="V310" s="152"/>
      <c r="W310" s="152"/>
      <c r="X310" s="152"/>
      <c r="Y310" s="152"/>
      <c r="Z310" s="152"/>
      <c r="AA310" s="152"/>
      <c r="AB310" s="152"/>
      <c r="AC310" s="152"/>
      <c r="AD310" s="152"/>
      <c r="AE310" s="152"/>
    </row>
    <row r="311" spans="1:31" ht="15.75">
      <c r="A311" s="152"/>
      <c r="B311" s="152"/>
      <c r="C311" s="281"/>
      <c r="D311" s="152"/>
      <c r="E311" s="152"/>
      <c r="F311" s="152"/>
      <c r="G311" s="152"/>
      <c r="H311" s="152"/>
      <c r="I311" s="152"/>
      <c r="J311" s="152"/>
      <c r="K311" s="152"/>
      <c r="L311" s="152"/>
      <c r="M311" s="152"/>
      <c r="N311" s="152"/>
      <c r="O311" s="152"/>
      <c r="P311" s="152"/>
      <c r="Q311" s="152"/>
      <c r="R311" s="152"/>
      <c r="S311" s="152"/>
      <c r="T311" s="152"/>
      <c r="U311" s="152"/>
      <c r="V311" s="152"/>
      <c r="W311" s="152"/>
      <c r="X311" s="152"/>
      <c r="Y311" s="152"/>
      <c r="Z311" s="152"/>
      <c r="AA311" s="152"/>
      <c r="AB311" s="152"/>
      <c r="AC311" s="152"/>
      <c r="AD311" s="152"/>
      <c r="AE311" s="152"/>
    </row>
    <row r="312" spans="1:31" ht="15.75">
      <c r="A312" s="152"/>
      <c r="B312" s="152"/>
      <c r="C312" s="281"/>
      <c r="D312" s="152"/>
      <c r="E312" s="152"/>
      <c r="F312" s="152"/>
      <c r="G312" s="152"/>
      <c r="H312" s="152"/>
      <c r="I312" s="152"/>
      <c r="J312" s="152"/>
      <c r="K312" s="152"/>
      <c r="L312" s="152"/>
      <c r="M312" s="152"/>
      <c r="N312" s="152"/>
      <c r="O312" s="152"/>
      <c r="P312" s="152"/>
      <c r="Q312" s="152"/>
      <c r="R312" s="152"/>
      <c r="S312" s="152"/>
      <c r="T312" s="152"/>
      <c r="U312" s="152"/>
      <c r="V312" s="152"/>
      <c r="W312" s="152"/>
      <c r="X312" s="152"/>
      <c r="Y312" s="152"/>
      <c r="Z312" s="152"/>
      <c r="AA312" s="152"/>
      <c r="AB312" s="152"/>
      <c r="AC312" s="152"/>
      <c r="AD312" s="152"/>
      <c r="AE312" s="152"/>
    </row>
    <row r="313" spans="1:31" ht="15.75">
      <c r="A313" s="152"/>
      <c r="B313" s="152"/>
      <c r="C313" s="281"/>
      <c r="D313" s="152"/>
      <c r="E313" s="152"/>
      <c r="F313" s="152"/>
      <c r="G313" s="152"/>
      <c r="H313" s="152"/>
      <c r="I313" s="152"/>
      <c r="J313" s="152"/>
      <c r="K313" s="152"/>
      <c r="L313" s="152"/>
      <c r="M313" s="152"/>
      <c r="N313" s="152"/>
      <c r="O313" s="152"/>
      <c r="P313" s="152"/>
      <c r="Q313" s="152"/>
      <c r="R313" s="152"/>
      <c r="S313" s="152"/>
      <c r="T313" s="152"/>
      <c r="U313" s="152"/>
      <c r="V313" s="152"/>
      <c r="W313" s="152"/>
      <c r="X313" s="152"/>
      <c r="Y313" s="152"/>
      <c r="Z313" s="152"/>
      <c r="AA313" s="152"/>
      <c r="AB313" s="152"/>
      <c r="AC313" s="152"/>
      <c r="AD313" s="152"/>
      <c r="AE313" s="152"/>
    </row>
    <row r="314" spans="1:31" ht="15.75">
      <c r="A314" s="152"/>
      <c r="B314" s="152"/>
      <c r="C314" s="281"/>
      <c r="D314" s="152"/>
      <c r="E314" s="152"/>
      <c r="F314" s="152"/>
      <c r="G314" s="152"/>
      <c r="H314" s="152"/>
      <c r="I314" s="152"/>
      <c r="J314" s="152"/>
      <c r="K314" s="152"/>
      <c r="L314" s="152"/>
      <c r="M314" s="152"/>
      <c r="N314" s="152"/>
      <c r="O314" s="152"/>
      <c r="P314" s="152"/>
      <c r="Q314" s="152"/>
      <c r="R314" s="152"/>
      <c r="S314" s="152"/>
      <c r="T314" s="152"/>
      <c r="U314" s="152"/>
      <c r="V314" s="152"/>
      <c r="W314" s="152"/>
      <c r="X314" s="152"/>
      <c r="Y314" s="152"/>
      <c r="Z314" s="152"/>
      <c r="AA314" s="152"/>
      <c r="AB314" s="152"/>
      <c r="AC314" s="152"/>
      <c r="AD314" s="152"/>
      <c r="AE314" s="152"/>
    </row>
    <row r="315" spans="1:31" ht="15.75">
      <c r="A315" s="152"/>
      <c r="B315" s="152"/>
      <c r="C315" s="281"/>
      <c r="D315" s="152"/>
      <c r="E315" s="152"/>
      <c r="F315" s="152"/>
      <c r="G315" s="152"/>
      <c r="H315" s="152"/>
      <c r="I315" s="152"/>
      <c r="J315" s="152"/>
      <c r="K315" s="152"/>
      <c r="L315" s="152"/>
      <c r="M315" s="152"/>
      <c r="N315" s="152"/>
      <c r="O315" s="152"/>
      <c r="P315" s="152"/>
      <c r="Q315" s="152"/>
      <c r="R315" s="152"/>
      <c r="S315" s="152"/>
      <c r="T315" s="152"/>
      <c r="U315" s="152"/>
      <c r="V315" s="152"/>
      <c r="W315" s="152"/>
      <c r="X315" s="152"/>
      <c r="Y315" s="152"/>
      <c r="Z315" s="152"/>
      <c r="AA315" s="152"/>
      <c r="AB315" s="152"/>
      <c r="AC315" s="152"/>
      <c r="AD315" s="152"/>
      <c r="AE315" s="152"/>
    </row>
    <row r="316" spans="1:31" ht="15.75">
      <c r="A316" s="152"/>
      <c r="B316" s="152"/>
      <c r="C316" s="281"/>
      <c r="D316" s="152"/>
      <c r="E316" s="152"/>
      <c r="F316" s="152"/>
      <c r="G316" s="152"/>
      <c r="H316" s="152"/>
      <c r="I316" s="152"/>
      <c r="J316" s="152"/>
      <c r="K316" s="152"/>
      <c r="L316" s="152"/>
      <c r="M316" s="152"/>
      <c r="N316" s="152"/>
      <c r="O316" s="152"/>
      <c r="P316" s="152"/>
      <c r="Q316" s="152"/>
      <c r="R316" s="152"/>
      <c r="S316" s="152"/>
      <c r="T316" s="152"/>
      <c r="U316" s="152"/>
      <c r="V316" s="152"/>
      <c r="W316" s="152"/>
      <c r="X316" s="152"/>
      <c r="Y316" s="152"/>
      <c r="Z316" s="152"/>
      <c r="AA316" s="152"/>
      <c r="AB316" s="152"/>
      <c r="AC316" s="152"/>
      <c r="AD316" s="152"/>
      <c r="AE316" s="152"/>
    </row>
    <row r="317" spans="1:31" ht="15.75">
      <c r="A317" s="152"/>
      <c r="B317" s="152"/>
      <c r="C317" s="281"/>
      <c r="D317" s="152"/>
      <c r="E317" s="152"/>
      <c r="F317" s="152"/>
      <c r="G317" s="152"/>
      <c r="H317" s="152"/>
      <c r="I317" s="152"/>
      <c r="J317" s="152"/>
      <c r="K317" s="152"/>
      <c r="L317" s="152"/>
      <c r="M317" s="152"/>
      <c r="N317" s="152"/>
      <c r="O317" s="152"/>
      <c r="P317" s="152"/>
      <c r="Q317" s="152"/>
      <c r="R317" s="152"/>
      <c r="S317" s="152"/>
      <c r="T317" s="152"/>
      <c r="U317" s="152"/>
      <c r="V317" s="152"/>
      <c r="W317" s="152"/>
      <c r="X317" s="152"/>
      <c r="Y317" s="152"/>
      <c r="Z317" s="152"/>
      <c r="AA317" s="152"/>
      <c r="AB317" s="152"/>
      <c r="AC317" s="152"/>
      <c r="AD317" s="152"/>
      <c r="AE317" s="152"/>
    </row>
    <row r="318" spans="1:31" ht="15.75">
      <c r="A318" s="152"/>
      <c r="B318" s="152"/>
      <c r="C318" s="281"/>
      <c r="D318" s="152"/>
      <c r="E318" s="152"/>
      <c r="F318" s="152"/>
      <c r="G318" s="152"/>
      <c r="H318" s="152"/>
      <c r="I318" s="152"/>
      <c r="J318" s="152"/>
      <c r="K318" s="152"/>
      <c r="L318" s="152"/>
      <c r="M318" s="152"/>
      <c r="N318" s="152"/>
      <c r="O318" s="152"/>
      <c r="P318" s="152"/>
      <c r="Q318" s="152"/>
      <c r="R318" s="152"/>
      <c r="S318" s="152"/>
      <c r="T318" s="152"/>
      <c r="U318" s="152"/>
      <c r="V318" s="152"/>
      <c r="W318" s="152"/>
      <c r="X318" s="152"/>
      <c r="Y318" s="152"/>
      <c r="Z318" s="152"/>
      <c r="AA318" s="152"/>
      <c r="AB318" s="152"/>
      <c r="AC318" s="152"/>
      <c r="AD318" s="152"/>
      <c r="AE318" s="152"/>
    </row>
    <row r="319" spans="1:31" ht="15.75">
      <c r="A319" s="152"/>
      <c r="B319" s="152"/>
      <c r="C319" s="281"/>
      <c r="D319" s="152"/>
      <c r="E319" s="152"/>
      <c r="F319" s="152"/>
      <c r="G319" s="152"/>
      <c r="H319" s="152"/>
      <c r="I319" s="152"/>
      <c r="J319" s="152"/>
      <c r="K319" s="152"/>
      <c r="L319" s="152"/>
      <c r="M319" s="152"/>
      <c r="N319" s="152"/>
      <c r="O319" s="152"/>
      <c r="P319" s="152"/>
      <c r="Q319" s="152"/>
      <c r="R319" s="152"/>
      <c r="S319" s="152"/>
      <c r="T319" s="152"/>
      <c r="U319" s="152"/>
      <c r="V319" s="152"/>
      <c r="W319" s="152"/>
      <c r="X319" s="152"/>
      <c r="Y319" s="152"/>
      <c r="Z319" s="152"/>
      <c r="AA319" s="152"/>
      <c r="AB319" s="152"/>
      <c r="AC319" s="152"/>
      <c r="AD319" s="152"/>
      <c r="AE319" s="152"/>
    </row>
    <row r="320" spans="1:31" ht="15.75">
      <c r="A320" s="152"/>
      <c r="B320" s="152"/>
      <c r="C320" s="281"/>
      <c r="D320" s="152"/>
      <c r="E320" s="152"/>
      <c r="F320" s="152"/>
      <c r="G320" s="152"/>
      <c r="H320" s="152"/>
      <c r="I320" s="152"/>
      <c r="J320" s="152"/>
      <c r="K320" s="152"/>
      <c r="L320" s="152"/>
      <c r="M320" s="152"/>
      <c r="N320" s="152"/>
      <c r="O320" s="152"/>
      <c r="P320" s="152"/>
      <c r="Q320" s="152"/>
      <c r="R320" s="152"/>
      <c r="S320" s="152"/>
      <c r="T320" s="152"/>
      <c r="U320" s="152"/>
      <c r="V320" s="152"/>
      <c r="W320" s="152"/>
      <c r="X320" s="152"/>
      <c r="Y320" s="152"/>
      <c r="Z320" s="152"/>
      <c r="AA320" s="152"/>
      <c r="AB320" s="152"/>
      <c r="AC320" s="152"/>
      <c r="AD320" s="152"/>
      <c r="AE320" s="152"/>
    </row>
    <row r="321" spans="1:31" ht="15.75">
      <c r="A321" s="152"/>
      <c r="B321" s="152"/>
      <c r="C321" s="281"/>
      <c r="D321" s="152"/>
      <c r="E321" s="152"/>
      <c r="F321" s="152"/>
      <c r="G321" s="152"/>
      <c r="H321" s="152"/>
      <c r="I321" s="152"/>
      <c r="J321" s="152"/>
      <c r="K321" s="152"/>
      <c r="L321" s="152"/>
      <c r="M321" s="152"/>
      <c r="N321" s="152"/>
      <c r="O321" s="152"/>
      <c r="P321" s="152"/>
      <c r="Q321" s="152"/>
      <c r="R321" s="152"/>
      <c r="S321" s="152"/>
      <c r="T321" s="152"/>
      <c r="U321" s="152"/>
      <c r="V321" s="152"/>
      <c r="W321" s="152"/>
      <c r="X321" s="152"/>
      <c r="Y321" s="152"/>
      <c r="Z321" s="152"/>
      <c r="AA321" s="152"/>
      <c r="AB321" s="152"/>
      <c r="AC321" s="152"/>
      <c r="AD321" s="152"/>
      <c r="AE321" s="152"/>
    </row>
    <row r="322" spans="1:31" ht="15.75">
      <c r="A322" s="152"/>
      <c r="B322" s="152"/>
      <c r="C322" s="281"/>
      <c r="D322" s="152"/>
      <c r="E322" s="152"/>
      <c r="F322" s="152"/>
      <c r="G322" s="152"/>
      <c r="H322" s="152"/>
      <c r="I322" s="152"/>
      <c r="J322" s="152"/>
      <c r="K322" s="152"/>
      <c r="L322" s="152"/>
      <c r="M322" s="152"/>
      <c r="N322" s="152"/>
      <c r="O322" s="152"/>
      <c r="P322" s="152"/>
      <c r="Q322" s="152"/>
      <c r="R322" s="152"/>
      <c r="S322" s="152"/>
      <c r="T322" s="152"/>
      <c r="U322" s="152"/>
      <c r="V322" s="152"/>
      <c r="W322" s="152"/>
      <c r="X322" s="152"/>
      <c r="Y322" s="152"/>
      <c r="Z322" s="152"/>
      <c r="AA322" s="152"/>
      <c r="AB322" s="152"/>
      <c r="AC322" s="152"/>
      <c r="AD322" s="152"/>
      <c r="AE322" s="152"/>
    </row>
    <row r="323" spans="1:31" ht="15.75">
      <c r="A323" s="152"/>
      <c r="B323" s="152"/>
      <c r="C323" s="281"/>
      <c r="D323" s="152"/>
      <c r="E323" s="152"/>
      <c r="F323" s="152"/>
      <c r="G323" s="152"/>
      <c r="H323" s="152"/>
      <c r="I323" s="152"/>
      <c r="J323" s="152"/>
      <c r="K323" s="152"/>
      <c r="L323" s="152"/>
      <c r="M323" s="152"/>
      <c r="N323" s="152"/>
      <c r="O323" s="152"/>
      <c r="P323" s="152"/>
      <c r="Q323" s="152"/>
      <c r="R323" s="152"/>
      <c r="S323" s="152"/>
      <c r="T323" s="152"/>
      <c r="U323" s="152"/>
      <c r="V323" s="152"/>
      <c r="W323" s="152"/>
      <c r="X323" s="152"/>
      <c r="Y323" s="152"/>
      <c r="Z323" s="152"/>
      <c r="AA323" s="152"/>
      <c r="AB323" s="152"/>
      <c r="AC323" s="152"/>
      <c r="AD323" s="152"/>
      <c r="AE323" s="152"/>
    </row>
    <row r="324" spans="1:31" ht="15.75">
      <c r="A324" s="152"/>
      <c r="B324" s="152"/>
      <c r="C324" s="281"/>
      <c r="D324" s="152"/>
      <c r="E324" s="152"/>
      <c r="F324" s="152"/>
      <c r="G324" s="152"/>
      <c r="H324" s="152"/>
      <c r="I324" s="152"/>
      <c r="J324" s="152"/>
      <c r="K324" s="152"/>
      <c r="L324" s="152"/>
      <c r="M324" s="152"/>
      <c r="N324" s="152"/>
      <c r="O324" s="152"/>
      <c r="P324" s="152"/>
      <c r="Q324" s="152"/>
      <c r="R324" s="152"/>
      <c r="S324" s="152"/>
      <c r="T324" s="152"/>
      <c r="U324" s="152"/>
      <c r="V324" s="152"/>
      <c r="W324" s="152"/>
      <c r="X324" s="152"/>
      <c r="Y324" s="152"/>
      <c r="Z324" s="152"/>
      <c r="AA324" s="152"/>
      <c r="AB324" s="152"/>
      <c r="AC324" s="152"/>
      <c r="AD324" s="152"/>
      <c r="AE324" s="152"/>
    </row>
    <row r="325" spans="1:31" ht="15.75">
      <c r="A325" s="152"/>
      <c r="B325" s="152"/>
      <c r="C325" s="281"/>
      <c r="D325" s="152"/>
      <c r="E325" s="152"/>
      <c r="F325" s="152"/>
      <c r="G325" s="152"/>
      <c r="H325" s="152"/>
      <c r="I325" s="152"/>
      <c r="J325" s="152"/>
      <c r="K325" s="152"/>
      <c r="L325" s="152"/>
      <c r="M325" s="152"/>
      <c r="N325" s="152"/>
      <c r="O325" s="152"/>
      <c r="P325" s="152"/>
      <c r="Q325" s="152"/>
      <c r="R325" s="152"/>
      <c r="S325" s="152"/>
      <c r="T325" s="152"/>
      <c r="U325" s="152"/>
      <c r="V325" s="152"/>
      <c r="W325" s="152"/>
      <c r="X325" s="152"/>
      <c r="Y325" s="152"/>
      <c r="Z325" s="152"/>
      <c r="AA325" s="152"/>
      <c r="AB325" s="152"/>
      <c r="AC325" s="152"/>
      <c r="AD325" s="152"/>
      <c r="AE325" s="152"/>
    </row>
    <row r="326" spans="1:31" ht="15.75">
      <c r="A326" s="152"/>
      <c r="B326" s="152"/>
      <c r="C326" s="281"/>
      <c r="D326" s="152"/>
      <c r="E326" s="152"/>
      <c r="F326" s="152"/>
      <c r="G326" s="152"/>
      <c r="H326" s="152"/>
      <c r="I326" s="152"/>
      <c r="J326" s="152"/>
      <c r="K326" s="152"/>
      <c r="L326" s="152"/>
      <c r="M326" s="152"/>
      <c r="N326" s="152"/>
      <c r="O326" s="152"/>
      <c r="P326" s="152"/>
      <c r="Q326" s="152"/>
      <c r="R326" s="152"/>
      <c r="S326" s="152"/>
      <c r="T326" s="152"/>
      <c r="U326" s="152"/>
      <c r="V326" s="152"/>
      <c r="W326" s="152"/>
      <c r="X326" s="152"/>
      <c r="Y326" s="152"/>
      <c r="Z326" s="152"/>
      <c r="AA326" s="152"/>
      <c r="AB326" s="152"/>
      <c r="AC326" s="152"/>
      <c r="AD326" s="152"/>
      <c r="AE326" s="152"/>
    </row>
    <row r="327" spans="1:31" ht="15.75">
      <c r="A327" s="152"/>
      <c r="B327" s="152"/>
      <c r="C327" s="281"/>
      <c r="D327" s="152"/>
      <c r="E327" s="152"/>
      <c r="F327" s="152"/>
      <c r="G327" s="152"/>
      <c r="H327" s="152"/>
      <c r="I327" s="152"/>
      <c r="J327" s="152"/>
      <c r="K327" s="152"/>
      <c r="L327" s="152"/>
      <c r="M327" s="152"/>
      <c r="N327" s="152"/>
      <c r="O327" s="152"/>
      <c r="P327" s="152"/>
      <c r="Q327" s="152"/>
      <c r="R327" s="152"/>
      <c r="S327" s="152"/>
      <c r="T327" s="152"/>
      <c r="U327" s="152"/>
      <c r="V327" s="152"/>
      <c r="W327" s="152"/>
      <c r="X327" s="152"/>
      <c r="Y327" s="152"/>
      <c r="Z327" s="152"/>
      <c r="AA327" s="152"/>
      <c r="AB327" s="152"/>
      <c r="AC327" s="152"/>
      <c r="AD327" s="152"/>
      <c r="AE327" s="152"/>
    </row>
    <row r="328" spans="1:31" ht="15.75">
      <c r="A328" s="152"/>
      <c r="B328" s="152"/>
      <c r="C328" s="281"/>
      <c r="D328" s="152"/>
      <c r="E328" s="152"/>
      <c r="F328" s="152"/>
      <c r="G328" s="152"/>
      <c r="H328" s="152"/>
      <c r="I328" s="152"/>
      <c r="J328" s="152"/>
      <c r="K328" s="152"/>
      <c r="L328" s="152"/>
      <c r="M328" s="152"/>
      <c r="N328" s="152"/>
      <c r="O328" s="152"/>
      <c r="P328" s="152"/>
      <c r="Q328" s="152"/>
      <c r="R328" s="152"/>
      <c r="S328" s="152"/>
      <c r="T328" s="152"/>
      <c r="U328" s="152"/>
      <c r="V328" s="152"/>
      <c r="W328" s="152"/>
      <c r="X328" s="152"/>
      <c r="Y328" s="152"/>
      <c r="Z328" s="152"/>
      <c r="AA328" s="152"/>
      <c r="AB328" s="152"/>
      <c r="AC328" s="152"/>
      <c r="AD328" s="152"/>
      <c r="AE328" s="152"/>
    </row>
    <row r="329" spans="1:31" ht="15.75">
      <c r="A329" s="152"/>
      <c r="B329" s="152"/>
      <c r="C329" s="281"/>
      <c r="D329" s="152"/>
      <c r="E329" s="152"/>
      <c r="F329" s="152"/>
      <c r="G329" s="152"/>
      <c r="H329" s="152"/>
      <c r="I329" s="152"/>
      <c r="J329" s="152"/>
      <c r="K329" s="152"/>
      <c r="L329" s="152"/>
      <c r="M329" s="152"/>
      <c r="N329" s="152"/>
      <c r="O329" s="152"/>
      <c r="P329" s="152"/>
      <c r="Q329" s="152"/>
      <c r="R329" s="152"/>
      <c r="S329" s="152"/>
      <c r="T329" s="152"/>
      <c r="U329" s="152"/>
      <c r="V329" s="152"/>
      <c r="W329" s="152"/>
      <c r="X329" s="152"/>
      <c r="Y329" s="152"/>
      <c r="Z329" s="152"/>
      <c r="AA329" s="152"/>
      <c r="AB329" s="152"/>
      <c r="AC329" s="152"/>
      <c r="AD329" s="152"/>
      <c r="AE329" s="152"/>
    </row>
    <row r="330" spans="1:31" ht="15.75">
      <c r="A330" s="152"/>
      <c r="B330" s="152"/>
      <c r="C330" s="281"/>
      <c r="D330" s="152"/>
      <c r="E330" s="152"/>
      <c r="F330" s="152"/>
      <c r="G330" s="152"/>
      <c r="H330" s="152"/>
      <c r="I330" s="152"/>
      <c r="J330" s="152"/>
      <c r="K330" s="152"/>
      <c r="L330" s="152"/>
      <c r="M330" s="152"/>
      <c r="N330" s="152"/>
      <c r="O330" s="152"/>
      <c r="P330" s="152"/>
      <c r="Q330" s="152"/>
      <c r="R330" s="152"/>
      <c r="S330" s="152"/>
      <c r="T330" s="152"/>
      <c r="U330" s="152"/>
      <c r="V330" s="152"/>
      <c r="W330" s="152"/>
      <c r="X330" s="152"/>
      <c r="Y330" s="152"/>
      <c r="Z330" s="152"/>
      <c r="AA330" s="152"/>
      <c r="AB330" s="152"/>
      <c r="AC330" s="152"/>
      <c r="AD330" s="152"/>
      <c r="AE330" s="152"/>
    </row>
    <row r="331" spans="1:31" ht="15.75">
      <c r="A331" s="152"/>
      <c r="B331" s="152"/>
      <c r="C331" s="281"/>
      <c r="D331" s="152"/>
      <c r="E331" s="152"/>
      <c r="F331" s="152"/>
      <c r="G331" s="152"/>
      <c r="H331" s="152"/>
      <c r="I331" s="152"/>
      <c r="J331" s="152"/>
      <c r="K331" s="152"/>
      <c r="L331" s="152"/>
      <c r="M331" s="152"/>
      <c r="N331" s="152"/>
      <c r="O331" s="152"/>
      <c r="P331" s="152"/>
      <c r="Q331" s="152"/>
      <c r="R331" s="152"/>
      <c r="S331" s="152"/>
      <c r="T331" s="152"/>
      <c r="U331" s="152"/>
      <c r="V331" s="152"/>
      <c r="W331" s="152"/>
      <c r="X331" s="152"/>
      <c r="Y331" s="152"/>
      <c r="Z331" s="152"/>
      <c r="AA331" s="152"/>
      <c r="AB331" s="152"/>
      <c r="AC331" s="152"/>
      <c r="AD331" s="152"/>
      <c r="AE331" s="152"/>
    </row>
    <row r="332" spans="1:31" ht="15.75">
      <c r="A332" s="152"/>
      <c r="B332" s="152"/>
      <c r="C332" s="281"/>
      <c r="D332" s="152"/>
      <c r="E332" s="152"/>
      <c r="F332" s="152"/>
      <c r="G332" s="152"/>
      <c r="H332" s="152"/>
      <c r="I332" s="152"/>
      <c r="J332" s="152"/>
      <c r="K332" s="152"/>
      <c r="L332" s="152"/>
      <c r="M332" s="152"/>
      <c r="N332" s="152"/>
      <c r="O332" s="152"/>
      <c r="P332" s="152"/>
      <c r="Q332" s="152"/>
      <c r="R332" s="152"/>
      <c r="S332" s="152"/>
      <c r="T332" s="152"/>
      <c r="U332" s="152"/>
      <c r="V332" s="152"/>
      <c r="W332" s="152"/>
      <c r="X332" s="152"/>
      <c r="Y332" s="152"/>
      <c r="Z332" s="152"/>
      <c r="AA332" s="152"/>
      <c r="AB332" s="152"/>
      <c r="AC332" s="152"/>
      <c r="AD332" s="152"/>
      <c r="AE332" s="152"/>
    </row>
    <row r="333" spans="1:31" ht="15.75">
      <c r="A333" s="152"/>
      <c r="B333" s="152"/>
      <c r="C333" s="281"/>
      <c r="D333" s="152"/>
      <c r="E333" s="152"/>
      <c r="F333" s="152"/>
      <c r="G333" s="152"/>
      <c r="H333" s="152"/>
      <c r="I333" s="152"/>
      <c r="J333" s="152"/>
      <c r="K333" s="152"/>
      <c r="L333" s="152"/>
      <c r="M333" s="152"/>
      <c r="N333" s="152"/>
      <c r="O333" s="152"/>
      <c r="P333" s="152"/>
      <c r="Q333" s="152"/>
      <c r="R333" s="152"/>
      <c r="S333" s="152"/>
      <c r="T333" s="152"/>
      <c r="U333" s="152"/>
      <c r="V333" s="152"/>
      <c r="W333" s="152"/>
      <c r="X333" s="152"/>
      <c r="Y333" s="152"/>
      <c r="Z333" s="152"/>
      <c r="AA333" s="152"/>
      <c r="AB333" s="152"/>
      <c r="AC333" s="152"/>
      <c r="AD333" s="152"/>
      <c r="AE333" s="152"/>
    </row>
    <row r="334" spans="1:31" ht="15.75">
      <c r="A334" s="152"/>
      <c r="B334" s="152"/>
      <c r="C334" s="281"/>
      <c r="D334" s="152"/>
      <c r="E334" s="152"/>
      <c r="F334" s="152"/>
      <c r="G334" s="152"/>
      <c r="H334" s="152"/>
      <c r="I334" s="152"/>
      <c r="J334" s="152"/>
      <c r="K334" s="152"/>
      <c r="L334" s="152"/>
      <c r="M334" s="152"/>
      <c r="N334" s="152"/>
      <c r="O334" s="152"/>
      <c r="P334" s="152"/>
      <c r="Q334" s="152"/>
      <c r="R334" s="152"/>
      <c r="S334" s="152"/>
      <c r="T334" s="152"/>
      <c r="U334" s="152"/>
      <c r="V334" s="152"/>
      <c r="W334" s="152"/>
      <c r="X334" s="152"/>
      <c r="Y334" s="152"/>
      <c r="Z334" s="152"/>
      <c r="AA334" s="152"/>
      <c r="AB334" s="152"/>
      <c r="AC334" s="152"/>
      <c r="AD334" s="152"/>
      <c r="AE334" s="152"/>
    </row>
    <row r="335" spans="1:31" ht="15.75">
      <c r="A335" s="152"/>
      <c r="B335" s="152"/>
      <c r="C335" s="281"/>
      <c r="D335" s="152"/>
      <c r="E335" s="152"/>
      <c r="F335" s="152"/>
      <c r="G335" s="152"/>
      <c r="H335" s="152"/>
      <c r="I335" s="152"/>
      <c r="J335" s="152"/>
      <c r="K335" s="152"/>
      <c r="L335" s="152"/>
      <c r="M335" s="152"/>
      <c r="N335" s="152"/>
      <c r="O335" s="152"/>
      <c r="P335" s="152"/>
      <c r="Q335" s="152"/>
      <c r="R335" s="152"/>
      <c r="S335" s="152"/>
      <c r="T335" s="152"/>
      <c r="U335" s="152"/>
      <c r="V335" s="152"/>
      <c r="W335" s="152"/>
      <c r="X335" s="152"/>
      <c r="Y335" s="152"/>
      <c r="Z335" s="152"/>
      <c r="AA335" s="152"/>
      <c r="AB335" s="152"/>
      <c r="AC335" s="152"/>
      <c r="AD335" s="152"/>
      <c r="AE335" s="152"/>
    </row>
    <row r="336" spans="1:31" ht="15.75">
      <c r="A336" s="152"/>
      <c r="B336" s="152"/>
      <c r="C336" s="281"/>
      <c r="D336" s="152"/>
      <c r="E336" s="152"/>
      <c r="F336" s="152"/>
      <c r="G336" s="152"/>
      <c r="H336" s="152"/>
      <c r="I336" s="152"/>
      <c r="J336" s="152"/>
      <c r="K336" s="152"/>
      <c r="L336" s="152"/>
      <c r="M336" s="152"/>
      <c r="N336" s="152"/>
      <c r="O336" s="152"/>
      <c r="P336" s="152"/>
      <c r="Q336" s="152"/>
      <c r="R336" s="152"/>
      <c r="S336" s="152"/>
      <c r="T336" s="152"/>
      <c r="U336" s="152"/>
      <c r="V336" s="152"/>
      <c r="W336" s="152"/>
      <c r="X336" s="152"/>
      <c r="Y336" s="152"/>
      <c r="Z336" s="152"/>
      <c r="AA336" s="152"/>
      <c r="AB336" s="152"/>
      <c r="AC336" s="152"/>
      <c r="AD336" s="152"/>
      <c r="AE336" s="152"/>
    </row>
    <row r="337" spans="1:31" ht="15.75">
      <c r="A337" s="152"/>
      <c r="B337" s="152"/>
      <c r="C337" s="281"/>
      <c r="D337" s="152"/>
      <c r="E337" s="152"/>
      <c r="F337" s="152"/>
      <c r="G337" s="152"/>
      <c r="H337" s="152"/>
      <c r="I337" s="152"/>
      <c r="J337" s="152"/>
      <c r="K337" s="152"/>
      <c r="L337" s="152"/>
      <c r="M337" s="152"/>
      <c r="N337" s="152"/>
      <c r="O337" s="152"/>
      <c r="P337" s="152"/>
      <c r="Q337" s="152"/>
      <c r="R337" s="152"/>
      <c r="S337" s="152"/>
      <c r="T337" s="152"/>
      <c r="U337" s="152"/>
      <c r="V337" s="152"/>
      <c r="W337" s="152"/>
      <c r="X337" s="152"/>
      <c r="Y337" s="152"/>
      <c r="Z337" s="152"/>
      <c r="AA337" s="152"/>
      <c r="AB337" s="152"/>
      <c r="AC337" s="152"/>
      <c r="AD337" s="152"/>
      <c r="AE337" s="152"/>
    </row>
    <row r="338" spans="1:31" ht="15.75">
      <c r="A338" s="152"/>
      <c r="B338" s="152"/>
      <c r="C338" s="281"/>
      <c r="D338" s="152"/>
      <c r="E338" s="152"/>
      <c r="F338" s="152"/>
      <c r="G338" s="152"/>
      <c r="H338" s="152"/>
      <c r="I338" s="152"/>
      <c r="J338" s="152"/>
      <c r="K338" s="152"/>
      <c r="L338" s="152"/>
      <c r="M338" s="152"/>
      <c r="N338" s="152"/>
      <c r="O338" s="152"/>
      <c r="P338" s="152"/>
      <c r="Q338" s="152"/>
      <c r="R338" s="152"/>
      <c r="S338" s="152"/>
      <c r="T338" s="152"/>
      <c r="U338" s="152"/>
      <c r="V338" s="152"/>
      <c r="W338" s="152"/>
      <c r="X338" s="152"/>
      <c r="Y338" s="152"/>
      <c r="Z338" s="152"/>
      <c r="AA338" s="152"/>
      <c r="AB338" s="152"/>
      <c r="AC338" s="152"/>
      <c r="AD338" s="152"/>
      <c r="AE338" s="152"/>
    </row>
    <row r="339" spans="1:31" ht="15.75">
      <c r="A339" s="152"/>
      <c r="B339" s="152"/>
      <c r="C339" s="281"/>
      <c r="D339" s="152"/>
      <c r="E339" s="152"/>
      <c r="F339" s="152"/>
      <c r="G339" s="152"/>
      <c r="H339" s="152"/>
      <c r="I339" s="152"/>
      <c r="J339" s="152"/>
      <c r="K339" s="152"/>
      <c r="L339" s="152"/>
      <c r="M339" s="152"/>
      <c r="N339" s="152"/>
      <c r="O339" s="152"/>
      <c r="P339" s="152"/>
      <c r="Q339" s="152"/>
      <c r="R339" s="152"/>
      <c r="S339" s="152"/>
      <c r="T339" s="152"/>
      <c r="U339" s="152"/>
      <c r="V339" s="152"/>
      <c r="W339" s="152"/>
      <c r="X339" s="152"/>
      <c r="Y339" s="152"/>
      <c r="Z339" s="152"/>
      <c r="AA339" s="152"/>
      <c r="AB339" s="152"/>
      <c r="AC339" s="152"/>
      <c r="AD339" s="152"/>
      <c r="AE339" s="152"/>
    </row>
    <row r="340" spans="1:31" ht="15.75">
      <c r="A340" s="152"/>
      <c r="B340" s="152"/>
      <c r="C340" s="281"/>
      <c r="D340" s="152"/>
      <c r="E340" s="152"/>
      <c r="F340" s="152"/>
      <c r="G340" s="152"/>
      <c r="H340" s="152"/>
      <c r="I340" s="152"/>
      <c r="J340" s="152"/>
      <c r="K340" s="152"/>
      <c r="L340" s="152"/>
      <c r="M340" s="152"/>
      <c r="N340" s="152"/>
      <c r="O340" s="152"/>
      <c r="P340" s="152"/>
      <c r="Q340" s="152"/>
      <c r="R340" s="152"/>
      <c r="S340" s="152"/>
      <c r="T340" s="152"/>
      <c r="U340" s="152"/>
      <c r="V340" s="152"/>
      <c r="W340" s="152"/>
      <c r="X340" s="152"/>
      <c r="Y340" s="152"/>
      <c r="Z340" s="152"/>
      <c r="AA340" s="152"/>
      <c r="AB340" s="152"/>
      <c r="AC340" s="152"/>
      <c r="AD340" s="152"/>
      <c r="AE340" s="152"/>
    </row>
    <row r="341" spans="1:31" ht="15.75">
      <c r="A341" s="152"/>
      <c r="B341" s="152"/>
      <c r="C341" s="281"/>
      <c r="D341" s="152"/>
      <c r="E341" s="152"/>
      <c r="F341" s="152"/>
      <c r="G341" s="152"/>
      <c r="H341" s="152"/>
      <c r="I341" s="152"/>
      <c r="J341" s="152"/>
      <c r="K341" s="152"/>
      <c r="L341" s="152"/>
      <c r="M341" s="152"/>
      <c r="N341" s="152"/>
      <c r="O341" s="152"/>
      <c r="P341" s="152"/>
      <c r="Q341" s="152"/>
      <c r="R341" s="152"/>
      <c r="S341" s="152"/>
      <c r="T341" s="152"/>
      <c r="U341" s="152"/>
      <c r="V341" s="152"/>
      <c r="W341" s="152"/>
      <c r="X341" s="152"/>
      <c r="Y341" s="152"/>
      <c r="Z341" s="152"/>
      <c r="AA341" s="152"/>
      <c r="AB341" s="152"/>
      <c r="AC341" s="152"/>
      <c r="AD341" s="152"/>
      <c r="AE341" s="152"/>
    </row>
    <row r="342" spans="1:31" ht="15.75">
      <c r="A342" s="152"/>
      <c r="B342" s="152"/>
      <c r="C342" s="281"/>
      <c r="D342" s="152"/>
      <c r="E342" s="152"/>
      <c r="F342" s="152"/>
      <c r="G342" s="152"/>
      <c r="H342" s="152"/>
      <c r="I342" s="152"/>
      <c r="J342" s="152"/>
      <c r="K342" s="152"/>
      <c r="L342" s="152"/>
      <c r="M342" s="152"/>
      <c r="N342" s="152"/>
      <c r="O342" s="152"/>
      <c r="P342" s="152"/>
      <c r="Q342" s="152"/>
      <c r="R342" s="152"/>
      <c r="S342" s="152"/>
      <c r="T342" s="152"/>
      <c r="U342" s="152"/>
      <c r="V342" s="152"/>
      <c r="W342" s="152"/>
      <c r="X342" s="152"/>
      <c r="Y342" s="152"/>
      <c r="Z342" s="152"/>
      <c r="AA342" s="152"/>
      <c r="AB342" s="152"/>
      <c r="AC342" s="152"/>
      <c r="AD342" s="152"/>
      <c r="AE342" s="152"/>
    </row>
    <row r="343" spans="1:31" ht="15.75">
      <c r="A343" s="152"/>
      <c r="B343" s="152"/>
      <c r="C343" s="281"/>
      <c r="D343" s="152"/>
      <c r="E343" s="152"/>
      <c r="F343" s="152"/>
      <c r="G343" s="152"/>
      <c r="H343" s="152"/>
      <c r="I343" s="152"/>
      <c r="J343" s="152"/>
      <c r="K343" s="152"/>
      <c r="L343" s="152"/>
      <c r="M343" s="152"/>
      <c r="N343" s="152"/>
      <c r="O343" s="152"/>
      <c r="P343" s="152"/>
      <c r="Q343" s="152"/>
      <c r="R343" s="152"/>
      <c r="S343" s="152"/>
      <c r="T343" s="152"/>
      <c r="U343" s="152"/>
      <c r="V343" s="152"/>
      <c r="W343" s="152"/>
      <c r="X343" s="152"/>
      <c r="Y343" s="152"/>
      <c r="Z343" s="152"/>
      <c r="AA343" s="152"/>
      <c r="AB343" s="152"/>
      <c r="AC343" s="152"/>
      <c r="AD343" s="152"/>
      <c r="AE343" s="152"/>
    </row>
    <row r="344" spans="1:31" ht="15.75">
      <c r="A344" s="152"/>
      <c r="B344" s="152"/>
      <c r="C344" s="281"/>
      <c r="D344" s="152"/>
      <c r="E344" s="152"/>
      <c r="F344" s="152"/>
      <c r="G344" s="152"/>
      <c r="H344" s="152"/>
      <c r="I344" s="152"/>
      <c r="J344" s="152"/>
      <c r="K344" s="152"/>
      <c r="L344" s="152"/>
      <c r="M344" s="152"/>
      <c r="N344" s="152"/>
      <c r="O344" s="152"/>
      <c r="P344" s="152"/>
      <c r="Q344" s="152"/>
      <c r="R344" s="152"/>
      <c r="S344" s="152"/>
      <c r="T344" s="152"/>
      <c r="U344" s="152"/>
      <c r="V344" s="152"/>
      <c r="W344" s="152"/>
      <c r="X344" s="152"/>
      <c r="Y344" s="152"/>
      <c r="Z344" s="152"/>
      <c r="AA344" s="152"/>
      <c r="AB344" s="152"/>
      <c r="AC344" s="152"/>
      <c r="AD344" s="152"/>
      <c r="AE344" s="152"/>
    </row>
    <row r="345" spans="1:31" ht="15.75">
      <c r="A345" s="152"/>
      <c r="B345" s="152"/>
      <c r="C345" s="281"/>
      <c r="D345" s="152"/>
      <c r="E345" s="152"/>
      <c r="F345" s="152"/>
      <c r="G345" s="152"/>
      <c r="H345" s="152"/>
      <c r="I345" s="152"/>
      <c r="J345" s="152"/>
      <c r="K345" s="152"/>
      <c r="L345" s="152"/>
      <c r="M345" s="152"/>
      <c r="N345" s="152"/>
      <c r="O345" s="152"/>
      <c r="P345" s="152"/>
      <c r="Q345" s="152"/>
      <c r="R345" s="152"/>
      <c r="S345" s="152"/>
      <c r="T345" s="152"/>
      <c r="U345" s="152"/>
      <c r="V345" s="152"/>
      <c r="W345" s="152"/>
      <c r="X345" s="152"/>
      <c r="Y345" s="152"/>
      <c r="Z345" s="152"/>
      <c r="AA345" s="152"/>
      <c r="AB345" s="152"/>
      <c r="AC345" s="152"/>
      <c r="AD345" s="152"/>
      <c r="AE345" s="152"/>
    </row>
    <row r="346" spans="1:31" ht="15.75">
      <c r="A346" s="152"/>
      <c r="B346" s="152"/>
      <c r="C346" s="281"/>
      <c r="D346" s="152"/>
      <c r="E346" s="152"/>
      <c r="F346" s="152"/>
      <c r="G346" s="152"/>
      <c r="H346" s="152"/>
      <c r="I346" s="152"/>
      <c r="J346" s="152"/>
      <c r="K346" s="152"/>
      <c r="L346" s="152"/>
      <c r="M346" s="152"/>
      <c r="N346" s="152"/>
      <c r="O346" s="152"/>
      <c r="P346" s="152"/>
      <c r="Q346" s="152"/>
      <c r="R346" s="152"/>
      <c r="S346" s="152"/>
      <c r="T346" s="152"/>
      <c r="U346" s="152"/>
      <c r="V346" s="152"/>
      <c r="W346" s="152"/>
      <c r="X346" s="152"/>
      <c r="Y346" s="152"/>
      <c r="Z346" s="152"/>
      <c r="AA346" s="152"/>
      <c r="AB346" s="152"/>
      <c r="AC346" s="152"/>
      <c r="AD346" s="152"/>
      <c r="AE346" s="152"/>
    </row>
    <row r="347" spans="1:31" ht="15.75">
      <c r="A347" s="152"/>
      <c r="B347" s="152"/>
      <c r="C347" s="281"/>
      <c r="D347" s="152"/>
      <c r="E347" s="152"/>
      <c r="F347" s="152"/>
      <c r="G347" s="152"/>
      <c r="H347" s="152"/>
      <c r="I347" s="152"/>
      <c r="J347" s="152"/>
      <c r="K347" s="152"/>
      <c r="L347" s="152"/>
      <c r="M347" s="152"/>
      <c r="N347" s="152"/>
      <c r="O347" s="152"/>
      <c r="P347" s="152"/>
      <c r="Q347" s="152"/>
      <c r="R347" s="152"/>
      <c r="S347" s="152"/>
      <c r="T347" s="152"/>
      <c r="U347" s="152"/>
      <c r="V347" s="152"/>
      <c r="W347" s="152"/>
      <c r="X347" s="152"/>
      <c r="Y347" s="152"/>
      <c r="Z347" s="152"/>
      <c r="AA347" s="152"/>
      <c r="AB347" s="152"/>
      <c r="AC347" s="152"/>
      <c r="AD347" s="152"/>
      <c r="AE347" s="152"/>
    </row>
    <row r="348" spans="1:31" ht="15.75">
      <c r="A348" s="152"/>
      <c r="B348" s="152"/>
      <c r="C348" s="281"/>
      <c r="D348" s="152"/>
      <c r="E348" s="152"/>
      <c r="F348" s="152"/>
      <c r="G348" s="152"/>
      <c r="H348" s="152"/>
      <c r="I348" s="152"/>
      <c r="J348" s="152"/>
      <c r="K348" s="152"/>
      <c r="L348" s="152"/>
      <c r="M348" s="152"/>
      <c r="N348" s="152"/>
      <c r="O348" s="152"/>
      <c r="P348" s="152"/>
      <c r="Q348" s="152"/>
      <c r="R348" s="152"/>
      <c r="S348" s="152"/>
      <c r="T348" s="152"/>
      <c r="U348" s="152"/>
      <c r="V348" s="152"/>
      <c r="W348" s="152"/>
      <c r="X348" s="152"/>
      <c r="Y348" s="152"/>
      <c r="Z348" s="152"/>
      <c r="AA348" s="152"/>
      <c r="AB348" s="152"/>
      <c r="AC348" s="152"/>
      <c r="AD348" s="152"/>
      <c r="AE348" s="152"/>
    </row>
    <row r="349" spans="1:31" ht="15.75">
      <c r="A349" s="152"/>
      <c r="B349" s="152"/>
      <c r="C349" s="281"/>
      <c r="D349" s="152"/>
      <c r="E349" s="152"/>
      <c r="F349" s="152"/>
      <c r="G349" s="152"/>
      <c r="H349" s="152"/>
      <c r="I349" s="152"/>
      <c r="J349" s="152"/>
      <c r="K349" s="152"/>
      <c r="L349" s="152"/>
      <c r="M349" s="152"/>
      <c r="N349" s="152"/>
      <c r="O349" s="152"/>
      <c r="P349" s="152"/>
      <c r="Q349" s="152"/>
      <c r="R349" s="152"/>
      <c r="S349" s="152"/>
      <c r="T349" s="152"/>
      <c r="U349" s="152"/>
      <c r="V349" s="152"/>
      <c r="W349" s="152"/>
      <c r="X349" s="152"/>
      <c r="Y349" s="152"/>
      <c r="Z349" s="152"/>
      <c r="AA349" s="152"/>
      <c r="AB349" s="152"/>
      <c r="AC349" s="152"/>
      <c r="AD349" s="152"/>
      <c r="AE349" s="152"/>
    </row>
    <row r="350" spans="1:31" ht="15.75">
      <c r="A350" s="152"/>
      <c r="B350" s="152"/>
      <c r="C350" s="281"/>
      <c r="D350" s="152"/>
      <c r="E350" s="152"/>
      <c r="F350" s="152"/>
      <c r="G350" s="152"/>
      <c r="H350" s="152"/>
      <c r="I350" s="152"/>
      <c r="J350" s="152"/>
      <c r="K350" s="152"/>
      <c r="L350" s="152"/>
      <c r="M350" s="152"/>
      <c r="N350" s="152"/>
      <c r="O350" s="152"/>
      <c r="P350" s="152"/>
      <c r="Q350" s="152"/>
      <c r="R350" s="152"/>
      <c r="S350" s="152"/>
      <c r="T350" s="152"/>
      <c r="U350" s="152"/>
      <c r="V350" s="152"/>
      <c r="W350" s="152"/>
      <c r="X350" s="152"/>
      <c r="Y350" s="152"/>
      <c r="Z350" s="152"/>
      <c r="AA350" s="152"/>
      <c r="AB350" s="152"/>
      <c r="AC350" s="152"/>
      <c r="AD350" s="152"/>
      <c r="AE350" s="152"/>
    </row>
    <row r="351" spans="1:31" ht="15.75">
      <c r="A351" s="152"/>
      <c r="B351" s="152"/>
      <c r="C351" s="281"/>
      <c r="D351" s="152"/>
      <c r="E351" s="152"/>
      <c r="F351" s="152"/>
      <c r="G351" s="152"/>
      <c r="H351" s="152"/>
      <c r="I351" s="152"/>
      <c r="J351" s="152"/>
      <c r="K351" s="152"/>
      <c r="L351" s="152"/>
      <c r="M351" s="152"/>
      <c r="N351" s="152"/>
      <c r="O351" s="152"/>
      <c r="P351" s="152"/>
      <c r="Q351" s="152"/>
      <c r="R351" s="152"/>
      <c r="S351" s="152"/>
      <c r="T351" s="152"/>
      <c r="U351" s="152"/>
      <c r="V351" s="152"/>
      <c r="W351" s="152"/>
      <c r="X351" s="152"/>
      <c r="Y351" s="152"/>
      <c r="Z351" s="152"/>
      <c r="AA351" s="152"/>
      <c r="AB351" s="152"/>
      <c r="AC351" s="152"/>
      <c r="AD351" s="152"/>
      <c r="AE351" s="152"/>
    </row>
    <row r="352" spans="1:31" ht="15.75">
      <c r="A352" s="152"/>
      <c r="B352" s="152"/>
      <c r="C352" s="281"/>
      <c r="D352" s="152"/>
      <c r="E352" s="152"/>
      <c r="F352" s="152"/>
      <c r="G352" s="152"/>
      <c r="H352" s="152"/>
      <c r="I352" s="152"/>
      <c r="J352" s="152"/>
      <c r="K352" s="152"/>
      <c r="L352" s="152"/>
      <c r="M352" s="152"/>
      <c r="N352" s="152"/>
      <c r="O352" s="152"/>
      <c r="P352" s="152"/>
      <c r="Q352" s="152"/>
      <c r="R352" s="152"/>
      <c r="S352" s="152"/>
      <c r="T352" s="152"/>
      <c r="U352" s="152"/>
      <c r="V352" s="152"/>
      <c r="W352" s="152"/>
      <c r="X352" s="152"/>
      <c r="Y352" s="152"/>
      <c r="Z352" s="152"/>
      <c r="AA352" s="152"/>
      <c r="AB352" s="152"/>
      <c r="AC352" s="152"/>
      <c r="AD352" s="152"/>
      <c r="AE352" s="152"/>
    </row>
    <row r="353" spans="1:31" ht="15.75">
      <c r="A353" s="152"/>
      <c r="B353" s="152"/>
      <c r="C353" s="281"/>
      <c r="D353" s="152"/>
      <c r="E353" s="152"/>
      <c r="F353" s="152"/>
      <c r="G353" s="152"/>
      <c r="H353" s="152"/>
      <c r="I353" s="152"/>
      <c r="J353" s="152"/>
      <c r="K353" s="152"/>
      <c r="L353" s="152"/>
      <c r="M353" s="152"/>
      <c r="N353" s="152"/>
      <c r="O353" s="152"/>
      <c r="P353" s="152"/>
      <c r="Q353" s="152"/>
      <c r="R353" s="152"/>
      <c r="S353" s="152"/>
      <c r="T353" s="152"/>
      <c r="U353" s="152"/>
      <c r="V353" s="152"/>
      <c r="W353" s="152"/>
      <c r="X353" s="152"/>
      <c r="Y353" s="152"/>
      <c r="Z353" s="152"/>
      <c r="AA353" s="152"/>
      <c r="AB353" s="152"/>
      <c r="AC353" s="152"/>
      <c r="AD353" s="152"/>
      <c r="AE353" s="152"/>
    </row>
    <row r="354" spans="1:31" ht="15.75">
      <c r="A354" s="152"/>
      <c r="B354" s="152"/>
      <c r="C354" s="281"/>
      <c r="D354" s="152"/>
      <c r="E354" s="152"/>
      <c r="F354" s="152"/>
      <c r="G354" s="152"/>
      <c r="H354" s="152"/>
      <c r="I354" s="152"/>
      <c r="J354" s="152"/>
      <c r="K354" s="152"/>
      <c r="L354" s="152"/>
      <c r="M354" s="152"/>
      <c r="N354" s="152"/>
      <c r="O354" s="152"/>
      <c r="P354" s="152"/>
      <c r="Q354" s="152"/>
      <c r="R354" s="152"/>
      <c r="S354" s="152"/>
      <c r="T354" s="152"/>
      <c r="U354" s="152"/>
      <c r="V354" s="152"/>
      <c r="W354" s="152"/>
      <c r="X354" s="152"/>
      <c r="Y354" s="152"/>
      <c r="Z354" s="152"/>
      <c r="AA354" s="152"/>
      <c r="AB354" s="152"/>
      <c r="AC354" s="152"/>
      <c r="AD354" s="152"/>
      <c r="AE354" s="152"/>
    </row>
    <row r="355" spans="1:31" ht="15.75">
      <c r="A355" s="152"/>
      <c r="B355" s="152"/>
      <c r="C355" s="281"/>
      <c r="D355" s="152"/>
      <c r="E355" s="152"/>
      <c r="F355" s="152"/>
      <c r="G355" s="152"/>
      <c r="H355" s="152"/>
      <c r="I355" s="152"/>
      <c r="J355" s="152"/>
      <c r="K355" s="152"/>
      <c r="L355" s="152"/>
      <c r="M355" s="152"/>
      <c r="N355" s="152"/>
      <c r="O355" s="152"/>
      <c r="P355" s="152"/>
      <c r="Q355" s="152"/>
      <c r="R355" s="152"/>
      <c r="S355" s="152"/>
      <c r="T355" s="152"/>
      <c r="U355" s="152"/>
      <c r="V355" s="152"/>
      <c r="W355" s="152"/>
      <c r="X355" s="152"/>
      <c r="Y355" s="152"/>
      <c r="Z355" s="152"/>
      <c r="AA355" s="152"/>
      <c r="AB355" s="152"/>
      <c r="AC355" s="152"/>
      <c r="AD355" s="152"/>
      <c r="AE355" s="152"/>
    </row>
    <row r="356" spans="1:31" ht="15.75">
      <c r="A356" s="152"/>
      <c r="B356" s="152"/>
      <c r="C356" s="281"/>
      <c r="D356" s="152"/>
      <c r="E356" s="152"/>
      <c r="F356" s="152"/>
      <c r="G356" s="152"/>
      <c r="H356" s="152"/>
      <c r="I356" s="152"/>
      <c r="J356" s="152"/>
      <c r="K356" s="152"/>
      <c r="L356" s="152"/>
      <c r="M356" s="152"/>
      <c r="N356" s="152"/>
      <c r="O356" s="152"/>
      <c r="P356" s="152"/>
      <c r="Q356" s="152"/>
      <c r="R356" s="152"/>
      <c r="S356" s="152"/>
      <c r="T356" s="152"/>
      <c r="U356" s="152"/>
      <c r="V356" s="152"/>
      <c r="W356" s="152"/>
      <c r="X356" s="152"/>
      <c r="Y356" s="152"/>
      <c r="Z356" s="152"/>
      <c r="AA356" s="152"/>
      <c r="AB356" s="152"/>
      <c r="AC356" s="152"/>
      <c r="AD356" s="152"/>
      <c r="AE356" s="152"/>
    </row>
    <row r="357" spans="1:31" ht="15.75">
      <c r="A357" s="152"/>
      <c r="B357" s="152"/>
      <c r="C357" s="281"/>
      <c r="D357" s="152"/>
      <c r="E357" s="152"/>
      <c r="F357" s="152"/>
      <c r="G357" s="152"/>
      <c r="H357" s="152"/>
      <c r="I357" s="152"/>
      <c r="J357" s="152"/>
      <c r="K357" s="152"/>
      <c r="L357" s="152"/>
      <c r="M357" s="152"/>
      <c r="N357" s="152"/>
      <c r="O357" s="152"/>
      <c r="P357" s="152"/>
      <c r="Q357" s="152"/>
      <c r="R357" s="152"/>
      <c r="S357" s="152"/>
      <c r="T357" s="152"/>
      <c r="U357" s="152"/>
      <c r="V357" s="152"/>
      <c r="W357" s="152"/>
      <c r="X357" s="152"/>
      <c r="Y357" s="152"/>
      <c r="Z357" s="152"/>
      <c r="AA357" s="152"/>
      <c r="AB357" s="152"/>
      <c r="AC357" s="152"/>
      <c r="AD357" s="152"/>
      <c r="AE357" s="152"/>
    </row>
    <row r="358" spans="1:31" ht="15.75">
      <c r="A358" s="152"/>
      <c r="B358" s="152"/>
      <c r="C358" s="281"/>
      <c r="D358" s="152"/>
      <c r="E358" s="152"/>
      <c r="F358" s="152"/>
      <c r="G358" s="152"/>
      <c r="H358" s="152"/>
      <c r="I358" s="152"/>
      <c r="J358" s="152"/>
      <c r="K358" s="152"/>
      <c r="L358" s="152"/>
      <c r="M358" s="152"/>
      <c r="N358" s="152"/>
      <c r="O358" s="152"/>
      <c r="P358" s="152"/>
      <c r="Q358" s="152"/>
      <c r="R358" s="152"/>
      <c r="S358" s="152"/>
      <c r="T358" s="152"/>
      <c r="U358" s="152"/>
      <c r="V358" s="152"/>
      <c r="W358" s="152"/>
      <c r="X358" s="152"/>
      <c r="Y358" s="152"/>
      <c r="Z358" s="152"/>
      <c r="AA358" s="152"/>
      <c r="AB358" s="152"/>
      <c r="AC358" s="152"/>
      <c r="AD358" s="152"/>
      <c r="AE358" s="152"/>
    </row>
    <row r="359" spans="1:31" ht="15.75">
      <c r="A359" s="152"/>
      <c r="B359" s="152"/>
      <c r="C359" s="281"/>
      <c r="D359" s="152"/>
      <c r="E359" s="152"/>
      <c r="F359" s="152"/>
      <c r="G359" s="152"/>
      <c r="H359" s="152"/>
      <c r="I359" s="152"/>
      <c r="J359" s="152"/>
      <c r="K359" s="152"/>
      <c r="L359" s="152"/>
      <c r="M359" s="152"/>
      <c r="N359" s="152"/>
      <c r="O359" s="152"/>
      <c r="P359" s="152"/>
      <c r="Q359" s="152"/>
      <c r="R359" s="152"/>
      <c r="S359" s="152"/>
      <c r="T359" s="152"/>
      <c r="U359" s="152"/>
      <c r="V359" s="152"/>
      <c r="W359" s="152"/>
      <c r="X359" s="152"/>
      <c r="Y359" s="152"/>
      <c r="Z359" s="152"/>
      <c r="AA359" s="152"/>
      <c r="AB359" s="152"/>
      <c r="AC359" s="152"/>
      <c r="AD359" s="152"/>
      <c r="AE359" s="152"/>
    </row>
    <row r="360" spans="1:31" ht="15.75">
      <c r="A360" s="152"/>
      <c r="B360" s="152"/>
      <c r="C360" s="281"/>
      <c r="D360" s="152"/>
      <c r="E360" s="152"/>
      <c r="F360" s="152"/>
      <c r="G360" s="152"/>
      <c r="H360" s="152"/>
      <c r="I360" s="152"/>
      <c r="J360" s="152"/>
      <c r="K360" s="152"/>
      <c r="L360" s="152"/>
      <c r="M360" s="152"/>
      <c r="N360" s="152"/>
      <c r="O360" s="152"/>
      <c r="P360" s="152"/>
      <c r="Q360" s="152"/>
      <c r="R360" s="152"/>
      <c r="S360" s="152"/>
      <c r="T360" s="152"/>
      <c r="U360" s="152"/>
      <c r="V360" s="152"/>
      <c r="W360" s="152"/>
      <c r="X360" s="152"/>
      <c r="Y360" s="152"/>
      <c r="Z360" s="152"/>
      <c r="AA360" s="152"/>
      <c r="AB360" s="152"/>
      <c r="AC360" s="152"/>
      <c r="AD360" s="152"/>
      <c r="AE360" s="152"/>
    </row>
    <row r="361" spans="1:31" ht="15.75">
      <c r="A361" s="152"/>
      <c r="B361" s="152"/>
      <c r="C361" s="281"/>
      <c r="D361" s="152"/>
      <c r="E361" s="152"/>
      <c r="F361" s="152"/>
      <c r="G361" s="152"/>
      <c r="H361" s="152"/>
      <c r="I361" s="152"/>
      <c r="J361" s="152"/>
      <c r="K361" s="152"/>
      <c r="L361" s="152"/>
      <c r="M361" s="152"/>
      <c r="N361" s="152"/>
      <c r="O361" s="152"/>
      <c r="P361" s="152"/>
      <c r="Q361" s="152"/>
      <c r="R361" s="152"/>
      <c r="S361" s="152"/>
      <c r="T361" s="152"/>
      <c r="U361" s="152"/>
      <c r="V361" s="152"/>
      <c r="W361" s="152"/>
      <c r="X361" s="152"/>
      <c r="Y361" s="152"/>
      <c r="Z361" s="152"/>
      <c r="AA361" s="152"/>
      <c r="AB361" s="152"/>
      <c r="AC361" s="152"/>
      <c r="AD361" s="152"/>
      <c r="AE361" s="152"/>
    </row>
    <row r="362" spans="1:31" ht="15.75">
      <c r="A362" s="152"/>
      <c r="B362" s="152"/>
      <c r="C362" s="281"/>
      <c r="D362" s="152"/>
      <c r="E362" s="152"/>
      <c r="F362" s="152"/>
      <c r="G362" s="152"/>
      <c r="H362" s="152"/>
      <c r="I362" s="152"/>
      <c r="J362" s="152"/>
      <c r="K362" s="152"/>
      <c r="L362" s="152"/>
      <c r="M362" s="152"/>
      <c r="N362" s="152"/>
      <c r="O362" s="152"/>
      <c r="P362" s="152"/>
      <c r="Q362" s="152"/>
      <c r="R362" s="152"/>
      <c r="S362" s="152"/>
      <c r="T362" s="152"/>
      <c r="U362" s="152"/>
      <c r="V362" s="152"/>
      <c r="W362" s="152"/>
      <c r="X362" s="152"/>
      <c r="Y362" s="152"/>
      <c r="Z362" s="152"/>
      <c r="AA362" s="152"/>
      <c r="AB362" s="152"/>
      <c r="AC362" s="152"/>
      <c r="AD362" s="152"/>
      <c r="AE362" s="152"/>
    </row>
    <row r="363" spans="1:31" ht="15.75">
      <c r="A363" s="152"/>
      <c r="B363" s="152"/>
      <c r="C363" s="281"/>
      <c r="D363" s="152"/>
      <c r="E363" s="152"/>
      <c r="F363" s="152"/>
      <c r="G363" s="152"/>
      <c r="H363" s="152"/>
      <c r="I363" s="152"/>
      <c r="J363" s="152"/>
      <c r="K363" s="152"/>
      <c r="L363" s="152"/>
      <c r="M363" s="152"/>
      <c r="N363" s="152"/>
      <c r="O363" s="152"/>
      <c r="P363" s="152"/>
      <c r="Q363" s="152"/>
      <c r="R363" s="152"/>
      <c r="S363" s="152"/>
      <c r="T363" s="152"/>
      <c r="U363" s="152"/>
      <c r="V363" s="152"/>
      <c r="W363" s="152"/>
      <c r="X363" s="152"/>
      <c r="Y363" s="152"/>
      <c r="Z363" s="152"/>
      <c r="AA363" s="152"/>
      <c r="AB363" s="152"/>
      <c r="AC363" s="152"/>
      <c r="AD363" s="152"/>
      <c r="AE363" s="152"/>
    </row>
    <row r="364" spans="1:31" ht="15.75">
      <c r="A364" s="152"/>
      <c r="B364" s="152"/>
      <c r="C364" s="281"/>
      <c r="D364" s="152"/>
      <c r="E364" s="152"/>
      <c r="F364" s="152"/>
      <c r="G364" s="152"/>
      <c r="H364" s="152"/>
      <c r="I364" s="152"/>
      <c r="J364" s="152"/>
      <c r="K364" s="152"/>
      <c r="L364" s="152"/>
      <c r="M364" s="152"/>
      <c r="N364" s="152"/>
      <c r="O364" s="152"/>
      <c r="P364" s="152"/>
      <c r="Q364" s="152"/>
      <c r="R364" s="152"/>
      <c r="S364" s="152"/>
      <c r="T364" s="152"/>
      <c r="U364" s="152"/>
      <c r="V364" s="152"/>
      <c r="W364" s="152"/>
      <c r="X364" s="152"/>
      <c r="Y364" s="152"/>
      <c r="Z364" s="152"/>
      <c r="AA364" s="152"/>
      <c r="AB364" s="152"/>
      <c r="AC364" s="152"/>
      <c r="AD364" s="152"/>
      <c r="AE364" s="152"/>
    </row>
    <row r="365" spans="1:31" ht="15.75">
      <c r="A365" s="152"/>
      <c r="B365" s="152"/>
      <c r="C365" s="281"/>
      <c r="D365" s="152"/>
      <c r="E365" s="152"/>
      <c r="F365" s="152"/>
      <c r="G365" s="152"/>
      <c r="H365" s="152"/>
      <c r="I365" s="152"/>
      <c r="J365" s="152"/>
      <c r="K365" s="152"/>
      <c r="L365" s="152"/>
      <c r="M365" s="152"/>
      <c r="N365" s="152"/>
      <c r="O365" s="152"/>
      <c r="P365" s="152"/>
      <c r="Q365" s="152"/>
      <c r="R365" s="152"/>
      <c r="S365" s="152"/>
      <c r="T365" s="152"/>
      <c r="U365" s="152"/>
      <c r="V365" s="152"/>
      <c r="W365" s="152"/>
      <c r="X365" s="152"/>
      <c r="Y365" s="152"/>
      <c r="Z365" s="152"/>
      <c r="AA365" s="152"/>
      <c r="AB365" s="152"/>
      <c r="AC365" s="152"/>
      <c r="AD365" s="152"/>
      <c r="AE365" s="152"/>
    </row>
    <row r="366" spans="1:31" ht="15.75">
      <c r="A366" s="152"/>
      <c r="B366" s="152"/>
      <c r="C366" s="281"/>
      <c r="D366" s="152"/>
      <c r="E366" s="152"/>
      <c r="F366" s="152"/>
      <c r="G366" s="152"/>
      <c r="H366" s="152"/>
      <c r="I366" s="152"/>
      <c r="J366" s="152"/>
      <c r="K366" s="152"/>
      <c r="L366" s="152"/>
      <c r="M366" s="152"/>
      <c r="N366" s="152"/>
      <c r="O366" s="152"/>
      <c r="P366" s="152"/>
      <c r="Q366" s="152"/>
      <c r="R366" s="152"/>
      <c r="S366" s="152"/>
      <c r="T366" s="152"/>
      <c r="U366" s="152"/>
      <c r="V366" s="152"/>
      <c r="W366" s="152"/>
      <c r="X366" s="152"/>
      <c r="Y366" s="152"/>
      <c r="Z366" s="152"/>
      <c r="AA366" s="152"/>
      <c r="AB366" s="152"/>
      <c r="AC366" s="152"/>
      <c r="AD366" s="152"/>
      <c r="AE366" s="152"/>
    </row>
    <row r="367" spans="1:31" ht="15.75">
      <c r="A367" s="152"/>
      <c r="B367" s="152"/>
      <c r="C367" s="281"/>
      <c r="D367" s="152"/>
      <c r="E367" s="152"/>
      <c r="F367" s="152"/>
      <c r="G367" s="152"/>
      <c r="H367" s="152"/>
      <c r="I367" s="152"/>
      <c r="J367" s="152"/>
      <c r="K367" s="152"/>
      <c r="L367" s="152"/>
      <c r="M367" s="152"/>
      <c r="N367" s="152"/>
      <c r="O367" s="152"/>
      <c r="P367" s="152"/>
      <c r="Q367" s="152"/>
      <c r="R367" s="152"/>
      <c r="S367" s="152"/>
      <c r="T367" s="152"/>
      <c r="U367" s="152"/>
      <c r="V367" s="152"/>
      <c r="W367" s="152"/>
      <c r="X367" s="152"/>
      <c r="Y367" s="152"/>
      <c r="Z367" s="152"/>
      <c r="AA367" s="152"/>
      <c r="AB367" s="152"/>
      <c r="AC367" s="152"/>
      <c r="AD367" s="152"/>
      <c r="AE367" s="152"/>
    </row>
    <row r="368" spans="1:31" ht="15.75">
      <c r="A368" s="152"/>
      <c r="B368" s="152"/>
      <c r="C368" s="281"/>
      <c r="D368" s="152"/>
      <c r="E368" s="152"/>
      <c r="F368" s="152"/>
      <c r="G368" s="152"/>
      <c r="H368" s="152"/>
      <c r="I368" s="152"/>
      <c r="J368" s="152"/>
      <c r="K368" s="152"/>
      <c r="L368" s="152"/>
      <c r="M368" s="152"/>
      <c r="N368" s="152"/>
      <c r="O368" s="152"/>
      <c r="P368" s="152"/>
      <c r="Q368" s="152"/>
      <c r="R368" s="152"/>
      <c r="S368" s="152"/>
      <c r="T368" s="152"/>
      <c r="U368" s="152"/>
      <c r="V368" s="152"/>
      <c r="W368" s="152"/>
      <c r="X368" s="152"/>
      <c r="Y368" s="152"/>
      <c r="Z368" s="152"/>
      <c r="AA368" s="152"/>
      <c r="AB368" s="152"/>
      <c r="AC368" s="152"/>
      <c r="AD368" s="152"/>
      <c r="AE368" s="152"/>
    </row>
    <row r="369" spans="1:31" ht="15.75">
      <c r="A369" s="152"/>
      <c r="B369" s="152"/>
      <c r="C369" s="281"/>
      <c r="D369" s="152"/>
      <c r="E369" s="152"/>
      <c r="F369" s="152"/>
      <c r="G369" s="152"/>
      <c r="H369" s="152"/>
      <c r="I369" s="152"/>
      <c r="J369" s="152"/>
      <c r="K369" s="152"/>
      <c r="L369" s="152"/>
      <c r="M369" s="152"/>
      <c r="N369" s="152"/>
      <c r="O369" s="152"/>
      <c r="P369" s="152"/>
      <c r="Q369" s="152"/>
      <c r="R369" s="152"/>
      <c r="S369" s="152"/>
      <c r="T369" s="152"/>
      <c r="U369" s="152"/>
      <c r="V369" s="152"/>
      <c r="W369" s="152"/>
      <c r="X369" s="152"/>
      <c r="Y369" s="152"/>
      <c r="Z369" s="152"/>
      <c r="AA369" s="152"/>
      <c r="AB369" s="152"/>
      <c r="AC369" s="152"/>
      <c r="AD369" s="152"/>
      <c r="AE369" s="152"/>
    </row>
    <row r="370" spans="1:31" ht="15.75">
      <c r="A370" s="152"/>
      <c r="B370" s="152"/>
      <c r="C370" s="281"/>
      <c r="D370" s="152"/>
      <c r="E370" s="152"/>
      <c r="F370" s="152"/>
      <c r="G370" s="152"/>
      <c r="H370" s="152"/>
      <c r="I370" s="152"/>
      <c r="J370" s="152"/>
      <c r="K370" s="152"/>
      <c r="L370" s="152"/>
      <c r="M370" s="152"/>
      <c r="N370" s="152"/>
      <c r="O370" s="152"/>
      <c r="P370" s="152"/>
      <c r="Q370" s="152"/>
      <c r="R370" s="152"/>
      <c r="S370" s="152"/>
      <c r="T370" s="152"/>
      <c r="U370" s="152"/>
      <c r="V370" s="152"/>
      <c r="W370" s="152"/>
      <c r="X370" s="152"/>
      <c r="Y370" s="152"/>
      <c r="Z370" s="152"/>
      <c r="AA370" s="152"/>
      <c r="AB370" s="152"/>
      <c r="AC370" s="152"/>
      <c r="AD370" s="152"/>
      <c r="AE370" s="152"/>
    </row>
    <row r="371" spans="1:31" ht="15.75">
      <c r="A371" s="152"/>
      <c r="B371" s="152"/>
      <c r="C371" s="281"/>
      <c r="D371" s="152"/>
      <c r="E371" s="152"/>
      <c r="F371" s="152"/>
      <c r="G371" s="152"/>
      <c r="H371" s="152"/>
      <c r="I371" s="152"/>
      <c r="J371" s="152"/>
      <c r="K371" s="152"/>
      <c r="L371" s="152"/>
      <c r="M371" s="152"/>
      <c r="N371" s="152"/>
      <c r="O371" s="152"/>
      <c r="P371" s="152"/>
      <c r="Q371" s="152"/>
      <c r="R371" s="152"/>
      <c r="S371" s="152"/>
      <c r="T371" s="152"/>
      <c r="U371" s="152"/>
      <c r="V371" s="152"/>
      <c r="W371" s="152"/>
      <c r="X371" s="152"/>
      <c r="Y371" s="152"/>
      <c r="Z371" s="152"/>
      <c r="AA371" s="152"/>
      <c r="AB371" s="152"/>
      <c r="AC371" s="152"/>
      <c r="AD371" s="152"/>
      <c r="AE371" s="152"/>
    </row>
    <row r="372" spans="1:31" ht="15.75">
      <c r="A372" s="152"/>
      <c r="B372" s="152"/>
      <c r="C372" s="281"/>
      <c r="D372" s="152"/>
      <c r="E372" s="152"/>
      <c r="F372" s="152"/>
      <c r="G372" s="152"/>
      <c r="H372" s="152"/>
      <c r="I372" s="152"/>
      <c r="J372" s="152"/>
      <c r="K372" s="152"/>
      <c r="L372" s="152"/>
      <c r="M372" s="152"/>
      <c r="N372" s="152"/>
      <c r="O372" s="152"/>
      <c r="P372" s="152"/>
      <c r="Q372" s="152"/>
      <c r="R372" s="152"/>
      <c r="S372" s="152"/>
      <c r="T372" s="152"/>
      <c r="U372" s="152"/>
      <c r="V372" s="152"/>
      <c r="W372" s="152"/>
      <c r="X372" s="152"/>
      <c r="Y372" s="152"/>
      <c r="Z372" s="152"/>
      <c r="AA372" s="152"/>
      <c r="AB372" s="152"/>
      <c r="AC372" s="152"/>
      <c r="AD372" s="152"/>
      <c r="AE372" s="152"/>
    </row>
    <row r="373" spans="1:31" ht="15.75">
      <c r="A373" s="152"/>
      <c r="B373" s="152"/>
      <c r="C373" s="281"/>
      <c r="D373" s="152"/>
      <c r="E373" s="152"/>
      <c r="F373" s="152"/>
      <c r="G373" s="152"/>
      <c r="H373" s="152"/>
      <c r="I373" s="152"/>
      <c r="J373" s="152"/>
      <c r="K373" s="152"/>
      <c r="L373" s="152"/>
      <c r="M373" s="152"/>
      <c r="N373" s="152"/>
      <c r="O373" s="152"/>
      <c r="P373" s="152"/>
      <c r="Q373" s="152"/>
      <c r="R373" s="152"/>
      <c r="S373" s="152"/>
      <c r="T373" s="152"/>
      <c r="U373" s="152"/>
      <c r="V373" s="152"/>
      <c r="W373" s="152"/>
      <c r="X373" s="152"/>
      <c r="Y373" s="152"/>
      <c r="Z373" s="152"/>
      <c r="AA373" s="152"/>
      <c r="AB373" s="152"/>
      <c r="AC373" s="152"/>
      <c r="AD373" s="152"/>
      <c r="AE373" s="152"/>
    </row>
    <row r="374" spans="1:31" ht="15.75">
      <c r="A374" s="152"/>
      <c r="B374" s="152"/>
      <c r="C374" s="281"/>
      <c r="D374" s="152"/>
      <c r="E374" s="152"/>
      <c r="F374" s="152"/>
      <c r="G374" s="152"/>
      <c r="H374" s="152"/>
      <c r="I374" s="152"/>
      <c r="J374" s="152"/>
      <c r="K374" s="152"/>
      <c r="L374" s="152"/>
      <c r="M374" s="152"/>
      <c r="N374" s="152"/>
      <c r="O374" s="152"/>
      <c r="P374" s="152"/>
      <c r="Q374" s="152"/>
      <c r="R374" s="152"/>
      <c r="S374" s="152"/>
      <c r="T374" s="152"/>
      <c r="U374" s="152"/>
      <c r="V374" s="152"/>
      <c r="W374" s="152"/>
      <c r="X374" s="152"/>
      <c r="Y374" s="152"/>
      <c r="Z374" s="152"/>
      <c r="AA374" s="152"/>
      <c r="AB374" s="152"/>
      <c r="AC374" s="152"/>
      <c r="AD374" s="152"/>
      <c r="AE374" s="152"/>
    </row>
    <row r="375" spans="1:31" ht="15.75">
      <c r="A375" s="152"/>
      <c r="B375" s="152"/>
      <c r="C375" s="281"/>
      <c r="D375" s="152"/>
      <c r="E375" s="152"/>
      <c r="F375" s="152"/>
      <c r="G375" s="152"/>
      <c r="H375" s="152"/>
      <c r="I375" s="152"/>
      <c r="J375" s="152"/>
      <c r="K375" s="152"/>
      <c r="L375" s="152"/>
      <c r="M375" s="152"/>
      <c r="N375" s="152"/>
      <c r="O375" s="152"/>
      <c r="P375" s="152"/>
      <c r="Q375" s="152"/>
      <c r="R375" s="152"/>
      <c r="S375" s="152"/>
      <c r="T375" s="152"/>
      <c r="U375" s="152"/>
      <c r="V375" s="152"/>
      <c r="W375" s="152"/>
      <c r="X375" s="152"/>
      <c r="Y375" s="152"/>
      <c r="Z375" s="152"/>
      <c r="AA375" s="152"/>
      <c r="AB375" s="152"/>
      <c r="AC375" s="152"/>
      <c r="AD375" s="152"/>
      <c r="AE375" s="152"/>
    </row>
    <row r="376" spans="1:31" ht="15.75">
      <c r="A376" s="152"/>
      <c r="B376" s="152"/>
      <c r="C376" s="281"/>
      <c r="D376" s="152"/>
      <c r="E376" s="152"/>
      <c r="F376" s="152"/>
      <c r="G376" s="152"/>
      <c r="H376" s="152"/>
      <c r="I376" s="152"/>
      <c r="J376" s="152"/>
      <c r="K376" s="152"/>
      <c r="L376" s="152"/>
      <c r="M376" s="152"/>
      <c r="N376" s="152"/>
      <c r="O376" s="152"/>
      <c r="P376" s="152"/>
      <c r="Q376" s="152"/>
      <c r="R376" s="152"/>
      <c r="S376" s="152"/>
      <c r="T376" s="152"/>
      <c r="U376" s="152"/>
      <c r="V376" s="152"/>
      <c r="W376" s="152"/>
      <c r="X376" s="152"/>
      <c r="Y376" s="152"/>
      <c r="Z376" s="152"/>
      <c r="AA376" s="152"/>
      <c r="AB376" s="152"/>
      <c r="AC376" s="152"/>
      <c r="AD376" s="152"/>
      <c r="AE376" s="152"/>
    </row>
    <row r="377" spans="1:31" ht="15.75">
      <c r="A377" s="152"/>
      <c r="B377" s="152"/>
      <c r="C377" s="281"/>
      <c r="D377" s="152"/>
      <c r="E377" s="152"/>
      <c r="F377" s="152"/>
      <c r="G377" s="152"/>
      <c r="H377" s="152"/>
      <c r="I377" s="152"/>
      <c r="J377" s="152"/>
      <c r="K377" s="152"/>
      <c r="L377" s="152"/>
      <c r="M377" s="152"/>
      <c r="N377" s="152"/>
      <c r="O377" s="152"/>
      <c r="P377" s="152"/>
      <c r="Q377" s="152"/>
      <c r="R377" s="152"/>
      <c r="S377" s="152"/>
      <c r="T377" s="152"/>
      <c r="U377" s="152"/>
      <c r="V377" s="152"/>
      <c r="W377" s="152"/>
      <c r="X377" s="152"/>
      <c r="Y377" s="152"/>
      <c r="Z377" s="152"/>
      <c r="AA377" s="152"/>
      <c r="AB377" s="152"/>
      <c r="AC377" s="152"/>
      <c r="AD377" s="152"/>
      <c r="AE377" s="152"/>
    </row>
    <row r="378" spans="1:31" ht="15.75">
      <c r="A378" s="152"/>
      <c r="B378" s="152"/>
      <c r="C378" s="281"/>
      <c r="D378" s="152"/>
      <c r="E378" s="152"/>
      <c r="F378" s="152"/>
      <c r="G378" s="152"/>
      <c r="H378" s="152"/>
      <c r="I378" s="152"/>
      <c r="J378" s="152"/>
      <c r="K378" s="152"/>
      <c r="L378" s="152"/>
      <c r="M378" s="152"/>
      <c r="N378" s="152"/>
      <c r="O378" s="152"/>
      <c r="P378" s="152"/>
      <c r="Q378" s="152"/>
      <c r="R378" s="152"/>
      <c r="S378" s="152"/>
      <c r="T378" s="152"/>
      <c r="U378" s="152"/>
      <c r="V378" s="152"/>
      <c r="W378" s="152"/>
      <c r="X378" s="152"/>
      <c r="Y378" s="152"/>
      <c r="Z378" s="152"/>
      <c r="AA378" s="152"/>
      <c r="AB378" s="152"/>
      <c r="AC378" s="152"/>
      <c r="AD378" s="152"/>
      <c r="AE378" s="152"/>
    </row>
    <row r="379" spans="1:31" ht="15.75">
      <c r="A379" s="152"/>
      <c r="B379" s="152"/>
      <c r="C379" s="281"/>
      <c r="D379" s="152"/>
      <c r="E379" s="152"/>
      <c r="F379" s="152"/>
      <c r="G379" s="152"/>
      <c r="H379" s="152"/>
      <c r="I379" s="152"/>
      <c r="J379" s="152"/>
      <c r="K379" s="152"/>
      <c r="L379" s="152"/>
      <c r="M379" s="152"/>
      <c r="N379" s="152"/>
      <c r="O379" s="152"/>
      <c r="P379" s="152"/>
      <c r="Q379" s="152"/>
      <c r="R379" s="152"/>
      <c r="S379" s="152"/>
      <c r="T379" s="152"/>
      <c r="U379" s="152"/>
      <c r="V379" s="152"/>
      <c r="W379" s="152"/>
      <c r="X379" s="152"/>
      <c r="Y379" s="152"/>
      <c r="Z379" s="152"/>
      <c r="AA379" s="152"/>
      <c r="AB379" s="152"/>
      <c r="AC379" s="152"/>
      <c r="AD379" s="152"/>
      <c r="AE379" s="152"/>
    </row>
    <row r="380" spans="1:31" ht="15.75">
      <c r="A380" s="152"/>
      <c r="B380" s="152"/>
      <c r="C380" s="281"/>
      <c r="D380" s="152"/>
      <c r="E380" s="152"/>
      <c r="F380" s="152"/>
      <c r="G380" s="152"/>
      <c r="H380" s="152"/>
      <c r="I380" s="152"/>
      <c r="J380" s="152"/>
      <c r="K380" s="152"/>
      <c r="L380" s="152"/>
      <c r="M380" s="152"/>
      <c r="N380" s="152"/>
      <c r="O380" s="152"/>
      <c r="P380" s="152"/>
      <c r="Q380" s="152"/>
      <c r="R380" s="152"/>
      <c r="S380" s="152"/>
      <c r="T380" s="152"/>
      <c r="U380" s="152"/>
      <c r="V380" s="152"/>
      <c r="W380" s="152"/>
      <c r="X380" s="152"/>
      <c r="Y380" s="152"/>
      <c r="Z380" s="152"/>
      <c r="AA380" s="152"/>
      <c r="AB380" s="152"/>
      <c r="AC380" s="152"/>
      <c r="AD380" s="152"/>
      <c r="AE380" s="152"/>
    </row>
    <row r="381" spans="1:31" ht="15.75">
      <c r="A381" s="152"/>
      <c r="B381" s="152"/>
      <c r="C381" s="281"/>
      <c r="D381" s="152"/>
      <c r="E381" s="152"/>
      <c r="F381" s="152"/>
      <c r="G381" s="152"/>
      <c r="H381" s="152"/>
      <c r="I381" s="152"/>
      <c r="J381" s="152"/>
      <c r="K381" s="152"/>
      <c r="L381" s="152"/>
      <c r="M381" s="152"/>
      <c r="N381" s="152"/>
      <c r="O381" s="152"/>
      <c r="P381" s="152"/>
      <c r="Q381" s="152"/>
      <c r="R381" s="152"/>
      <c r="S381" s="152"/>
      <c r="T381" s="152"/>
      <c r="U381" s="152"/>
      <c r="V381" s="152"/>
      <c r="W381" s="152"/>
      <c r="X381" s="152"/>
      <c r="Y381" s="152"/>
      <c r="Z381" s="152"/>
      <c r="AA381" s="152"/>
      <c r="AB381" s="152"/>
      <c r="AC381" s="152"/>
      <c r="AD381" s="152"/>
      <c r="AE381" s="152"/>
    </row>
    <row r="382" spans="1:31" ht="15.75">
      <c r="A382" s="152"/>
      <c r="B382" s="152"/>
      <c r="C382" s="281"/>
      <c r="D382" s="152"/>
      <c r="E382" s="152"/>
      <c r="F382" s="152"/>
      <c r="G382" s="152"/>
      <c r="H382" s="152"/>
      <c r="I382" s="152"/>
      <c r="J382" s="152"/>
      <c r="K382" s="152"/>
      <c r="L382" s="152"/>
      <c r="M382" s="152"/>
      <c r="N382" s="152"/>
      <c r="O382" s="152"/>
      <c r="P382" s="152"/>
      <c r="Q382" s="152"/>
      <c r="R382" s="152"/>
      <c r="S382" s="152"/>
      <c r="T382" s="152"/>
      <c r="U382" s="152"/>
      <c r="V382" s="152"/>
      <c r="W382" s="152"/>
      <c r="X382" s="152"/>
      <c r="Y382" s="152"/>
      <c r="Z382" s="152"/>
      <c r="AA382" s="152"/>
      <c r="AB382" s="152"/>
      <c r="AC382" s="152"/>
      <c r="AD382" s="152"/>
      <c r="AE382" s="152"/>
    </row>
    <row r="383" spans="1:31" ht="15.75">
      <c r="A383" s="152"/>
      <c r="B383" s="152"/>
      <c r="C383" s="281"/>
      <c r="D383" s="152"/>
      <c r="E383" s="152"/>
      <c r="F383" s="152"/>
      <c r="G383" s="152"/>
      <c r="H383" s="152"/>
      <c r="I383" s="152"/>
      <c r="J383" s="152"/>
      <c r="K383" s="152"/>
      <c r="L383" s="152"/>
      <c r="M383" s="152"/>
      <c r="N383" s="152"/>
      <c r="O383" s="152"/>
      <c r="P383" s="152"/>
      <c r="Q383" s="152"/>
      <c r="R383" s="152"/>
      <c r="S383" s="152"/>
      <c r="T383" s="152"/>
      <c r="U383" s="152"/>
      <c r="V383" s="152"/>
      <c r="W383" s="152"/>
      <c r="X383" s="152"/>
      <c r="Y383" s="152"/>
      <c r="Z383" s="152"/>
      <c r="AA383" s="152"/>
      <c r="AB383" s="152"/>
      <c r="AC383" s="152"/>
      <c r="AD383" s="152"/>
      <c r="AE383" s="152"/>
    </row>
    <row r="384" spans="1:31" ht="15.75">
      <c r="A384" s="152"/>
      <c r="B384" s="152"/>
      <c r="C384" s="281"/>
      <c r="D384" s="152"/>
      <c r="E384" s="152"/>
      <c r="F384" s="152"/>
      <c r="G384" s="152"/>
      <c r="H384" s="152"/>
      <c r="I384" s="152"/>
      <c r="J384" s="152"/>
      <c r="K384" s="152"/>
      <c r="L384" s="152"/>
      <c r="M384" s="152"/>
      <c r="N384" s="152"/>
      <c r="O384" s="152"/>
      <c r="P384" s="152"/>
      <c r="Q384" s="152"/>
      <c r="R384" s="152"/>
      <c r="S384" s="152"/>
      <c r="T384" s="152"/>
      <c r="U384" s="152"/>
      <c r="V384" s="152"/>
      <c r="W384" s="152"/>
      <c r="X384" s="152"/>
      <c r="Y384" s="152"/>
      <c r="Z384" s="152"/>
      <c r="AA384" s="152"/>
      <c r="AB384" s="152"/>
      <c r="AC384" s="152"/>
      <c r="AD384" s="152"/>
      <c r="AE384" s="152"/>
    </row>
    <row r="385" spans="1:31" ht="15.75">
      <c r="A385" s="152"/>
      <c r="B385" s="152"/>
      <c r="C385" s="281"/>
      <c r="D385" s="152"/>
      <c r="E385" s="152"/>
      <c r="F385" s="152"/>
      <c r="G385" s="152"/>
      <c r="H385" s="152"/>
      <c r="I385" s="152"/>
      <c r="J385" s="152"/>
      <c r="K385" s="152"/>
      <c r="L385" s="152"/>
      <c r="M385" s="152"/>
      <c r="N385" s="152"/>
      <c r="O385" s="152"/>
      <c r="P385" s="152"/>
      <c r="Q385" s="152"/>
      <c r="R385" s="152"/>
      <c r="S385" s="152"/>
      <c r="T385" s="152"/>
      <c r="U385" s="152"/>
      <c r="V385" s="152"/>
      <c r="W385" s="152"/>
      <c r="X385" s="152"/>
      <c r="Y385" s="152"/>
      <c r="Z385" s="152"/>
      <c r="AA385" s="152"/>
      <c r="AB385" s="152"/>
      <c r="AC385" s="152"/>
      <c r="AD385" s="152"/>
      <c r="AE385" s="152"/>
    </row>
    <row r="386" spans="1:31" ht="15.75">
      <c r="A386" s="152"/>
      <c r="B386" s="152"/>
      <c r="C386" s="281"/>
      <c r="D386" s="152"/>
      <c r="E386" s="152"/>
      <c r="F386" s="152"/>
      <c r="G386" s="152"/>
      <c r="H386" s="152"/>
      <c r="I386" s="152"/>
      <c r="J386" s="152"/>
      <c r="K386" s="152"/>
      <c r="L386" s="152"/>
      <c r="M386" s="152"/>
      <c r="N386" s="152"/>
      <c r="O386" s="152"/>
      <c r="P386" s="152"/>
      <c r="Q386" s="152"/>
      <c r="R386" s="152"/>
      <c r="S386" s="152"/>
      <c r="T386" s="152"/>
      <c r="U386" s="152"/>
      <c r="V386" s="152"/>
      <c r="W386" s="152"/>
      <c r="X386" s="152"/>
      <c r="Y386" s="152"/>
      <c r="Z386" s="152"/>
      <c r="AA386" s="152"/>
      <c r="AB386" s="152"/>
      <c r="AC386" s="152"/>
      <c r="AD386" s="152"/>
      <c r="AE386" s="152"/>
    </row>
    <row r="387" spans="1:31" ht="15.75">
      <c r="A387" s="152"/>
      <c r="B387" s="152"/>
      <c r="C387" s="281"/>
      <c r="D387" s="152"/>
      <c r="E387" s="152"/>
      <c r="F387" s="152"/>
      <c r="G387" s="152"/>
      <c r="H387" s="152"/>
      <c r="I387" s="152"/>
      <c r="J387" s="152"/>
      <c r="K387" s="152"/>
      <c r="L387" s="152"/>
      <c r="M387" s="152"/>
      <c r="N387" s="152"/>
      <c r="O387" s="152"/>
      <c r="P387" s="152"/>
      <c r="Q387" s="152"/>
      <c r="R387" s="152"/>
      <c r="S387" s="152"/>
      <c r="T387" s="152"/>
      <c r="U387" s="152"/>
      <c r="V387" s="152"/>
      <c r="W387" s="152"/>
      <c r="X387" s="152"/>
      <c r="Y387" s="152"/>
      <c r="Z387" s="152"/>
      <c r="AA387" s="152"/>
      <c r="AB387" s="152"/>
      <c r="AC387" s="152"/>
      <c r="AD387" s="152"/>
      <c r="AE387" s="152"/>
    </row>
    <row r="388" spans="1:31" ht="15.75">
      <c r="A388" s="152"/>
      <c r="B388" s="152"/>
      <c r="C388" s="281"/>
      <c r="D388" s="152"/>
      <c r="E388" s="152"/>
      <c r="F388" s="152"/>
      <c r="G388" s="152"/>
      <c r="H388" s="152"/>
      <c r="I388" s="152"/>
      <c r="J388" s="152"/>
      <c r="K388" s="152"/>
      <c r="L388" s="152"/>
      <c r="M388" s="152"/>
      <c r="N388" s="152"/>
      <c r="O388" s="152"/>
      <c r="P388" s="152"/>
      <c r="Q388" s="152"/>
      <c r="R388" s="152"/>
      <c r="S388" s="152"/>
      <c r="T388" s="152"/>
      <c r="U388" s="152"/>
      <c r="V388" s="152"/>
      <c r="W388" s="152"/>
      <c r="X388" s="152"/>
      <c r="Y388" s="152"/>
      <c r="Z388" s="152"/>
      <c r="AA388" s="152"/>
      <c r="AB388" s="152"/>
      <c r="AC388" s="152"/>
      <c r="AD388" s="152"/>
      <c r="AE388" s="152"/>
    </row>
    <row r="389" spans="1:31" ht="15.75">
      <c r="A389" s="152"/>
      <c r="B389" s="152"/>
      <c r="C389" s="281"/>
      <c r="D389" s="152"/>
      <c r="E389" s="152"/>
      <c r="F389" s="152"/>
      <c r="G389" s="152"/>
      <c r="H389" s="152"/>
      <c r="I389" s="152"/>
      <c r="J389" s="152"/>
      <c r="K389" s="152"/>
      <c r="L389" s="152"/>
      <c r="M389" s="152"/>
      <c r="N389" s="152"/>
      <c r="O389" s="152"/>
      <c r="P389" s="152"/>
      <c r="Q389" s="152"/>
      <c r="R389" s="152"/>
      <c r="S389" s="152"/>
      <c r="T389" s="152"/>
      <c r="U389" s="152"/>
      <c r="V389" s="152"/>
      <c r="W389" s="152"/>
      <c r="X389" s="152"/>
      <c r="Y389" s="152"/>
      <c r="Z389" s="152"/>
      <c r="AA389" s="152"/>
      <c r="AB389" s="152"/>
      <c r="AC389" s="152"/>
      <c r="AD389" s="152"/>
      <c r="AE389" s="152"/>
    </row>
    <row r="390" spans="1:31" ht="15.75">
      <c r="A390" s="152"/>
      <c r="B390" s="152"/>
      <c r="C390" s="281"/>
      <c r="D390" s="152"/>
      <c r="E390" s="152"/>
      <c r="F390" s="152"/>
      <c r="G390" s="152"/>
      <c r="H390" s="152"/>
      <c r="I390" s="152"/>
      <c r="J390" s="152"/>
      <c r="K390" s="152"/>
      <c r="L390" s="152"/>
      <c r="M390" s="152"/>
      <c r="N390" s="152"/>
      <c r="O390" s="152"/>
      <c r="P390" s="152"/>
      <c r="Q390" s="152"/>
      <c r="R390" s="152"/>
      <c r="S390" s="152"/>
      <c r="T390" s="152"/>
      <c r="U390" s="152"/>
      <c r="V390" s="152"/>
      <c r="W390" s="152"/>
      <c r="X390" s="152"/>
      <c r="Y390" s="152"/>
      <c r="Z390" s="152"/>
      <c r="AA390" s="152"/>
      <c r="AB390" s="152"/>
      <c r="AC390" s="152"/>
      <c r="AD390" s="152"/>
      <c r="AE390" s="152"/>
    </row>
    <row r="391" spans="1:31" ht="15.75">
      <c r="A391" s="152"/>
      <c r="B391" s="152"/>
      <c r="C391" s="281"/>
      <c r="D391" s="152"/>
      <c r="E391" s="152"/>
      <c r="F391" s="152"/>
      <c r="G391" s="152"/>
      <c r="H391" s="152"/>
      <c r="I391" s="152"/>
      <c r="J391" s="152"/>
      <c r="K391" s="152"/>
      <c r="L391" s="152"/>
      <c r="M391" s="152"/>
      <c r="N391" s="152"/>
      <c r="O391" s="152"/>
      <c r="P391" s="152"/>
      <c r="Q391" s="152"/>
      <c r="R391" s="152"/>
      <c r="S391" s="152"/>
      <c r="T391" s="152"/>
      <c r="U391" s="152"/>
      <c r="V391" s="152"/>
      <c r="W391" s="152"/>
      <c r="X391" s="152"/>
      <c r="Y391" s="152"/>
      <c r="Z391" s="152"/>
      <c r="AA391" s="152"/>
      <c r="AB391" s="152"/>
      <c r="AC391" s="152"/>
      <c r="AD391" s="152"/>
      <c r="AE391" s="152"/>
    </row>
    <row r="392" spans="1:31" ht="15.75">
      <c r="A392" s="152"/>
      <c r="B392" s="152"/>
      <c r="C392" s="281"/>
      <c r="D392" s="152"/>
      <c r="E392" s="152"/>
      <c r="F392" s="152"/>
      <c r="G392" s="152"/>
      <c r="H392" s="152"/>
      <c r="I392" s="152"/>
      <c r="J392" s="152"/>
      <c r="K392" s="152"/>
      <c r="L392" s="152"/>
      <c r="M392" s="152"/>
      <c r="N392" s="152"/>
      <c r="O392" s="152"/>
      <c r="P392" s="152"/>
      <c r="Q392" s="152"/>
      <c r="R392" s="152"/>
      <c r="S392" s="152"/>
      <c r="T392" s="152"/>
      <c r="U392" s="152"/>
      <c r="V392" s="152"/>
      <c r="W392" s="152"/>
      <c r="X392" s="152"/>
      <c r="Y392" s="152"/>
      <c r="Z392" s="152"/>
      <c r="AA392" s="152"/>
      <c r="AB392" s="152"/>
      <c r="AC392" s="152"/>
      <c r="AD392" s="152"/>
      <c r="AE392" s="152"/>
    </row>
    <row r="393" spans="1:31" ht="15.75">
      <c r="A393" s="152"/>
      <c r="B393" s="152"/>
      <c r="C393" s="281"/>
      <c r="D393" s="152"/>
      <c r="E393" s="152"/>
      <c r="F393" s="152"/>
      <c r="G393" s="152"/>
      <c r="H393" s="152"/>
      <c r="I393" s="152"/>
      <c r="J393" s="152"/>
      <c r="K393" s="152"/>
      <c r="L393" s="152"/>
      <c r="M393" s="152"/>
      <c r="N393" s="152"/>
      <c r="O393" s="152"/>
      <c r="P393" s="152"/>
      <c r="Q393" s="152"/>
      <c r="R393" s="152"/>
      <c r="S393" s="152"/>
      <c r="T393" s="152"/>
      <c r="U393" s="152"/>
      <c r="V393" s="152"/>
      <c r="W393" s="152"/>
      <c r="X393" s="152"/>
      <c r="Y393" s="152"/>
      <c r="Z393" s="152"/>
      <c r="AA393" s="152"/>
      <c r="AB393" s="152"/>
      <c r="AC393" s="152"/>
      <c r="AD393" s="152"/>
      <c r="AE393" s="152"/>
    </row>
    <row r="394" spans="1:31" ht="15.75">
      <c r="A394" s="152"/>
      <c r="B394" s="152"/>
      <c r="C394" s="281"/>
      <c r="D394" s="152"/>
      <c r="E394" s="152"/>
      <c r="F394" s="152"/>
      <c r="G394" s="152"/>
      <c r="H394" s="152"/>
      <c r="I394" s="152"/>
      <c r="J394" s="152"/>
      <c r="K394" s="152"/>
      <c r="L394" s="152"/>
      <c r="M394" s="152"/>
      <c r="N394" s="152"/>
      <c r="O394" s="152"/>
      <c r="P394" s="152"/>
      <c r="Q394" s="152"/>
      <c r="R394" s="152"/>
      <c r="S394" s="152"/>
      <c r="T394" s="152"/>
      <c r="U394" s="152"/>
      <c r="V394" s="152"/>
      <c r="W394" s="152"/>
      <c r="X394" s="152"/>
      <c r="Y394" s="152"/>
      <c r="Z394" s="152"/>
      <c r="AA394" s="152"/>
      <c r="AB394" s="152"/>
      <c r="AC394" s="152"/>
      <c r="AD394" s="152"/>
      <c r="AE394" s="152"/>
    </row>
    <row r="395" spans="1:31" ht="15.75">
      <c r="A395" s="152"/>
      <c r="B395" s="152"/>
      <c r="C395" s="281"/>
      <c r="D395" s="152"/>
      <c r="E395" s="152"/>
      <c r="F395" s="152"/>
      <c r="G395" s="152"/>
      <c r="H395" s="152"/>
      <c r="I395" s="152"/>
      <c r="J395" s="152"/>
      <c r="K395" s="152"/>
      <c r="L395" s="152"/>
      <c r="M395" s="152"/>
      <c r="N395" s="152"/>
      <c r="O395" s="152"/>
      <c r="P395" s="152"/>
      <c r="Q395" s="152"/>
      <c r="R395" s="152"/>
      <c r="S395" s="152"/>
      <c r="T395" s="152"/>
      <c r="U395" s="152"/>
      <c r="V395" s="152"/>
      <c r="W395" s="152"/>
      <c r="X395" s="152"/>
      <c r="Y395" s="152"/>
      <c r="Z395" s="152"/>
      <c r="AA395" s="152"/>
      <c r="AB395" s="152"/>
      <c r="AC395" s="152"/>
      <c r="AD395" s="152"/>
      <c r="AE395" s="152"/>
    </row>
    <row r="396" spans="1:31" ht="15.75">
      <c r="A396" s="152"/>
      <c r="B396" s="152"/>
      <c r="C396" s="281"/>
      <c r="D396" s="152"/>
      <c r="E396" s="152"/>
      <c r="F396" s="152"/>
      <c r="G396" s="152"/>
      <c r="H396" s="152"/>
      <c r="I396" s="152"/>
      <c r="J396" s="152"/>
      <c r="K396" s="152"/>
      <c r="L396" s="152"/>
      <c r="M396" s="152"/>
      <c r="N396" s="152"/>
      <c r="O396" s="152"/>
      <c r="P396" s="152"/>
      <c r="Q396" s="152"/>
      <c r="R396" s="152"/>
      <c r="S396" s="152"/>
      <c r="T396" s="152"/>
      <c r="U396" s="152"/>
      <c r="V396" s="152"/>
      <c r="W396" s="152"/>
      <c r="X396" s="152"/>
      <c r="Y396" s="152"/>
      <c r="Z396" s="152"/>
      <c r="AA396" s="152"/>
      <c r="AB396" s="152"/>
      <c r="AC396" s="152"/>
      <c r="AD396" s="152"/>
      <c r="AE396" s="152"/>
    </row>
    <row r="397" spans="1:31" ht="15.75">
      <c r="A397" s="152"/>
      <c r="B397" s="152"/>
      <c r="C397" s="281"/>
      <c r="D397" s="152"/>
      <c r="E397" s="152"/>
      <c r="F397" s="152"/>
      <c r="G397" s="152"/>
      <c r="H397" s="152"/>
      <c r="I397" s="152"/>
      <c r="J397" s="152"/>
      <c r="K397" s="152"/>
      <c r="L397" s="152"/>
      <c r="M397" s="152"/>
      <c r="N397" s="152"/>
      <c r="O397" s="152"/>
      <c r="P397" s="152"/>
      <c r="Q397" s="152"/>
      <c r="R397" s="152"/>
      <c r="S397" s="152"/>
      <c r="T397" s="152"/>
      <c r="U397" s="152"/>
      <c r="V397" s="152"/>
      <c r="W397" s="152"/>
      <c r="X397" s="152"/>
      <c r="Y397" s="152"/>
      <c r="Z397" s="152"/>
      <c r="AA397" s="152"/>
      <c r="AB397" s="152"/>
      <c r="AC397" s="152"/>
      <c r="AD397" s="152"/>
      <c r="AE397" s="152"/>
    </row>
    <row r="398" spans="1:31" ht="15.75">
      <c r="A398" s="152"/>
      <c r="B398" s="152"/>
      <c r="C398" s="281"/>
      <c r="D398" s="152"/>
      <c r="E398" s="152"/>
      <c r="F398" s="152"/>
      <c r="G398" s="152"/>
      <c r="H398" s="152"/>
      <c r="I398" s="152"/>
      <c r="J398" s="152"/>
      <c r="K398" s="152"/>
      <c r="L398" s="152"/>
      <c r="M398" s="152"/>
      <c r="N398" s="152"/>
      <c r="O398" s="152"/>
      <c r="P398" s="152"/>
      <c r="Q398" s="152"/>
      <c r="R398" s="152"/>
      <c r="S398" s="152"/>
      <c r="T398" s="152"/>
      <c r="U398" s="152"/>
      <c r="V398" s="152"/>
      <c r="W398" s="152"/>
      <c r="X398" s="152"/>
      <c r="Y398" s="152"/>
      <c r="Z398" s="152"/>
      <c r="AA398" s="152"/>
      <c r="AB398" s="152"/>
      <c r="AC398" s="152"/>
      <c r="AD398" s="152"/>
      <c r="AE398" s="152"/>
    </row>
    <row r="399" spans="1:31" ht="15.75">
      <c r="A399" s="152"/>
      <c r="B399" s="152"/>
      <c r="C399" s="281"/>
      <c r="D399" s="152"/>
      <c r="E399" s="152"/>
      <c r="F399" s="152"/>
      <c r="G399" s="152"/>
      <c r="H399" s="152"/>
      <c r="I399" s="152"/>
      <c r="J399" s="152"/>
      <c r="K399" s="152"/>
      <c r="L399" s="152"/>
      <c r="M399" s="152"/>
      <c r="N399" s="152"/>
      <c r="O399" s="152"/>
      <c r="P399" s="152"/>
      <c r="Q399" s="152"/>
      <c r="R399" s="152"/>
      <c r="S399" s="152"/>
      <c r="T399" s="152"/>
      <c r="U399" s="152"/>
      <c r="V399" s="152"/>
      <c r="W399" s="152"/>
      <c r="X399" s="152"/>
      <c r="Y399" s="152"/>
      <c r="Z399" s="152"/>
      <c r="AA399" s="152"/>
      <c r="AB399" s="152"/>
      <c r="AC399" s="152"/>
      <c r="AD399" s="152"/>
      <c r="AE399" s="152"/>
    </row>
    <row r="400" spans="1:31" ht="15.75">
      <c r="A400" s="152"/>
      <c r="B400" s="152"/>
      <c r="C400" s="281"/>
      <c r="D400" s="152"/>
      <c r="E400" s="152"/>
      <c r="F400" s="152"/>
      <c r="G400" s="152"/>
      <c r="H400" s="152"/>
      <c r="I400" s="152"/>
      <c r="J400" s="152"/>
      <c r="K400" s="152"/>
      <c r="L400" s="152"/>
      <c r="M400" s="152"/>
      <c r="N400" s="152"/>
      <c r="O400" s="152"/>
      <c r="P400" s="152"/>
      <c r="Q400" s="152"/>
      <c r="R400" s="152"/>
      <c r="S400" s="152"/>
      <c r="T400" s="152"/>
      <c r="U400" s="152"/>
      <c r="V400" s="152"/>
      <c r="W400" s="152"/>
      <c r="X400" s="152"/>
      <c r="Y400" s="152"/>
      <c r="Z400" s="152"/>
      <c r="AA400" s="152"/>
      <c r="AB400" s="152"/>
      <c r="AC400" s="152"/>
      <c r="AD400" s="152"/>
      <c r="AE400" s="152"/>
    </row>
    <row r="401" spans="1:31" ht="15.75">
      <c r="A401" s="152"/>
      <c r="B401" s="152"/>
      <c r="C401" s="281"/>
      <c r="D401" s="152"/>
      <c r="E401" s="152"/>
      <c r="F401" s="152"/>
      <c r="G401" s="152"/>
      <c r="H401" s="152"/>
      <c r="I401" s="152"/>
      <c r="J401" s="152"/>
      <c r="K401" s="152"/>
      <c r="L401" s="152"/>
      <c r="M401" s="152"/>
      <c r="N401" s="152"/>
      <c r="O401" s="152"/>
      <c r="P401" s="152"/>
      <c r="Q401" s="152"/>
      <c r="R401" s="152"/>
      <c r="S401" s="152"/>
      <c r="T401" s="152"/>
      <c r="U401" s="152"/>
      <c r="V401" s="152"/>
      <c r="W401" s="152"/>
      <c r="X401" s="152"/>
      <c r="Y401" s="152"/>
      <c r="Z401" s="152"/>
      <c r="AA401" s="152"/>
      <c r="AB401" s="152"/>
      <c r="AC401" s="152"/>
      <c r="AD401" s="152"/>
      <c r="AE401" s="152"/>
    </row>
    <row r="402" spans="1:31" ht="15.75">
      <c r="A402" s="152"/>
      <c r="B402" s="152"/>
      <c r="C402" s="281"/>
      <c r="D402" s="152"/>
      <c r="E402" s="152"/>
      <c r="F402" s="152"/>
      <c r="G402" s="152"/>
      <c r="H402" s="152"/>
      <c r="I402" s="152"/>
      <c r="J402" s="152"/>
      <c r="K402" s="152"/>
      <c r="L402" s="152"/>
      <c r="M402" s="152"/>
      <c r="N402" s="152"/>
      <c r="O402" s="152"/>
      <c r="P402" s="152"/>
      <c r="Q402" s="152"/>
      <c r="R402" s="152"/>
      <c r="S402" s="152"/>
      <c r="T402" s="152"/>
      <c r="U402" s="152"/>
      <c r="V402" s="152"/>
      <c r="W402" s="152"/>
      <c r="X402" s="152"/>
      <c r="Y402" s="152"/>
      <c r="Z402" s="152"/>
      <c r="AA402" s="152"/>
      <c r="AB402" s="152"/>
      <c r="AC402" s="152"/>
      <c r="AD402" s="152"/>
      <c r="AE402" s="152"/>
    </row>
    <row r="403" spans="1:31" ht="15.75">
      <c r="A403" s="152"/>
      <c r="B403" s="152"/>
      <c r="C403" s="281"/>
      <c r="D403" s="152"/>
      <c r="E403" s="152"/>
      <c r="F403" s="152"/>
      <c r="G403" s="152"/>
      <c r="H403" s="152"/>
      <c r="I403" s="152"/>
      <c r="J403" s="152"/>
      <c r="K403" s="152"/>
      <c r="L403" s="152"/>
      <c r="M403" s="152"/>
      <c r="N403" s="152"/>
      <c r="O403" s="152"/>
      <c r="P403" s="152"/>
      <c r="Q403" s="152"/>
      <c r="R403" s="152"/>
      <c r="S403" s="152"/>
      <c r="T403" s="152"/>
      <c r="U403" s="152"/>
      <c r="V403" s="152"/>
      <c r="W403" s="152"/>
      <c r="X403" s="152"/>
      <c r="Y403" s="152"/>
      <c r="Z403" s="152"/>
      <c r="AA403" s="152"/>
      <c r="AB403" s="152"/>
      <c r="AC403" s="152"/>
      <c r="AD403" s="152"/>
      <c r="AE403" s="152"/>
    </row>
    <row r="404" spans="1:31" ht="15.75">
      <c r="A404" s="152"/>
      <c r="B404" s="152"/>
      <c r="C404" s="281"/>
      <c r="D404" s="152"/>
      <c r="E404" s="152"/>
      <c r="F404" s="152"/>
      <c r="G404" s="152"/>
      <c r="H404" s="152"/>
      <c r="I404" s="152"/>
      <c r="J404" s="152"/>
      <c r="K404" s="152"/>
      <c r="L404" s="152"/>
      <c r="M404" s="152"/>
      <c r="N404" s="152"/>
      <c r="O404" s="152"/>
      <c r="P404" s="152"/>
      <c r="Q404" s="152"/>
      <c r="R404" s="152"/>
      <c r="S404" s="152"/>
      <c r="T404" s="152"/>
      <c r="U404" s="152"/>
      <c r="V404" s="152"/>
      <c r="W404" s="152"/>
      <c r="X404" s="152"/>
      <c r="Y404" s="152"/>
      <c r="Z404" s="152"/>
      <c r="AA404" s="152"/>
      <c r="AB404" s="152"/>
      <c r="AC404" s="152"/>
      <c r="AD404" s="152"/>
      <c r="AE404" s="152"/>
    </row>
    <row r="405" spans="1:31" ht="15.75">
      <c r="A405" s="152"/>
      <c r="B405" s="152"/>
      <c r="C405" s="281"/>
      <c r="D405" s="152"/>
      <c r="E405" s="152"/>
      <c r="F405" s="152"/>
      <c r="G405" s="152"/>
      <c r="H405" s="152"/>
      <c r="I405" s="152"/>
      <c r="J405" s="152"/>
      <c r="K405" s="152"/>
      <c r="L405" s="152"/>
      <c r="M405" s="152"/>
      <c r="N405" s="152"/>
      <c r="O405" s="152"/>
      <c r="P405" s="152"/>
      <c r="Q405" s="152"/>
      <c r="R405" s="152"/>
      <c r="S405" s="152"/>
      <c r="T405" s="152"/>
      <c r="U405" s="152"/>
      <c r="V405" s="152"/>
      <c r="W405" s="152"/>
      <c r="X405" s="152"/>
      <c r="Y405" s="152"/>
      <c r="Z405" s="152"/>
      <c r="AA405" s="152"/>
      <c r="AB405" s="152"/>
      <c r="AC405" s="152"/>
      <c r="AD405" s="152"/>
      <c r="AE405" s="152"/>
    </row>
    <row r="406" spans="1:31" ht="15.75">
      <c r="A406" s="152"/>
      <c r="B406" s="152"/>
      <c r="C406" s="281"/>
      <c r="D406" s="152"/>
      <c r="E406" s="152"/>
      <c r="F406" s="152"/>
      <c r="G406" s="152"/>
      <c r="H406" s="152"/>
      <c r="I406" s="152"/>
      <c r="J406" s="152"/>
      <c r="K406" s="152"/>
      <c r="L406" s="152"/>
      <c r="M406" s="152"/>
      <c r="N406" s="152"/>
      <c r="O406" s="152"/>
      <c r="P406" s="152"/>
      <c r="Q406" s="152"/>
      <c r="R406" s="152"/>
      <c r="S406" s="152"/>
      <c r="T406" s="152"/>
      <c r="U406" s="152"/>
      <c r="V406" s="152"/>
      <c r="W406" s="152"/>
      <c r="X406" s="152"/>
      <c r="Y406" s="152"/>
      <c r="Z406" s="152"/>
      <c r="AA406" s="152"/>
      <c r="AB406" s="152"/>
      <c r="AC406" s="152"/>
      <c r="AD406" s="152"/>
      <c r="AE406" s="152"/>
    </row>
    <row r="407" spans="1:31" ht="15.75">
      <c r="A407" s="152"/>
      <c r="B407" s="152"/>
      <c r="C407" s="281"/>
      <c r="D407" s="152"/>
      <c r="E407" s="152"/>
      <c r="F407" s="152"/>
      <c r="G407" s="152"/>
      <c r="H407" s="152"/>
      <c r="I407" s="152"/>
      <c r="J407" s="152"/>
      <c r="K407" s="152"/>
      <c r="L407" s="152"/>
      <c r="M407" s="152"/>
      <c r="N407" s="152"/>
      <c r="O407" s="152"/>
      <c r="P407" s="152"/>
      <c r="Q407" s="152"/>
      <c r="R407" s="152"/>
      <c r="S407" s="152"/>
      <c r="T407" s="152"/>
      <c r="U407" s="152"/>
      <c r="V407" s="152"/>
      <c r="W407" s="152"/>
      <c r="X407" s="152"/>
      <c r="Y407" s="152"/>
      <c r="Z407" s="152"/>
      <c r="AA407" s="152"/>
      <c r="AB407" s="152"/>
      <c r="AC407" s="152"/>
      <c r="AD407" s="152"/>
      <c r="AE407" s="152"/>
    </row>
    <row r="408" spans="1:31" ht="15.75">
      <c r="A408" s="152"/>
      <c r="B408" s="152"/>
      <c r="C408" s="281"/>
      <c r="D408" s="152"/>
      <c r="E408" s="152"/>
      <c r="F408" s="152"/>
      <c r="G408" s="152"/>
      <c r="H408" s="152"/>
      <c r="I408" s="152"/>
      <c r="J408" s="152"/>
      <c r="K408" s="152"/>
      <c r="L408" s="152"/>
      <c r="M408" s="152"/>
      <c r="N408" s="152"/>
      <c r="O408" s="152"/>
      <c r="P408" s="152"/>
      <c r="Q408" s="152"/>
      <c r="R408" s="152"/>
      <c r="S408" s="152"/>
      <c r="T408" s="152"/>
      <c r="U408" s="152"/>
      <c r="V408" s="152"/>
      <c r="W408" s="152"/>
      <c r="X408" s="152"/>
      <c r="Y408" s="152"/>
      <c r="Z408" s="152"/>
      <c r="AA408" s="152"/>
      <c r="AB408" s="152"/>
      <c r="AC408" s="152"/>
      <c r="AD408" s="152"/>
      <c r="AE408" s="152"/>
    </row>
    <row r="409" spans="1:31" ht="15.75">
      <c r="A409" s="152"/>
      <c r="B409" s="152"/>
      <c r="C409" s="281"/>
      <c r="D409" s="152"/>
      <c r="E409" s="152"/>
      <c r="F409" s="152"/>
      <c r="G409" s="152"/>
      <c r="H409" s="152"/>
      <c r="I409" s="152"/>
      <c r="J409" s="152"/>
      <c r="K409" s="152"/>
      <c r="L409" s="152"/>
      <c r="M409" s="152"/>
      <c r="N409" s="152"/>
      <c r="O409" s="152"/>
      <c r="P409" s="152"/>
      <c r="Q409" s="152"/>
      <c r="R409" s="152"/>
      <c r="S409" s="152"/>
      <c r="T409" s="152"/>
      <c r="U409" s="152"/>
      <c r="V409" s="152"/>
      <c r="W409" s="152"/>
      <c r="X409" s="152"/>
      <c r="Y409" s="152"/>
      <c r="Z409" s="152"/>
      <c r="AA409" s="152"/>
      <c r="AB409" s="152"/>
      <c r="AC409" s="152"/>
      <c r="AD409" s="152"/>
      <c r="AE409" s="152"/>
    </row>
    <row r="410" spans="1:31" ht="15.75">
      <c r="A410" s="152"/>
      <c r="B410" s="152"/>
      <c r="C410" s="281"/>
      <c r="D410" s="152"/>
      <c r="E410" s="152"/>
      <c r="F410" s="152"/>
      <c r="G410" s="152"/>
      <c r="H410" s="152"/>
      <c r="I410" s="152"/>
      <c r="J410" s="152"/>
      <c r="K410" s="152"/>
      <c r="L410" s="152"/>
      <c r="M410" s="152"/>
      <c r="N410" s="152"/>
      <c r="O410" s="152"/>
      <c r="P410" s="152"/>
      <c r="Q410" s="152"/>
      <c r="R410" s="152"/>
      <c r="S410" s="152"/>
      <c r="T410" s="152"/>
      <c r="U410" s="152"/>
      <c r="V410" s="152"/>
      <c r="W410" s="152"/>
      <c r="X410" s="152"/>
      <c r="Y410" s="152"/>
      <c r="Z410" s="152"/>
      <c r="AA410" s="152"/>
      <c r="AB410" s="152"/>
      <c r="AC410" s="152"/>
      <c r="AD410" s="152"/>
      <c r="AE410" s="152"/>
    </row>
    <row r="411" spans="1:31" ht="15.75">
      <c r="A411" s="152"/>
      <c r="B411" s="152"/>
      <c r="C411" s="281"/>
      <c r="D411" s="152"/>
      <c r="E411" s="152"/>
      <c r="F411" s="152"/>
      <c r="G411" s="152"/>
      <c r="H411" s="152"/>
      <c r="I411" s="152"/>
      <c r="J411" s="152"/>
      <c r="K411" s="152"/>
      <c r="L411" s="152"/>
      <c r="M411" s="152"/>
      <c r="N411" s="152"/>
      <c r="O411" s="152"/>
      <c r="P411" s="152"/>
      <c r="Q411" s="152"/>
      <c r="R411" s="152"/>
      <c r="S411" s="152"/>
      <c r="T411" s="152"/>
      <c r="U411" s="152"/>
      <c r="V411" s="152"/>
      <c r="W411" s="152"/>
      <c r="X411" s="152"/>
      <c r="Y411" s="152"/>
      <c r="Z411" s="152"/>
      <c r="AA411" s="152"/>
      <c r="AB411" s="152"/>
      <c r="AC411" s="152"/>
      <c r="AD411" s="152"/>
      <c r="AE411" s="152"/>
    </row>
    <row r="412" spans="1:31" ht="15.75">
      <c r="A412" s="152"/>
      <c r="B412" s="152"/>
      <c r="C412" s="281"/>
      <c r="D412" s="152"/>
      <c r="E412" s="152"/>
      <c r="F412" s="152"/>
      <c r="G412" s="152"/>
      <c r="H412" s="152"/>
      <c r="I412" s="152"/>
      <c r="J412" s="152"/>
      <c r="K412" s="152"/>
      <c r="L412" s="152"/>
      <c r="M412" s="152"/>
      <c r="N412" s="152"/>
      <c r="O412" s="152"/>
      <c r="P412" s="152"/>
      <c r="Q412" s="152"/>
      <c r="R412" s="152"/>
      <c r="S412" s="152"/>
      <c r="T412" s="152"/>
      <c r="U412" s="152"/>
      <c r="V412" s="152"/>
      <c r="W412" s="152"/>
      <c r="X412" s="152"/>
      <c r="Y412" s="152"/>
      <c r="Z412" s="152"/>
      <c r="AA412" s="152"/>
      <c r="AB412" s="152"/>
      <c r="AC412" s="152"/>
      <c r="AD412" s="152"/>
      <c r="AE412" s="152"/>
    </row>
    <row r="413" spans="1:31" ht="15.75">
      <c r="A413" s="152"/>
      <c r="B413" s="152"/>
      <c r="C413" s="281"/>
      <c r="D413" s="152"/>
      <c r="E413" s="152"/>
      <c r="F413" s="152"/>
      <c r="G413" s="152"/>
      <c r="H413" s="152"/>
      <c r="I413" s="152"/>
      <c r="J413" s="152"/>
      <c r="K413" s="152"/>
      <c r="L413" s="152"/>
      <c r="M413" s="152"/>
      <c r="N413" s="152"/>
      <c r="O413" s="152"/>
      <c r="P413" s="152"/>
      <c r="Q413" s="152"/>
      <c r="R413" s="152"/>
      <c r="S413" s="152"/>
      <c r="T413" s="152"/>
      <c r="U413" s="152"/>
      <c r="V413" s="152"/>
      <c r="W413" s="152"/>
      <c r="X413" s="152"/>
      <c r="Y413" s="152"/>
      <c r="Z413" s="152"/>
      <c r="AA413" s="152"/>
      <c r="AB413" s="152"/>
      <c r="AC413" s="152"/>
      <c r="AD413" s="152"/>
      <c r="AE413" s="152"/>
    </row>
    <row r="414" spans="1:31" ht="15.75">
      <c r="A414" s="152"/>
      <c r="B414" s="152"/>
      <c r="C414" s="281"/>
      <c r="D414" s="152"/>
      <c r="E414" s="152"/>
      <c r="F414" s="152"/>
      <c r="G414" s="152"/>
      <c r="H414" s="152"/>
      <c r="I414" s="152"/>
      <c r="J414" s="152"/>
      <c r="K414" s="152"/>
      <c r="L414" s="152"/>
      <c r="M414" s="152"/>
      <c r="N414" s="152"/>
      <c r="O414" s="152"/>
      <c r="P414" s="152"/>
      <c r="Q414" s="152"/>
      <c r="R414" s="152"/>
      <c r="S414" s="152"/>
      <c r="T414" s="152"/>
      <c r="U414" s="152"/>
      <c r="V414" s="152"/>
      <c r="W414" s="152"/>
      <c r="X414" s="152"/>
      <c r="Y414" s="152"/>
      <c r="Z414" s="152"/>
      <c r="AA414" s="152"/>
      <c r="AB414" s="152"/>
      <c r="AC414" s="152"/>
      <c r="AD414" s="152"/>
      <c r="AE414" s="152"/>
    </row>
    <row r="415" spans="1:31" ht="15.75">
      <c r="A415" s="152"/>
      <c r="B415" s="152"/>
      <c r="C415" s="281"/>
      <c r="D415" s="152"/>
      <c r="E415" s="152"/>
      <c r="F415" s="152"/>
      <c r="G415" s="152"/>
      <c r="H415" s="152"/>
      <c r="I415" s="152"/>
      <c r="J415" s="152"/>
      <c r="K415" s="152"/>
      <c r="L415" s="152"/>
      <c r="M415" s="152"/>
      <c r="N415" s="152"/>
      <c r="O415" s="152"/>
      <c r="P415" s="152"/>
      <c r="Q415" s="152"/>
      <c r="R415" s="152"/>
      <c r="S415" s="152"/>
      <c r="T415" s="152"/>
      <c r="U415" s="152"/>
      <c r="V415" s="152"/>
      <c r="W415" s="152"/>
      <c r="X415" s="152"/>
      <c r="Y415" s="152"/>
      <c r="Z415" s="152"/>
      <c r="AA415" s="152"/>
      <c r="AB415" s="152"/>
      <c r="AC415" s="152"/>
      <c r="AD415" s="152"/>
      <c r="AE415" s="152"/>
    </row>
    <row r="416" spans="1:31" ht="15.75">
      <c r="A416" s="152"/>
      <c r="B416" s="152"/>
      <c r="C416" s="281"/>
      <c r="D416" s="152"/>
      <c r="E416" s="152"/>
      <c r="F416" s="152"/>
      <c r="G416" s="152"/>
      <c r="H416" s="152"/>
      <c r="I416" s="152"/>
      <c r="J416" s="152"/>
      <c r="K416" s="152"/>
      <c r="L416" s="152"/>
      <c r="M416" s="152"/>
      <c r="N416" s="152"/>
      <c r="O416" s="152"/>
      <c r="P416" s="152"/>
      <c r="Q416" s="152"/>
      <c r="R416" s="152"/>
      <c r="S416" s="152"/>
      <c r="T416" s="152"/>
      <c r="U416" s="152"/>
      <c r="V416" s="152"/>
      <c r="W416" s="152"/>
      <c r="X416" s="152"/>
      <c r="Y416" s="152"/>
      <c r="Z416" s="152"/>
      <c r="AA416" s="152"/>
      <c r="AB416" s="152"/>
      <c r="AC416" s="152"/>
      <c r="AD416" s="152"/>
      <c r="AE416" s="152"/>
    </row>
    <row r="417" spans="1:31" ht="15.75">
      <c r="A417" s="152"/>
      <c r="B417" s="152"/>
      <c r="C417" s="281"/>
      <c r="D417" s="152"/>
      <c r="E417" s="152"/>
      <c r="F417" s="152"/>
      <c r="G417" s="152"/>
      <c r="H417" s="152"/>
      <c r="I417" s="152"/>
      <c r="J417" s="152"/>
      <c r="K417" s="152"/>
      <c r="L417" s="152"/>
      <c r="M417" s="152"/>
      <c r="N417" s="152"/>
      <c r="O417" s="152"/>
      <c r="P417" s="152"/>
      <c r="Q417" s="152"/>
      <c r="R417" s="152"/>
      <c r="S417" s="152"/>
      <c r="T417" s="152"/>
      <c r="U417" s="152"/>
      <c r="V417" s="152"/>
      <c r="W417" s="152"/>
      <c r="X417" s="152"/>
      <c r="Y417" s="152"/>
      <c r="Z417" s="152"/>
      <c r="AA417" s="152"/>
      <c r="AB417" s="152"/>
      <c r="AC417" s="152"/>
      <c r="AD417" s="152"/>
      <c r="AE417" s="152"/>
    </row>
    <row r="418" spans="1:31" ht="15.75">
      <c r="A418" s="152"/>
      <c r="B418" s="152"/>
      <c r="C418" s="281"/>
      <c r="D418" s="152"/>
      <c r="E418" s="152"/>
      <c r="F418" s="152"/>
      <c r="G418" s="152"/>
      <c r="H418" s="152"/>
      <c r="I418" s="152"/>
      <c r="J418" s="152"/>
      <c r="K418" s="152"/>
      <c r="L418" s="152"/>
      <c r="M418" s="152"/>
      <c r="N418" s="152"/>
      <c r="O418" s="152"/>
      <c r="P418" s="152"/>
      <c r="Q418" s="152"/>
      <c r="R418" s="152"/>
      <c r="S418" s="152"/>
      <c r="T418" s="152"/>
      <c r="U418" s="152"/>
      <c r="V418" s="152"/>
      <c r="W418" s="152"/>
      <c r="X418" s="152"/>
      <c r="Y418" s="152"/>
      <c r="Z418" s="152"/>
      <c r="AA418" s="152"/>
      <c r="AB418" s="152"/>
      <c r="AC418" s="152"/>
      <c r="AD418" s="152"/>
      <c r="AE418" s="152"/>
    </row>
    <row r="419" spans="1:31" ht="15.75">
      <c r="A419" s="152"/>
      <c r="B419" s="152"/>
      <c r="C419" s="281"/>
      <c r="D419" s="152"/>
      <c r="E419" s="152"/>
      <c r="F419" s="152"/>
      <c r="G419" s="152"/>
      <c r="H419" s="152"/>
      <c r="I419" s="152"/>
      <c r="J419" s="152"/>
      <c r="K419" s="152"/>
      <c r="L419" s="152"/>
      <c r="M419" s="152"/>
      <c r="N419" s="152"/>
      <c r="O419" s="152"/>
      <c r="P419" s="152"/>
      <c r="Q419" s="152"/>
      <c r="R419" s="152"/>
      <c r="S419" s="152"/>
      <c r="T419" s="152"/>
      <c r="U419" s="152"/>
      <c r="V419" s="152"/>
      <c r="W419" s="152"/>
      <c r="X419" s="152"/>
      <c r="Y419" s="152"/>
      <c r="Z419" s="152"/>
      <c r="AA419" s="152"/>
      <c r="AB419" s="152"/>
      <c r="AC419" s="152"/>
      <c r="AD419" s="152"/>
      <c r="AE419" s="152"/>
    </row>
    <row r="420" spans="1:31" ht="15.75">
      <c r="A420" s="152"/>
      <c r="B420" s="152"/>
      <c r="C420" s="281"/>
      <c r="D420" s="152"/>
      <c r="E420" s="152"/>
      <c r="F420" s="152"/>
      <c r="G420" s="152"/>
      <c r="H420" s="152"/>
      <c r="I420" s="152"/>
      <c r="J420" s="152"/>
      <c r="K420" s="152"/>
      <c r="L420" s="152"/>
      <c r="M420" s="152"/>
      <c r="N420" s="152"/>
      <c r="O420" s="152"/>
      <c r="P420" s="152"/>
      <c r="Q420" s="152"/>
      <c r="R420" s="152"/>
      <c r="S420" s="152"/>
      <c r="T420" s="152"/>
      <c r="U420" s="152"/>
      <c r="V420" s="152"/>
      <c r="W420" s="152"/>
      <c r="X420" s="152"/>
      <c r="Y420" s="152"/>
      <c r="Z420" s="152"/>
      <c r="AA420" s="152"/>
      <c r="AB420" s="152"/>
      <c r="AC420" s="152"/>
      <c r="AD420" s="152"/>
      <c r="AE420" s="152"/>
    </row>
    <row r="421" spans="1:31" ht="15.75">
      <c r="A421" s="152"/>
      <c r="B421" s="152"/>
      <c r="C421" s="281"/>
      <c r="D421" s="152"/>
      <c r="E421" s="152"/>
      <c r="F421" s="152"/>
      <c r="G421" s="152"/>
      <c r="H421" s="152"/>
      <c r="I421" s="152"/>
      <c r="J421" s="152"/>
      <c r="K421" s="152"/>
      <c r="L421" s="152"/>
      <c r="M421" s="152"/>
      <c r="N421" s="152"/>
      <c r="O421" s="152"/>
      <c r="P421" s="152"/>
      <c r="Q421" s="152"/>
      <c r="R421" s="152"/>
      <c r="S421" s="152"/>
      <c r="T421" s="152"/>
      <c r="U421" s="152"/>
      <c r="V421" s="152"/>
      <c r="W421" s="152"/>
      <c r="X421" s="152"/>
      <c r="Y421" s="152"/>
      <c r="Z421" s="152"/>
      <c r="AA421" s="152"/>
      <c r="AB421" s="152"/>
      <c r="AC421" s="152"/>
      <c r="AD421" s="152"/>
      <c r="AE421" s="152"/>
    </row>
    <row r="422" spans="1:31" ht="15.75">
      <c r="A422" s="152"/>
      <c r="B422" s="152"/>
      <c r="C422" s="281"/>
      <c r="D422" s="152"/>
      <c r="E422" s="152"/>
      <c r="F422" s="152"/>
      <c r="G422" s="152"/>
      <c r="H422" s="152"/>
      <c r="I422" s="152"/>
      <c r="J422" s="152"/>
      <c r="K422" s="152"/>
      <c r="L422" s="152"/>
      <c r="M422" s="152"/>
      <c r="N422" s="152"/>
      <c r="O422" s="152"/>
      <c r="P422" s="152"/>
      <c r="Q422" s="152"/>
      <c r="R422" s="152"/>
      <c r="S422" s="152"/>
      <c r="T422" s="152"/>
      <c r="U422" s="152"/>
      <c r="V422" s="152"/>
      <c r="W422" s="152"/>
      <c r="X422" s="152"/>
      <c r="Y422" s="152"/>
      <c r="Z422" s="152"/>
      <c r="AA422" s="152"/>
      <c r="AB422" s="152"/>
      <c r="AC422" s="152"/>
      <c r="AD422" s="152"/>
      <c r="AE422" s="152"/>
    </row>
    <row r="423" spans="1:31" ht="15.75">
      <c r="A423" s="152"/>
      <c r="B423" s="152"/>
      <c r="C423" s="281"/>
      <c r="D423" s="152"/>
      <c r="E423" s="152"/>
      <c r="F423" s="152"/>
      <c r="G423" s="152"/>
      <c r="H423" s="152"/>
      <c r="I423" s="152"/>
      <c r="J423" s="152"/>
      <c r="K423" s="152"/>
      <c r="L423" s="152"/>
      <c r="M423" s="152"/>
      <c r="N423" s="152"/>
      <c r="O423" s="152"/>
      <c r="P423" s="152"/>
      <c r="Q423" s="152"/>
      <c r="R423" s="152"/>
      <c r="S423" s="152"/>
      <c r="T423" s="152"/>
      <c r="U423" s="152"/>
      <c r="V423" s="152"/>
      <c r="W423" s="152"/>
      <c r="X423" s="152"/>
      <c r="Y423" s="152"/>
      <c r="Z423" s="152"/>
      <c r="AA423" s="152"/>
      <c r="AB423" s="152"/>
      <c r="AC423" s="152"/>
      <c r="AD423" s="152"/>
      <c r="AE423" s="152"/>
    </row>
    <row r="424" spans="1:31" ht="15.75">
      <c r="A424" s="152"/>
      <c r="B424" s="152"/>
      <c r="C424" s="281"/>
      <c r="D424" s="152"/>
      <c r="E424" s="152"/>
      <c r="F424" s="152"/>
      <c r="G424" s="152"/>
      <c r="H424" s="152"/>
      <c r="I424" s="152"/>
      <c r="J424" s="152"/>
      <c r="K424" s="152"/>
      <c r="L424" s="152"/>
      <c r="M424" s="152"/>
      <c r="N424" s="152"/>
      <c r="O424" s="152"/>
      <c r="P424" s="152"/>
      <c r="Q424" s="152"/>
      <c r="R424" s="152"/>
      <c r="S424" s="152"/>
      <c r="T424" s="152"/>
      <c r="U424" s="152"/>
      <c r="V424" s="152"/>
      <c r="W424" s="152"/>
      <c r="X424" s="152"/>
      <c r="Y424" s="152"/>
      <c r="Z424" s="152"/>
      <c r="AA424" s="152"/>
      <c r="AB424" s="152"/>
      <c r="AC424" s="152"/>
      <c r="AD424" s="152"/>
      <c r="AE424" s="152"/>
    </row>
    <row r="425" spans="1:31" ht="15.75">
      <c r="A425" s="152"/>
      <c r="B425" s="152"/>
      <c r="C425" s="281"/>
      <c r="D425" s="152"/>
      <c r="E425" s="152"/>
      <c r="F425" s="152"/>
      <c r="G425" s="152"/>
      <c r="H425" s="152"/>
      <c r="I425" s="152"/>
      <c r="J425" s="152"/>
      <c r="K425" s="152"/>
      <c r="L425" s="152"/>
      <c r="M425" s="152"/>
      <c r="N425" s="152"/>
      <c r="O425" s="152"/>
      <c r="P425" s="152"/>
      <c r="Q425" s="152"/>
      <c r="R425" s="152"/>
      <c r="S425" s="152"/>
      <c r="T425" s="152"/>
      <c r="U425" s="152"/>
      <c r="V425" s="152"/>
      <c r="W425" s="152"/>
      <c r="X425" s="152"/>
      <c r="Y425" s="152"/>
      <c r="Z425" s="152"/>
      <c r="AA425" s="152"/>
      <c r="AB425" s="152"/>
      <c r="AC425" s="152"/>
      <c r="AD425" s="152"/>
      <c r="AE425" s="152"/>
    </row>
    <row r="426" spans="1:31" ht="15.75">
      <c r="A426" s="152"/>
      <c r="B426" s="152"/>
      <c r="C426" s="281"/>
      <c r="D426" s="152"/>
      <c r="E426" s="152"/>
      <c r="F426" s="152"/>
      <c r="G426" s="152"/>
      <c r="H426" s="152"/>
      <c r="I426" s="152"/>
      <c r="J426" s="152"/>
      <c r="K426" s="152"/>
      <c r="L426" s="152"/>
      <c r="M426" s="152"/>
      <c r="N426" s="152"/>
      <c r="O426" s="152"/>
      <c r="P426" s="152"/>
      <c r="Q426" s="152"/>
      <c r="R426" s="152"/>
      <c r="S426" s="152"/>
      <c r="T426" s="152"/>
      <c r="U426" s="152"/>
      <c r="V426" s="152"/>
      <c r="W426" s="152"/>
      <c r="X426" s="152"/>
      <c r="Y426" s="152"/>
      <c r="Z426" s="152"/>
      <c r="AA426" s="152"/>
      <c r="AB426" s="152"/>
      <c r="AC426" s="152"/>
      <c r="AD426" s="152"/>
      <c r="AE426" s="152"/>
    </row>
    <row r="427" spans="1:31" ht="15.75">
      <c r="A427" s="152"/>
      <c r="B427" s="152"/>
      <c r="C427" s="281"/>
      <c r="D427" s="152"/>
      <c r="E427" s="152"/>
      <c r="F427" s="152"/>
      <c r="G427" s="152"/>
      <c r="H427" s="152"/>
      <c r="I427" s="152"/>
      <c r="J427" s="152"/>
      <c r="K427" s="152"/>
      <c r="L427" s="152"/>
      <c r="M427" s="152"/>
      <c r="N427" s="152"/>
      <c r="O427" s="152"/>
      <c r="P427" s="152"/>
      <c r="Q427" s="152"/>
      <c r="R427" s="152"/>
      <c r="S427" s="152"/>
      <c r="T427" s="152"/>
      <c r="U427" s="152"/>
      <c r="V427" s="152"/>
      <c r="W427" s="152"/>
      <c r="X427" s="152"/>
      <c r="Y427" s="152"/>
      <c r="Z427" s="152"/>
      <c r="AA427" s="152"/>
      <c r="AB427" s="152"/>
      <c r="AC427" s="152"/>
      <c r="AD427" s="152"/>
      <c r="AE427" s="152"/>
    </row>
    <row r="428" spans="1:31" ht="15.75">
      <c r="A428" s="152"/>
      <c r="B428" s="152"/>
      <c r="C428" s="281"/>
      <c r="D428" s="152"/>
      <c r="E428" s="152"/>
      <c r="F428" s="152"/>
      <c r="G428" s="152"/>
      <c r="H428" s="152"/>
      <c r="I428" s="152"/>
      <c r="J428" s="152"/>
      <c r="K428" s="152"/>
      <c r="L428" s="152"/>
      <c r="M428" s="152"/>
      <c r="N428" s="152"/>
      <c r="O428" s="152"/>
      <c r="P428" s="152"/>
      <c r="Q428" s="152"/>
      <c r="R428" s="152"/>
      <c r="S428" s="152"/>
      <c r="T428" s="152"/>
      <c r="U428" s="152"/>
      <c r="V428" s="152"/>
      <c r="W428" s="152"/>
      <c r="X428" s="152"/>
      <c r="Y428" s="152"/>
      <c r="Z428" s="152"/>
      <c r="AA428" s="152"/>
      <c r="AB428" s="152"/>
      <c r="AC428" s="152"/>
      <c r="AD428" s="152"/>
      <c r="AE428" s="152"/>
    </row>
    <row r="429" spans="1:31" ht="15.75">
      <c r="A429" s="152"/>
      <c r="B429" s="152"/>
      <c r="C429" s="281"/>
      <c r="D429" s="152"/>
      <c r="E429" s="152"/>
      <c r="F429" s="152"/>
      <c r="G429" s="152"/>
      <c r="H429" s="152"/>
      <c r="I429" s="152"/>
      <c r="J429" s="152"/>
      <c r="K429" s="152"/>
      <c r="L429" s="152"/>
      <c r="M429" s="152"/>
      <c r="N429" s="152"/>
      <c r="O429" s="152"/>
      <c r="P429" s="152"/>
      <c r="Q429" s="152"/>
      <c r="R429" s="152"/>
      <c r="S429" s="152"/>
      <c r="T429" s="152"/>
      <c r="U429" s="152"/>
      <c r="V429" s="152"/>
      <c r="W429" s="152"/>
      <c r="X429" s="152"/>
      <c r="Y429" s="152"/>
      <c r="Z429" s="152"/>
      <c r="AA429" s="152"/>
      <c r="AB429" s="152"/>
      <c r="AC429" s="152"/>
      <c r="AD429" s="152"/>
      <c r="AE429" s="152"/>
    </row>
    <row r="430" spans="1:31" ht="15.75">
      <c r="A430" s="152"/>
      <c r="B430" s="152"/>
      <c r="C430" s="281"/>
      <c r="D430" s="152"/>
      <c r="E430" s="152"/>
      <c r="F430" s="152"/>
      <c r="G430" s="152"/>
      <c r="H430" s="152"/>
      <c r="I430" s="152"/>
      <c r="J430" s="152"/>
      <c r="K430" s="152"/>
      <c r="L430" s="152"/>
      <c r="M430" s="152"/>
      <c r="N430" s="152"/>
      <c r="O430" s="152"/>
      <c r="P430" s="152"/>
      <c r="Q430" s="152"/>
      <c r="R430" s="152"/>
      <c r="S430" s="152"/>
      <c r="T430" s="152"/>
      <c r="U430" s="152"/>
      <c r="V430" s="152"/>
      <c r="W430" s="152"/>
      <c r="X430" s="152"/>
      <c r="Y430" s="152"/>
      <c r="Z430" s="152"/>
      <c r="AA430" s="152"/>
      <c r="AB430" s="152"/>
      <c r="AC430" s="152"/>
      <c r="AD430" s="152"/>
      <c r="AE430" s="152"/>
    </row>
    <row r="431" spans="1:31" ht="15.75">
      <c r="A431" s="152"/>
      <c r="B431" s="152"/>
      <c r="C431" s="281"/>
      <c r="D431" s="152"/>
      <c r="E431" s="152"/>
      <c r="F431" s="152"/>
      <c r="G431" s="152"/>
      <c r="H431" s="152"/>
      <c r="I431" s="152"/>
      <c r="J431" s="152"/>
      <c r="K431" s="152"/>
      <c r="L431" s="152"/>
      <c r="M431" s="152"/>
      <c r="N431" s="152"/>
      <c r="O431" s="152"/>
      <c r="P431" s="152"/>
      <c r="Q431" s="152"/>
      <c r="R431" s="152"/>
      <c r="S431" s="152"/>
      <c r="T431" s="152"/>
      <c r="U431" s="152"/>
      <c r="V431" s="152"/>
      <c r="W431" s="152"/>
      <c r="X431" s="152"/>
      <c r="Y431" s="152"/>
      <c r="Z431" s="152"/>
      <c r="AA431" s="152"/>
      <c r="AB431" s="152"/>
      <c r="AC431" s="152"/>
      <c r="AD431" s="152"/>
      <c r="AE431" s="152"/>
    </row>
    <row r="432" spans="1:31" ht="15.75">
      <c r="A432" s="152"/>
      <c r="B432" s="152"/>
      <c r="C432" s="281"/>
      <c r="D432" s="152"/>
      <c r="E432" s="152"/>
      <c r="F432" s="152"/>
      <c r="G432" s="152"/>
      <c r="H432" s="152"/>
      <c r="I432" s="152"/>
      <c r="J432" s="152"/>
      <c r="K432" s="152"/>
      <c r="L432" s="152"/>
      <c r="M432" s="152"/>
      <c r="N432" s="152"/>
      <c r="O432" s="152"/>
      <c r="P432" s="152"/>
      <c r="Q432" s="152"/>
      <c r="R432" s="152"/>
      <c r="S432" s="152"/>
      <c r="T432" s="152"/>
      <c r="U432" s="152"/>
      <c r="V432" s="152"/>
      <c r="W432" s="152"/>
      <c r="X432" s="152"/>
      <c r="Y432" s="152"/>
      <c r="Z432" s="152"/>
      <c r="AA432" s="152"/>
      <c r="AB432" s="152"/>
      <c r="AC432" s="152"/>
      <c r="AD432" s="152"/>
      <c r="AE432" s="152"/>
    </row>
    <row r="433" spans="1:31" ht="15.75">
      <c r="A433" s="152"/>
      <c r="B433" s="152"/>
      <c r="C433" s="281"/>
      <c r="D433" s="152"/>
      <c r="E433" s="152"/>
      <c r="F433" s="152"/>
      <c r="G433" s="152"/>
      <c r="H433" s="152"/>
      <c r="I433" s="152"/>
      <c r="J433" s="152"/>
      <c r="K433" s="152"/>
      <c r="L433" s="152"/>
      <c r="M433" s="152"/>
      <c r="N433" s="152"/>
      <c r="O433" s="152"/>
      <c r="P433" s="152"/>
      <c r="Q433" s="152"/>
      <c r="R433" s="152"/>
      <c r="S433" s="152"/>
      <c r="T433" s="152"/>
      <c r="U433" s="152"/>
      <c r="V433" s="152"/>
      <c r="W433" s="152"/>
      <c r="X433" s="152"/>
      <c r="Y433" s="152"/>
      <c r="Z433" s="152"/>
      <c r="AA433" s="152"/>
      <c r="AB433" s="152"/>
      <c r="AC433" s="152"/>
      <c r="AD433" s="152"/>
      <c r="AE433" s="152"/>
    </row>
    <row r="434" spans="1:31" ht="15.75">
      <c r="A434" s="152"/>
      <c r="B434" s="152"/>
      <c r="C434" s="281"/>
      <c r="D434" s="152"/>
      <c r="E434" s="152"/>
      <c r="F434" s="152"/>
      <c r="G434" s="152"/>
      <c r="H434" s="152"/>
      <c r="I434" s="152"/>
      <c r="J434" s="152"/>
      <c r="K434" s="152"/>
      <c r="L434" s="152"/>
      <c r="M434" s="152"/>
      <c r="N434" s="152"/>
      <c r="O434" s="152"/>
      <c r="P434" s="152"/>
      <c r="Q434" s="152"/>
      <c r="R434" s="152"/>
      <c r="S434" s="152"/>
      <c r="T434" s="152"/>
      <c r="U434" s="152"/>
      <c r="V434" s="152"/>
      <c r="W434" s="152"/>
      <c r="X434" s="152"/>
      <c r="Y434" s="152"/>
      <c r="Z434" s="152"/>
      <c r="AA434" s="152"/>
      <c r="AB434" s="152"/>
      <c r="AC434" s="152"/>
      <c r="AD434" s="152"/>
      <c r="AE434" s="152"/>
    </row>
    <row r="435" spans="1:31" ht="15.75">
      <c r="A435" s="152"/>
      <c r="B435" s="152"/>
      <c r="C435" s="281"/>
      <c r="D435" s="152"/>
      <c r="E435" s="152"/>
      <c r="F435" s="152"/>
      <c r="G435" s="152"/>
      <c r="H435" s="152"/>
      <c r="I435" s="152"/>
      <c r="J435" s="152"/>
      <c r="K435" s="152"/>
      <c r="L435" s="152"/>
      <c r="M435" s="152"/>
      <c r="N435" s="152"/>
      <c r="O435" s="152"/>
      <c r="P435" s="152"/>
      <c r="Q435" s="152"/>
      <c r="R435" s="152"/>
      <c r="S435" s="152"/>
      <c r="T435" s="152"/>
      <c r="U435" s="152"/>
      <c r="V435" s="152"/>
      <c r="W435" s="152"/>
      <c r="X435" s="152"/>
      <c r="Y435" s="152"/>
      <c r="Z435" s="152"/>
      <c r="AA435" s="152"/>
      <c r="AB435" s="152"/>
      <c r="AC435" s="152"/>
      <c r="AD435" s="152"/>
      <c r="AE435" s="152"/>
    </row>
    <row r="436" spans="1:31" ht="15.75">
      <c r="A436" s="152"/>
      <c r="B436" s="152"/>
      <c r="C436" s="281"/>
      <c r="D436" s="152"/>
      <c r="E436" s="152"/>
      <c r="F436" s="152"/>
      <c r="G436" s="152"/>
      <c r="H436" s="152"/>
      <c r="I436" s="152"/>
      <c r="J436" s="152"/>
      <c r="K436" s="152"/>
      <c r="L436" s="152"/>
      <c r="M436" s="152"/>
      <c r="N436" s="152"/>
      <c r="O436" s="152"/>
      <c r="P436" s="152"/>
      <c r="Q436" s="152"/>
      <c r="R436" s="152"/>
      <c r="S436" s="152"/>
      <c r="T436" s="152"/>
      <c r="U436" s="152"/>
      <c r="V436" s="152"/>
      <c r="W436" s="152"/>
      <c r="X436" s="152"/>
      <c r="Y436" s="152"/>
      <c r="Z436" s="152"/>
      <c r="AA436" s="152"/>
      <c r="AB436" s="152"/>
      <c r="AC436" s="152"/>
      <c r="AD436" s="152"/>
      <c r="AE436" s="152"/>
    </row>
    <row r="437" spans="1:31" ht="15.75">
      <c r="A437" s="152"/>
      <c r="B437" s="152"/>
      <c r="C437" s="281"/>
      <c r="D437" s="152"/>
      <c r="E437" s="152"/>
      <c r="F437" s="152"/>
      <c r="G437" s="152"/>
      <c r="H437" s="152"/>
      <c r="I437" s="152"/>
      <c r="J437" s="152"/>
      <c r="K437" s="152"/>
      <c r="L437" s="152"/>
      <c r="M437" s="152"/>
      <c r="N437" s="152"/>
      <c r="O437" s="152"/>
      <c r="P437" s="152"/>
      <c r="Q437" s="152"/>
      <c r="R437" s="152"/>
      <c r="S437" s="152"/>
      <c r="T437" s="152"/>
      <c r="U437" s="152"/>
      <c r="V437" s="152"/>
      <c r="W437" s="152"/>
      <c r="X437" s="152"/>
      <c r="Y437" s="152"/>
      <c r="Z437" s="152"/>
      <c r="AA437" s="152"/>
      <c r="AB437" s="152"/>
      <c r="AC437" s="152"/>
      <c r="AD437" s="152"/>
      <c r="AE437" s="152"/>
    </row>
    <row r="438" spans="1:31" ht="15.75">
      <c r="A438" s="152"/>
      <c r="B438" s="152"/>
      <c r="C438" s="281"/>
      <c r="D438" s="152"/>
      <c r="E438" s="152"/>
      <c r="F438" s="152"/>
      <c r="G438" s="152"/>
      <c r="H438" s="152"/>
      <c r="I438" s="152"/>
      <c r="J438" s="152"/>
      <c r="K438" s="152"/>
      <c r="L438" s="152"/>
      <c r="M438" s="152"/>
      <c r="N438" s="152"/>
      <c r="O438" s="152"/>
      <c r="P438" s="152"/>
      <c r="Q438" s="152"/>
      <c r="R438" s="152"/>
      <c r="S438" s="152"/>
      <c r="T438" s="152"/>
      <c r="U438" s="152"/>
      <c r="V438" s="152"/>
      <c r="W438" s="152"/>
      <c r="X438" s="152"/>
      <c r="Y438" s="152"/>
      <c r="Z438" s="152"/>
      <c r="AA438" s="152"/>
      <c r="AB438" s="152"/>
      <c r="AC438" s="152"/>
      <c r="AD438" s="152"/>
      <c r="AE438" s="152"/>
    </row>
    <row r="439" spans="1:31" ht="15.75">
      <c r="A439" s="152"/>
      <c r="B439" s="152"/>
      <c r="C439" s="281"/>
      <c r="D439" s="152"/>
      <c r="E439" s="152"/>
      <c r="F439" s="152"/>
      <c r="G439" s="152"/>
      <c r="H439" s="152"/>
      <c r="I439" s="152"/>
      <c r="J439" s="152"/>
      <c r="K439" s="152"/>
      <c r="L439" s="152"/>
      <c r="M439" s="152"/>
      <c r="N439" s="152"/>
      <c r="O439" s="152"/>
      <c r="P439" s="152"/>
      <c r="Q439" s="152"/>
      <c r="R439" s="152"/>
      <c r="S439" s="152"/>
      <c r="T439" s="152"/>
      <c r="U439" s="152"/>
      <c r="V439" s="152"/>
      <c r="W439" s="152"/>
      <c r="X439" s="152"/>
      <c r="Y439" s="152"/>
      <c r="Z439" s="152"/>
      <c r="AA439" s="152"/>
      <c r="AB439" s="152"/>
      <c r="AC439" s="152"/>
      <c r="AD439" s="152"/>
      <c r="AE439" s="152"/>
    </row>
    <row r="440" spans="1:31" ht="15.75">
      <c r="A440" s="152"/>
      <c r="B440" s="152"/>
      <c r="C440" s="281"/>
      <c r="D440" s="152"/>
      <c r="E440" s="152"/>
      <c r="F440" s="152"/>
      <c r="G440" s="152"/>
      <c r="H440" s="152"/>
      <c r="I440" s="152"/>
      <c r="J440" s="152"/>
      <c r="K440" s="152"/>
      <c r="L440" s="152"/>
      <c r="M440" s="152"/>
      <c r="N440" s="152"/>
      <c r="O440" s="152"/>
      <c r="P440" s="152"/>
      <c r="Q440" s="152"/>
      <c r="R440" s="152"/>
      <c r="S440" s="152"/>
      <c r="T440" s="152"/>
      <c r="U440" s="152"/>
      <c r="V440" s="152"/>
      <c r="W440" s="152"/>
      <c r="X440" s="152"/>
      <c r="Y440" s="152"/>
      <c r="Z440" s="152"/>
      <c r="AA440" s="152"/>
      <c r="AB440" s="152"/>
      <c r="AC440" s="152"/>
      <c r="AD440" s="152"/>
      <c r="AE440" s="152"/>
    </row>
    <row r="441" spans="1:31" ht="15.75">
      <c r="A441" s="152"/>
      <c r="B441" s="152"/>
      <c r="C441" s="281"/>
      <c r="D441" s="152"/>
      <c r="E441" s="152"/>
      <c r="F441" s="152"/>
      <c r="G441" s="152"/>
      <c r="H441" s="152"/>
      <c r="I441" s="152"/>
      <c r="J441" s="152"/>
      <c r="K441" s="152"/>
      <c r="L441" s="152"/>
      <c r="M441" s="152"/>
      <c r="N441" s="152"/>
      <c r="O441" s="152"/>
      <c r="P441" s="152"/>
      <c r="Q441" s="152"/>
      <c r="R441" s="152"/>
      <c r="S441" s="152"/>
      <c r="T441" s="152"/>
      <c r="U441" s="152"/>
      <c r="V441" s="152"/>
      <c r="W441" s="152"/>
      <c r="X441" s="152"/>
      <c r="Y441" s="152"/>
      <c r="Z441" s="152"/>
      <c r="AA441" s="152"/>
      <c r="AB441" s="152"/>
      <c r="AC441" s="152"/>
      <c r="AD441" s="152"/>
      <c r="AE441" s="152"/>
    </row>
    <row r="442" spans="1:31" ht="15.75">
      <c r="A442" s="152"/>
      <c r="B442" s="152"/>
      <c r="C442" s="281"/>
      <c r="D442" s="152"/>
      <c r="E442" s="152"/>
      <c r="F442" s="152"/>
      <c r="G442" s="152"/>
      <c r="H442" s="152"/>
      <c r="I442" s="152"/>
      <c r="J442" s="152"/>
      <c r="K442" s="152"/>
      <c r="L442" s="152"/>
      <c r="M442" s="152"/>
      <c r="N442" s="152"/>
      <c r="O442" s="152"/>
      <c r="P442" s="152"/>
      <c r="Q442" s="152"/>
      <c r="R442" s="152"/>
      <c r="S442" s="152"/>
      <c r="T442" s="152"/>
      <c r="U442" s="152"/>
      <c r="V442" s="152"/>
      <c r="W442" s="152"/>
      <c r="X442" s="152"/>
      <c r="Y442" s="152"/>
      <c r="Z442" s="152"/>
      <c r="AA442" s="152"/>
      <c r="AB442" s="152"/>
      <c r="AC442" s="152"/>
      <c r="AD442" s="152"/>
      <c r="AE442" s="152"/>
    </row>
    <row r="443" spans="1:31" ht="15.75">
      <c r="A443" s="152"/>
      <c r="B443" s="152"/>
      <c r="C443" s="281"/>
      <c r="D443" s="152"/>
      <c r="E443" s="152"/>
      <c r="F443" s="152"/>
      <c r="G443" s="152"/>
      <c r="H443" s="152"/>
      <c r="I443" s="152"/>
      <c r="J443" s="152"/>
      <c r="K443" s="152"/>
      <c r="L443" s="152"/>
      <c r="M443" s="152"/>
      <c r="N443" s="152"/>
      <c r="O443" s="152"/>
      <c r="P443" s="152"/>
      <c r="Q443" s="152"/>
      <c r="R443" s="152"/>
      <c r="S443" s="152"/>
      <c r="T443" s="152"/>
      <c r="U443" s="152"/>
      <c r="V443" s="152"/>
      <c r="W443" s="152"/>
      <c r="X443" s="152"/>
      <c r="Y443" s="152"/>
      <c r="Z443" s="152"/>
      <c r="AA443" s="152"/>
      <c r="AB443" s="152"/>
      <c r="AC443" s="152"/>
      <c r="AD443" s="152"/>
      <c r="AE443" s="152"/>
    </row>
    <row r="444" spans="1:31" ht="15.75">
      <c r="A444" s="152"/>
      <c r="B444" s="152"/>
      <c r="C444" s="281"/>
      <c r="D444" s="152"/>
      <c r="E444" s="152"/>
      <c r="F444" s="152"/>
      <c r="G444" s="152"/>
      <c r="H444" s="152"/>
      <c r="I444" s="152"/>
      <c r="J444" s="152"/>
      <c r="K444" s="152"/>
      <c r="L444" s="152"/>
      <c r="M444" s="152"/>
      <c r="N444" s="152"/>
      <c r="O444" s="152"/>
      <c r="P444" s="152"/>
      <c r="Q444" s="152"/>
      <c r="R444" s="152"/>
      <c r="S444" s="152"/>
      <c r="T444" s="152"/>
      <c r="U444" s="152"/>
      <c r="V444" s="152"/>
      <c r="W444" s="152"/>
      <c r="X444" s="152"/>
      <c r="Y444" s="152"/>
      <c r="Z444" s="152"/>
      <c r="AA444" s="152"/>
      <c r="AB444" s="152"/>
      <c r="AC444" s="152"/>
      <c r="AD444" s="152"/>
      <c r="AE444" s="152"/>
    </row>
    <row r="445" spans="1:31" ht="15.75">
      <c r="A445" s="152"/>
      <c r="B445" s="152"/>
      <c r="C445" s="281"/>
      <c r="D445" s="152"/>
      <c r="E445" s="152"/>
      <c r="F445" s="152"/>
      <c r="G445" s="152"/>
      <c r="H445" s="152"/>
      <c r="I445" s="152"/>
      <c r="J445" s="152"/>
      <c r="K445" s="152"/>
      <c r="L445" s="152"/>
      <c r="M445" s="152"/>
      <c r="N445" s="152"/>
      <c r="O445" s="152"/>
      <c r="P445" s="152"/>
      <c r="Q445" s="152"/>
      <c r="R445" s="152"/>
      <c r="S445" s="152"/>
      <c r="T445" s="152"/>
      <c r="U445" s="152"/>
      <c r="V445" s="152"/>
      <c r="W445" s="152"/>
      <c r="X445" s="152"/>
      <c r="Y445" s="152"/>
      <c r="Z445" s="152"/>
      <c r="AA445" s="152"/>
      <c r="AB445" s="152"/>
      <c r="AC445" s="152"/>
      <c r="AD445" s="152"/>
      <c r="AE445" s="152"/>
    </row>
    <row r="446" spans="1:31" ht="15.75">
      <c r="A446" s="152"/>
      <c r="B446" s="152"/>
      <c r="C446" s="281"/>
      <c r="D446" s="152"/>
      <c r="E446" s="152"/>
      <c r="F446" s="152"/>
      <c r="G446" s="152"/>
      <c r="H446" s="152"/>
      <c r="I446" s="152"/>
      <c r="J446" s="152"/>
      <c r="K446" s="152"/>
      <c r="L446" s="152"/>
      <c r="M446" s="152"/>
      <c r="N446" s="152"/>
      <c r="O446" s="152"/>
      <c r="P446" s="152"/>
      <c r="Q446" s="152"/>
      <c r="R446" s="152"/>
      <c r="S446" s="152"/>
      <c r="T446" s="152"/>
      <c r="U446" s="152"/>
      <c r="V446" s="152"/>
      <c r="W446" s="152"/>
      <c r="X446" s="152"/>
      <c r="Y446" s="152"/>
      <c r="Z446" s="152"/>
      <c r="AA446" s="152"/>
      <c r="AB446" s="152"/>
      <c r="AC446" s="152"/>
      <c r="AD446" s="152"/>
      <c r="AE446" s="152"/>
    </row>
    <row r="447" spans="1:31" ht="15.75">
      <c r="A447" s="152"/>
      <c r="B447" s="152"/>
      <c r="C447" s="281"/>
      <c r="D447" s="152"/>
      <c r="E447" s="152"/>
      <c r="F447" s="152"/>
      <c r="G447" s="152"/>
      <c r="H447" s="152"/>
      <c r="I447" s="152"/>
      <c r="J447" s="152"/>
      <c r="K447" s="152"/>
      <c r="L447" s="152"/>
      <c r="M447" s="152"/>
      <c r="N447" s="152"/>
      <c r="O447" s="152"/>
      <c r="P447" s="152"/>
      <c r="Q447" s="152"/>
      <c r="R447" s="152"/>
      <c r="S447" s="152"/>
      <c r="T447" s="152"/>
      <c r="U447" s="152"/>
      <c r="V447" s="152"/>
      <c r="W447" s="152"/>
      <c r="X447" s="152"/>
      <c r="Y447" s="152"/>
      <c r="Z447" s="152"/>
      <c r="AA447" s="152"/>
      <c r="AB447" s="152"/>
      <c r="AC447" s="152"/>
      <c r="AD447" s="152"/>
      <c r="AE447" s="152"/>
    </row>
    <row r="448" spans="1:31" ht="15.75">
      <c r="A448" s="152"/>
      <c r="B448" s="152"/>
      <c r="C448" s="281"/>
      <c r="D448" s="152"/>
      <c r="E448" s="152"/>
      <c r="F448" s="152"/>
      <c r="G448" s="152"/>
      <c r="H448" s="152"/>
      <c r="I448" s="152"/>
      <c r="J448" s="152"/>
      <c r="K448" s="152"/>
      <c r="L448" s="152"/>
      <c r="M448" s="152"/>
      <c r="N448" s="152"/>
      <c r="O448" s="152"/>
      <c r="P448" s="152"/>
      <c r="Q448" s="152"/>
      <c r="R448" s="152"/>
      <c r="S448" s="152"/>
      <c r="T448" s="152"/>
      <c r="U448" s="152"/>
      <c r="V448" s="152"/>
      <c r="W448" s="152"/>
      <c r="X448" s="152"/>
      <c r="Y448" s="152"/>
      <c r="Z448" s="152"/>
      <c r="AA448" s="152"/>
      <c r="AB448" s="152"/>
      <c r="AC448" s="152"/>
      <c r="AD448" s="152"/>
      <c r="AE448" s="152"/>
    </row>
    <row r="449" spans="1:31" ht="15.75">
      <c r="A449" s="152"/>
      <c r="B449" s="152"/>
      <c r="C449" s="281"/>
      <c r="D449" s="152"/>
      <c r="E449" s="152"/>
      <c r="F449" s="152"/>
      <c r="G449" s="152"/>
      <c r="H449" s="152"/>
      <c r="I449" s="152"/>
      <c r="J449" s="152"/>
      <c r="K449" s="152"/>
      <c r="L449" s="152"/>
      <c r="M449" s="152"/>
      <c r="N449" s="152"/>
      <c r="O449" s="152"/>
      <c r="P449" s="152"/>
      <c r="Q449" s="152"/>
      <c r="R449" s="152"/>
      <c r="S449" s="152"/>
      <c r="T449" s="152"/>
      <c r="U449" s="152"/>
      <c r="V449" s="152"/>
      <c r="W449" s="152"/>
      <c r="X449" s="152"/>
      <c r="Y449" s="152"/>
      <c r="Z449" s="152"/>
      <c r="AA449" s="152"/>
      <c r="AB449" s="152"/>
      <c r="AC449" s="152"/>
      <c r="AD449" s="152"/>
      <c r="AE449" s="152"/>
    </row>
    <row r="450" spans="1:31" ht="15.75">
      <c r="A450" s="152"/>
      <c r="B450" s="152"/>
      <c r="C450" s="281"/>
      <c r="D450" s="152"/>
      <c r="E450" s="152"/>
      <c r="F450" s="152"/>
      <c r="G450" s="152"/>
      <c r="H450" s="152"/>
      <c r="I450" s="152"/>
      <c r="J450" s="152"/>
      <c r="K450" s="152"/>
      <c r="L450" s="152"/>
      <c r="M450" s="152"/>
      <c r="N450" s="152"/>
      <c r="O450" s="152"/>
      <c r="P450" s="152"/>
      <c r="Q450" s="152"/>
      <c r="R450" s="152"/>
      <c r="S450" s="152"/>
      <c r="T450" s="152"/>
      <c r="U450" s="152"/>
      <c r="V450" s="152"/>
      <c r="W450" s="152"/>
      <c r="X450" s="152"/>
      <c r="Y450" s="152"/>
      <c r="Z450" s="152"/>
      <c r="AA450" s="152"/>
      <c r="AB450" s="152"/>
      <c r="AC450" s="152"/>
      <c r="AD450" s="152"/>
      <c r="AE450" s="152"/>
    </row>
    <row r="451" spans="1:31" ht="15.75">
      <c r="A451" s="152"/>
      <c r="B451" s="152"/>
      <c r="C451" s="281"/>
      <c r="D451" s="152"/>
      <c r="E451" s="152"/>
      <c r="F451" s="152"/>
      <c r="G451" s="152"/>
      <c r="H451" s="152"/>
      <c r="I451" s="152"/>
      <c r="J451" s="152"/>
      <c r="K451" s="152"/>
      <c r="L451" s="152"/>
      <c r="M451" s="152"/>
      <c r="N451" s="152"/>
      <c r="O451" s="152"/>
      <c r="P451" s="152"/>
      <c r="Q451" s="152"/>
      <c r="R451" s="152"/>
      <c r="S451" s="152"/>
      <c r="T451" s="152"/>
      <c r="U451" s="152"/>
      <c r="V451" s="152"/>
      <c r="W451" s="152"/>
      <c r="X451" s="152"/>
      <c r="Y451" s="152"/>
      <c r="Z451" s="152"/>
      <c r="AA451" s="152"/>
      <c r="AB451" s="152"/>
      <c r="AC451" s="152"/>
      <c r="AD451" s="152"/>
      <c r="AE451" s="152"/>
    </row>
    <row r="452" spans="1:31" ht="15.75">
      <c r="A452" s="152"/>
      <c r="B452" s="152"/>
      <c r="C452" s="281"/>
      <c r="D452" s="152"/>
      <c r="E452" s="152"/>
      <c r="F452" s="152"/>
      <c r="G452" s="152"/>
      <c r="H452" s="152"/>
      <c r="I452" s="152"/>
      <c r="J452" s="152"/>
      <c r="K452" s="152"/>
      <c r="L452" s="152"/>
      <c r="M452" s="152"/>
      <c r="N452" s="152"/>
      <c r="O452" s="152"/>
      <c r="P452" s="152"/>
      <c r="Q452" s="152"/>
      <c r="R452" s="152"/>
      <c r="S452" s="152"/>
      <c r="T452" s="152"/>
      <c r="U452" s="152"/>
      <c r="V452" s="152"/>
      <c r="W452" s="152"/>
      <c r="X452" s="152"/>
      <c r="Y452" s="152"/>
      <c r="Z452" s="152"/>
      <c r="AA452" s="152"/>
      <c r="AB452" s="152"/>
      <c r="AC452" s="152"/>
      <c r="AD452" s="152"/>
      <c r="AE452" s="152"/>
    </row>
    <row r="453" spans="1:31" ht="15.75">
      <c r="A453" s="152"/>
      <c r="B453" s="152"/>
      <c r="C453" s="281"/>
      <c r="D453" s="152"/>
      <c r="E453" s="152"/>
      <c r="F453" s="152"/>
      <c r="G453" s="152"/>
      <c r="H453" s="152"/>
      <c r="I453" s="152"/>
      <c r="J453" s="152"/>
      <c r="K453" s="152"/>
      <c r="L453" s="152"/>
      <c r="M453" s="152"/>
      <c r="N453" s="152"/>
      <c r="O453" s="152"/>
      <c r="P453" s="152"/>
      <c r="Q453" s="152"/>
      <c r="R453" s="152"/>
      <c r="S453" s="152"/>
      <c r="T453" s="152"/>
      <c r="U453" s="152"/>
      <c r="V453" s="152"/>
      <c r="W453" s="152"/>
      <c r="X453" s="152"/>
      <c r="Y453" s="152"/>
      <c r="Z453" s="152"/>
      <c r="AA453" s="152"/>
      <c r="AB453" s="152"/>
      <c r="AC453" s="152"/>
      <c r="AD453" s="152"/>
      <c r="AE453" s="152"/>
    </row>
    <row r="454" spans="1:31" ht="15.75">
      <c r="A454" s="152"/>
      <c r="B454" s="152"/>
      <c r="C454" s="281"/>
      <c r="D454" s="152"/>
      <c r="E454" s="152"/>
      <c r="F454" s="152"/>
      <c r="G454" s="152"/>
      <c r="H454" s="152"/>
      <c r="I454" s="152"/>
      <c r="J454" s="152"/>
      <c r="K454" s="152"/>
      <c r="L454" s="152"/>
      <c r="M454" s="152"/>
      <c r="N454" s="152"/>
      <c r="O454" s="152"/>
      <c r="P454" s="152"/>
      <c r="Q454" s="152"/>
      <c r="R454" s="152"/>
      <c r="S454" s="152"/>
      <c r="T454" s="152"/>
      <c r="U454" s="152"/>
      <c r="V454" s="152"/>
      <c r="W454" s="152"/>
      <c r="X454" s="152"/>
      <c r="Y454" s="152"/>
      <c r="Z454" s="152"/>
      <c r="AA454" s="152"/>
      <c r="AB454" s="152"/>
      <c r="AC454" s="152"/>
      <c r="AD454" s="152"/>
      <c r="AE454" s="152"/>
    </row>
    <row r="455" spans="1:31" ht="15.75">
      <c r="A455" s="152"/>
      <c r="B455" s="152"/>
      <c r="C455" s="281"/>
      <c r="D455" s="152"/>
      <c r="E455" s="152"/>
      <c r="F455" s="152"/>
      <c r="G455" s="152"/>
      <c r="H455" s="152"/>
      <c r="I455" s="152"/>
      <c r="J455" s="152"/>
      <c r="K455" s="152"/>
      <c r="L455" s="152"/>
      <c r="M455" s="152"/>
      <c r="N455" s="152"/>
      <c r="O455" s="152"/>
      <c r="P455" s="152"/>
      <c r="Q455" s="152"/>
      <c r="R455" s="152"/>
      <c r="S455" s="152"/>
      <c r="T455" s="152"/>
      <c r="U455" s="152"/>
      <c r="V455" s="152"/>
      <c r="W455" s="152"/>
      <c r="X455" s="152"/>
      <c r="Y455" s="152"/>
      <c r="Z455" s="152"/>
      <c r="AA455" s="152"/>
      <c r="AB455" s="152"/>
      <c r="AC455" s="152"/>
      <c r="AD455" s="152"/>
      <c r="AE455" s="152"/>
    </row>
    <row r="456" spans="1:31" ht="15.75">
      <c r="A456" s="152"/>
      <c r="B456" s="152"/>
      <c r="C456" s="281"/>
      <c r="D456" s="152"/>
      <c r="E456" s="152"/>
      <c r="F456" s="152"/>
      <c r="G456" s="152"/>
      <c r="H456" s="152"/>
      <c r="I456" s="152"/>
      <c r="J456" s="152"/>
      <c r="K456" s="152"/>
      <c r="L456" s="152"/>
      <c r="M456" s="152"/>
      <c r="N456" s="152"/>
      <c r="O456" s="152"/>
      <c r="P456" s="152"/>
      <c r="Q456" s="152"/>
      <c r="R456" s="152"/>
      <c r="S456" s="152"/>
      <c r="T456" s="152"/>
      <c r="U456" s="152"/>
      <c r="V456" s="152"/>
      <c r="W456" s="152"/>
      <c r="X456" s="152"/>
      <c r="Y456" s="152"/>
      <c r="Z456" s="152"/>
      <c r="AA456" s="152"/>
      <c r="AB456" s="152"/>
      <c r="AC456" s="152"/>
      <c r="AD456" s="152"/>
      <c r="AE456" s="152"/>
    </row>
    <row r="457" spans="1:31" ht="15.75">
      <c r="A457" s="152"/>
      <c r="B457" s="152"/>
      <c r="C457" s="281"/>
      <c r="D457" s="152"/>
      <c r="E457" s="152"/>
      <c r="F457" s="152"/>
      <c r="G457" s="152"/>
      <c r="H457" s="152"/>
      <c r="I457" s="152"/>
      <c r="J457" s="152"/>
      <c r="K457" s="152"/>
      <c r="L457" s="152"/>
      <c r="M457" s="152"/>
      <c r="N457" s="152"/>
      <c r="O457" s="152"/>
      <c r="P457" s="152"/>
      <c r="Q457" s="152"/>
      <c r="R457" s="152"/>
      <c r="S457" s="152"/>
      <c r="T457" s="152"/>
      <c r="U457" s="152"/>
      <c r="V457" s="152"/>
      <c r="W457" s="152"/>
      <c r="X457" s="152"/>
      <c r="Y457" s="152"/>
      <c r="Z457" s="152"/>
      <c r="AA457" s="152"/>
      <c r="AB457" s="152"/>
      <c r="AC457" s="152"/>
      <c r="AD457" s="152"/>
      <c r="AE457" s="152"/>
    </row>
    <row r="458" spans="1:31" ht="15.75">
      <c r="A458" s="152"/>
      <c r="B458" s="152"/>
      <c r="C458" s="281"/>
      <c r="D458" s="152"/>
      <c r="E458" s="152"/>
      <c r="F458" s="152"/>
      <c r="G458" s="152"/>
      <c r="H458" s="152"/>
      <c r="I458" s="152"/>
      <c r="J458" s="152"/>
      <c r="K458" s="152"/>
      <c r="L458" s="152"/>
      <c r="M458" s="152"/>
      <c r="N458" s="152"/>
      <c r="O458" s="152"/>
      <c r="P458" s="152"/>
      <c r="Q458" s="152"/>
      <c r="R458" s="152"/>
      <c r="S458" s="152"/>
      <c r="T458" s="152"/>
      <c r="U458" s="152"/>
      <c r="V458" s="152"/>
      <c r="W458" s="152"/>
      <c r="X458" s="152"/>
      <c r="Y458" s="152"/>
      <c r="Z458" s="152"/>
      <c r="AA458" s="152"/>
      <c r="AB458" s="152"/>
      <c r="AC458" s="152"/>
      <c r="AD458" s="152"/>
      <c r="AE458" s="152"/>
    </row>
    <row r="459" spans="1:31" ht="15.75">
      <c r="A459" s="152"/>
      <c r="B459" s="152"/>
      <c r="C459" s="281"/>
      <c r="D459" s="152"/>
      <c r="E459" s="152"/>
      <c r="F459" s="152"/>
      <c r="G459" s="152"/>
      <c r="H459" s="152"/>
      <c r="I459" s="152"/>
      <c r="J459" s="152"/>
      <c r="K459" s="152"/>
      <c r="L459" s="152"/>
      <c r="M459" s="152"/>
      <c r="N459" s="152"/>
      <c r="O459" s="152"/>
      <c r="P459" s="152"/>
      <c r="Q459" s="152"/>
      <c r="R459" s="152"/>
      <c r="S459" s="152"/>
      <c r="T459" s="152"/>
      <c r="U459" s="152"/>
      <c r="V459" s="152"/>
      <c r="W459" s="152"/>
      <c r="X459" s="152"/>
      <c r="Y459" s="152"/>
      <c r="Z459" s="152"/>
      <c r="AA459" s="152"/>
      <c r="AB459" s="152"/>
      <c r="AC459" s="152"/>
      <c r="AD459" s="152"/>
      <c r="AE459" s="152"/>
    </row>
    <row r="460" spans="1:31" ht="15.75">
      <c r="A460" s="152"/>
      <c r="B460" s="152"/>
      <c r="C460" s="281"/>
      <c r="D460" s="152"/>
      <c r="E460" s="152"/>
      <c r="F460" s="152"/>
      <c r="G460" s="152"/>
      <c r="H460" s="152"/>
      <c r="I460" s="152"/>
      <c r="J460" s="152"/>
      <c r="K460" s="152"/>
      <c r="L460" s="152"/>
      <c r="M460" s="152"/>
      <c r="N460" s="152"/>
      <c r="O460" s="152"/>
      <c r="P460" s="152"/>
      <c r="Q460" s="152"/>
      <c r="R460" s="152"/>
      <c r="S460" s="152"/>
      <c r="T460" s="152"/>
      <c r="U460" s="152"/>
      <c r="V460" s="152"/>
      <c r="W460" s="152"/>
      <c r="X460" s="152"/>
      <c r="Y460" s="152"/>
      <c r="Z460" s="152"/>
      <c r="AA460" s="152"/>
      <c r="AB460" s="152"/>
      <c r="AC460" s="152"/>
      <c r="AD460" s="152"/>
      <c r="AE460" s="152"/>
    </row>
    <row r="461" spans="1:31" ht="15.75">
      <c r="A461" s="152"/>
      <c r="B461" s="152"/>
      <c r="C461" s="281"/>
      <c r="D461" s="152"/>
      <c r="E461" s="152"/>
      <c r="F461" s="152"/>
      <c r="G461" s="152"/>
      <c r="H461" s="152"/>
      <c r="I461" s="152"/>
      <c r="J461" s="152"/>
      <c r="K461" s="152"/>
      <c r="L461" s="152"/>
      <c r="M461" s="152"/>
      <c r="N461" s="152"/>
      <c r="O461" s="152"/>
      <c r="P461" s="152"/>
      <c r="Q461" s="152"/>
      <c r="R461" s="152"/>
      <c r="S461" s="152"/>
      <c r="T461" s="152"/>
      <c r="U461" s="152"/>
      <c r="V461" s="152"/>
      <c r="W461" s="152"/>
      <c r="X461" s="152"/>
      <c r="Y461" s="152"/>
      <c r="Z461" s="152"/>
      <c r="AA461" s="152"/>
      <c r="AB461" s="152"/>
      <c r="AC461" s="152"/>
      <c r="AD461" s="152"/>
      <c r="AE461" s="152"/>
    </row>
    <row r="462" spans="1:31" ht="15.75">
      <c r="A462" s="152"/>
      <c r="B462" s="152"/>
      <c r="C462" s="281"/>
      <c r="D462" s="152"/>
      <c r="E462" s="152"/>
      <c r="F462" s="152"/>
      <c r="G462" s="152"/>
      <c r="H462" s="152"/>
      <c r="I462" s="152"/>
      <c r="J462" s="152"/>
      <c r="K462" s="152"/>
      <c r="L462" s="152"/>
      <c r="M462" s="152"/>
      <c r="N462" s="152"/>
      <c r="O462" s="152"/>
      <c r="P462" s="152"/>
      <c r="Q462" s="152"/>
      <c r="R462" s="152"/>
      <c r="S462" s="152"/>
      <c r="T462" s="152"/>
      <c r="U462" s="152"/>
      <c r="V462" s="152"/>
      <c r="W462" s="152"/>
      <c r="X462" s="152"/>
      <c r="Y462" s="152"/>
      <c r="Z462" s="152"/>
      <c r="AA462" s="152"/>
      <c r="AB462" s="152"/>
      <c r="AC462" s="152"/>
      <c r="AD462" s="152"/>
      <c r="AE462" s="152"/>
    </row>
    <row r="463" spans="1:31" ht="15.75">
      <c r="A463" s="152"/>
      <c r="B463" s="152"/>
      <c r="C463" s="281"/>
      <c r="D463" s="152"/>
      <c r="E463" s="152"/>
      <c r="F463" s="152"/>
      <c r="G463" s="152"/>
      <c r="H463" s="152"/>
      <c r="I463" s="152"/>
      <c r="J463" s="152"/>
      <c r="K463" s="152"/>
      <c r="L463" s="152"/>
      <c r="M463" s="152"/>
      <c r="N463" s="152"/>
      <c r="O463" s="152"/>
      <c r="P463" s="152"/>
      <c r="Q463" s="152"/>
      <c r="R463" s="152"/>
      <c r="S463" s="152"/>
      <c r="T463" s="152"/>
      <c r="U463" s="152"/>
      <c r="V463" s="152"/>
      <c r="W463" s="152"/>
      <c r="X463" s="152"/>
      <c r="Y463" s="152"/>
      <c r="Z463" s="152"/>
      <c r="AA463" s="152"/>
      <c r="AB463" s="152"/>
      <c r="AC463" s="152"/>
      <c r="AD463" s="152"/>
      <c r="AE463" s="152"/>
    </row>
    <row r="464" spans="1:31" ht="15.75">
      <c r="A464" s="152"/>
      <c r="B464" s="152"/>
      <c r="C464" s="281"/>
      <c r="D464" s="152"/>
      <c r="E464" s="152"/>
      <c r="F464" s="152"/>
      <c r="G464" s="152"/>
      <c r="H464" s="152"/>
      <c r="I464" s="152"/>
      <c r="J464" s="152"/>
      <c r="K464" s="152"/>
      <c r="L464" s="152"/>
      <c r="M464" s="152"/>
      <c r="N464" s="152"/>
      <c r="O464" s="152"/>
      <c r="P464" s="152"/>
      <c r="Q464" s="152"/>
      <c r="R464" s="152"/>
      <c r="S464" s="152"/>
      <c r="T464" s="152"/>
      <c r="U464" s="152"/>
      <c r="V464" s="152"/>
      <c r="W464" s="152"/>
      <c r="X464" s="152"/>
      <c r="Y464" s="152"/>
      <c r="Z464" s="152"/>
      <c r="AA464" s="152"/>
      <c r="AB464" s="152"/>
      <c r="AC464" s="152"/>
      <c r="AD464" s="152"/>
      <c r="AE464" s="152"/>
    </row>
    <row r="465" spans="1:31" ht="15.75">
      <c r="A465" s="152"/>
      <c r="B465" s="152"/>
      <c r="C465" s="281"/>
      <c r="D465" s="152"/>
      <c r="E465" s="152"/>
      <c r="F465" s="152"/>
      <c r="G465" s="152"/>
      <c r="H465" s="152"/>
      <c r="I465" s="152"/>
      <c r="J465" s="152"/>
      <c r="K465" s="152"/>
      <c r="L465" s="152"/>
      <c r="M465" s="152"/>
      <c r="N465" s="152"/>
      <c r="O465" s="152"/>
      <c r="P465" s="152"/>
      <c r="Q465" s="152"/>
      <c r="R465" s="152"/>
      <c r="S465" s="152"/>
      <c r="T465" s="152"/>
      <c r="U465" s="152"/>
      <c r="V465" s="152"/>
      <c r="W465" s="152"/>
      <c r="X465" s="152"/>
      <c r="Y465" s="152"/>
      <c r="Z465" s="152"/>
      <c r="AA465" s="152"/>
      <c r="AB465" s="152"/>
      <c r="AC465" s="152"/>
      <c r="AD465" s="152"/>
      <c r="AE465" s="152"/>
    </row>
    <row r="466" spans="1:31" ht="15.75">
      <c r="A466" s="152"/>
      <c r="B466" s="152"/>
      <c r="C466" s="281"/>
      <c r="D466" s="152"/>
      <c r="E466" s="152"/>
      <c r="F466" s="152"/>
      <c r="G466" s="152"/>
      <c r="H466" s="152"/>
      <c r="I466" s="152"/>
      <c r="J466" s="152"/>
      <c r="K466" s="152"/>
      <c r="L466" s="152"/>
      <c r="M466" s="152"/>
      <c r="N466" s="152"/>
      <c r="O466" s="152"/>
      <c r="P466" s="152"/>
      <c r="Q466" s="152"/>
      <c r="R466" s="152"/>
      <c r="S466" s="152"/>
      <c r="T466" s="152"/>
      <c r="U466" s="152"/>
      <c r="V466" s="152"/>
      <c r="W466" s="152"/>
      <c r="X466" s="152"/>
      <c r="Y466" s="152"/>
      <c r="Z466" s="152"/>
      <c r="AA466" s="152"/>
      <c r="AB466" s="152"/>
      <c r="AC466" s="152"/>
      <c r="AD466" s="152"/>
      <c r="AE466" s="152"/>
    </row>
    <row r="467" spans="1:31" ht="15.75">
      <c r="A467" s="152"/>
      <c r="B467" s="152"/>
      <c r="C467" s="281"/>
      <c r="D467" s="152"/>
      <c r="E467" s="152"/>
      <c r="F467" s="152"/>
      <c r="G467" s="152"/>
      <c r="H467" s="152"/>
      <c r="I467" s="152"/>
      <c r="J467" s="152"/>
      <c r="K467" s="152"/>
      <c r="L467" s="152"/>
      <c r="M467" s="152"/>
      <c r="N467" s="152"/>
      <c r="O467" s="152"/>
      <c r="P467" s="152"/>
      <c r="Q467" s="152"/>
      <c r="R467" s="152"/>
      <c r="S467" s="152"/>
      <c r="T467" s="152"/>
      <c r="U467" s="152"/>
      <c r="V467" s="152"/>
      <c r="W467" s="152"/>
      <c r="X467" s="152"/>
      <c r="Y467" s="152"/>
      <c r="Z467" s="152"/>
      <c r="AA467" s="152"/>
      <c r="AB467" s="152"/>
      <c r="AC467" s="152"/>
      <c r="AD467" s="152"/>
      <c r="AE467" s="152"/>
    </row>
    <row r="468" spans="1:31" ht="15.75">
      <c r="A468" s="152"/>
      <c r="B468" s="152"/>
      <c r="C468" s="281"/>
      <c r="D468" s="152"/>
      <c r="E468" s="152"/>
      <c r="F468" s="152"/>
      <c r="G468" s="152"/>
      <c r="H468" s="152"/>
      <c r="I468" s="152"/>
      <c r="J468" s="152"/>
      <c r="K468" s="152"/>
      <c r="L468" s="152"/>
      <c r="M468" s="152"/>
      <c r="N468" s="152"/>
      <c r="O468" s="152"/>
      <c r="P468" s="152"/>
      <c r="Q468" s="152"/>
      <c r="R468" s="152"/>
      <c r="S468" s="152"/>
      <c r="T468" s="152"/>
      <c r="U468" s="152"/>
      <c r="V468" s="152"/>
      <c r="W468" s="152"/>
      <c r="X468" s="152"/>
      <c r="Y468" s="152"/>
      <c r="Z468" s="152"/>
      <c r="AA468" s="152"/>
      <c r="AB468" s="152"/>
      <c r="AC468" s="152"/>
      <c r="AD468" s="152"/>
      <c r="AE468" s="152"/>
    </row>
    <row r="469" spans="1:31" ht="15.75">
      <c r="A469" s="152"/>
      <c r="B469" s="152"/>
      <c r="C469" s="281"/>
      <c r="D469" s="152"/>
      <c r="E469" s="152"/>
      <c r="F469" s="152"/>
      <c r="G469" s="152"/>
      <c r="H469" s="152"/>
      <c r="I469" s="152"/>
      <c r="J469" s="152"/>
      <c r="K469" s="152"/>
      <c r="L469" s="152"/>
      <c r="M469" s="152"/>
      <c r="N469" s="152"/>
      <c r="O469" s="152"/>
      <c r="P469" s="152"/>
      <c r="Q469" s="152"/>
      <c r="R469" s="152"/>
      <c r="S469" s="152"/>
      <c r="T469" s="152"/>
      <c r="U469" s="152"/>
      <c r="V469" s="152"/>
      <c r="W469" s="152"/>
      <c r="X469" s="152"/>
      <c r="Y469" s="152"/>
      <c r="Z469" s="152"/>
      <c r="AA469" s="152"/>
      <c r="AB469" s="152"/>
      <c r="AC469" s="152"/>
      <c r="AD469" s="152"/>
      <c r="AE469" s="152"/>
    </row>
    <row r="470" spans="1:31" ht="15.75">
      <c r="A470" s="152"/>
      <c r="B470" s="152"/>
      <c r="C470" s="281"/>
      <c r="D470" s="152"/>
      <c r="E470" s="152"/>
      <c r="F470" s="152"/>
      <c r="G470" s="152"/>
      <c r="H470" s="152"/>
      <c r="I470" s="152"/>
      <c r="J470" s="152"/>
      <c r="K470" s="152"/>
      <c r="L470" s="152"/>
      <c r="M470" s="152"/>
      <c r="N470" s="152"/>
      <c r="O470" s="152"/>
      <c r="P470" s="152"/>
      <c r="Q470" s="152"/>
      <c r="R470" s="152"/>
      <c r="S470" s="152"/>
      <c r="T470" s="152"/>
      <c r="U470" s="152"/>
      <c r="V470" s="152"/>
      <c r="W470" s="152"/>
      <c r="X470" s="152"/>
      <c r="Y470" s="152"/>
      <c r="Z470" s="152"/>
      <c r="AA470" s="152"/>
      <c r="AB470" s="152"/>
      <c r="AC470" s="152"/>
      <c r="AD470" s="152"/>
      <c r="AE470" s="152"/>
    </row>
    <row r="471" spans="1:31" ht="15.75">
      <c r="A471" s="152"/>
      <c r="B471" s="152"/>
      <c r="C471" s="281"/>
      <c r="D471" s="152"/>
      <c r="E471" s="152"/>
      <c r="F471" s="152"/>
      <c r="G471" s="152"/>
      <c r="H471" s="152"/>
      <c r="I471" s="152"/>
      <c r="J471" s="152"/>
      <c r="K471" s="152"/>
      <c r="L471" s="152"/>
      <c r="M471" s="152"/>
      <c r="N471" s="152"/>
      <c r="O471" s="152"/>
      <c r="P471" s="152"/>
      <c r="Q471" s="152"/>
      <c r="R471" s="152"/>
      <c r="S471" s="152"/>
      <c r="T471" s="152"/>
      <c r="U471" s="152"/>
      <c r="V471" s="152"/>
      <c r="W471" s="152"/>
      <c r="X471" s="152"/>
      <c r="Y471" s="152"/>
      <c r="Z471" s="152"/>
      <c r="AA471" s="152"/>
      <c r="AB471" s="152"/>
      <c r="AC471" s="152"/>
      <c r="AD471" s="152"/>
      <c r="AE471" s="152"/>
    </row>
    <row r="472" spans="1:31" ht="15.75">
      <c r="A472" s="152"/>
      <c r="B472" s="152"/>
      <c r="C472" s="281"/>
      <c r="D472" s="152"/>
      <c r="E472" s="152"/>
      <c r="F472" s="152"/>
      <c r="G472" s="152"/>
      <c r="H472" s="152"/>
      <c r="I472" s="152"/>
      <c r="J472" s="152"/>
      <c r="K472" s="152"/>
      <c r="L472" s="152"/>
      <c r="M472" s="152"/>
      <c r="N472" s="152"/>
      <c r="O472" s="152"/>
      <c r="P472" s="152"/>
      <c r="Q472" s="152"/>
      <c r="R472" s="152"/>
      <c r="S472" s="152"/>
      <c r="T472" s="152"/>
      <c r="U472" s="152"/>
      <c r="V472" s="152"/>
      <c r="W472" s="152"/>
      <c r="X472" s="152"/>
      <c r="Y472" s="152"/>
      <c r="Z472" s="152"/>
      <c r="AA472" s="152"/>
      <c r="AB472" s="152"/>
      <c r="AC472" s="152"/>
      <c r="AD472" s="152"/>
      <c r="AE472" s="152"/>
    </row>
    <row r="473" spans="1:31" ht="15.75">
      <c r="A473" s="152"/>
      <c r="B473" s="152"/>
      <c r="C473" s="281"/>
      <c r="D473" s="152"/>
      <c r="E473" s="152"/>
      <c r="F473" s="152"/>
      <c r="G473" s="152"/>
      <c r="H473" s="152"/>
      <c r="I473" s="152"/>
      <c r="J473" s="152"/>
      <c r="K473" s="152"/>
      <c r="L473" s="152"/>
      <c r="M473" s="152"/>
      <c r="N473" s="152"/>
      <c r="O473" s="152"/>
      <c r="P473" s="152"/>
      <c r="Q473" s="152"/>
      <c r="R473" s="152"/>
      <c r="S473" s="152"/>
      <c r="T473" s="152"/>
      <c r="U473" s="152"/>
      <c r="V473" s="152"/>
      <c r="W473" s="152"/>
      <c r="X473" s="152"/>
      <c r="Y473" s="152"/>
      <c r="Z473" s="152"/>
      <c r="AA473" s="152"/>
      <c r="AB473" s="152"/>
      <c r="AC473" s="152"/>
      <c r="AD473" s="152"/>
      <c r="AE473" s="152"/>
    </row>
    <row r="474" spans="1:31" ht="15.75">
      <c r="A474" s="152"/>
      <c r="B474" s="152"/>
      <c r="C474" s="281"/>
      <c r="D474" s="152"/>
      <c r="E474" s="152"/>
      <c r="F474" s="152"/>
      <c r="G474" s="152"/>
      <c r="H474" s="152"/>
      <c r="I474" s="152"/>
      <c r="J474" s="152"/>
      <c r="K474" s="152"/>
      <c r="L474" s="152"/>
      <c r="M474" s="152"/>
      <c r="N474" s="152"/>
      <c r="O474" s="152"/>
      <c r="P474" s="152"/>
      <c r="Q474" s="152"/>
      <c r="R474" s="152"/>
      <c r="S474" s="152"/>
      <c r="T474" s="152"/>
      <c r="U474" s="152"/>
      <c r="V474" s="152"/>
      <c r="W474" s="152"/>
      <c r="X474" s="152"/>
      <c r="Y474" s="152"/>
      <c r="Z474" s="152"/>
      <c r="AA474" s="152"/>
      <c r="AB474" s="152"/>
      <c r="AC474" s="152"/>
      <c r="AD474" s="152"/>
      <c r="AE474" s="152"/>
    </row>
    <row r="475" spans="1:31" ht="15.75">
      <c r="A475" s="152"/>
      <c r="B475" s="152"/>
      <c r="C475" s="281"/>
      <c r="D475" s="152"/>
      <c r="E475" s="152"/>
      <c r="F475" s="152"/>
      <c r="G475" s="152"/>
      <c r="H475" s="152"/>
      <c r="I475" s="152"/>
      <c r="J475" s="152"/>
      <c r="K475" s="152"/>
      <c r="L475" s="152"/>
      <c r="M475" s="152"/>
      <c r="N475" s="152"/>
      <c r="O475" s="152"/>
      <c r="P475" s="152"/>
      <c r="Q475" s="152"/>
      <c r="R475" s="152"/>
      <c r="S475" s="152"/>
      <c r="T475" s="152"/>
      <c r="U475" s="152"/>
      <c r="V475" s="152"/>
      <c r="W475" s="152"/>
      <c r="X475" s="152"/>
      <c r="Y475" s="152"/>
      <c r="Z475" s="152"/>
      <c r="AA475" s="152"/>
      <c r="AB475" s="152"/>
      <c r="AC475" s="152"/>
      <c r="AD475" s="152"/>
      <c r="AE475" s="152"/>
    </row>
    <row r="476" spans="1:31" ht="15.75">
      <c r="A476" s="152"/>
      <c r="B476" s="152"/>
      <c r="C476" s="281"/>
      <c r="D476" s="152"/>
      <c r="E476" s="152"/>
      <c r="F476" s="152"/>
      <c r="G476" s="152"/>
      <c r="H476" s="152"/>
      <c r="I476" s="152"/>
      <c r="J476" s="152"/>
      <c r="K476" s="152"/>
      <c r="L476" s="152"/>
      <c r="M476" s="152"/>
      <c r="N476" s="152"/>
      <c r="O476" s="152"/>
      <c r="P476" s="152"/>
      <c r="Q476" s="152"/>
      <c r="R476" s="152"/>
      <c r="S476" s="152"/>
      <c r="T476" s="152"/>
      <c r="U476" s="152"/>
      <c r="V476" s="152"/>
      <c r="W476" s="152"/>
      <c r="X476" s="152"/>
      <c r="Y476" s="152"/>
      <c r="Z476" s="152"/>
      <c r="AA476" s="152"/>
      <c r="AB476" s="152"/>
      <c r="AC476" s="152"/>
      <c r="AD476" s="152"/>
      <c r="AE476" s="152"/>
    </row>
    <row r="477" spans="1:31" ht="15.75">
      <c r="A477" s="152"/>
      <c r="B477" s="152"/>
      <c r="C477" s="281"/>
      <c r="D477" s="152"/>
      <c r="E477" s="152"/>
      <c r="F477" s="152"/>
      <c r="G477" s="152"/>
      <c r="H477" s="152"/>
      <c r="I477" s="152"/>
      <c r="J477" s="152"/>
      <c r="K477" s="152"/>
      <c r="L477" s="152"/>
      <c r="M477" s="152"/>
      <c r="N477" s="152"/>
      <c r="O477" s="152"/>
      <c r="P477" s="152"/>
      <c r="Q477" s="152"/>
      <c r="R477" s="152"/>
      <c r="S477" s="152"/>
      <c r="T477" s="152"/>
      <c r="U477" s="152"/>
      <c r="V477" s="152"/>
      <c r="W477" s="152"/>
      <c r="X477" s="152"/>
      <c r="Y477" s="152"/>
      <c r="Z477" s="152"/>
      <c r="AA477" s="152"/>
      <c r="AB477" s="152"/>
      <c r="AC477" s="152"/>
      <c r="AD477" s="152"/>
      <c r="AE477" s="152"/>
    </row>
    <row r="478" spans="1:31" ht="15.75">
      <c r="A478" s="152"/>
      <c r="B478" s="152"/>
      <c r="C478" s="281"/>
      <c r="D478" s="152"/>
      <c r="E478" s="152"/>
      <c r="F478" s="152"/>
      <c r="G478" s="152"/>
      <c r="H478" s="152"/>
      <c r="I478" s="152"/>
      <c r="J478" s="152"/>
      <c r="K478" s="152"/>
      <c r="L478" s="152"/>
      <c r="M478" s="152"/>
      <c r="N478" s="152"/>
      <c r="O478" s="152"/>
      <c r="P478" s="152"/>
      <c r="Q478" s="152"/>
      <c r="R478" s="152"/>
      <c r="S478" s="152"/>
      <c r="T478" s="152"/>
      <c r="U478" s="152"/>
      <c r="V478" s="152"/>
      <c r="W478" s="152"/>
      <c r="X478" s="152"/>
      <c r="Y478" s="152"/>
      <c r="Z478" s="152"/>
      <c r="AA478" s="152"/>
      <c r="AB478" s="152"/>
      <c r="AC478" s="152"/>
      <c r="AD478" s="152"/>
      <c r="AE478" s="152"/>
    </row>
    <row r="479" spans="1:31" ht="15.75">
      <c r="A479" s="152"/>
      <c r="B479" s="152"/>
      <c r="C479" s="281"/>
      <c r="D479" s="152"/>
      <c r="E479" s="152"/>
      <c r="F479" s="152"/>
      <c r="G479" s="152"/>
      <c r="H479" s="152"/>
      <c r="I479" s="152"/>
      <c r="J479" s="152"/>
      <c r="K479" s="152"/>
      <c r="L479" s="152"/>
      <c r="M479" s="152"/>
      <c r="N479" s="152"/>
      <c r="O479" s="152"/>
      <c r="P479" s="152"/>
      <c r="Q479" s="152"/>
      <c r="R479" s="152"/>
      <c r="S479" s="152"/>
      <c r="T479" s="152"/>
      <c r="U479" s="152"/>
      <c r="V479" s="152"/>
      <c r="W479" s="152"/>
      <c r="X479" s="152"/>
      <c r="Y479" s="152"/>
      <c r="Z479" s="152"/>
      <c r="AA479" s="152"/>
      <c r="AB479" s="152"/>
      <c r="AC479" s="152"/>
      <c r="AD479" s="152"/>
      <c r="AE479" s="152"/>
    </row>
    <row r="480" spans="1:31" ht="15.75">
      <c r="A480" s="152"/>
      <c r="B480" s="152"/>
      <c r="C480" s="281"/>
      <c r="D480" s="152"/>
      <c r="E480" s="152"/>
      <c r="F480" s="152"/>
      <c r="G480" s="152"/>
      <c r="H480" s="152"/>
      <c r="I480" s="152"/>
      <c r="J480" s="152"/>
      <c r="K480" s="152"/>
      <c r="L480" s="152"/>
      <c r="M480" s="152"/>
      <c r="N480" s="152"/>
      <c r="O480" s="152"/>
      <c r="P480" s="152"/>
      <c r="Q480" s="152"/>
      <c r="R480" s="152"/>
      <c r="S480" s="152"/>
      <c r="T480" s="152"/>
      <c r="U480" s="152"/>
      <c r="V480" s="152"/>
      <c r="W480" s="152"/>
      <c r="X480" s="152"/>
      <c r="Y480" s="152"/>
      <c r="Z480" s="152"/>
      <c r="AA480" s="152"/>
      <c r="AB480" s="152"/>
      <c r="AC480" s="152"/>
      <c r="AD480" s="152"/>
      <c r="AE480" s="152"/>
    </row>
    <row r="481" spans="1:31" ht="15.75">
      <c r="A481" s="152"/>
      <c r="B481" s="152"/>
      <c r="C481" s="281"/>
      <c r="D481" s="152"/>
      <c r="E481" s="152"/>
      <c r="F481" s="152"/>
      <c r="G481" s="152"/>
      <c r="H481" s="152"/>
      <c r="I481" s="152"/>
      <c r="J481" s="152"/>
      <c r="K481" s="152"/>
      <c r="L481" s="152"/>
      <c r="M481" s="152"/>
      <c r="N481" s="152"/>
      <c r="O481" s="152"/>
      <c r="P481" s="152"/>
      <c r="Q481" s="152"/>
      <c r="R481" s="152"/>
      <c r="S481" s="152"/>
      <c r="T481" s="152"/>
      <c r="U481" s="152"/>
      <c r="V481" s="152"/>
      <c r="W481" s="152"/>
      <c r="X481" s="152"/>
      <c r="Y481" s="152"/>
      <c r="Z481" s="152"/>
      <c r="AA481" s="152"/>
      <c r="AB481" s="152"/>
      <c r="AC481" s="152"/>
      <c r="AD481" s="152"/>
      <c r="AE481" s="152"/>
    </row>
    <row r="482" spans="1:31" ht="15.75">
      <c r="A482" s="152"/>
      <c r="B482" s="152"/>
      <c r="C482" s="281"/>
      <c r="D482" s="152"/>
      <c r="E482" s="152"/>
      <c r="F482" s="152"/>
      <c r="G482" s="152"/>
      <c r="H482" s="152"/>
      <c r="I482" s="152"/>
      <c r="J482" s="152"/>
      <c r="K482" s="152"/>
      <c r="L482" s="152"/>
      <c r="M482" s="152"/>
      <c r="N482" s="152"/>
      <c r="O482" s="152"/>
      <c r="P482" s="152"/>
      <c r="Q482" s="152"/>
      <c r="R482" s="152"/>
      <c r="S482" s="152"/>
      <c r="T482" s="152"/>
      <c r="U482" s="152"/>
      <c r="V482" s="152"/>
      <c r="W482" s="152"/>
      <c r="X482" s="152"/>
      <c r="Y482" s="152"/>
      <c r="Z482" s="152"/>
      <c r="AA482" s="152"/>
      <c r="AB482" s="152"/>
      <c r="AC482" s="152"/>
      <c r="AD482" s="152"/>
      <c r="AE482" s="152"/>
    </row>
    <row r="483" spans="1:31" ht="15.75">
      <c r="A483" s="152"/>
      <c r="B483" s="152"/>
      <c r="C483" s="281"/>
      <c r="D483" s="152"/>
      <c r="E483" s="152"/>
      <c r="F483" s="152"/>
      <c r="G483" s="152"/>
      <c r="H483" s="152"/>
      <c r="I483" s="152"/>
      <c r="J483" s="152"/>
      <c r="K483" s="152"/>
      <c r="L483" s="152"/>
      <c r="M483" s="152"/>
      <c r="N483" s="152"/>
      <c r="O483" s="152"/>
      <c r="P483" s="152"/>
      <c r="Q483" s="152"/>
      <c r="R483" s="152"/>
      <c r="S483" s="152"/>
      <c r="T483" s="152"/>
      <c r="U483" s="152"/>
      <c r="V483" s="152"/>
      <c r="W483" s="152"/>
      <c r="X483" s="152"/>
      <c r="Y483" s="152"/>
      <c r="Z483" s="152"/>
      <c r="AA483" s="152"/>
      <c r="AB483" s="152"/>
      <c r="AC483" s="152"/>
      <c r="AD483" s="152"/>
      <c r="AE483" s="152"/>
    </row>
    <row r="484" spans="1:31" ht="15.75">
      <c r="A484" s="152"/>
      <c r="B484" s="152"/>
      <c r="C484" s="281"/>
      <c r="D484" s="152"/>
      <c r="E484" s="152"/>
      <c r="F484" s="152"/>
      <c r="G484" s="152"/>
      <c r="H484" s="152"/>
      <c r="I484" s="152"/>
      <c r="J484" s="152"/>
      <c r="K484" s="152"/>
      <c r="L484" s="152"/>
      <c r="M484" s="152"/>
      <c r="N484" s="152"/>
      <c r="O484" s="152"/>
      <c r="P484" s="152"/>
      <c r="Q484" s="152"/>
      <c r="R484" s="152"/>
      <c r="S484" s="152"/>
      <c r="T484" s="152"/>
      <c r="U484" s="152"/>
      <c r="V484" s="152"/>
      <c r="W484" s="152"/>
      <c r="X484" s="152"/>
      <c r="Y484" s="152"/>
      <c r="Z484" s="152"/>
      <c r="AA484" s="152"/>
      <c r="AB484" s="152"/>
      <c r="AC484" s="152"/>
      <c r="AD484" s="152"/>
      <c r="AE484" s="152"/>
    </row>
    <row r="485" spans="1:31" ht="15.75">
      <c r="A485" s="152"/>
      <c r="B485" s="152"/>
      <c r="C485" s="281"/>
      <c r="D485" s="152"/>
      <c r="E485" s="152"/>
      <c r="F485" s="152"/>
      <c r="G485" s="152"/>
      <c r="H485" s="152"/>
      <c r="I485" s="152"/>
      <c r="J485" s="152"/>
      <c r="K485" s="152"/>
      <c r="L485" s="152"/>
      <c r="M485" s="152"/>
      <c r="N485" s="152"/>
      <c r="O485" s="152"/>
      <c r="P485" s="152"/>
      <c r="Q485" s="152"/>
      <c r="R485" s="152"/>
      <c r="S485" s="152"/>
      <c r="T485" s="152"/>
      <c r="U485" s="152"/>
      <c r="V485" s="152"/>
      <c r="W485" s="152"/>
      <c r="X485" s="152"/>
      <c r="Y485" s="152"/>
      <c r="Z485" s="152"/>
      <c r="AA485" s="152"/>
      <c r="AB485" s="152"/>
      <c r="AC485" s="152"/>
      <c r="AD485" s="152"/>
      <c r="AE485" s="152"/>
    </row>
    <row r="486" spans="1:31" ht="15.75">
      <c r="A486" s="152"/>
      <c r="B486" s="152"/>
      <c r="C486" s="281"/>
      <c r="D486" s="152"/>
      <c r="E486" s="152"/>
      <c r="F486" s="152"/>
      <c r="G486" s="152"/>
      <c r="H486" s="152"/>
      <c r="I486" s="152"/>
      <c r="J486" s="152"/>
      <c r="K486" s="152"/>
      <c r="L486" s="152"/>
      <c r="M486" s="152"/>
      <c r="N486" s="152"/>
      <c r="O486" s="152"/>
      <c r="P486" s="152"/>
      <c r="Q486" s="152"/>
      <c r="R486" s="152"/>
      <c r="S486" s="152"/>
      <c r="T486" s="152"/>
      <c r="U486" s="152"/>
      <c r="V486" s="152"/>
      <c r="W486" s="152"/>
      <c r="X486" s="152"/>
      <c r="Y486" s="152"/>
      <c r="Z486" s="152"/>
      <c r="AA486" s="152"/>
      <c r="AB486" s="152"/>
      <c r="AC486" s="152"/>
      <c r="AD486" s="152"/>
      <c r="AE486" s="152"/>
    </row>
    <row r="487" spans="1:31" ht="15.75">
      <c r="A487" s="152"/>
      <c r="B487" s="152"/>
      <c r="C487" s="281"/>
      <c r="D487" s="152"/>
      <c r="E487" s="152"/>
      <c r="F487" s="152"/>
      <c r="G487" s="152"/>
      <c r="H487" s="152"/>
      <c r="I487" s="152"/>
      <c r="J487" s="152"/>
      <c r="K487" s="152"/>
      <c r="L487" s="152"/>
      <c r="M487" s="152"/>
      <c r="N487" s="152"/>
      <c r="O487" s="152"/>
      <c r="P487" s="152"/>
      <c r="Q487" s="152"/>
      <c r="R487" s="152"/>
      <c r="S487" s="152"/>
      <c r="T487" s="152"/>
      <c r="U487" s="152"/>
      <c r="V487" s="152"/>
      <c r="W487" s="152"/>
      <c r="X487" s="152"/>
      <c r="Y487" s="152"/>
      <c r="Z487" s="152"/>
      <c r="AA487" s="152"/>
      <c r="AB487" s="152"/>
      <c r="AC487" s="152"/>
      <c r="AD487" s="152"/>
      <c r="AE487" s="152"/>
    </row>
    <row r="488" spans="1:31" ht="15.75">
      <c r="A488" s="152"/>
      <c r="B488" s="152"/>
      <c r="C488" s="281"/>
      <c r="D488" s="152"/>
      <c r="E488" s="152"/>
      <c r="F488" s="152"/>
      <c r="G488" s="152"/>
      <c r="H488" s="152"/>
      <c r="I488" s="152"/>
      <c r="J488" s="152"/>
      <c r="K488" s="152"/>
      <c r="L488" s="152"/>
      <c r="M488" s="152"/>
      <c r="N488" s="152"/>
      <c r="O488" s="152"/>
      <c r="P488" s="152"/>
      <c r="Q488" s="152"/>
      <c r="R488" s="152"/>
      <c r="S488" s="152"/>
      <c r="T488" s="152"/>
      <c r="U488" s="152"/>
      <c r="V488" s="152"/>
      <c r="W488" s="152"/>
      <c r="X488" s="152"/>
      <c r="Y488" s="152"/>
      <c r="Z488" s="152"/>
      <c r="AA488" s="152"/>
      <c r="AB488" s="152"/>
      <c r="AC488" s="152"/>
      <c r="AD488" s="152"/>
      <c r="AE488" s="152"/>
    </row>
    <row r="489" spans="1:31" ht="15.75">
      <c r="A489" s="152"/>
      <c r="B489" s="152"/>
      <c r="C489" s="281"/>
      <c r="D489" s="152"/>
      <c r="E489" s="152"/>
      <c r="F489" s="152"/>
      <c r="G489" s="152"/>
      <c r="H489" s="152"/>
      <c r="I489" s="152"/>
      <c r="J489" s="152"/>
      <c r="K489" s="152"/>
      <c r="L489" s="152"/>
      <c r="M489" s="152"/>
      <c r="N489" s="152"/>
      <c r="O489" s="152"/>
      <c r="P489" s="152"/>
      <c r="Q489" s="152"/>
      <c r="R489" s="152"/>
      <c r="S489" s="152"/>
      <c r="T489" s="152"/>
      <c r="U489" s="152"/>
      <c r="V489" s="152"/>
      <c r="W489" s="152"/>
      <c r="X489" s="152"/>
      <c r="Y489" s="152"/>
      <c r="Z489" s="152"/>
      <c r="AA489" s="152"/>
      <c r="AB489" s="152"/>
      <c r="AC489" s="152"/>
      <c r="AD489" s="152"/>
      <c r="AE489" s="152"/>
    </row>
    <row r="490" spans="1:31" ht="15.75">
      <c r="A490" s="152"/>
      <c r="B490" s="152"/>
      <c r="C490" s="281"/>
      <c r="D490" s="152"/>
      <c r="E490" s="152"/>
      <c r="F490" s="152"/>
      <c r="G490" s="152"/>
      <c r="H490" s="152"/>
      <c r="I490" s="152"/>
      <c r="J490" s="152"/>
      <c r="K490" s="152"/>
      <c r="L490" s="152"/>
      <c r="M490" s="152"/>
      <c r="N490" s="152"/>
      <c r="O490" s="152"/>
      <c r="P490" s="152"/>
      <c r="Q490" s="152"/>
      <c r="R490" s="152"/>
      <c r="S490" s="152"/>
      <c r="T490" s="152"/>
      <c r="U490" s="152"/>
      <c r="V490" s="152"/>
      <c r="W490" s="152"/>
      <c r="X490" s="152"/>
      <c r="Y490" s="152"/>
      <c r="Z490" s="152"/>
      <c r="AA490" s="152"/>
      <c r="AB490" s="152"/>
      <c r="AC490" s="152"/>
      <c r="AD490" s="152"/>
      <c r="AE490" s="152"/>
    </row>
    <row r="491" spans="1:31" ht="15.75">
      <c r="A491" s="152"/>
      <c r="B491" s="152"/>
      <c r="C491" s="281"/>
      <c r="D491" s="152"/>
      <c r="E491" s="152"/>
      <c r="F491" s="152"/>
      <c r="G491" s="152"/>
      <c r="H491" s="152"/>
      <c r="I491" s="152"/>
      <c r="J491" s="152"/>
      <c r="K491" s="152"/>
      <c r="L491" s="152"/>
      <c r="M491" s="152"/>
      <c r="N491" s="152"/>
      <c r="O491" s="152"/>
      <c r="P491" s="152"/>
      <c r="Q491" s="152"/>
      <c r="R491" s="152"/>
      <c r="S491" s="152"/>
      <c r="T491" s="152"/>
      <c r="U491" s="152"/>
      <c r="V491" s="152"/>
      <c r="W491" s="152"/>
      <c r="X491" s="152"/>
      <c r="Y491" s="152"/>
      <c r="Z491" s="152"/>
      <c r="AA491" s="152"/>
      <c r="AB491" s="152"/>
      <c r="AC491" s="152"/>
      <c r="AD491" s="152"/>
      <c r="AE491" s="152"/>
    </row>
    <row r="492" spans="1:31" ht="15.75">
      <c r="A492" s="152"/>
      <c r="B492" s="152"/>
      <c r="C492" s="281"/>
      <c r="D492" s="152"/>
      <c r="E492" s="152"/>
      <c r="F492" s="152"/>
      <c r="G492" s="152"/>
      <c r="H492" s="152"/>
      <c r="I492" s="152"/>
      <c r="J492" s="152"/>
      <c r="K492" s="152"/>
      <c r="L492" s="152"/>
      <c r="M492" s="152"/>
      <c r="N492" s="152"/>
      <c r="O492" s="152"/>
      <c r="P492" s="152"/>
      <c r="Q492" s="152"/>
      <c r="R492" s="152"/>
      <c r="S492" s="152"/>
      <c r="T492" s="152"/>
      <c r="U492" s="152"/>
      <c r="V492" s="152"/>
      <c r="W492" s="152"/>
      <c r="X492" s="152"/>
      <c r="Y492" s="152"/>
      <c r="Z492" s="152"/>
      <c r="AA492" s="152"/>
      <c r="AB492" s="152"/>
      <c r="AC492" s="152"/>
      <c r="AD492" s="152"/>
      <c r="AE492" s="152"/>
    </row>
    <row r="493" spans="1:31" ht="15.75">
      <c r="A493" s="152"/>
      <c r="B493" s="152"/>
      <c r="C493" s="281"/>
      <c r="D493" s="152"/>
      <c r="E493" s="152"/>
      <c r="F493" s="152"/>
      <c r="G493" s="152"/>
      <c r="H493" s="152"/>
      <c r="I493" s="152"/>
      <c r="J493" s="152"/>
      <c r="K493" s="152"/>
      <c r="L493" s="152"/>
      <c r="M493" s="152"/>
      <c r="N493" s="152"/>
      <c r="O493" s="152"/>
      <c r="P493" s="152"/>
      <c r="Q493" s="152"/>
      <c r="R493" s="152"/>
      <c r="S493" s="152"/>
      <c r="T493" s="152"/>
      <c r="U493" s="152"/>
      <c r="V493" s="152"/>
      <c r="W493" s="152"/>
      <c r="X493" s="152"/>
      <c r="Y493" s="152"/>
      <c r="Z493" s="152"/>
      <c r="AA493" s="152"/>
      <c r="AB493" s="152"/>
      <c r="AC493" s="152"/>
      <c r="AD493" s="152"/>
      <c r="AE493" s="152"/>
    </row>
    <row r="494" spans="1:31" ht="15.75">
      <c r="A494" s="152"/>
      <c r="B494" s="152"/>
      <c r="C494" s="281"/>
      <c r="D494" s="152"/>
      <c r="E494" s="152"/>
      <c r="F494" s="152"/>
      <c r="G494" s="152"/>
      <c r="H494" s="152"/>
      <c r="I494" s="152"/>
      <c r="J494" s="152"/>
      <c r="K494" s="152"/>
      <c r="L494" s="152"/>
      <c r="M494" s="152"/>
      <c r="N494" s="152"/>
      <c r="O494" s="152"/>
      <c r="P494" s="152"/>
      <c r="Q494" s="152"/>
      <c r="R494" s="152"/>
      <c r="S494" s="152"/>
      <c r="T494" s="152"/>
      <c r="U494" s="152"/>
      <c r="V494" s="152"/>
      <c r="W494" s="152"/>
      <c r="X494" s="152"/>
      <c r="Y494" s="152"/>
      <c r="Z494" s="152"/>
      <c r="AA494" s="152"/>
      <c r="AB494" s="152"/>
      <c r="AC494" s="152"/>
      <c r="AD494" s="152"/>
      <c r="AE494" s="152"/>
    </row>
    <row r="495" spans="1:31" ht="15.75">
      <c r="A495" s="152"/>
      <c r="B495" s="152"/>
      <c r="C495" s="281"/>
      <c r="D495" s="152"/>
      <c r="E495" s="152"/>
      <c r="F495" s="152"/>
      <c r="G495" s="152"/>
      <c r="H495" s="152"/>
      <c r="I495" s="152"/>
      <c r="J495" s="152"/>
      <c r="K495" s="152"/>
      <c r="L495" s="152"/>
      <c r="M495" s="152"/>
      <c r="N495" s="152"/>
      <c r="O495" s="152"/>
      <c r="P495" s="152"/>
      <c r="Q495" s="152"/>
      <c r="R495" s="152"/>
      <c r="S495" s="152"/>
      <c r="T495" s="152"/>
      <c r="U495" s="152"/>
      <c r="V495" s="152"/>
      <c r="W495" s="152"/>
      <c r="X495" s="152"/>
      <c r="Y495" s="152"/>
      <c r="Z495" s="152"/>
      <c r="AA495" s="152"/>
      <c r="AB495" s="152"/>
      <c r="AC495" s="152"/>
      <c r="AD495" s="152"/>
      <c r="AE495" s="152"/>
    </row>
    <row r="496" spans="1:31" ht="15.75">
      <c r="A496" s="152"/>
      <c r="B496" s="152"/>
      <c r="C496" s="281"/>
      <c r="D496" s="152"/>
      <c r="E496" s="152"/>
      <c r="F496" s="152"/>
      <c r="G496" s="152"/>
      <c r="H496" s="152"/>
      <c r="I496" s="152"/>
      <c r="J496" s="152"/>
      <c r="K496" s="152"/>
      <c r="L496" s="152"/>
      <c r="M496" s="152"/>
      <c r="N496" s="152"/>
      <c r="O496" s="152"/>
      <c r="P496" s="152"/>
      <c r="Q496" s="152"/>
      <c r="R496" s="152"/>
      <c r="S496" s="152"/>
      <c r="T496" s="152"/>
      <c r="U496" s="152"/>
      <c r="V496" s="152"/>
      <c r="W496" s="152"/>
      <c r="X496" s="152"/>
      <c r="Y496" s="152"/>
      <c r="Z496" s="152"/>
      <c r="AA496" s="152"/>
      <c r="AB496" s="152"/>
      <c r="AC496" s="152"/>
      <c r="AD496" s="152"/>
      <c r="AE496" s="152"/>
    </row>
    <row r="497" spans="1:31" ht="15.75">
      <c r="A497" s="152"/>
      <c r="B497" s="152"/>
      <c r="C497" s="281"/>
      <c r="D497" s="152"/>
      <c r="E497" s="152"/>
      <c r="F497" s="152"/>
      <c r="G497" s="152"/>
      <c r="H497" s="152"/>
      <c r="I497" s="152"/>
      <c r="J497" s="152"/>
      <c r="K497" s="152"/>
      <c r="L497" s="152"/>
      <c r="M497" s="152"/>
      <c r="N497" s="152"/>
      <c r="O497" s="152"/>
      <c r="P497" s="152"/>
      <c r="Q497" s="152"/>
      <c r="R497" s="152"/>
      <c r="S497" s="152"/>
      <c r="T497" s="152"/>
      <c r="U497" s="152"/>
      <c r="V497" s="152"/>
      <c r="W497" s="152"/>
      <c r="X497" s="152"/>
      <c r="Y497" s="152"/>
      <c r="Z497" s="152"/>
      <c r="AA497" s="152"/>
      <c r="AB497" s="152"/>
      <c r="AC497" s="152"/>
      <c r="AD497" s="152"/>
      <c r="AE497" s="152"/>
    </row>
    <row r="498" spans="1:31" ht="15.75">
      <c r="A498" s="152"/>
      <c r="B498" s="152"/>
      <c r="C498" s="281"/>
      <c r="D498" s="152"/>
      <c r="E498" s="152"/>
      <c r="F498" s="152"/>
      <c r="G498" s="152"/>
      <c r="H498" s="152"/>
      <c r="I498" s="152"/>
      <c r="J498" s="152"/>
      <c r="K498" s="152"/>
      <c r="L498" s="152"/>
      <c r="M498" s="152"/>
      <c r="N498" s="152"/>
      <c r="O498" s="152"/>
      <c r="P498" s="152"/>
      <c r="Q498" s="152"/>
      <c r="R498" s="152"/>
      <c r="S498" s="152"/>
      <c r="T498" s="152"/>
      <c r="U498" s="152"/>
      <c r="V498" s="152"/>
      <c r="W498" s="152"/>
      <c r="X498" s="152"/>
      <c r="Y498" s="152"/>
      <c r="Z498" s="152"/>
      <c r="AA498" s="152"/>
      <c r="AB498" s="152"/>
      <c r="AC498" s="152"/>
      <c r="AD498" s="152"/>
      <c r="AE498" s="152"/>
    </row>
    <row r="499" spans="1:31" ht="15.75">
      <c r="A499" s="152"/>
      <c r="B499" s="152"/>
      <c r="C499" s="281"/>
      <c r="D499" s="152"/>
      <c r="E499" s="152"/>
      <c r="F499" s="152"/>
      <c r="G499" s="152"/>
      <c r="H499" s="152"/>
      <c r="I499" s="152"/>
      <c r="J499" s="152"/>
      <c r="K499" s="152"/>
      <c r="L499" s="152"/>
      <c r="M499" s="152"/>
      <c r="N499" s="152"/>
      <c r="O499" s="152"/>
      <c r="P499" s="152"/>
      <c r="Q499" s="152"/>
      <c r="R499" s="152"/>
      <c r="S499" s="152"/>
      <c r="T499" s="152"/>
      <c r="U499" s="152"/>
      <c r="V499" s="152"/>
      <c r="W499" s="152"/>
      <c r="X499" s="152"/>
      <c r="Y499" s="152"/>
      <c r="Z499" s="152"/>
      <c r="AA499" s="152"/>
      <c r="AB499" s="152"/>
      <c r="AC499" s="152"/>
      <c r="AD499" s="152"/>
      <c r="AE499" s="152"/>
    </row>
    <row r="500" spans="1:31" ht="15.75">
      <c r="A500" s="152"/>
      <c r="B500" s="152"/>
      <c r="C500" s="281"/>
      <c r="D500" s="152"/>
      <c r="E500" s="152"/>
      <c r="F500" s="152"/>
      <c r="G500" s="152"/>
      <c r="H500" s="152"/>
      <c r="I500" s="152"/>
      <c r="J500" s="152"/>
      <c r="K500" s="152"/>
      <c r="L500" s="152"/>
      <c r="M500" s="152"/>
      <c r="N500" s="152"/>
      <c r="O500" s="152"/>
      <c r="P500" s="152"/>
      <c r="Q500" s="152"/>
      <c r="R500" s="152"/>
      <c r="S500" s="152"/>
      <c r="T500" s="152"/>
      <c r="U500" s="152"/>
      <c r="V500" s="152"/>
      <c r="W500" s="152"/>
      <c r="X500" s="152"/>
      <c r="Y500" s="152"/>
      <c r="Z500" s="152"/>
      <c r="AA500" s="152"/>
      <c r="AB500" s="152"/>
      <c r="AC500" s="152"/>
      <c r="AD500" s="152"/>
      <c r="AE500" s="152"/>
    </row>
    <row r="501" spans="1:31" ht="15.75">
      <c r="A501" s="152"/>
      <c r="B501" s="152"/>
      <c r="C501" s="281"/>
      <c r="D501" s="152"/>
      <c r="E501" s="152"/>
      <c r="F501" s="152"/>
      <c r="G501" s="152"/>
      <c r="H501" s="152"/>
      <c r="I501" s="152"/>
      <c r="J501" s="152"/>
      <c r="K501" s="152"/>
      <c r="L501" s="152"/>
      <c r="M501" s="152"/>
      <c r="N501" s="152"/>
      <c r="O501" s="152"/>
      <c r="P501" s="152"/>
      <c r="Q501" s="152"/>
      <c r="R501" s="152"/>
      <c r="S501" s="152"/>
      <c r="T501" s="152"/>
      <c r="U501" s="152"/>
      <c r="V501" s="152"/>
      <c r="W501" s="152"/>
      <c r="X501" s="152"/>
      <c r="Y501" s="152"/>
      <c r="Z501" s="152"/>
      <c r="AA501" s="152"/>
      <c r="AB501" s="152"/>
      <c r="AC501" s="152"/>
      <c r="AD501" s="152"/>
      <c r="AE501" s="152"/>
    </row>
    <row r="502" spans="1:31" ht="15.75">
      <c r="A502" s="152"/>
      <c r="B502" s="152"/>
      <c r="C502" s="281"/>
      <c r="D502" s="152"/>
      <c r="E502" s="152"/>
      <c r="F502" s="152"/>
      <c r="G502" s="152"/>
      <c r="H502" s="152"/>
      <c r="I502" s="152"/>
      <c r="J502" s="152"/>
      <c r="K502" s="152"/>
      <c r="L502" s="152"/>
      <c r="M502" s="152"/>
      <c r="N502" s="152"/>
      <c r="O502" s="152"/>
      <c r="P502" s="152"/>
      <c r="Q502" s="152"/>
      <c r="R502" s="152"/>
      <c r="S502" s="152"/>
      <c r="T502" s="152"/>
      <c r="U502" s="152"/>
      <c r="V502" s="152"/>
      <c r="W502" s="152"/>
      <c r="X502" s="152"/>
      <c r="Y502" s="152"/>
      <c r="Z502" s="152"/>
      <c r="AA502" s="152"/>
      <c r="AB502" s="152"/>
      <c r="AC502" s="152"/>
      <c r="AD502" s="152"/>
      <c r="AE502" s="152"/>
    </row>
    <row r="503" spans="1:31" ht="15.75">
      <c r="A503" s="152"/>
      <c r="B503" s="152"/>
      <c r="C503" s="281"/>
      <c r="D503" s="152"/>
      <c r="E503" s="152"/>
      <c r="F503" s="152"/>
      <c r="G503" s="152"/>
      <c r="H503" s="152"/>
      <c r="I503" s="152"/>
      <c r="J503" s="152"/>
      <c r="K503" s="152"/>
      <c r="L503" s="152"/>
      <c r="M503" s="152"/>
      <c r="N503" s="152"/>
      <c r="O503" s="152"/>
      <c r="P503" s="152"/>
      <c r="Q503" s="152"/>
      <c r="R503" s="152"/>
      <c r="S503" s="152"/>
      <c r="T503" s="152"/>
      <c r="U503" s="152"/>
      <c r="V503" s="152"/>
      <c r="W503" s="152"/>
      <c r="X503" s="152"/>
      <c r="Y503" s="152"/>
      <c r="Z503" s="152"/>
      <c r="AA503" s="152"/>
      <c r="AB503" s="152"/>
      <c r="AC503" s="152"/>
      <c r="AD503" s="152"/>
      <c r="AE503" s="152"/>
    </row>
    <row r="504" spans="1:31" ht="15.75">
      <c r="A504" s="152"/>
      <c r="B504" s="152"/>
      <c r="C504" s="281"/>
      <c r="D504" s="152"/>
      <c r="E504" s="152"/>
      <c r="F504" s="152"/>
      <c r="G504" s="152"/>
      <c r="H504" s="152"/>
      <c r="I504" s="152"/>
      <c r="J504" s="152"/>
      <c r="K504" s="152"/>
      <c r="L504" s="152"/>
      <c r="M504" s="152"/>
      <c r="N504" s="152"/>
      <c r="O504" s="152"/>
      <c r="P504" s="152"/>
      <c r="Q504" s="152"/>
      <c r="R504" s="152"/>
      <c r="S504" s="152"/>
      <c r="T504" s="152"/>
      <c r="U504" s="152"/>
      <c r="V504" s="152"/>
      <c r="W504" s="152"/>
      <c r="X504" s="152"/>
      <c r="Y504" s="152"/>
      <c r="Z504" s="152"/>
      <c r="AA504" s="152"/>
      <c r="AB504" s="152"/>
      <c r="AC504" s="152"/>
      <c r="AD504" s="152"/>
      <c r="AE504" s="152"/>
    </row>
    <row r="505" spans="1:31" ht="15.75">
      <c r="A505" s="152"/>
      <c r="B505" s="152"/>
      <c r="C505" s="281"/>
      <c r="D505" s="152"/>
      <c r="E505" s="152"/>
      <c r="F505" s="152"/>
      <c r="G505" s="152"/>
      <c r="H505" s="152"/>
      <c r="I505" s="152"/>
      <c r="J505" s="152"/>
      <c r="K505" s="152"/>
      <c r="L505" s="152"/>
      <c r="M505" s="152"/>
      <c r="N505" s="152"/>
      <c r="O505" s="152"/>
      <c r="P505" s="152"/>
      <c r="Q505" s="152"/>
      <c r="R505" s="152"/>
      <c r="S505" s="152"/>
      <c r="T505" s="152"/>
      <c r="U505" s="152"/>
      <c r="V505" s="152"/>
      <c r="W505" s="152"/>
      <c r="X505" s="152"/>
      <c r="Y505" s="152"/>
      <c r="Z505" s="152"/>
      <c r="AA505" s="152"/>
      <c r="AB505" s="152"/>
      <c r="AC505" s="152"/>
      <c r="AD505" s="152"/>
      <c r="AE505" s="152"/>
    </row>
    <row r="506" spans="1:31" ht="15.75">
      <c r="A506" s="152"/>
      <c r="B506" s="152"/>
      <c r="C506" s="281"/>
      <c r="D506" s="152"/>
      <c r="E506" s="152"/>
      <c r="F506" s="152"/>
      <c r="G506" s="152"/>
      <c r="H506" s="152"/>
      <c r="I506" s="152"/>
      <c r="J506" s="152"/>
      <c r="K506" s="152"/>
      <c r="L506" s="152"/>
      <c r="M506" s="152"/>
      <c r="N506" s="152"/>
      <c r="O506" s="152"/>
      <c r="P506" s="152"/>
      <c r="Q506" s="152"/>
      <c r="R506" s="152"/>
      <c r="S506" s="152"/>
      <c r="T506" s="152"/>
      <c r="U506" s="152"/>
      <c r="V506" s="152"/>
      <c r="W506" s="152"/>
      <c r="X506" s="152"/>
      <c r="Y506" s="152"/>
      <c r="Z506" s="152"/>
      <c r="AA506" s="152"/>
      <c r="AB506" s="152"/>
      <c r="AC506" s="152"/>
      <c r="AD506" s="152"/>
      <c r="AE506" s="152"/>
    </row>
    <row r="507" spans="1:31" ht="15.75">
      <c r="A507" s="152"/>
      <c r="B507" s="152"/>
      <c r="C507" s="281"/>
      <c r="D507" s="152"/>
      <c r="E507" s="152"/>
      <c r="F507" s="152"/>
      <c r="G507" s="152"/>
      <c r="H507" s="152"/>
      <c r="I507" s="152"/>
      <c r="J507" s="152"/>
      <c r="K507" s="152"/>
      <c r="L507" s="152"/>
      <c r="M507" s="152"/>
      <c r="N507" s="152"/>
      <c r="O507" s="152"/>
      <c r="P507" s="152"/>
      <c r="Q507" s="152"/>
      <c r="R507" s="152"/>
      <c r="S507" s="152"/>
      <c r="T507" s="152"/>
      <c r="U507" s="152"/>
      <c r="V507" s="152"/>
      <c r="W507" s="152"/>
      <c r="X507" s="152"/>
      <c r="Y507" s="152"/>
      <c r="Z507" s="152"/>
      <c r="AA507" s="152"/>
      <c r="AB507" s="152"/>
      <c r="AC507" s="152"/>
      <c r="AD507" s="152"/>
      <c r="AE507" s="152"/>
    </row>
    <row r="508" spans="1:31" ht="15.75">
      <c r="A508" s="152"/>
      <c r="B508" s="152"/>
      <c r="C508" s="281"/>
      <c r="D508" s="152"/>
      <c r="E508" s="152"/>
      <c r="F508" s="152"/>
      <c r="G508" s="152"/>
      <c r="H508" s="152"/>
      <c r="I508" s="152"/>
      <c r="J508" s="152"/>
      <c r="K508" s="152"/>
      <c r="L508" s="152"/>
      <c r="M508" s="152"/>
      <c r="N508" s="152"/>
      <c r="O508" s="152"/>
      <c r="P508" s="152"/>
      <c r="Q508" s="152"/>
      <c r="R508" s="152"/>
      <c r="S508" s="152"/>
      <c r="T508" s="152"/>
      <c r="U508" s="152"/>
      <c r="V508" s="152"/>
      <c r="W508" s="152"/>
      <c r="X508" s="152"/>
      <c r="Y508" s="152"/>
      <c r="Z508" s="152"/>
      <c r="AA508" s="152"/>
      <c r="AB508" s="152"/>
      <c r="AC508" s="152"/>
      <c r="AD508" s="152"/>
      <c r="AE508" s="152"/>
    </row>
    <row r="509" spans="1:31" ht="15.75">
      <c r="A509" s="152"/>
      <c r="B509" s="152"/>
      <c r="C509" s="281"/>
      <c r="D509" s="152"/>
      <c r="E509" s="152"/>
      <c r="F509" s="152"/>
      <c r="G509" s="152"/>
      <c r="H509" s="152"/>
      <c r="I509" s="152"/>
      <c r="J509" s="152"/>
      <c r="K509" s="152"/>
      <c r="L509" s="152"/>
      <c r="M509" s="152"/>
      <c r="N509" s="152"/>
      <c r="O509" s="152"/>
      <c r="P509" s="152"/>
      <c r="Q509" s="152"/>
      <c r="R509" s="152"/>
      <c r="S509" s="152"/>
      <c r="T509" s="152"/>
      <c r="U509" s="152"/>
      <c r="V509" s="152"/>
      <c r="W509" s="152"/>
      <c r="X509" s="152"/>
      <c r="Y509" s="152"/>
      <c r="Z509" s="152"/>
      <c r="AA509" s="152"/>
      <c r="AB509" s="152"/>
      <c r="AC509" s="152"/>
      <c r="AD509" s="152"/>
      <c r="AE509" s="152"/>
    </row>
    <row r="510" spans="1:31" ht="15.75">
      <c r="A510" s="152"/>
      <c r="B510" s="152"/>
      <c r="C510" s="281"/>
      <c r="D510" s="152"/>
      <c r="E510" s="152"/>
      <c r="F510" s="152"/>
      <c r="G510" s="152"/>
      <c r="H510" s="152"/>
      <c r="I510" s="152"/>
      <c r="J510" s="152"/>
      <c r="K510" s="152"/>
      <c r="L510" s="152"/>
      <c r="M510" s="152"/>
      <c r="N510" s="152"/>
      <c r="O510" s="152"/>
      <c r="P510" s="152"/>
      <c r="Q510" s="152"/>
      <c r="R510" s="152"/>
      <c r="S510" s="152"/>
      <c r="T510" s="152"/>
      <c r="U510" s="152"/>
      <c r="V510" s="152"/>
      <c r="W510" s="152"/>
      <c r="X510" s="152"/>
      <c r="Y510" s="152"/>
      <c r="Z510" s="152"/>
      <c r="AA510" s="152"/>
      <c r="AB510" s="152"/>
      <c r="AC510" s="152"/>
      <c r="AD510" s="152"/>
      <c r="AE510" s="152"/>
    </row>
    <row r="511" spans="1:31" ht="15.75">
      <c r="A511" s="152"/>
      <c r="B511" s="152"/>
      <c r="C511" s="281"/>
      <c r="D511" s="152"/>
      <c r="E511" s="152"/>
      <c r="F511" s="152"/>
      <c r="G511" s="152"/>
      <c r="H511" s="152"/>
      <c r="I511" s="152"/>
      <c r="J511" s="152"/>
      <c r="K511" s="152"/>
      <c r="L511" s="152"/>
      <c r="M511" s="152"/>
      <c r="N511" s="152"/>
      <c r="O511" s="152"/>
      <c r="P511" s="152"/>
      <c r="Q511" s="152"/>
      <c r="R511" s="152"/>
      <c r="S511" s="152"/>
      <c r="T511" s="152"/>
      <c r="U511" s="152"/>
      <c r="V511" s="152"/>
      <c r="W511" s="152"/>
      <c r="X511" s="152"/>
      <c r="Y511" s="152"/>
      <c r="Z511" s="152"/>
      <c r="AA511" s="152"/>
      <c r="AB511" s="152"/>
      <c r="AC511" s="152"/>
      <c r="AD511" s="152"/>
      <c r="AE511" s="152"/>
    </row>
    <row r="512" spans="1:31" ht="15.75">
      <c r="A512" s="152"/>
      <c r="B512" s="152"/>
      <c r="C512" s="281"/>
      <c r="D512" s="152"/>
      <c r="E512" s="152"/>
      <c r="F512" s="152"/>
      <c r="G512" s="152"/>
      <c r="H512" s="152"/>
      <c r="I512" s="152"/>
      <c r="J512" s="152"/>
      <c r="K512" s="152"/>
      <c r="L512" s="152"/>
      <c r="M512" s="152"/>
      <c r="N512" s="152"/>
      <c r="O512" s="152"/>
      <c r="P512" s="152"/>
      <c r="Q512" s="152"/>
      <c r="R512" s="152"/>
      <c r="S512" s="152"/>
      <c r="T512" s="152"/>
      <c r="U512" s="152"/>
      <c r="V512" s="152"/>
      <c r="W512" s="152"/>
      <c r="X512" s="152"/>
      <c r="Y512" s="152"/>
      <c r="Z512" s="152"/>
      <c r="AA512" s="152"/>
      <c r="AB512" s="152"/>
      <c r="AC512" s="152"/>
      <c r="AD512" s="152"/>
      <c r="AE512" s="152"/>
    </row>
    <row r="513" spans="1:31" ht="15.75">
      <c r="A513" s="152"/>
      <c r="B513" s="152"/>
      <c r="C513" s="281"/>
      <c r="D513" s="152"/>
      <c r="E513" s="152"/>
      <c r="F513" s="152"/>
      <c r="G513" s="152"/>
      <c r="H513" s="152"/>
      <c r="I513" s="152"/>
      <c r="J513" s="152"/>
      <c r="K513" s="152"/>
      <c r="L513" s="152"/>
      <c r="M513" s="152"/>
      <c r="N513" s="152"/>
      <c r="O513" s="152"/>
      <c r="P513" s="152"/>
      <c r="Q513" s="152"/>
      <c r="R513" s="152"/>
      <c r="S513" s="152"/>
      <c r="T513" s="152"/>
      <c r="U513" s="152"/>
      <c r="V513" s="152"/>
      <c r="W513" s="152"/>
      <c r="X513" s="152"/>
      <c r="Y513" s="152"/>
      <c r="Z513" s="152"/>
      <c r="AA513" s="152"/>
      <c r="AB513" s="152"/>
      <c r="AC513" s="152"/>
      <c r="AD513" s="152"/>
      <c r="AE513" s="152"/>
    </row>
    <row r="514" spans="1:31" ht="15.75">
      <c r="A514" s="152"/>
      <c r="B514" s="152"/>
      <c r="C514" s="281"/>
      <c r="D514" s="152"/>
      <c r="E514" s="152"/>
      <c r="F514" s="152"/>
      <c r="G514" s="152"/>
      <c r="H514" s="152"/>
      <c r="I514" s="152"/>
      <c r="J514" s="152"/>
      <c r="K514" s="152"/>
      <c r="L514" s="152"/>
      <c r="M514" s="152"/>
      <c r="N514" s="152"/>
      <c r="O514" s="152"/>
      <c r="P514" s="152"/>
      <c r="Q514" s="152"/>
      <c r="R514" s="152"/>
      <c r="S514" s="152"/>
      <c r="T514" s="152"/>
      <c r="U514" s="152"/>
      <c r="V514" s="152"/>
      <c r="W514" s="152"/>
      <c r="X514" s="152"/>
      <c r="Y514" s="152"/>
      <c r="Z514" s="152"/>
      <c r="AA514" s="152"/>
      <c r="AB514" s="152"/>
      <c r="AC514" s="152"/>
      <c r="AD514" s="152"/>
      <c r="AE514" s="152"/>
    </row>
    <row r="515" spans="1:31" ht="15.75">
      <c r="A515" s="152"/>
      <c r="B515" s="152"/>
      <c r="C515" s="281"/>
      <c r="D515" s="152"/>
      <c r="E515" s="152"/>
      <c r="F515" s="152"/>
      <c r="G515" s="152"/>
      <c r="H515" s="152"/>
      <c r="I515" s="152"/>
      <c r="J515" s="152"/>
      <c r="K515" s="152"/>
      <c r="L515" s="152"/>
      <c r="M515" s="152"/>
      <c r="N515" s="152"/>
      <c r="O515" s="152"/>
      <c r="P515" s="152"/>
      <c r="Q515" s="152"/>
      <c r="R515" s="152"/>
      <c r="S515" s="152"/>
      <c r="T515" s="152"/>
      <c r="U515" s="152"/>
      <c r="V515" s="152"/>
      <c r="W515" s="152"/>
      <c r="X515" s="152"/>
      <c r="Y515" s="152"/>
      <c r="Z515" s="152"/>
      <c r="AA515" s="152"/>
      <c r="AB515" s="152"/>
      <c r="AC515" s="152"/>
      <c r="AD515" s="152"/>
      <c r="AE515" s="152"/>
    </row>
    <row r="516" spans="1:31" ht="15.75">
      <c r="A516" s="152"/>
      <c r="B516" s="152"/>
      <c r="C516" s="281"/>
      <c r="D516" s="152"/>
      <c r="E516" s="152"/>
      <c r="F516" s="152"/>
      <c r="G516" s="152"/>
      <c r="H516" s="152"/>
      <c r="I516" s="152"/>
      <c r="J516" s="152"/>
      <c r="K516" s="152"/>
      <c r="L516" s="152"/>
      <c r="M516" s="152"/>
      <c r="N516" s="152"/>
      <c r="O516" s="152"/>
      <c r="P516" s="152"/>
      <c r="Q516" s="152"/>
      <c r="R516" s="152"/>
      <c r="S516" s="152"/>
      <c r="T516" s="152"/>
      <c r="U516" s="152"/>
      <c r="V516" s="152"/>
      <c r="W516" s="152"/>
      <c r="X516" s="152"/>
      <c r="Y516" s="152"/>
      <c r="Z516" s="152"/>
      <c r="AA516" s="152"/>
      <c r="AB516" s="152"/>
      <c r="AC516" s="152"/>
      <c r="AD516" s="152"/>
      <c r="AE516" s="152"/>
    </row>
    <row r="517" spans="1:31" ht="15.75">
      <c r="A517" s="152"/>
      <c r="B517" s="152"/>
      <c r="C517" s="281"/>
      <c r="D517" s="152"/>
      <c r="E517" s="152"/>
      <c r="F517" s="152"/>
      <c r="G517" s="152"/>
      <c r="H517" s="152"/>
      <c r="I517" s="152"/>
      <c r="J517" s="152"/>
      <c r="K517" s="152"/>
      <c r="L517" s="152"/>
      <c r="M517" s="152"/>
      <c r="N517" s="152"/>
      <c r="O517" s="152"/>
      <c r="P517" s="152"/>
      <c r="Q517" s="152"/>
      <c r="R517" s="152"/>
      <c r="S517" s="152"/>
      <c r="T517" s="152"/>
      <c r="U517" s="152"/>
      <c r="V517" s="152"/>
      <c r="W517" s="152"/>
      <c r="X517" s="152"/>
      <c r="Y517" s="152"/>
      <c r="Z517" s="152"/>
      <c r="AA517" s="152"/>
      <c r="AB517" s="152"/>
      <c r="AC517" s="152"/>
      <c r="AD517" s="152"/>
      <c r="AE517" s="152"/>
    </row>
    <row r="518" spans="1:31" ht="15.75">
      <c r="A518" s="152"/>
      <c r="B518" s="152"/>
      <c r="C518" s="281"/>
      <c r="D518" s="152"/>
      <c r="E518" s="152"/>
      <c r="F518" s="152"/>
      <c r="G518" s="152"/>
      <c r="H518" s="152"/>
      <c r="I518" s="152"/>
      <c r="J518" s="152"/>
      <c r="K518" s="152"/>
      <c r="L518" s="152"/>
      <c r="M518" s="152"/>
      <c r="N518" s="152"/>
      <c r="O518" s="152"/>
      <c r="P518" s="152"/>
      <c r="Q518" s="152"/>
      <c r="R518" s="152"/>
      <c r="S518" s="152"/>
      <c r="T518" s="152"/>
      <c r="U518" s="152"/>
      <c r="V518" s="152"/>
      <c r="W518" s="152"/>
      <c r="X518" s="152"/>
      <c r="Y518" s="152"/>
      <c r="Z518" s="152"/>
      <c r="AA518" s="152"/>
      <c r="AB518" s="152"/>
      <c r="AC518" s="152"/>
      <c r="AD518" s="152"/>
      <c r="AE518" s="152"/>
    </row>
    <row r="519" spans="1:31" ht="15.75">
      <c r="A519" s="152"/>
      <c r="B519" s="152"/>
      <c r="C519" s="281"/>
      <c r="D519" s="152"/>
      <c r="E519" s="152"/>
      <c r="F519" s="152"/>
      <c r="G519" s="152"/>
      <c r="H519" s="152"/>
      <c r="I519" s="152"/>
      <c r="J519" s="152"/>
      <c r="K519" s="152"/>
      <c r="L519" s="152"/>
      <c r="M519" s="152"/>
      <c r="N519" s="152"/>
      <c r="O519" s="152"/>
      <c r="P519" s="152"/>
      <c r="Q519" s="152"/>
      <c r="R519" s="152"/>
      <c r="S519" s="152"/>
      <c r="T519" s="152"/>
      <c r="U519" s="152"/>
      <c r="V519" s="152"/>
      <c r="W519" s="152"/>
      <c r="X519" s="152"/>
      <c r="Y519" s="152"/>
      <c r="Z519" s="152"/>
      <c r="AA519" s="152"/>
      <c r="AB519" s="152"/>
      <c r="AC519" s="152"/>
      <c r="AD519" s="152"/>
      <c r="AE519" s="152"/>
    </row>
    <row r="520" spans="1:31" ht="15.75">
      <c r="A520" s="152"/>
      <c r="B520" s="152"/>
      <c r="C520" s="281"/>
      <c r="D520" s="152"/>
      <c r="E520" s="152"/>
      <c r="F520" s="152"/>
      <c r="G520" s="152"/>
      <c r="H520" s="152"/>
      <c r="I520" s="152"/>
      <c r="J520" s="152"/>
      <c r="K520" s="152"/>
      <c r="L520" s="152"/>
      <c r="M520" s="152"/>
      <c r="N520" s="152"/>
      <c r="O520" s="152"/>
      <c r="P520" s="152"/>
      <c r="Q520" s="152"/>
      <c r="R520" s="152"/>
      <c r="S520" s="152"/>
      <c r="T520" s="152"/>
      <c r="U520" s="152"/>
      <c r="V520" s="152"/>
      <c r="W520" s="152"/>
      <c r="X520" s="152"/>
      <c r="Y520" s="152"/>
      <c r="Z520" s="152"/>
      <c r="AA520" s="152"/>
      <c r="AB520" s="152"/>
      <c r="AC520" s="152"/>
      <c r="AD520" s="152"/>
      <c r="AE520" s="152"/>
    </row>
    <row r="521" spans="1:31" ht="15.75">
      <c r="A521" s="152"/>
      <c r="B521" s="152"/>
      <c r="C521" s="281"/>
      <c r="D521" s="152"/>
      <c r="E521" s="152"/>
      <c r="F521" s="152"/>
      <c r="G521" s="152"/>
      <c r="H521" s="152"/>
      <c r="I521" s="152"/>
      <c r="J521" s="152"/>
      <c r="K521" s="152"/>
      <c r="L521" s="152"/>
      <c r="M521" s="152"/>
      <c r="N521" s="152"/>
      <c r="O521" s="152"/>
      <c r="P521" s="152"/>
      <c r="Q521" s="152"/>
      <c r="R521" s="152"/>
      <c r="S521" s="152"/>
      <c r="T521" s="152"/>
      <c r="U521" s="152"/>
      <c r="V521" s="152"/>
      <c r="W521" s="152"/>
      <c r="X521" s="152"/>
      <c r="Y521" s="152"/>
      <c r="Z521" s="152"/>
      <c r="AA521" s="152"/>
      <c r="AB521" s="152"/>
      <c r="AC521" s="152"/>
      <c r="AD521" s="152"/>
      <c r="AE521" s="152"/>
    </row>
    <row r="522" spans="1:31" ht="15.75">
      <c r="A522" s="152"/>
      <c r="B522" s="152"/>
      <c r="C522" s="281"/>
      <c r="D522" s="152"/>
      <c r="E522" s="152"/>
      <c r="F522" s="152"/>
      <c r="G522" s="152"/>
      <c r="H522" s="152"/>
      <c r="I522" s="152"/>
      <c r="J522" s="152"/>
      <c r="K522" s="152"/>
      <c r="L522" s="152"/>
      <c r="M522" s="152"/>
      <c r="N522" s="152"/>
      <c r="O522" s="152"/>
      <c r="P522" s="152"/>
      <c r="Q522" s="152"/>
      <c r="R522" s="152"/>
      <c r="S522" s="152"/>
      <c r="T522" s="152"/>
      <c r="U522" s="152"/>
      <c r="V522" s="152"/>
      <c r="W522" s="152"/>
      <c r="X522" s="152"/>
      <c r="Y522" s="152"/>
      <c r="Z522" s="152"/>
      <c r="AA522" s="152"/>
      <c r="AB522" s="152"/>
      <c r="AC522" s="152"/>
      <c r="AD522" s="152"/>
      <c r="AE522" s="152"/>
    </row>
    <row r="523" spans="1:31" ht="15.75">
      <c r="A523" s="152"/>
      <c r="B523" s="152"/>
      <c r="C523" s="281"/>
      <c r="D523" s="152"/>
      <c r="E523" s="152"/>
      <c r="F523" s="152"/>
      <c r="G523" s="152"/>
      <c r="H523" s="152"/>
      <c r="I523" s="152"/>
      <c r="J523" s="152"/>
      <c r="K523" s="152"/>
      <c r="L523" s="152"/>
      <c r="M523" s="152"/>
      <c r="N523" s="152"/>
      <c r="O523" s="152"/>
      <c r="P523" s="152"/>
      <c r="Q523" s="152"/>
      <c r="R523" s="152"/>
      <c r="S523" s="152"/>
      <c r="T523" s="152"/>
      <c r="U523" s="152"/>
      <c r="V523" s="152"/>
      <c r="W523" s="152"/>
      <c r="X523" s="152"/>
      <c r="Y523" s="152"/>
      <c r="Z523" s="152"/>
      <c r="AA523" s="152"/>
      <c r="AB523" s="152"/>
      <c r="AC523" s="152"/>
      <c r="AD523" s="152"/>
      <c r="AE523" s="152"/>
    </row>
    <row r="524" spans="1:31" ht="15.75">
      <c r="A524" s="152"/>
      <c r="B524" s="152"/>
      <c r="C524" s="281"/>
      <c r="D524" s="152"/>
      <c r="E524" s="152"/>
      <c r="F524" s="152"/>
      <c r="G524" s="152"/>
      <c r="H524" s="152"/>
      <c r="I524" s="152"/>
      <c r="J524" s="152"/>
      <c r="K524" s="152"/>
      <c r="L524" s="152"/>
      <c r="M524" s="152"/>
      <c r="N524" s="152"/>
      <c r="O524" s="152"/>
      <c r="P524" s="152"/>
      <c r="Q524" s="152"/>
      <c r="R524" s="152"/>
      <c r="S524" s="152"/>
      <c r="T524" s="152"/>
      <c r="U524" s="152"/>
      <c r="V524" s="152"/>
      <c r="W524" s="152"/>
      <c r="X524" s="152"/>
      <c r="Y524" s="152"/>
      <c r="Z524" s="152"/>
      <c r="AA524" s="152"/>
      <c r="AB524" s="152"/>
      <c r="AC524" s="152"/>
      <c r="AD524" s="152"/>
      <c r="AE524" s="152"/>
    </row>
    <row r="525" spans="1:31" ht="15.75">
      <c r="A525" s="152"/>
      <c r="B525" s="152"/>
      <c r="C525" s="281"/>
      <c r="D525" s="152"/>
      <c r="E525" s="152"/>
      <c r="F525" s="152"/>
      <c r="G525" s="152"/>
      <c r="H525" s="152"/>
      <c r="I525" s="152"/>
      <c r="J525" s="152"/>
      <c r="K525" s="152"/>
      <c r="L525" s="152"/>
      <c r="M525" s="152"/>
      <c r="N525" s="152"/>
      <c r="O525" s="152"/>
      <c r="P525" s="152"/>
      <c r="Q525" s="152"/>
      <c r="R525" s="152"/>
      <c r="S525" s="152"/>
      <c r="T525" s="152"/>
      <c r="U525" s="152"/>
      <c r="V525" s="152"/>
      <c r="W525" s="152"/>
      <c r="X525" s="152"/>
      <c r="Y525" s="152"/>
      <c r="Z525" s="152"/>
      <c r="AA525" s="152"/>
      <c r="AB525" s="152"/>
      <c r="AC525" s="152"/>
      <c r="AD525" s="152"/>
      <c r="AE525" s="152"/>
    </row>
    <row r="526" spans="1:31" ht="15.75">
      <c r="A526" s="152"/>
      <c r="B526" s="152"/>
      <c r="C526" s="281"/>
      <c r="D526" s="152"/>
      <c r="E526" s="152"/>
      <c r="F526" s="152"/>
      <c r="G526" s="152"/>
      <c r="H526" s="152"/>
      <c r="I526" s="152"/>
      <c r="J526" s="152"/>
      <c r="K526" s="152"/>
      <c r="L526" s="152"/>
      <c r="M526" s="152"/>
      <c r="N526" s="152"/>
      <c r="O526" s="152"/>
      <c r="P526" s="152"/>
      <c r="Q526" s="152"/>
      <c r="R526" s="152"/>
      <c r="S526" s="152"/>
      <c r="T526" s="152"/>
      <c r="U526" s="152"/>
      <c r="V526" s="152"/>
      <c r="W526" s="152"/>
      <c r="X526" s="152"/>
      <c r="Y526" s="152"/>
      <c r="Z526" s="152"/>
      <c r="AA526" s="152"/>
      <c r="AB526" s="152"/>
      <c r="AC526" s="152"/>
      <c r="AD526" s="152"/>
      <c r="AE526" s="152"/>
    </row>
    <row r="527" spans="1:31" ht="15.75">
      <c r="A527" s="152"/>
      <c r="B527" s="152"/>
      <c r="C527" s="281"/>
      <c r="D527" s="152"/>
      <c r="E527" s="152"/>
      <c r="F527" s="152"/>
      <c r="G527" s="152"/>
      <c r="H527" s="152"/>
      <c r="I527" s="152"/>
      <c r="J527" s="152"/>
      <c r="K527" s="152"/>
      <c r="L527" s="152"/>
      <c r="M527" s="152"/>
      <c r="N527" s="152"/>
      <c r="O527" s="152"/>
      <c r="P527" s="152"/>
      <c r="Q527" s="152"/>
      <c r="R527" s="152"/>
      <c r="S527" s="152"/>
      <c r="T527" s="152"/>
      <c r="U527" s="152"/>
      <c r="V527" s="152"/>
      <c r="W527" s="152"/>
      <c r="X527" s="152"/>
      <c r="Y527" s="152"/>
      <c r="Z527" s="152"/>
      <c r="AA527" s="152"/>
      <c r="AB527" s="152"/>
      <c r="AC527" s="152"/>
      <c r="AD527" s="152"/>
      <c r="AE527" s="152"/>
    </row>
    <row r="528" spans="1:31" ht="15.75">
      <c r="A528" s="152"/>
      <c r="B528" s="152"/>
      <c r="C528" s="281"/>
      <c r="D528" s="152"/>
      <c r="E528" s="152"/>
      <c r="F528" s="152"/>
      <c r="G528" s="152"/>
      <c r="H528" s="152"/>
      <c r="I528" s="152"/>
      <c r="J528" s="152"/>
      <c r="K528" s="152"/>
      <c r="L528" s="152"/>
      <c r="M528" s="152"/>
      <c r="N528" s="152"/>
      <c r="O528" s="152"/>
      <c r="P528" s="152"/>
      <c r="Q528" s="152"/>
      <c r="R528" s="152"/>
      <c r="S528" s="152"/>
      <c r="T528" s="152"/>
      <c r="U528" s="152"/>
      <c r="V528" s="152"/>
      <c r="W528" s="152"/>
      <c r="X528" s="152"/>
      <c r="Y528" s="152"/>
      <c r="Z528" s="152"/>
      <c r="AA528" s="152"/>
      <c r="AB528" s="152"/>
      <c r="AC528" s="152"/>
      <c r="AD528" s="152"/>
      <c r="AE528" s="152"/>
    </row>
    <row r="529" spans="1:31" ht="15.75">
      <c r="A529" s="152"/>
      <c r="B529" s="152"/>
      <c r="C529" s="281"/>
      <c r="D529" s="152"/>
      <c r="E529" s="152"/>
      <c r="F529" s="152"/>
      <c r="G529" s="152"/>
      <c r="H529" s="152"/>
      <c r="I529" s="152"/>
      <c r="J529" s="152"/>
      <c r="K529" s="152"/>
      <c r="L529" s="152"/>
      <c r="M529" s="152"/>
      <c r="N529" s="152"/>
      <c r="O529" s="152"/>
      <c r="P529" s="152"/>
      <c r="Q529" s="152"/>
      <c r="R529" s="152"/>
      <c r="S529" s="152"/>
      <c r="T529" s="152"/>
      <c r="U529" s="152"/>
      <c r="V529" s="152"/>
      <c r="W529" s="152"/>
      <c r="X529" s="152"/>
      <c r="Y529" s="152"/>
      <c r="Z529" s="152"/>
      <c r="AA529" s="152"/>
      <c r="AB529" s="152"/>
      <c r="AC529" s="152"/>
      <c r="AD529" s="152"/>
      <c r="AE529" s="152"/>
    </row>
    <row r="530" spans="1:31" ht="15.75">
      <c r="A530" s="152"/>
      <c r="B530" s="152"/>
      <c r="C530" s="281"/>
      <c r="D530" s="152"/>
      <c r="E530" s="152"/>
      <c r="F530" s="152"/>
      <c r="G530" s="152"/>
      <c r="H530" s="152"/>
      <c r="I530" s="152"/>
      <c r="J530" s="152"/>
      <c r="K530" s="152"/>
      <c r="L530" s="152"/>
      <c r="M530" s="152"/>
      <c r="N530" s="152"/>
      <c r="O530" s="152"/>
      <c r="P530" s="152"/>
      <c r="Q530" s="152"/>
      <c r="R530" s="152"/>
      <c r="S530" s="152"/>
      <c r="T530" s="152"/>
      <c r="U530" s="152"/>
      <c r="V530" s="152"/>
      <c r="W530" s="152"/>
      <c r="X530" s="152"/>
      <c r="Y530" s="152"/>
      <c r="Z530" s="152"/>
      <c r="AA530" s="152"/>
      <c r="AB530" s="152"/>
      <c r="AC530" s="152"/>
      <c r="AD530" s="152"/>
      <c r="AE530" s="152"/>
    </row>
    <row r="531" spans="1:31" ht="15.75">
      <c r="A531" s="152"/>
      <c r="B531" s="152"/>
      <c r="C531" s="281"/>
      <c r="D531" s="152"/>
      <c r="E531" s="152"/>
      <c r="F531" s="152"/>
      <c r="G531" s="152"/>
      <c r="H531" s="152"/>
      <c r="I531" s="152"/>
      <c r="J531" s="152"/>
      <c r="K531" s="152"/>
      <c r="L531" s="152"/>
      <c r="M531" s="152"/>
      <c r="N531" s="152"/>
      <c r="O531" s="152"/>
      <c r="P531" s="152"/>
      <c r="Q531" s="152"/>
      <c r="R531" s="152"/>
      <c r="S531" s="152"/>
      <c r="T531" s="152"/>
      <c r="U531" s="152"/>
      <c r="V531" s="152"/>
      <c r="W531" s="152"/>
      <c r="X531" s="152"/>
      <c r="Y531" s="152"/>
      <c r="Z531" s="152"/>
      <c r="AA531" s="152"/>
      <c r="AB531" s="152"/>
      <c r="AC531" s="152"/>
      <c r="AD531" s="152"/>
      <c r="AE531" s="152"/>
    </row>
    <row r="532" spans="1:31" ht="15.75">
      <c r="A532" s="152"/>
      <c r="B532" s="152"/>
      <c r="C532" s="281"/>
      <c r="D532" s="152"/>
      <c r="E532" s="152"/>
      <c r="F532" s="152"/>
      <c r="G532" s="152"/>
      <c r="H532" s="152"/>
      <c r="I532" s="152"/>
      <c r="J532" s="152"/>
      <c r="K532" s="152"/>
      <c r="L532" s="152"/>
      <c r="M532" s="152"/>
      <c r="N532" s="152"/>
      <c r="O532" s="152"/>
      <c r="P532" s="152"/>
      <c r="Q532" s="152"/>
      <c r="R532" s="152"/>
      <c r="S532" s="152"/>
      <c r="T532" s="152"/>
      <c r="U532" s="152"/>
      <c r="V532" s="152"/>
      <c r="W532" s="152"/>
      <c r="X532" s="152"/>
      <c r="Y532" s="152"/>
      <c r="Z532" s="152"/>
      <c r="AA532" s="152"/>
      <c r="AB532" s="152"/>
      <c r="AC532" s="152"/>
      <c r="AD532" s="152"/>
      <c r="AE532" s="152"/>
    </row>
    <row r="533" spans="1:31" ht="15.75">
      <c r="A533" s="152"/>
      <c r="B533" s="152"/>
      <c r="C533" s="281"/>
      <c r="D533" s="152"/>
      <c r="E533" s="152"/>
      <c r="F533" s="152"/>
      <c r="G533" s="152"/>
      <c r="H533" s="152"/>
      <c r="I533" s="152"/>
      <c r="J533" s="152"/>
      <c r="K533" s="152"/>
      <c r="L533" s="152"/>
      <c r="M533" s="152"/>
      <c r="N533" s="152"/>
      <c r="O533" s="152"/>
      <c r="P533" s="152"/>
      <c r="Q533" s="152"/>
      <c r="R533" s="152"/>
      <c r="S533" s="152"/>
      <c r="T533" s="152"/>
      <c r="U533" s="152"/>
      <c r="V533" s="152"/>
      <c r="W533" s="152"/>
      <c r="X533" s="152"/>
      <c r="Y533" s="152"/>
      <c r="Z533" s="152"/>
      <c r="AA533" s="152"/>
      <c r="AB533" s="152"/>
      <c r="AC533" s="152"/>
      <c r="AD533" s="152"/>
      <c r="AE533" s="152"/>
    </row>
    <row r="534" spans="1:31" ht="15.75">
      <c r="A534" s="152"/>
      <c r="B534" s="152"/>
      <c r="C534" s="281"/>
      <c r="D534" s="152"/>
      <c r="E534" s="152"/>
      <c r="F534" s="152"/>
      <c r="G534" s="152"/>
      <c r="H534" s="152"/>
      <c r="I534" s="152"/>
      <c r="J534" s="152"/>
      <c r="K534" s="152"/>
      <c r="L534" s="152"/>
      <c r="M534" s="152"/>
      <c r="N534" s="152"/>
      <c r="O534" s="152"/>
      <c r="P534" s="152"/>
      <c r="Q534" s="152"/>
      <c r="R534" s="152"/>
      <c r="S534" s="152"/>
      <c r="T534" s="152"/>
      <c r="U534" s="152"/>
      <c r="V534" s="152"/>
      <c r="W534" s="152"/>
      <c r="X534" s="152"/>
      <c r="Y534" s="152"/>
      <c r="Z534" s="152"/>
      <c r="AA534" s="152"/>
      <c r="AB534" s="152"/>
      <c r="AC534" s="152"/>
      <c r="AD534" s="152"/>
      <c r="AE534" s="152"/>
    </row>
    <row r="535" spans="1:31" ht="15.75">
      <c r="A535" s="152"/>
      <c r="B535" s="152"/>
      <c r="C535" s="281"/>
      <c r="D535" s="152"/>
      <c r="E535" s="152"/>
      <c r="F535" s="152"/>
      <c r="G535" s="152"/>
      <c r="H535" s="152"/>
      <c r="I535" s="152"/>
      <c r="J535" s="152"/>
      <c r="K535" s="152"/>
      <c r="L535" s="152"/>
      <c r="M535" s="152"/>
      <c r="N535" s="152"/>
      <c r="O535" s="152"/>
      <c r="P535" s="152"/>
      <c r="Q535" s="152"/>
      <c r="R535" s="152"/>
      <c r="S535" s="152"/>
      <c r="T535" s="152"/>
      <c r="U535" s="152"/>
      <c r="V535" s="152"/>
      <c r="W535" s="152"/>
      <c r="X535" s="152"/>
      <c r="Y535" s="152"/>
      <c r="Z535" s="152"/>
      <c r="AA535" s="152"/>
      <c r="AB535" s="152"/>
      <c r="AC535" s="152"/>
      <c r="AD535" s="152"/>
      <c r="AE535" s="152"/>
    </row>
    <row r="536" spans="1:31" ht="15.75">
      <c r="A536" s="152"/>
      <c r="B536" s="152"/>
      <c r="C536" s="281"/>
      <c r="D536" s="152"/>
      <c r="E536" s="152"/>
      <c r="F536" s="152"/>
      <c r="G536" s="152"/>
      <c r="H536" s="152"/>
      <c r="I536" s="152"/>
      <c r="J536" s="152"/>
      <c r="K536" s="152"/>
      <c r="L536" s="152"/>
      <c r="M536" s="152"/>
      <c r="N536" s="152"/>
      <c r="O536" s="152"/>
      <c r="P536" s="152"/>
      <c r="Q536" s="152"/>
      <c r="R536" s="152"/>
      <c r="S536" s="152"/>
      <c r="T536" s="152"/>
      <c r="U536" s="152"/>
      <c r="V536" s="152"/>
      <c r="W536" s="152"/>
      <c r="X536" s="152"/>
      <c r="Y536" s="152"/>
      <c r="Z536" s="152"/>
      <c r="AA536" s="152"/>
      <c r="AB536" s="152"/>
      <c r="AC536" s="152"/>
      <c r="AD536" s="152"/>
      <c r="AE536" s="152"/>
    </row>
    <row r="537" spans="1:31" ht="15.75">
      <c r="A537" s="152"/>
      <c r="B537" s="152"/>
      <c r="C537" s="281"/>
      <c r="D537" s="152"/>
      <c r="E537" s="152"/>
      <c r="F537" s="152"/>
      <c r="G537" s="152"/>
      <c r="H537" s="152"/>
      <c r="I537" s="152"/>
      <c r="J537" s="152"/>
      <c r="K537" s="152"/>
      <c r="L537" s="152"/>
      <c r="M537" s="152"/>
      <c r="N537" s="152"/>
      <c r="O537" s="152"/>
      <c r="P537" s="152"/>
      <c r="Q537" s="152"/>
      <c r="R537" s="152"/>
      <c r="S537" s="152"/>
      <c r="T537" s="152"/>
      <c r="U537" s="152"/>
      <c r="V537" s="152"/>
      <c r="W537" s="152"/>
      <c r="X537" s="152"/>
      <c r="Y537" s="152"/>
      <c r="Z537" s="152"/>
      <c r="AA537" s="152"/>
      <c r="AB537" s="152"/>
      <c r="AC537" s="152"/>
      <c r="AD537" s="152"/>
      <c r="AE537" s="152"/>
    </row>
    <row r="538" spans="1:31" ht="15.75">
      <c r="A538" s="152"/>
      <c r="B538" s="152"/>
      <c r="C538" s="281"/>
      <c r="D538" s="152"/>
      <c r="E538" s="152"/>
      <c r="F538" s="152"/>
      <c r="G538" s="152"/>
      <c r="H538" s="152"/>
      <c r="I538" s="152"/>
      <c r="J538" s="152"/>
      <c r="K538" s="152"/>
      <c r="L538" s="152"/>
      <c r="M538" s="152"/>
      <c r="N538" s="152"/>
      <c r="O538" s="152"/>
      <c r="P538" s="152"/>
      <c r="Q538" s="152"/>
      <c r="R538" s="152"/>
      <c r="S538" s="152"/>
      <c r="T538" s="152"/>
      <c r="U538" s="152"/>
      <c r="V538" s="152"/>
      <c r="W538" s="152"/>
      <c r="X538" s="152"/>
      <c r="Y538" s="152"/>
      <c r="Z538" s="152"/>
      <c r="AA538" s="152"/>
      <c r="AB538" s="152"/>
      <c r="AC538" s="152"/>
      <c r="AD538" s="152"/>
      <c r="AE538" s="152"/>
    </row>
    <row r="539" spans="1:31" ht="15.75">
      <c r="A539" s="152"/>
      <c r="B539" s="152"/>
      <c r="C539" s="281"/>
      <c r="D539" s="152"/>
      <c r="E539" s="152"/>
      <c r="F539" s="152"/>
      <c r="G539" s="152"/>
      <c r="H539" s="152"/>
      <c r="I539" s="152"/>
      <c r="J539" s="152"/>
      <c r="K539" s="152"/>
      <c r="L539" s="152"/>
      <c r="M539" s="152"/>
      <c r="N539" s="152"/>
      <c r="O539" s="152"/>
      <c r="P539" s="152"/>
      <c r="Q539" s="152"/>
      <c r="R539" s="152"/>
      <c r="S539" s="152"/>
      <c r="T539" s="152"/>
      <c r="U539" s="152"/>
      <c r="V539" s="152"/>
      <c r="W539" s="152"/>
      <c r="X539" s="152"/>
      <c r="Y539" s="152"/>
      <c r="Z539" s="152"/>
      <c r="AA539" s="152"/>
      <c r="AB539" s="152"/>
      <c r="AC539" s="152"/>
      <c r="AD539" s="152"/>
      <c r="AE539" s="152"/>
    </row>
    <row r="540" spans="1:31" ht="15.75">
      <c r="A540" s="152"/>
      <c r="B540" s="152"/>
      <c r="C540" s="281"/>
      <c r="D540" s="152"/>
      <c r="E540" s="152"/>
      <c r="F540" s="152"/>
      <c r="G540" s="152"/>
      <c r="H540" s="152"/>
      <c r="I540" s="152"/>
      <c r="J540" s="152"/>
      <c r="K540" s="152"/>
      <c r="L540" s="152"/>
      <c r="M540" s="152"/>
      <c r="N540" s="152"/>
      <c r="O540" s="152"/>
      <c r="P540" s="152"/>
      <c r="Q540" s="152"/>
      <c r="R540" s="152"/>
      <c r="S540" s="152"/>
      <c r="T540" s="152"/>
      <c r="U540" s="152"/>
      <c r="V540" s="152"/>
      <c r="W540" s="152"/>
      <c r="X540" s="152"/>
      <c r="Y540" s="152"/>
      <c r="Z540" s="152"/>
      <c r="AA540" s="152"/>
      <c r="AB540" s="152"/>
      <c r="AC540" s="152"/>
      <c r="AD540" s="152"/>
      <c r="AE540" s="152"/>
    </row>
    <row r="541" spans="1:31" ht="15.75">
      <c r="A541" s="152"/>
      <c r="B541" s="152"/>
      <c r="C541" s="281"/>
      <c r="D541" s="152"/>
      <c r="E541" s="152"/>
      <c r="F541" s="152"/>
      <c r="G541" s="152"/>
      <c r="H541" s="152"/>
      <c r="I541" s="152"/>
      <c r="J541" s="152"/>
      <c r="K541" s="152"/>
      <c r="L541" s="152"/>
      <c r="M541" s="152"/>
      <c r="N541" s="152"/>
      <c r="O541" s="152"/>
      <c r="P541" s="152"/>
      <c r="Q541" s="152"/>
      <c r="R541" s="152"/>
      <c r="S541" s="152"/>
      <c r="T541" s="152"/>
      <c r="U541" s="152"/>
      <c r="V541" s="152"/>
      <c r="W541" s="152"/>
      <c r="X541" s="152"/>
      <c r="Y541" s="152"/>
      <c r="Z541" s="152"/>
      <c r="AA541" s="152"/>
      <c r="AB541" s="152"/>
      <c r="AC541" s="152"/>
      <c r="AD541" s="152"/>
      <c r="AE541" s="152"/>
    </row>
    <row r="542" spans="1:31" ht="15.75">
      <c r="A542" s="152"/>
      <c r="B542" s="152"/>
      <c r="C542" s="281"/>
      <c r="D542" s="152"/>
      <c r="E542" s="152"/>
      <c r="F542" s="152"/>
      <c r="G542" s="152"/>
      <c r="H542" s="152"/>
      <c r="I542" s="152"/>
      <c r="J542" s="152"/>
      <c r="K542" s="152"/>
      <c r="L542" s="152"/>
      <c r="M542" s="152"/>
      <c r="N542" s="152"/>
      <c r="O542" s="152"/>
      <c r="P542" s="152"/>
      <c r="Q542" s="152"/>
      <c r="R542" s="152"/>
      <c r="S542" s="152"/>
      <c r="T542" s="152"/>
      <c r="U542" s="152"/>
      <c r="V542" s="152"/>
      <c r="W542" s="152"/>
      <c r="X542" s="152"/>
      <c r="Y542" s="152"/>
      <c r="Z542" s="152"/>
      <c r="AA542" s="152"/>
      <c r="AB542" s="152"/>
      <c r="AC542" s="152"/>
      <c r="AD542" s="152"/>
      <c r="AE542" s="152"/>
    </row>
    <row r="543" spans="1:31" ht="15.75">
      <c r="A543" s="152"/>
      <c r="B543" s="152"/>
      <c r="C543" s="281"/>
      <c r="D543" s="152"/>
      <c r="E543" s="152"/>
      <c r="F543" s="152"/>
      <c r="G543" s="152"/>
      <c r="H543" s="152"/>
      <c r="I543" s="152"/>
      <c r="J543" s="152"/>
      <c r="K543" s="152"/>
      <c r="L543" s="152"/>
      <c r="M543" s="152"/>
      <c r="N543" s="152"/>
      <c r="O543" s="152"/>
      <c r="P543" s="152"/>
      <c r="Q543" s="152"/>
      <c r="R543" s="152"/>
      <c r="S543" s="152"/>
      <c r="T543" s="152"/>
      <c r="U543" s="152"/>
      <c r="V543" s="152"/>
      <c r="W543" s="152"/>
      <c r="X543" s="152"/>
      <c r="Y543" s="152"/>
      <c r="Z543" s="152"/>
      <c r="AA543" s="152"/>
      <c r="AB543" s="152"/>
      <c r="AC543" s="152"/>
      <c r="AD543" s="152"/>
      <c r="AE543" s="152"/>
    </row>
    <row r="544" spans="1:31" ht="15.75">
      <c r="A544" s="152"/>
      <c r="B544" s="152"/>
      <c r="C544" s="281"/>
      <c r="D544" s="152"/>
      <c r="E544" s="152"/>
      <c r="F544" s="152"/>
      <c r="G544" s="152"/>
      <c r="H544" s="152"/>
      <c r="I544" s="152"/>
      <c r="J544" s="152"/>
      <c r="K544" s="152"/>
      <c r="L544" s="152"/>
      <c r="M544" s="152"/>
      <c r="N544" s="152"/>
      <c r="O544" s="152"/>
      <c r="P544" s="152"/>
      <c r="Q544" s="152"/>
      <c r="R544" s="152"/>
      <c r="S544" s="152"/>
      <c r="T544" s="152"/>
      <c r="U544" s="152"/>
      <c r="V544" s="152"/>
      <c r="W544" s="152"/>
      <c r="X544" s="152"/>
      <c r="Y544" s="152"/>
      <c r="Z544" s="152"/>
      <c r="AA544" s="152"/>
      <c r="AB544" s="152"/>
      <c r="AC544" s="152"/>
      <c r="AD544" s="152"/>
      <c r="AE544" s="152"/>
    </row>
    <row r="545" spans="1:31" ht="15.75">
      <c r="A545" s="152"/>
      <c r="B545" s="152"/>
      <c r="C545" s="281"/>
      <c r="D545" s="152"/>
      <c r="E545" s="152"/>
      <c r="F545" s="152"/>
      <c r="G545" s="152"/>
      <c r="H545" s="152"/>
      <c r="I545" s="152"/>
      <c r="J545" s="152"/>
      <c r="K545" s="152"/>
      <c r="L545" s="152"/>
      <c r="M545" s="152"/>
      <c r="N545" s="152"/>
      <c r="O545" s="152"/>
      <c r="P545" s="152"/>
      <c r="Q545" s="152"/>
      <c r="R545" s="152"/>
      <c r="S545" s="152"/>
      <c r="T545" s="152"/>
      <c r="U545" s="152"/>
      <c r="V545" s="152"/>
      <c r="W545" s="152"/>
      <c r="X545" s="152"/>
      <c r="Y545" s="152"/>
      <c r="Z545" s="152"/>
      <c r="AA545" s="152"/>
      <c r="AB545" s="152"/>
      <c r="AC545" s="152"/>
      <c r="AD545" s="152"/>
      <c r="AE545" s="152"/>
    </row>
    <row r="546" spans="1:31" ht="15.75">
      <c r="A546" s="152"/>
      <c r="B546" s="152"/>
      <c r="C546" s="281"/>
      <c r="D546" s="152"/>
      <c r="E546" s="152"/>
      <c r="F546" s="152"/>
      <c r="G546" s="152"/>
      <c r="H546" s="152"/>
      <c r="I546" s="152"/>
      <c r="J546" s="152"/>
      <c r="K546" s="152"/>
      <c r="L546" s="152"/>
      <c r="M546" s="152"/>
      <c r="N546" s="152"/>
      <c r="O546" s="152"/>
      <c r="P546" s="152"/>
      <c r="Q546" s="152"/>
      <c r="R546" s="152"/>
      <c r="S546" s="152"/>
      <c r="T546" s="152"/>
      <c r="U546" s="152"/>
      <c r="V546" s="152"/>
      <c r="W546" s="152"/>
      <c r="X546" s="152"/>
      <c r="Y546" s="152"/>
      <c r="Z546" s="152"/>
      <c r="AA546" s="152"/>
      <c r="AB546" s="152"/>
      <c r="AC546" s="152"/>
      <c r="AD546" s="152"/>
      <c r="AE546" s="152"/>
    </row>
    <row r="547" spans="1:31" ht="15.75">
      <c r="A547" s="152"/>
      <c r="B547" s="152"/>
      <c r="C547" s="281"/>
      <c r="D547" s="152"/>
      <c r="E547" s="152"/>
      <c r="F547" s="152"/>
      <c r="G547" s="152"/>
      <c r="H547" s="152"/>
      <c r="I547" s="152"/>
      <c r="J547" s="152"/>
      <c r="K547" s="152"/>
      <c r="L547" s="152"/>
      <c r="M547" s="152"/>
      <c r="N547" s="152"/>
      <c r="O547" s="152"/>
      <c r="P547" s="152"/>
      <c r="Q547" s="152"/>
      <c r="R547" s="152"/>
      <c r="S547" s="152"/>
      <c r="T547" s="152"/>
      <c r="U547" s="152"/>
      <c r="V547" s="152"/>
      <c r="W547" s="152"/>
      <c r="X547" s="152"/>
      <c r="Y547" s="152"/>
      <c r="Z547" s="152"/>
      <c r="AA547" s="152"/>
      <c r="AB547" s="152"/>
      <c r="AC547" s="152"/>
      <c r="AD547" s="152"/>
      <c r="AE547" s="152"/>
    </row>
    <row r="548" spans="1:31" ht="15.75">
      <c r="A548" s="152"/>
      <c r="B548" s="152"/>
      <c r="C548" s="281"/>
      <c r="D548" s="152"/>
      <c r="E548" s="152"/>
      <c r="F548" s="152"/>
      <c r="G548" s="152"/>
      <c r="H548" s="152"/>
      <c r="I548" s="152"/>
      <c r="J548" s="152"/>
      <c r="K548" s="152"/>
      <c r="L548" s="152"/>
      <c r="M548" s="152"/>
      <c r="N548" s="152"/>
      <c r="O548" s="152"/>
      <c r="P548" s="152"/>
      <c r="Q548" s="152"/>
      <c r="R548" s="152"/>
      <c r="S548" s="152"/>
      <c r="T548" s="152"/>
      <c r="U548" s="152"/>
      <c r="V548" s="152"/>
      <c r="W548" s="152"/>
      <c r="X548" s="152"/>
      <c r="Y548" s="152"/>
      <c r="Z548" s="152"/>
      <c r="AA548" s="152"/>
      <c r="AB548" s="152"/>
      <c r="AC548" s="152"/>
      <c r="AD548" s="152"/>
      <c r="AE548" s="152"/>
    </row>
    <row r="549" spans="1:31" ht="15.75">
      <c r="A549" s="152"/>
      <c r="B549" s="152"/>
      <c r="C549" s="281"/>
      <c r="D549" s="152"/>
      <c r="E549" s="152"/>
      <c r="F549" s="152"/>
      <c r="G549" s="152"/>
      <c r="H549" s="152"/>
      <c r="I549" s="152"/>
      <c r="J549" s="152"/>
      <c r="K549" s="152"/>
      <c r="L549" s="152"/>
      <c r="M549" s="152"/>
      <c r="N549" s="152"/>
      <c r="O549" s="152"/>
      <c r="P549" s="152"/>
      <c r="Q549" s="152"/>
      <c r="R549" s="152"/>
      <c r="S549" s="152"/>
      <c r="T549" s="152"/>
      <c r="U549" s="152"/>
      <c r="V549" s="152"/>
      <c r="W549" s="152"/>
      <c r="X549" s="152"/>
      <c r="Y549" s="152"/>
      <c r="Z549" s="152"/>
      <c r="AA549" s="152"/>
      <c r="AB549" s="152"/>
      <c r="AC549" s="152"/>
      <c r="AD549" s="152"/>
      <c r="AE549" s="152"/>
    </row>
    <row r="550" spans="1:31" ht="15.75">
      <c r="A550" s="152"/>
      <c r="B550" s="152"/>
      <c r="C550" s="281"/>
      <c r="D550" s="152"/>
      <c r="E550" s="152"/>
      <c r="F550" s="152"/>
      <c r="G550" s="152"/>
      <c r="H550" s="152"/>
      <c r="I550" s="152"/>
      <c r="J550" s="152"/>
      <c r="K550" s="152"/>
      <c r="L550" s="152"/>
      <c r="M550" s="152"/>
      <c r="N550" s="152"/>
      <c r="O550" s="152"/>
      <c r="P550" s="152"/>
      <c r="Q550" s="152"/>
      <c r="R550" s="152"/>
      <c r="S550" s="152"/>
      <c r="T550" s="152"/>
      <c r="U550" s="152"/>
      <c r="V550" s="152"/>
      <c r="W550" s="152"/>
      <c r="X550" s="152"/>
      <c r="Y550" s="152"/>
      <c r="Z550" s="152"/>
      <c r="AA550" s="152"/>
      <c r="AB550" s="152"/>
      <c r="AC550" s="152"/>
      <c r="AD550" s="152"/>
      <c r="AE550" s="152"/>
    </row>
    <row r="551" spans="1:31" ht="15.75">
      <c r="A551" s="152"/>
      <c r="B551" s="152"/>
      <c r="C551" s="281"/>
      <c r="D551" s="152"/>
      <c r="E551" s="152"/>
      <c r="F551" s="152"/>
      <c r="G551" s="152"/>
      <c r="H551" s="152"/>
      <c r="I551" s="152"/>
      <c r="J551" s="152"/>
      <c r="K551" s="152"/>
      <c r="L551" s="152"/>
      <c r="M551" s="152"/>
      <c r="N551" s="152"/>
      <c r="O551" s="152"/>
      <c r="P551" s="152"/>
      <c r="Q551" s="152"/>
      <c r="R551" s="152"/>
      <c r="S551" s="152"/>
      <c r="T551" s="152"/>
      <c r="U551" s="152"/>
      <c r="V551" s="152"/>
      <c r="W551" s="152"/>
      <c r="X551" s="152"/>
      <c r="Y551" s="152"/>
      <c r="Z551" s="152"/>
      <c r="AA551" s="152"/>
      <c r="AB551" s="152"/>
      <c r="AC551" s="152"/>
      <c r="AD551" s="152"/>
      <c r="AE551" s="152"/>
    </row>
    <row r="552" spans="1:31" ht="15.75">
      <c r="A552" s="152"/>
      <c r="B552" s="152"/>
      <c r="C552" s="281"/>
      <c r="D552" s="152"/>
      <c r="E552" s="152"/>
      <c r="F552" s="152"/>
      <c r="G552" s="152"/>
      <c r="H552" s="152"/>
      <c r="I552" s="152"/>
      <c r="J552" s="152"/>
      <c r="K552" s="152"/>
      <c r="L552" s="152"/>
      <c r="M552" s="152"/>
      <c r="N552" s="152"/>
      <c r="O552" s="152"/>
      <c r="P552" s="152"/>
      <c r="Q552" s="152"/>
      <c r="R552" s="152"/>
      <c r="S552" s="152"/>
      <c r="T552" s="152"/>
      <c r="U552" s="152"/>
      <c r="V552" s="152"/>
      <c r="W552" s="152"/>
      <c r="X552" s="152"/>
      <c r="Y552" s="152"/>
      <c r="Z552" s="152"/>
      <c r="AA552" s="152"/>
      <c r="AB552" s="152"/>
      <c r="AC552" s="152"/>
      <c r="AD552" s="152"/>
      <c r="AE552" s="152"/>
    </row>
    <row r="553" spans="1:31" ht="15.75">
      <c r="A553" s="152"/>
      <c r="B553" s="152"/>
      <c r="C553" s="281"/>
      <c r="D553" s="152"/>
      <c r="E553" s="152"/>
      <c r="F553" s="152"/>
      <c r="G553" s="152"/>
      <c r="H553" s="152"/>
      <c r="I553" s="152"/>
      <c r="J553" s="152"/>
      <c r="K553" s="152"/>
      <c r="L553" s="152"/>
      <c r="M553" s="152"/>
      <c r="N553" s="152"/>
      <c r="O553" s="152"/>
      <c r="P553" s="152"/>
      <c r="Q553" s="152"/>
      <c r="R553" s="152"/>
      <c r="S553" s="152"/>
      <c r="T553" s="152"/>
      <c r="U553" s="152"/>
      <c r="V553" s="152"/>
      <c r="W553" s="152"/>
      <c r="X553" s="152"/>
      <c r="Y553" s="152"/>
      <c r="Z553" s="152"/>
      <c r="AA553" s="152"/>
      <c r="AB553" s="152"/>
      <c r="AC553" s="152"/>
      <c r="AD553" s="152"/>
      <c r="AE553" s="152"/>
    </row>
    <row r="554" spans="1:31" ht="15.75">
      <c r="A554" s="152"/>
      <c r="B554" s="152"/>
      <c r="C554" s="281"/>
      <c r="D554" s="152"/>
      <c r="E554" s="152"/>
      <c r="F554" s="152"/>
      <c r="G554" s="152"/>
      <c r="H554" s="152"/>
      <c r="I554" s="152"/>
      <c r="J554" s="152"/>
      <c r="K554" s="152"/>
      <c r="L554" s="152"/>
      <c r="M554" s="152"/>
      <c r="N554" s="152"/>
      <c r="O554" s="152"/>
      <c r="P554" s="152"/>
      <c r="Q554" s="152"/>
      <c r="R554" s="152"/>
      <c r="S554" s="152"/>
      <c r="T554" s="152"/>
      <c r="U554" s="152"/>
      <c r="V554" s="152"/>
      <c r="W554" s="152"/>
      <c r="X554" s="152"/>
      <c r="Y554" s="152"/>
      <c r="Z554" s="152"/>
      <c r="AA554" s="152"/>
      <c r="AB554" s="152"/>
      <c r="AC554" s="152"/>
      <c r="AD554" s="152"/>
      <c r="AE554" s="152"/>
    </row>
    <row r="555" spans="1:31" ht="15.75">
      <c r="A555" s="152"/>
      <c r="B555" s="152"/>
      <c r="C555" s="281"/>
      <c r="D555" s="152"/>
      <c r="E555" s="152"/>
      <c r="F555" s="152"/>
      <c r="G555" s="152"/>
      <c r="H555" s="152"/>
      <c r="I555" s="152"/>
      <c r="J555" s="152"/>
      <c r="K555" s="152"/>
      <c r="L555" s="152"/>
      <c r="M555" s="152"/>
      <c r="N555" s="152"/>
      <c r="O555" s="152"/>
      <c r="P555" s="152"/>
      <c r="Q555" s="152"/>
      <c r="R555" s="152"/>
      <c r="S555" s="152"/>
      <c r="T555" s="152"/>
      <c r="U555" s="152"/>
      <c r="V555" s="152"/>
      <c r="W555" s="152"/>
      <c r="X555" s="152"/>
      <c r="Y555" s="152"/>
      <c r="Z555" s="152"/>
      <c r="AA555" s="152"/>
      <c r="AB555" s="152"/>
      <c r="AC555" s="152"/>
      <c r="AD555" s="152"/>
      <c r="AE555" s="152"/>
    </row>
    <row r="556" spans="1:31" ht="15.75">
      <c r="A556" s="152"/>
      <c r="B556" s="152"/>
      <c r="C556" s="281"/>
      <c r="D556" s="152"/>
      <c r="E556" s="152"/>
      <c r="F556" s="152"/>
      <c r="G556" s="152"/>
      <c r="H556" s="152"/>
      <c r="I556" s="152"/>
      <c r="J556" s="152"/>
      <c r="K556" s="152"/>
      <c r="L556" s="152"/>
      <c r="M556" s="152"/>
      <c r="N556" s="152"/>
      <c r="O556" s="152"/>
      <c r="P556" s="152"/>
      <c r="Q556" s="152"/>
      <c r="R556" s="152"/>
      <c r="S556" s="152"/>
      <c r="T556" s="152"/>
      <c r="U556" s="152"/>
      <c r="V556" s="152"/>
      <c r="W556" s="152"/>
      <c r="X556" s="152"/>
      <c r="Y556" s="152"/>
      <c r="Z556" s="152"/>
      <c r="AA556" s="152"/>
      <c r="AB556" s="152"/>
      <c r="AC556" s="152"/>
      <c r="AD556" s="152"/>
      <c r="AE556" s="152"/>
    </row>
    <row r="557" spans="1:31" ht="15.75">
      <c r="A557" s="152"/>
      <c r="B557" s="152"/>
      <c r="C557" s="281"/>
      <c r="D557" s="152"/>
      <c r="E557" s="152"/>
      <c r="F557" s="152"/>
      <c r="G557" s="152"/>
      <c r="H557" s="152"/>
      <c r="I557" s="152"/>
      <c r="J557" s="152"/>
      <c r="K557" s="152"/>
      <c r="L557" s="152"/>
      <c r="M557" s="152"/>
      <c r="N557" s="152"/>
      <c r="O557" s="152"/>
      <c r="P557" s="152"/>
      <c r="Q557" s="152"/>
      <c r="R557" s="152"/>
      <c r="S557" s="152"/>
      <c r="T557" s="152"/>
      <c r="U557" s="152"/>
      <c r="V557" s="152"/>
      <c r="W557" s="152"/>
      <c r="X557" s="152"/>
      <c r="Y557" s="152"/>
      <c r="Z557" s="152"/>
      <c r="AA557" s="152"/>
      <c r="AB557" s="152"/>
      <c r="AC557" s="152"/>
      <c r="AD557" s="152"/>
      <c r="AE557" s="152"/>
    </row>
    <row r="558" spans="1:31" ht="15.75">
      <c r="A558" s="152"/>
      <c r="B558" s="152"/>
      <c r="C558" s="281"/>
      <c r="D558" s="152"/>
      <c r="E558" s="152"/>
      <c r="F558" s="152"/>
      <c r="G558" s="152"/>
      <c r="H558" s="152"/>
      <c r="I558" s="152"/>
      <c r="J558" s="152"/>
      <c r="K558" s="152"/>
      <c r="L558" s="152"/>
      <c r="M558" s="152"/>
      <c r="N558" s="152"/>
      <c r="O558" s="152"/>
      <c r="P558" s="152"/>
      <c r="Q558" s="152"/>
      <c r="R558" s="152"/>
      <c r="S558" s="152"/>
      <c r="T558" s="152"/>
      <c r="U558" s="152"/>
      <c r="V558" s="152"/>
      <c r="W558" s="152"/>
      <c r="X558" s="152"/>
      <c r="Y558" s="152"/>
      <c r="Z558" s="152"/>
      <c r="AA558" s="152"/>
      <c r="AB558" s="152"/>
      <c r="AC558" s="152"/>
      <c r="AD558" s="152"/>
      <c r="AE558" s="152"/>
    </row>
    <row r="559" spans="1:31" ht="15.75">
      <c r="A559" s="152"/>
      <c r="B559" s="152"/>
      <c r="C559" s="281"/>
      <c r="D559" s="152"/>
      <c r="E559" s="152"/>
      <c r="F559" s="152"/>
      <c r="G559" s="152"/>
      <c r="H559" s="152"/>
      <c r="I559" s="152"/>
      <c r="J559" s="152"/>
      <c r="K559" s="152"/>
      <c r="L559" s="152"/>
      <c r="M559" s="152"/>
      <c r="N559" s="152"/>
      <c r="O559" s="152"/>
      <c r="P559" s="152"/>
      <c r="Q559" s="152"/>
      <c r="R559" s="152"/>
      <c r="S559" s="152"/>
      <c r="T559" s="152"/>
      <c r="U559" s="152"/>
      <c r="V559" s="152"/>
      <c r="W559" s="152"/>
      <c r="X559" s="152"/>
      <c r="Y559" s="152"/>
      <c r="Z559" s="152"/>
      <c r="AA559" s="152"/>
      <c r="AB559" s="152"/>
      <c r="AC559" s="152"/>
      <c r="AD559" s="152"/>
      <c r="AE559" s="152"/>
    </row>
    <row r="560" spans="1:31" ht="15.75">
      <c r="A560" s="152"/>
      <c r="B560" s="152"/>
      <c r="C560" s="281"/>
      <c r="D560" s="152"/>
      <c r="E560" s="152"/>
      <c r="F560" s="152"/>
      <c r="G560" s="152"/>
      <c r="H560" s="152"/>
      <c r="I560" s="152"/>
      <c r="J560" s="152"/>
      <c r="K560" s="152"/>
      <c r="L560" s="152"/>
      <c r="M560" s="152"/>
      <c r="N560" s="152"/>
      <c r="O560" s="152"/>
      <c r="P560" s="152"/>
      <c r="Q560" s="152"/>
      <c r="R560" s="152"/>
      <c r="S560" s="152"/>
      <c r="T560" s="152"/>
      <c r="U560" s="152"/>
      <c r="V560" s="152"/>
      <c r="W560" s="152"/>
      <c r="X560" s="152"/>
      <c r="Y560" s="152"/>
      <c r="Z560" s="152"/>
      <c r="AA560" s="152"/>
      <c r="AB560" s="152"/>
      <c r="AC560" s="152"/>
      <c r="AD560" s="152"/>
      <c r="AE560" s="152"/>
    </row>
    <row r="561" spans="1:31" ht="15.75">
      <c r="A561" s="152"/>
      <c r="B561" s="152"/>
      <c r="C561" s="281"/>
      <c r="D561" s="152"/>
      <c r="E561" s="152"/>
      <c r="F561" s="152"/>
      <c r="G561" s="152"/>
      <c r="H561" s="152"/>
      <c r="I561" s="152"/>
      <c r="J561" s="152"/>
      <c r="K561" s="152"/>
      <c r="L561" s="152"/>
      <c r="M561" s="152"/>
      <c r="N561" s="152"/>
      <c r="O561" s="152"/>
      <c r="P561" s="152"/>
      <c r="Q561" s="152"/>
      <c r="R561" s="152"/>
      <c r="S561" s="152"/>
      <c r="T561" s="152"/>
      <c r="U561" s="152"/>
      <c r="V561" s="152"/>
      <c r="W561" s="152"/>
      <c r="X561" s="152"/>
      <c r="Y561" s="152"/>
      <c r="Z561" s="152"/>
      <c r="AA561" s="152"/>
      <c r="AB561" s="152"/>
      <c r="AC561" s="152"/>
      <c r="AD561" s="152"/>
      <c r="AE561" s="152"/>
    </row>
    <row r="562" spans="1:31" ht="15.75">
      <c r="A562" s="152"/>
      <c r="B562" s="152"/>
      <c r="C562" s="281"/>
      <c r="D562" s="152"/>
      <c r="E562" s="152"/>
      <c r="F562" s="152"/>
      <c r="G562" s="152"/>
      <c r="H562" s="152"/>
      <c r="I562" s="152"/>
      <c r="J562" s="152"/>
      <c r="K562" s="152"/>
      <c r="L562" s="152"/>
      <c r="M562" s="152"/>
      <c r="N562" s="152"/>
      <c r="O562" s="152"/>
      <c r="P562" s="152"/>
      <c r="Q562" s="152"/>
      <c r="R562" s="152"/>
      <c r="S562" s="152"/>
      <c r="T562" s="152"/>
      <c r="U562" s="152"/>
      <c r="V562" s="152"/>
      <c r="W562" s="152"/>
      <c r="X562" s="152"/>
      <c r="Y562" s="152"/>
      <c r="Z562" s="152"/>
      <c r="AA562" s="152"/>
      <c r="AB562" s="152"/>
      <c r="AC562" s="152"/>
      <c r="AD562" s="152"/>
      <c r="AE562" s="152"/>
    </row>
    <row r="563" spans="1:31" ht="15.75">
      <c r="A563" s="152"/>
      <c r="B563" s="152"/>
      <c r="C563" s="281"/>
      <c r="D563" s="152"/>
      <c r="E563" s="152"/>
      <c r="F563" s="152"/>
      <c r="G563" s="152"/>
      <c r="H563" s="152"/>
      <c r="I563" s="152"/>
      <c r="J563" s="152"/>
      <c r="K563" s="152"/>
      <c r="L563" s="152"/>
      <c r="M563" s="152"/>
      <c r="N563" s="152"/>
      <c r="O563" s="152"/>
      <c r="P563" s="152"/>
      <c r="Q563" s="152"/>
      <c r="R563" s="152"/>
      <c r="S563" s="152"/>
      <c r="T563" s="152"/>
      <c r="U563" s="152"/>
      <c r="V563" s="152"/>
      <c r="W563" s="152"/>
      <c r="X563" s="152"/>
      <c r="Y563" s="152"/>
      <c r="Z563" s="152"/>
      <c r="AA563" s="152"/>
      <c r="AB563" s="152"/>
      <c r="AC563" s="152"/>
      <c r="AD563" s="152"/>
      <c r="AE563" s="152"/>
    </row>
    <row r="564" spans="1:31" ht="15.75">
      <c r="A564" s="152"/>
      <c r="B564" s="152"/>
      <c r="C564" s="281"/>
      <c r="D564" s="152"/>
      <c r="E564" s="152"/>
      <c r="F564" s="152"/>
      <c r="G564" s="152"/>
      <c r="H564" s="152"/>
      <c r="I564" s="152"/>
      <c r="J564" s="152"/>
      <c r="K564" s="152"/>
      <c r="L564" s="152"/>
      <c r="M564" s="152"/>
      <c r="N564" s="152"/>
      <c r="O564" s="152"/>
      <c r="P564" s="152"/>
      <c r="Q564" s="152"/>
      <c r="R564" s="152"/>
      <c r="S564" s="152"/>
      <c r="T564" s="152"/>
      <c r="U564" s="152"/>
      <c r="V564" s="152"/>
      <c r="W564" s="152"/>
      <c r="X564" s="152"/>
      <c r="Y564" s="152"/>
      <c r="Z564" s="152"/>
      <c r="AA564" s="152"/>
      <c r="AB564" s="152"/>
      <c r="AC564" s="152"/>
      <c r="AD564" s="152"/>
      <c r="AE564" s="152"/>
    </row>
    <row r="565" spans="1:31" ht="15.75">
      <c r="A565" s="152"/>
      <c r="B565" s="152"/>
      <c r="C565" s="281"/>
      <c r="D565" s="152"/>
      <c r="E565" s="152"/>
      <c r="F565" s="152"/>
      <c r="G565" s="152"/>
      <c r="H565" s="152"/>
      <c r="I565" s="152"/>
      <c r="J565" s="152"/>
      <c r="K565" s="152"/>
      <c r="L565" s="152"/>
      <c r="M565" s="152"/>
      <c r="N565" s="152"/>
      <c r="O565" s="152"/>
      <c r="P565" s="152"/>
      <c r="Q565" s="152"/>
      <c r="R565" s="152"/>
      <c r="S565" s="152"/>
      <c r="T565" s="152"/>
      <c r="U565" s="152"/>
      <c r="V565" s="152"/>
      <c r="W565" s="152"/>
      <c r="X565" s="152"/>
      <c r="Y565" s="152"/>
      <c r="Z565" s="152"/>
      <c r="AA565" s="152"/>
      <c r="AB565" s="152"/>
      <c r="AC565" s="152"/>
      <c r="AD565" s="152"/>
      <c r="AE565" s="152"/>
    </row>
    <row r="566" spans="1:31" ht="15.75">
      <c r="A566" s="152"/>
      <c r="B566" s="152"/>
      <c r="C566" s="281"/>
      <c r="D566" s="152"/>
      <c r="E566" s="152"/>
      <c r="F566" s="152"/>
      <c r="G566" s="152"/>
      <c r="H566" s="152"/>
      <c r="I566" s="152"/>
      <c r="J566" s="152"/>
      <c r="K566" s="152"/>
      <c r="L566" s="152"/>
      <c r="M566" s="152"/>
      <c r="N566" s="152"/>
      <c r="O566" s="152"/>
      <c r="P566" s="152"/>
      <c r="Q566" s="152"/>
      <c r="R566" s="152"/>
      <c r="S566" s="152"/>
      <c r="T566" s="152"/>
      <c r="U566" s="152"/>
      <c r="V566" s="152"/>
      <c r="W566" s="152"/>
      <c r="X566" s="152"/>
      <c r="Y566" s="152"/>
      <c r="Z566" s="152"/>
      <c r="AA566" s="152"/>
      <c r="AB566" s="152"/>
      <c r="AC566" s="152"/>
      <c r="AD566" s="152"/>
      <c r="AE566" s="152"/>
    </row>
    <row r="567" spans="1:31" ht="15.75">
      <c r="A567" s="152"/>
      <c r="B567" s="152"/>
      <c r="C567" s="281"/>
      <c r="D567" s="152"/>
      <c r="E567" s="152"/>
      <c r="F567" s="152"/>
      <c r="G567" s="152"/>
      <c r="H567" s="152"/>
      <c r="I567" s="152"/>
      <c r="J567" s="152"/>
      <c r="K567" s="152"/>
      <c r="L567" s="152"/>
      <c r="M567" s="152"/>
      <c r="N567" s="152"/>
      <c r="O567" s="152"/>
      <c r="P567" s="152"/>
      <c r="Q567" s="152"/>
      <c r="R567" s="152"/>
      <c r="S567" s="152"/>
      <c r="T567" s="152"/>
      <c r="U567" s="152"/>
      <c r="V567" s="152"/>
      <c r="W567" s="152"/>
      <c r="X567" s="152"/>
      <c r="Y567" s="152"/>
      <c r="Z567" s="152"/>
      <c r="AA567" s="152"/>
      <c r="AB567" s="152"/>
      <c r="AC567" s="152"/>
      <c r="AD567" s="152"/>
      <c r="AE567" s="152"/>
    </row>
    <row r="568" spans="1:31" ht="15.75">
      <c r="A568" s="152"/>
      <c r="B568" s="152"/>
      <c r="C568" s="281"/>
      <c r="D568" s="152"/>
      <c r="E568" s="152"/>
      <c r="F568" s="152"/>
      <c r="G568" s="152"/>
      <c r="H568" s="152"/>
      <c r="I568" s="152"/>
      <c r="J568" s="152"/>
      <c r="K568" s="152"/>
      <c r="L568" s="152"/>
      <c r="M568" s="152"/>
      <c r="N568" s="152"/>
      <c r="O568" s="152"/>
      <c r="P568" s="152"/>
      <c r="Q568" s="152"/>
      <c r="R568" s="152"/>
      <c r="S568" s="152"/>
      <c r="T568" s="152"/>
      <c r="U568" s="152"/>
      <c r="V568" s="152"/>
      <c r="W568" s="152"/>
      <c r="X568" s="152"/>
      <c r="Y568" s="152"/>
      <c r="Z568" s="152"/>
      <c r="AA568" s="152"/>
      <c r="AB568" s="152"/>
      <c r="AC568" s="152"/>
      <c r="AD568" s="152"/>
      <c r="AE568" s="152"/>
    </row>
    <row r="569" spans="1:31" ht="15.75">
      <c r="A569" s="152"/>
      <c r="B569" s="152"/>
      <c r="C569" s="281"/>
      <c r="D569" s="152"/>
      <c r="E569" s="152"/>
      <c r="F569" s="152"/>
      <c r="G569" s="152"/>
      <c r="H569" s="152"/>
      <c r="I569" s="152"/>
      <c r="J569" s="152"/>
      <c r="K569" s="152"/>
      <c r="L569" s="152"/>
      <c r="M569" s="152"/>
      <c r="N569" s="152"/>
      <c r="O569" s="152"/>
      <c r="P569" s="152"/>
      <c r="Q569" s="152"/>
      <c r="R569" s="152"/>
      <c r="S569" s="152"/>
      <c r="T569" s="152"/>
      <c r="U569" s="152"/>
      <c r="V569" s="152"/>
      <c r="W569" s="152"/>
      <c r="X569" s="152"/>
      <c r="Y569" s="152"/>
      <c r="Z569" s="152"/>
      <c r="AA569" s="152"/>
      <c r="AB569" s="152"/>
      <c r="AC569" s="152"/>
      <c r="AD569" s="152"/>
      <c r="AE569" s="152"/>
    </row>
    <row r="570" spans="1:31" ht="15.75">
      <c r="A570" s="152"/>
      <c r="B570" s="152"/>
      <c r="C570" s="281"/>
      <c r="D570" s="152"/>
      <c r="E570" s="152"/>
      <c r="F570" s="152"/>
      <c r="G570" s="152"/>
      <c r="H570" s="152"/>
      <c r="I570" s="152"/>
      <c r="J570" s="152"/>
      <c r="K570" s="152"/>
      <c r="L570" s="152"/>
      <c r="M570" s="152"/>
      <c r="N570" s="152"/>
      <c r="O570" s="152"/>
      <c r="P570" s="152"/>
      <c r="Q570" s="152"/>
      <c r="R570" s="152"/>
      <c r="S570" s="152"/>
      <c r="T570" s="152"/>
      <c r="U570" s="152"/>
      <c r="V570" s="152"/>
      <c r="W570" s="152"/>
      <c r="X570" s="152"/>
      <c r="Y570" s="152"/>
      <c r="Z570" s="152"/>
      <c r="AA570" s="152"/>
      <c r="AB570" s="152"/>
      <c r="AC570" s="152"/>
      <c r="AD570" s="152"/>
      <c r="AE570" s="152"/>
    </row>
    <row r="571" spans="1:31" ht="15.75">
      <c r="A571" s="152"/>
      <c r="B571" s="152"/>
      <c r="C571" s="281"/>
      <c r="D571" s="152"/>
      <c r="E571" s="152"/>
      <c r="F571" s="152"/>
      <c r="G571" s="152"/>
      <c r="H571" s="152"/>
      <c r="I571" s="152"/>
      <c r="J571" s="152"/>
      <c r="K571" s="152"/>
      <c r="L571" s="152"/>
      <c r="M571" s="152"/>
      <c r="N571" s="152"/>
      <c r="O571" s="152"/>
      <c r="P571" s="152"/>
      <c r="Q571" s="152"/>
      <c r="R571" s="152"/>
      <c r="S571" s="152"/>
      <c r="T571" s="152"/>
      <c r="U571" s="152"/>
      <c r="V571" s="152"/>
      <c r="W571" s="152"/>
      <c r="X571" s="152"/>
      <c r="Y571" s="152"/>
      <c r="Z571" s="152"/>
      <c r="AA571" s="152"/>
      <c r="AB571" s="152"/>
      <c r="AC571" s="152"/>
      <c r="AD571" s="152"/>
      <c r="AE571" s="152"/>
    </row>
    <row r="572" spans="1:31" ht="15.75">
      <c r="A572" s="152"/>
      <c r="B572" s="152"/>
      <c r="C572" s="281"/>
      <c r="D572" s="152"/>
      <c r="E572" s="152"/>
      <c r="F572" s="152"/>
      <c r="G572" s="152"/>
      <c r="H572" s="152"/>
      <c r="I572" s="152"/>
      <c r="J572" s="152"/>
      <c r="K572" s="152"/>
      <c r="L572" s="152"/>
      <c r="M572" s="152"/>
      <c r="N572" s="152"/>
      <c r="O572" s="152"/>
      <c r="P572" s="152"/>
      <c r="Q572" s="152"/>
      <c r="R572" s="152"/>
      <c r="S572" s="152"/>
      <c r="T572" s="152"/>
      <c r="U572" s="152"/>
      <c r="V572" s="152"/>
      <c r="W572" s="152"/>
      <c r="X572" s="152"/>
      <c r="Y572" s="152"/>
      <c r="Z572" s="152"/>
      <c r="AA572" s="152"/>
      <c r="AB572" s="152"/>
      <c r="AC572" s="152"/>
      <c r="AD572" s="152"/>
      <c r="AE572" s="152"/>
    </row>
    <row r="573" spans="1:31" ht="15.75">
      <c r="A573" s="152"/>
      <c r="B573" s="152"/>
      <c r="C573" s="281"/>
      <c r="D573" s="152"/>
      <c r="E573" s="152"/>
      <c r="F573" s="152"/>
      <c r="G573" s="152"/>
      <c r="H573" s="152"/>
      <c r="I573" s="152"/>
      <c r="J573" s="152"/>
      <c r="K573" s="152"/>
      <c r="L573" s="152"/>
      <c r="M573" s="152"/>
      <c r="N573" s="152"/>
      <c r="O573" s="152"/>
      <c r="P573" s="152"/>
      <c r="Q573" s="152"/>
      <c r="R573" s="152"/>
      <c r="S573" s="152"/>
      <c r="T573" s="152"/>
      <c r="U573" s="152"/>
      <c r="V573" s="152"/>
      <c r="W573" s="152"/>
      <c r="X573" s="152"/>
      <c r="Y573" s="152"/>
      <c r="Z573" s="152"/>
      <c r="AA573" s="152"/>
      <c r="AB573" s="152"/>
      <c r="AC573" s="152"/>
      <c r="AD573" s="152"/>
      <c r="AE573" s="152"/>
    </row>
    <row r="574" spans="1:31" ht="15.75">
      <c r="A574" s="152"/>
      <c r="B574" s="152"/>
      <c r="C574" s="281"/>
      <c r="D574" s="152"/>
      <c r="E574" s="152"/>
      <c r="F574" s="152"/>
      <c r="G574" s="152"/>
      <c r="H574" s="152"/>
      <c r="I574" s="152"/>
      <c r="J574" s="152"/>
      <c r="K574" s="152"/>
      <c r="L574" s="152"/>
      <c r="M574" s="152"/>
      <c r="N574" s="152"/>
      <c r="O574" s="152"/>
      <c r="P574" s="152"/>
      <c r="Q574" s="152"/>
      <c r="R574" s="152"/>
      <c r="S574" s="152"/>
      <c r="T574" s="152"/>
      <c r="U574" s="152"/>
      <c r="V574" s="152"/>
      <c r="W574" s="152"/>
      <c r="X574" s="152"/>
      <c r="Y574" s="152"/>
      <c r="Z574" s="152"/>
      <c r="AA574" s="152"/>
      <c r="AB574" s="152"/>
      <c r="AC574" s="152"/>
      <c r="AD574" s="152"/>
      <c r="AE574" s="152"/>
    </row>
    <row r="575" spans="1:31" ht="15.75">
      <c r="A575" s="152"/>
      <c r="B575" s="152"/>
      <c r="C575" s="281"/>
      <c r="D575" s="152"/>
      <c r="E575" s="152"/>
      <c r="F575" s="152"/>
      <c r="G575" s="152"/>
      <c r="H575" s="152"/>
      <c r="I575" s="152"/>
      <c r="J575" s="152"/>
      <c r="K575" s="152"/>
      <c r="L575" s="152"/>
      <c r="M575" s="152"/>
      <c r="N575" s="152"/>
      <c r="O575" s="152"/>
      <c r="P575" s="152"/>
      <c r="Q575" s="152"/>
      <c r="R575" s="152"/>
      <c r="S575" s="152"/>
      <c r="T575" s="152"/>
      <c r="U575" s="152"/>
      <c r="V575" s="152"/>
      <c r="W575" s="152"/>
      <c r="X575" s="152"/>
      <c r="Y575" s="152"/>
      <c r="Z575" s="152"/>
      <c r="AA575" s="152"/>
      <c r="AB575" s="152"/>
      <c r="AC575" s="152"/>
      <c r="AD575" s="152"/>
      <c r="AE575" s="152"/>
    </row>
    <row r="576" spans="1:31" ht="15.75">
      <c r="A576" s="152"/>
      <c r="B576" s="152"/>
      <c r="C576" s="281"/>
      <c r="D576" s="152"/>
      <c r="E576" s="152"/>
      <c r="F576" s="152"/>
      <c r="G576" s="152"/>
      <c r="H576" s="152"/>
      <c r="I576" s="152"/>
      <c r="J576" s="152"/>
      <c r="K576" s="152"/>
      <c r="L576" s="152"/>
      <c r="M576" s="152"/>
      <c r="N576" s="152"/>
      <c r="O576" s="152"/>
      <c r="P576" s="152"/>
      <c r="Q576" s="152"/>
      <c r="R576" s="152"/>
      <c r="S576" s="152"/>
      <c r="T576" s="152"/>
      <c r="U576" s="152"/>
      <c r="V576" s="152"/>
      <c r="W576" s="152"/>
      <c r="X576" s="152"/>
      <c r="Y576" s="152"/>
      <c r="Z576" s="152"/>
      <c r="AA576" s="152"/>
      <c r="AB576" s="152"/>
      <c r="AC576" s="152"/>
      <c r="AD576" s="152"/>
      <c r="AE576" s="152"/>
    </row>
    <row r="577" spans="1:31" ht="15.75">
      <c r="A577" s="152"/>
      <c r="B577" s="152"/>
      <c r="C577" s="281"/>
      <c r="D577" s="152"/>
      <c r="E577" s="152"/>
      <c r="F577" s="152"/>
      <c r="G577" s="152"/>
      <c r="H577" s="152"/>
      <c r="I577" s="152"/>
      <c r="J577" s="152"/>
      <c r="K577" s="152"/>
      <c r="L577" s="152"/>
      <c r="M577" s="152"/>
      <c r="N577" s="152"/>
      <c r="O577" s="152"/>
      <c r="P577" s="152"/>
      <c r="Q577" s="152"/>
      <c r="R577" s="152"/>
      <c r="S577" s="152"/>
      <c r="T577" s="152"/>
      <c r="U577" s="152"/>
      <c r="V577" s="152"/>
      <c r="W577" s="152"/>
      <c r="X577" s="152"/>
      <c r="Y577" s="152"/>
      <c r="Z577" s="152"/>
      <c r="AA577" s="152"/>
      <c r="AB577" s="152"/>
      <c r="AC577" s="152"/>
      <c r="AD577" s="152"/>
      <c r="AE577" s="152"/>
    </row>
    <row r="578" spans="1:31" ht="15.75">
      <c r="A578" s="152"/>
      <c r="B578" s="152"/>
      <c r="C578" s="281"/>
      <c r="D578" s="152"/>
      <c r="E578" s="152"/>
      <c r="F578" s="152"/>
      <c r="G578" s="152"/>
      <c r="H578" s="152"/>
      <c r="I578" s="152"/>
      <c r="J578" s="152"/>
      <c r="K578" s="152"/>
      <c r="L578" s="152"/>
      <c r="M578" s="152"/>
      <c r="N578" s="152"/>
      <c r="O578" s="152"/>
      <c r="P578" s="152"/>
      <c r="Q578" s="152"/>
      <c r="R578" s="152"/>
      <c r="S578" s="152"/>
      <c r="T578" s="152"/>
      <c r="U578" s="152"/>
      <c r="V578" s="152"/>
      <c r="W578" s="152"/>
      <c r="X578" s="152"/>
      <c r="Y578" s="152"/>
      <c r="Z578" s="152"/>
      <c r="AA578" s="152"/>
      <c r="AB578" s="152"/>
      <c r="AC578" s="152"/>
      <c r="AD578" s="152"/>
      <c r="AE578" s="152"/>
    </row>
    <row r="579" spans="1:31" ht="15.75">
      <c r="A579" s="152"/>
      <c r="B579" s="152"/>
      <c r="C579" s="281"/>
      <c r="D579" s="152"/>
      <c r="E579" s="152"/>
      <c r="F579" s="152"/>
      <c r="G579" s="152"/>
      <c r="H579" s="152"/>
      <c r="I579" s="152"/>
      <c r="J579" s="152"/>
      <c r="K579" s="152"/>
      <c r="L579" s="152"/>
      <c r="M579" s="152"/>
      <c r="N579" s="152"/>
      <c r="O579" s="152"/>
      <c r="P579" s="152"/>
      <c r="Q579" s="152"/>
      <c r="R579" s="152"/>
      <c r="S579" s="152"/>
      <c r="T579" s="152"/>
      <c r="U579" s="152"/>
      <c r="V579" s="152"/>
      <c r="W579" s="152"/>
      <c r="X579" s="152"/>
      <c r="Y579" s="152"/>
      <c r="Z579" s="152"/>
      <c r="AA579" s="152"/>
      <c r="AB579" s="152"/>
      <c r="AC579" s="152"/>
      <c r="AD579" s="152"/>
      <c r="AE579" s="152"/>
    </row>
    <row r="580" spans="1:31" ht="15.75">
      <c r="A580" s="152"/>
      <c r="B580" s="152"/>
      <c r="C580" s="281"/>
      <c r="D580" s="152"/>
      <c r="E580" s="152"/>
      <c r="F580" s="152"/>
      <c r="G580" s="152"/>
      <c r="H580" s="152"/>
      <c r="I580" s="152"/>
      <c r="J580" s="152"/>
      <c r="K580" s="152"/>
      <c r="L580" s="152"/>
      <c r="M580" s="152"/>
      <c r="N580" s="152"/>
      <c r="O580" s="152"/>
      <c r="P580" s="152"/>
      <c r="Q580" s="152"/>
      <c r="R580" s="152"/>
      <c r="S580" s="152"/>
      <c r="T580" s="152"/>
      <c r="U580" s="152"/>
      <c r="V580" s="152"/>
      <c r="W580" s="152"/>
      <c r="X580" s="152"/>
      <c r="Y580" s="152"/>
      <c r="Z580" s="152"/>
      <c r="AA580" s="152"/>
      <c r="AB580" s="152"/>
      <c r="AC580" s="152"/>
      <c r="AD580" s="152"/>
      <c r="AE580" s="152"/>
    </row>
    <row r="581" spans="1:31" ht="15.75">
      <c r="A581" s="152"/>
      <c r="B581" s="152"/>
      <c r="C581" s="281"/>
      <c r="D581" s="152"/>
      <c r="E581" s="152"/>
      <c r="F581" s="152"/>
      <c r="G581" s="152"/>
      <c r="H581" s="152"/>
      <c r="I581" s="152"/>
      <c r="J581" s="152"/>
      <c r="K581" s="152"/>
      <c r="L581" s="152"/>
      <c r="M581" s="152"/>
      <c r="N581" s="152"/>
      <c r="O581" s="152"/>
      <c r="P581" s="152"/>
      <c r="Q581" s="152"/>
      <c r="R581" s="152"/>
      <c r="S581" s="152"/>
      <c r="T581" s="152"/>
      <c r="U581" s="152"/>
      <c r="V581" s="152"/>
      <c r="W581" s="152"/>
      <c r="X581" s="152"/>
      <c r="Y581" s="152"/>
      <c r="Z581" s="152"/>
      <c r="AA581" s="152"/>
      <c r="AB581" s="152"/>
      <c r="AC581" s="152"/>
      <c r="AD581" s="152"/>
      <c r="AE581" s="152"/>
    </row>
    <row r="582" spans="1:31" ht="15.75">
      <c r="A582" s="152"/>
      <c r="B582" s="152"/>
      <c r="C582" s="281"/>
      <c r="D582" s="152"/>
      <c r="E582" s="152"/>
      <c r="F582" s="152"/>
      <c r="G582" s="152"/>
      <c r="H582" s="152"/>
      <c r="I582" s="152"/>
      <c r="J582" s="152"/>
      <c r="K582" s="152"/>
      <c r="L582" s="152"/>
      <c r="M582" s="152"/>
      <c r="N582" s="152"/>
      <c r="O582" s="152"/>
      <c r="P582" s="152"/>
      <c r="Q582" s="152"/>
      <c r="R582" s="152"/>
      <c r="S582" s="152"/>
      <c r="T582" s="152"/>
      <c r="U582" s="152"/>
      <c r="V582" s="152"/>
      <c r="W582" s="152"/>
      <c r="X582" s="152"/>
      <c r="Y582" s="152"/>
      <c r="Z582" s="152"/>
      <c r="AA582" s="152"/>
      <c r="AB582" s="152"/>
      <c r="AC582" s="152"/>
      <c r="AD582" s="152"/>
      <c r="AE582" s="152"/>
    </row>
    <row r="583" spans="1:31" ht="15.75">
      <c r="A583" s="152"/>
      <c r="B583" s="152"/>
      <c r="C583" s="281"/>
      <c r="D583" s="152"/>
      <c r="E583" s="152"/>
      <c r="F583" s="152"/>
      <c r="G583" s="152"/>
      <c r="H583" s="152"/>
      <c r="I583" s="152"/>
      <c r="J583" s="152"/>
      <c r="K583" s="152"/>
      <c r="L583" s="152"/>
      <c r="M583" s="152"/>
      <c r="N583" s="152"/>
      <c r="O583" s="152"/>
      <c r="P583" s="152"/>
      <c r="Q583" s="152"/>
      <c r="R583" s="152"/>
      <c r="S583" s="152"/>
      <c r="T583" s="152"/>
      <c r="U583" s="152"/>
      <c r="V583" s="152"/>
      <c r="W583" s="152"/>
      <c r="X583" s="152"/>
      <c r="Y583" s="152"/>
      <c r="Z583" s="152"/>
      <c r="AA583" s="152"/>
      <c r="AB583" s="152"/>
      <c r="AC583" s="152"/>
      <c r="AD583" s="152"/>
      <c r="AE583" s="152"/>
    </row>
    <row r="584" spans="1:31" ht="15.75">
      <c r="A584" s="152"/>
      <c r="B584" s="152"/>
      <c r="C584" s="281"/>
      <c r="D584" s="152"/>
      <c r="E584" s="152"/>
      <c r="F584" s="152"/>
      <c r="G584" s="152"/>
      <c r="H584" s="152"/>
      <c r="I584" s="152"/>
      <c r="J584" s="152"/>
      <c r="K584" s="152"/>
      <c r="L584" s="152"/>
      <c r="M584" s="152"/>
      <c r="N584" s="152"/>
      <c r="O584" s="152"/>
      <c r="P584" s="152"/>
      <c r="Q584" s="152"/>
      <c r="R584" s="152"/>
      <c r="S584" s="152"/>
      <c r="T584" s="152"/>
      <c r="U584" s="152"/>
      <c r="V584" s="152"/>
      <c r="W584" s="152"/>
      <c r="X584" s="152"/>
      <c r="Y584" s="152"/>
      <c r="Z584" s="152"/>
      <c r="AA584" s="152"/>
      <c r="AB584" s="152"/>
      <c r="AC584" s="152"/>
      <c r="AD584" s="152"/>
      <c r="AE584" s="152"/>
    </row>
    <row r="585" spans="1:31" ht="15.75">
      <c r="A585" s="152"/>
      <c r="B585" s="152"/>
      <c r="C585" s="281"/>
      <c r="D585" s="152"/>
      <c r="E585" s="152"/>
      <c r="F585" s="152"/>
      <c r="G585" s="152"/>
      <c r="H585" s="152"/>
      <c r="I585" s="152"/>
      <c r="J585" s="152"/>
      <c r="K585" s="152"/>
      <c r="L585" s="152"/>
      <c r="M585" s="152"/>
      <c r="N585" s="152"/>
      <c r="O585" s="152"/>
      <c r="P585" s="152"/>
      <c r="Q585" s="152"/>
      <c r="R585" s="152"/>
      <c r="S585" s="152"/>
      <c r="T585" s="152"/>
      <c r="U585" s="152"/>
      <c r="V585" s="152"/>
      <c r="W585" s="152"/>
      <c r="X585" s="152"/>
      <c r="Y585" s="152"/>
      <c r="Z585" s="152"/>
      <c r="AA585" s="152"/>
      <c r="AB585" s="152"/>
      <c r="AC585" s="152"/>
      <c r="AD585" s="152"/>
      <c r="AE585" s="152"/>
    </row>
    <row r="586" spans="1:31" ht="15.75">
      <c r="A586" s="152"/>
      <c r="B586" s="152"/>
      <c r="C586" s="281"/>
      <c r="D586" s="152"/>
      <c r="E586" s="152"/>
      <c r="F586" s="152"/>
      <c r="G586" s="152"/>
      <c r="H586" s="152"/>
      <c r="I586" s="152"/>
      <c r="J586" s="152"/>
      <c r="K586" s="152"/>
      <c r="L586" s="152"/>
      <c r="M586" s="152"/>
      <c r="N586" s="152"/>
      <c r="O586" s="152"/>
      <c r="P586" s="152"/>
      <c r="Q586" s="152"/>
      <c r="R586" s="152"/>
      <c r="S586" s="152"/>
      <c r="T586" s="152"/>
      <c r="U586" s="152"/>
      <c r="V586" s="152"/>
      <c r="W586" s="152"/>
      <c r="X586" s="152"/>
      <c r="Y586" s="152"/>
      <c r="Z586" s="152"/>
      <c r="AA586" s="152"/>
      <c r="AB586" s="152"/>
      <c r="AC586" s="152"/>
      <c r="AD586" s="152"/>
      <c r="AE586" s="152"/>
    </row>
    <row r="587" spans="1:31" ht="15.75">
      <c r="A587" s="152"/>
      <c r="B587" s="152"/>
      <c r="C587" s="281"/>
      <c r="D587" s="152"/>
      <c r="E587" s="152"/>
      <c r="F587" s="152"/>
      <c r="G587" s="152"/>
      <c r="H587" s="152"/>
      <c r="I587" s="152"/>
      <c r="J587" s="152"/>
      <c r="K587" s="152"/>
      <c r="L587" s="152"/>
      <c r="M587" s="152"/>
      <c r="N587" s="152"/>
      <c r="O587" s="152"/>
      <c r="P587" s="152"/>
      <c r="Q587" s="152"/>
      <c r="R587" s="152"/>
      <c r="S587" s="152"/>
      <c r="T587" s="152"/>
      <c r="U587" s="152"/>
      <c r="V587" s="152"/>
      <c r="W587" s="152"/>
      <c r="X587" s="152"/>
      <c r="Y587" s="152"/>
      <c r="Z587" s="152"/>
      <c r="AA587" s="152"/>
      <c r="AB587" s="152"/>
      <c r="AC587" s="152"/>
      <c r="AD587" s="152"/>
      <c r="AE587" s="152"/>
    </row>
    <row r="588" spans="1:31" ht="15.75">
      <c r="A588" s="152"/>
      <c r="B588" s="152"/>
      <c r="C588" s="281"/>
      <c r="D588" s="152"/>
      <c r="E588" s="152"/>
      <c r="F588" s="152"/>
      <c r="G588" s="152"/>
      <c r="H588" s="152"/>
      <c r="I588" s="152"/>
      <c r="J588" s="152"/>
      <c r="K588" s="152"/>
      <c r="L588" s="152"/>
      <c r="M588" s="152"/>
      <c r="N588" s="152"/>
      <c r="O588" s="152"/>
      <c r="P588" s="152"/>
      <c r="Q588" s="152"/>
      <c r="R588" s="152"/>
      <c r="S588" s="152"/>
      <c r="T588" s="152"/>
      <c r="U588" s="152"/>
      <c r="V588" s="152"/>
      <c r="W588" s="152"/>
      <c r="X588" s="152"/>
      <c r="Y588" s="152"/>
      <c r="Z588" s="152"/>
      <c r="AA588" s="152"/>
      <c r="AB588" s="152"/>
      <c r="AC588" s="152"/>
      <c r="AD588" s="152"/>
      <c r="AE588" s="152"/>
    </row>
    <row r="589" spans="1:31" ht="15.75">
      <c r="A589" s="152"/>
      <c r="B589" s="152"/>
      <c r="C589" s="281"/>
      <c r="D589" s="152"/>
      <c r="E589" s="152"/>
      <c r="F589" s="152"/>
      <c r="G589" s="152"/>
      <c r="H589" s="152"/>
      <c r="I589" s="152"/>
      <c r="J589" s="152"/>
      <c r="K589" s="152"/>
      <c r="L589" s="152"/>
      <c r="M589" s="152"/>
      <c r="N589" s="152"/>
      <c r="O589" s="152"/>
      <c r="P589" s="152"/>
      <c r="Q589" s="152"/>
      <c r="R589" s="152"/>
      <c r="S589" s="152"/>
      <c r="T589" s="152"/>
      <c r="U589" s="152"/>
      <c r="V589" s="152"/>
      <c r="W589" s="152"/>
      <c r="X589" s="152"/>
      <c r="Y589" s="152"/>
      <c r="Z589" s="152"/>
      <c r="AA589" s="152"/>
      <c r="AB589" s="152"/>
      <c r="AC589" s="152"/>
      <c r="AD589" s="152"/>
      <c r="AE589" s="152"/>
    </row>
    <row r="590" spans="1:31" ht="15.75">
      <c r="A590" s="152"/>
      <c r="B590" s="152"/>
      <c r="C590" s="281"/>
      <c r="D590" s="152"/>
      <c r="E590" s="152"/>
      <c r="F590" s="152"/>
      <c r="G590" s="152"/>
      <c r="H590" s="152"/>
      <c r="I590" s="152"/>
      <c r="J590" s="152"/>
      <c r="K590" s="152"/>
      <c r="L590" s="152"/>
      <c r="M590" s="152"/>
      <c r="N590" s="152"/>
      <c r="O590" s="152"/>
      <c r="P590" s="152"/>
      <c r="Q590" s="152"/>
      <c r="R590" s="152"/>
      <c r="S590" s="152"/>
      <c r="T590" s="152"/>
      <c r="U590" s="152"/>
      <c r="V590" s="152"/>
      <c r="W590" s="152"/>
      <c r="X590" s="152"/>
      <c r="Y590" s="152"/>
      <c r="Z590" s="152"/>
      <c r="AA590" s="152"/>
      <c r="AB590" s="152"/>
      <c r="AC590" s="152"/>
      <c r="AD590" s="152"/>
      <c r="AE590" s="152"/>
    </row>
    <row r="591" spans="1:31" ht="15.75">
      <c r="A591" s="152"/>
      <c r="B591" s="152"/>
      <c r="C591" s="281"/>
      <c r="D591" s="152"/>
      <c r="E591" s="152"/>
      <c r="F591" s="152"/>
      <c r="G591" s="152"/>
      <c r="H591" s="152"/>
      <c r="I591" s="152"/>
      <c r="J591" s="152"/>
      <c r="K591" s="152"/>
      <c r="L591" s="152"/>
      <c r="M591" s="152"/>
      <c r="N591" s="152"/>
      <c r="O591" s="152"/>
      <c r="P591" s="152"/>
      <c r="Q591" s="152"/>
      <c r="R591" s="152"/>
      <c r="S591" s="152"/>
      <c r="T591" s="152"/>
      <c r="U591" s="152"/>
      <c r="V591" s="152"/>
      <c r="W591" s="152"/>
      <c r="X591" s="152"/>
      <c r="Y591" s="152"/>
      <c r="Z591" s="152"/>
      <c r="AA591" s="152"/>
      <c r="AB591" s="152"/>
      <c r="AC591" s="152"/>
      <c r="AD591" s="152"/>
      <c r="AE591" s="152"/>
    </row>
    <row r="592" spans="1:31" ht="15.75">
      <c r="A592" s="152"/>
      <c r="B592" s="152"/>
      <c r="C592" s="281"/>
      <c r="D592" s="152"/>
      <c r="E592" s="152"/>
      <c r="F592" s="152"/>
      <c r="G592" s="152"/>
      <c r="H592" s="152"/>
      <c r="I592" s="152"/>
      <c r="J592" s="152"/>
      <c r="K592" s="152"/>
      <c r="L592" s="152"/>
      <c r="M592" s="152"/>
      <c r="N592" s="152"/>
      <c r="O592" s="152"/>
      <c r="P592" s="152"/>
      <c r="Q592" s="152"/>
      <c r="R592" s="152"/>
      <c r="S592" s="152"/>
      <c r="T592" s="152"/>
      <c r="U592" s="152"/>
      <c r="V592" s="152"/>
      <c r="W592" s="152"/>
      <c r="X592" s="152"/>
      <c r="Y592" s="152"/>
      <c r="Z592" s="152"/>
      <c r="AA592" s="152"/>
      <c r="AB592" s="152"/>
      <c r="AC592" s="152"/>
      <c r="AD592" s="152"/>
      <c r="AE592" s="152"/>
    </row>
    <row r="593" spans="1:31" ht="15.75">
      <c r="A593" s="152"/>
      <c r="B593" s="152"/>
      <c r="C593" s="281"/>
      <c r="D593" s="152"/>
      <c r="E593" s="152"/>
      <c r="F593" s="152"/>
      <c r="G593" s="152"/>
      <c r="H593" s="152"/>
      <c r="I593" s="152"/>
      <c r="J593" s="152"/>
      <c r="K593" s="152"/>
      <c r="L593" s="152"/>
      <c r="M593" s="152"/>
      <c r="N593" s="152"/>
      <c r="O593" s="152"/>
      <c r="P593" s="152"/>
      <c r="Q593" s="152"/>
      <c r="R593" s="152"/>
      <c r="S593" s="152"/>
      <c r="T593" s="152"/>
      <c r="U593" s="152"/>
      <c r="V593" s="152"/>
      <c r="W593" s="152"/>
      <c r="X593" s="152"/>
      <c r="Y593" s="152"/>
      <c r="Z593" s="152"/>
      <c r="AA593" s="152"/>
      <c r="AB593" s="152"/>
      <c r="AC593" s="152"/>
      <c r="AD593" s="152"/>
      <c r="AE593" s="152"/>
    </row>
    <row r="594" spans="1:31" ht="15.75">
      <c r="A594" s="152"/>
      <c r="B594" s="152"/>
      <c r="C594" s="281"/>
      <c r="D594" s="152"/>
      <c r="E594" s="152"/>
      <c r="F594" s="152"/>
      <c r="G594" s="152"/>
      <c r="H594" s="152"/>
      <c r="I594" s="152"/>
      <c r="J594" s="152"/>
      <c r="K594" s="152"/>
      <c r="L594" s="152"/>
      <c r="M594" s="152"/>
      <c r="N594" s="152"/>
      <c r="O594" s="152"/>
      <c r="P594" s="152"/>
      <c r="Q594" s="152"/>
      <c r="R594" s="152"/>
      <c r="S594" s="152"/>
      <c r="T594" s="152"/>
      <c r="U594" s="152"/>
      <c r="V594" s="152"/>
      <c r="W594" s="152"/>
      <c r="X594" s="152"/>
      <c r="Y594" s="152"/>
      <c r="Z594" s="152"/>
      <c r="AA594" s="152"/>
      <c r="AB594" s="152"/>
      <c r="AC594" s="152"/>
      <c r="AD594" s="152"/>
      <c r="AE594" s="152"/>
    </row>
    <row r="595" spans="1:31" ht="15.75">
      <c r="A595" s="152"/>
      <c r="B595" s="152"/>
      <c r="C595" s="281"/>
      <c r="D595" s="152"/>
      <c r="E595" s="152"/>
      <c r="F595" s="152"/>
      <c r="G595" s="152"/>
      <c r="H595" s="152"/>
      <c r="I595" s="152"/>
      <c r="J595" s="152"/>
      <c r="K595" s="152"/>
      <c r="L595" s="152"/>
      <c r="M595" s="152"/>
      <c r="N595" s="152"/>
      <c r="O595" s="152"/>
      <c r="P595" s="152"/>
      <c r="Q595" s="152"/>
      <c r="R595" s="152"/>
      <c r="S595" s="152"/>
      <c r="T595" s="152"/>
      <c r="U595" s="152"/>
      <c r="V595" s="152"/>
      <c r="W595" s="152"/>
      <c r="X595" s="152"/>
      <c r="Y595" s="152"/>
      <c r="Z595" s="152"/>
      <c r="AA595" s="152"/>
      <c r="AB595" s="152"/>
      <c r="AC595" s="152"/>
      <c r="AD595" s="152"/>
      <c r="AE595" s="152"/>
    </row>
    <row r="596" spans="1:31" ht="15.75">
      <c r="A596" s="152"/>
      <c r="B596" s="152"/>
      <c r="C596" s="281"/>
      <c r="D596" s="152"/>
      <c r="E596" s="152"/>
      <c r="F596" s="152"/>
      <c r="G596" s="152"/>
      <c r="H596" s="152"/>
      <c r="I596" s="152"/>
      <c r="J596" s="152"/>
      <c r="K596" s="152"/>
      <c r="L596" s="152"/>
      <c r="M596" s="152"/>
      <c r="N596" s="152"/>
      <c r="O596" s="152"/>
      <c r="P596" s="152"/>
      <c r="Q596" s="152"/>
      <c r="R596" s="152"/>
      <c r="S596" s="152"/>
      <c r="T596" s="152"/>
      <c r="U596" s="152"/>
      <c r="V596" s="152"/>
      <c r="W596" s="152"/>
      <c r="X596" s="152"/>
      <c r="Y596" s="152"/>
      <c r="Z596" s="152"/>
      <c r="AA596" s="152"/>
      <c r="AB596" s="152"/>
      <c r="AC596" s="152"/>
      <c r="AD596" s="152"/>
      <c r="AE596" s="152"/>
    </row>
    <row r="597" spans="1:31" ht="15.75">
      <c r="A597" s="152"/>
      <c r="B597" s="152"/>
      <c r="C597" s="281"/>
      <c r="D597" s="152"/>
      <c r="E597" s="152"/>
      <c r="F597" s="152"/>
      <c r="G597" s="152"/>
      <c r="H597" s="152"/>
      <c r="I597" s="152"/>
      <c r="J597" s="152"/>
      <c r="K597" s="152"/>
      <c r="L597" s="152"/>
      <c r="M597" s="152"/>
      <c r="N597" s="152"/>
      <c r="O597" s="152"/>
      <c r="P597" s="152"/>
      <c r="Q597" s="152"/>
      <c r="R597" s="152"/>
      <c r="S597" s="152"/>
      <c r="T597" s="152"/>
      <c r="U597" s="152"/>
      <c r="V597" s="152"/>
      <c r="W597" s="152"/>
      <c r="X597" s="152"/>
      <c r="Y597" s="152"/>
      <c r="Z597" s="152"/>
      <c r="AA597" s="152"/>
      <c r="AB597" s="152"/>
      <c r="AC597" s="152"/>
      <c r="AD597" s="152"/>
      <c r="AE597" s="152"/>
    </row>
    <row r="598" spans="1:31" ht="15.75">
      <c r="A598" s="152"/>
      <c r="B598" s="152"/>
      <c r="C598" s="281"/>
      <c r="D598" s="152"/>
      <c r="E598" s="152"/>
      <c r="F598" s="152"/>
      <c r="G598" s="152"/>
      <c r="H598" s="152"/>
      <c r="I598" s="152"/>
      <c r="J598" s="152"/>
      <c r="K598" s="152"/>
      <c r="L598" s="152"/>
      <c r="M598" s="152"/>
      <c r="N598" s="152"/>
      <c r="O598" s="152"/>
      <c r="P598" s="152"/>
      <c r="Q598" s="152"/>
      <c r="R598" s="152"/>
      <c r="S598" s="152"/>
      <c r="T598" s="152"/>
      <c r="U598" s="152"/>
      <c r="V598" s="152"/>
      <c r="W598" s="152"/>
      <c r="X598" s="152"/>
      <c r="Y598" s="152"/>
      <c r="Z598" s="152"/>
      <c r="AA598" s="152"/>
      <c r="AB598" s="152"/>
      <c r="AC598" s="152"/>
      <c r="AD598" s="152"/>
      <c r="AE598" s="152"/>
    </row>
    <row r="599" spans="1:31" ht="15.75">
      <c r="A599" s="152"/>
      <c r="B599" s="152"/>
      <c r="C599" s="281"/>
      <c r="D599" s="152"/>
      <c r="E599" s="152"/>
      <c r="F599" s="152"/>
      <c r="G599" s="152"/>
      <c r="H599" s="152"/>
      <c r="I599" s="152"/>
      <c r="J599" s="152"/>
      <c r="K599" s="152"/>
      <c r="L599" s="152"/>
      <c r="M599" s="152"/>
      <c r="N599" s="152"/>
      <c r="O599" s="152"/>
      <c r="P599" s="152"/>
      <c r="Q599" s="152"/>
      <c r="R599" s="152"/>
      <c r="S599" s="152"/>
      <c r="T599" s="152"/>
      <c r="U599" s="152"/>
      <c r="V599" s="152"/>
      <c r="W599" s="152"/>
      <c r="X599" s="152"/>
      <c r="Y599" s="152"/>
      <c r="Z599" s="152"/>
      <c r="AA599" s="152"/>
      <c r="AB599" s="152"/>
      <c r="AC599" s="152"/>
      <c r="AD599" s="152"/>
      <c r="AE599" s="152"/>
    </row>
    <row r="600" spans="1:31" ht="15.75">
      <c r="A600" s="152"/>
      <c r="B600" s="152"/>
      <c r="C600" s="281"/>
      <c r="D600" s="152"/>
      <c r="E600" s="152"/>
      <c r="F600" s="152"/>
      <c r="G600" s="152"/>
      <c r="H600" s="152"/>
      <c r="I600" s="152"/>
      <c r="J600" s="152"/>
      <c r="K600" s="152"/>
      <c r="L600" s="152"/>
      <c r="M600" s="152"/>
      <c r="N600" s="152"/>
      <c r="O600" s="152"/>
      <c r="P600" s="152"/>
      <c r="Q600" s="152"/>
      <c r="R600" s="152"/>
      <c r="S600" s="152"/>
      <c r="T600" s="152"/>
      <c r="U600" s="152"/>
      <c r="V600" s="152"/>
      <c r="W600" s="152"/>
      <c r="X600" s="152"/>
      <c r="Y600" s="152"/>
      <c r="Z600" s="152"/>
      <c r="AA600" s="152"/>
      <c r="AB600" s="152"/>
      <c r="AC600" s="152"/>
      <c r="AD600" s="152"/>
      <c r="AE600" s="152"/>
    </row>
    <row r="601" spans="1:31" ht="15.75">
      <c r="A601" s="152"/>
      <c r="B601" s="152"/>
      <c r="C601" s="281"/>
      <c r="D601" s="152"/>
      <c r="E601" s="152"/>
      <c r="F601" s="152"/>
      <c r="G601" s="152"/>
      <c r="H601" s="152"/>
      <c r="I601" s="152"/>
      <c r="J601" s="152"/>
      <c r="K601" s="152"/>
      <c r="L601" s="152"/>
      <c r="M601" s="152"/>
      <c r="N601" s="152"/>
      <c r="O601" s="152"/>
      <c r="P601" s="152"/>
      <c r="Q601" s="152"/>
      <c r="R601" s="152"/>
      <c r="S601" s="152"/>
      <c r="T601" s="152"/>
      <c r="U601" s="152"/>
      <c r="V601" s="152"/>
      <c r="W601" s="152"/>
      <c r="X601" s="152"/>
      <c r="Y601" s="152"/>
      <c r="Z601" s="152"/>
      <c r="AA601" s="152"/>
      <c r="AB601" s="152"/>
      <c r="AC601" s="152"/>
      <c r="AD601" s="152"/>
      <c r="AE601" s="152"/>
    </row>
    <row r="602" spans="1:31" ht="15.75">
      <c r="A602" s="152"/>
      <c r="B602" s="152"/>
      <c r="C602" s="281"/>
      <c r="D602" s="152"/>
      <c r="E602" s="152"/>
      <c r="F602" s="152"/>
      <c r="G602" s="152"/>
      <c r="H602" s="152"/>
      <c r="I602" s="152"/>
      <c r="J602" s="152"/>
      <c r="K602" s="152"/>
      <c r="L602" s="152"/>
      <c r="M602" s="152"/>
      <c r="N602" s="152"/>
      <c r="O602" s="152"/>
      <c r="P602" s="152"/>
      <c r="Q602" s="152"/>
      <c r="R602" s="152"/>
      <c r="S602" s="152"/>
      <c r="T602" s="152"/>
      <c r="U602" s="152"/>
      <c r="V602" s="152"/>
      <c r="W602" s="152"/>
      <c r="X602" s="152"/>
      <c r="Y602" s="152"/>
      <c r="Z602" s="152"/>
      <c r="AA602" s="152"/>
      <c r="AB602" s="152"/>
      <c r="AC602" s="152"/>
      <c r="AD602" s="152"/>
      <c r="AE602" s="152"/>
    </row>
    <row r="603" spans="1:31" ht="15.75">
      <c r="A603" s="152"/>
      <c r="B603" s="152"/>
      <c r="C603" s="281"/>
      <c r="D603" s="152"/>
      <c r="E603" s="152"/>
      <c r="F603" s="152"/>
      <c r="G603" s="152"/>
      <c r="H603" s="152"/>
      <c r="I603" s="152"/>
      <c r="J603" s="152"/>
      <c r="K603" s="152"/>
      <c r="L603" s="152"/>
      <c r="M603" s="152"/>
      <c r="N603" s="152"/>
      <c r="O603" s="152"/>
      <c r="P603" s="152"/>
      <c r="Q603" s="152"/>
      <c r="R603" s="152"/>
      <c r="S603" s="152"/>
      <c r="T603" s="152"/>
      <c r="U603" s="152"/>
      <c r="V603" s="152"/>
      <c r="W603" s="152"/>
      <c r="X603" s="152"/>
      <c r="Y603" s="152"/>
      <c r="Z603" s="152"/>
      <c r="AA603" s="152"/>
      <c r="AB603" s="152"/>
      <c r="AC603" s="152"/>
      <c r="AD603" s="152"/>
      <c r="AE603" s="152"/>
    </row>
    <row r="604" spans="1:31" ht="15.75">
      <c r="A604" s="152"/>
      <c r="B604" s="152"/>
      <c r="C604" s="281"/>
      <c r="D604" s="152"/>
      <c r="E604" s="152"/>
      <c r="F604" s="152"/>
      <c r="G604" s="152"/>
      <c r="H604" s="152"/>
      <c r="I604" s="152"/>
      <c r="J604" s="152"/>
      <c r="K604" s="152"/>
      <c r="L604" s="152"/>
      <c r="M604" s="152"/>
      <c r="N604" s="152"/>
      <c r="O604" s="152"/>
      <c r="P604" s="152"/>
      <c r="Q604" s="152"/>
      <c r="R604" s="152"/>
      <c r="S604" s="152"/>
      <c r="T604" s="152"/>
      <c r="U604" s="152"/>
      <c r="V604" s="152"/>
      <c r="W604" s="152"/>
      <c r="X604" s="152"/>
      <c r="Y604" s="152"/>
      <c r="Z604" s="152"/>
      <c r="AA604" s="152"/>
      <c r="AB604" s="152"/>
      <c r="AC604" s="152"/>
      <c r="AD604" s="152"/>
      <c r="AE604" s="152"/>
    </row>
    <row r="605" spans="1:31" ht="15.75">
      <c r="A605" s="152"/>
      <c r="B605" s="152"/>
      <c r="C605" s="281"/>
      <c r="D605" s="152"/>
      <c r="E605" s="152"/>
      <c r="F605" s="152"/>
      <c r="G605" s="152"/>
      <c r="H605" s="152"/>
      <c r="I605" s="152"/>
      <c r="J605" s="152"/>
      <c r="K605" s="152"/>
      <c r="L605" s="152"/>
      <c r="M605" s="152"/>
      <c r="N605" s="152"/>
      <c r="O605" s="152"/>
      <c r="P605" s="152"/>
      <c r="Q605" s="152"/>
      <c r="R605" s="152"/>
      <c r="S605" s="152"/>
      <c r="T605" s="152"/>
      <c r="U605" s="152"/>
      <c r="V605" s="152"/>
      <c r="W605" s="152"/>
      <c r="X605" s="152"/>
      <c r="Y605" s="152"/>
      <c r="Z605" s="152"/>
      <c r="AA605" s="152"/>
      <c r="AB605" s="152"/>
      <c r="AC605" s="152"/>
      <c r="AD605" s="152"/>
      <c r="AE605" s="152"/>
    </row>
    <row r="606" spans="1:31" ht="15.75">
      <c r="A606" s="152"/>
      <c r="B606" s="152"/>
      <c r="C606" s="281"/>
      <c r="D606" s="152"/>
      <c r="E606" s="152"/>
      <c r="F606" s="152"/>
      <c r="G606" s="152"/>
      <c r="H606" s="152"/>
      <c r="I606" s="152"/>
      <c r="J606" s="152"/>
      <c r="K606" s="152"/>
      <c r="L606" s="152"/>
      <c r="M606" s="152"/>
      <c r="N606" s="152"/>
      <c r="O606" s="152"/>
      <c r="P606" s="152"/>
      <c r="Q606" s="152"/>
      <c r="R606" s="152"/>
      <c r="S606" s="152"/>
      <c r="T606" s="152"/>
      <c r="U606" s="152"/>
      <c r="V606" s="152"/>
      <c r="W606" s="152"/>
      <c r="X606" s="152"/>
      <c r="Y606" s="152"/>
      <c r="Z606" s="152"/>
      <c r="AA606" s="152"/>
      <c r="AB606" s="152"/>
      <c r="AC606" s="152"/>
      <c r="AD606" s="152"/>
      <c r="AE606" s="152"/>
    </row>
    <row r="607" spans="1:31" ht="15.75">
      <c r="A607" s="152"/>
      <c r="B607" s="152"/>
      <c r="C607" s="281"/>
      <c r="D607" s="152"/>
      <c r="E607" s="152"/>
      <c r="F607" s="152"/>
      <c r="G607" s="152"/>
      <c r="H607" s="152"/>
      <c r="I607" s="152"/>
      <c r="J607" s="152"/>
      <c r="K607" s="152"/>
      <c r="L607" s="152"/>
      <c r="M607" s="152"/>
      <c r="N607" s="152"/>
      <c r="O607" s="152"/>
      <c r="P607" s="152"/>
      <c r="Q607" s="152"/>
      <c r="R607" s="152"/>
      <c r="S607" s="152"/>
      <c r="T607" s="152"/>
      <c r="U607" s="152"/>
      <c r="V607" s="152"/>
      <c r="W607" s="152"/>
      <c r="X607" s="152"/>
      <c r="Y607" s="152"/>
      <c r="Z607" s="152"/>
      <c r="AA607" s="152"/>
      <c r="AB607" s="152"/>
      <c r="AC607" s="152"/>
      <c r="AD607" s="152"/>
      <c r="AE607" s="152"/>
    </row>
    <row r="608" spans="1:31" ht="15.75">
      <c r="A608" s="152"/>
      <c r="B608" s="152"/>
      <c r="C608" s="281"/>
      <c r="D608" s="152"/>
      <c r="E608" s="152"/>
      <c r="F608" s="152"/>
      <c r="G608" s="152"/>
      <c r="H608" s="152"/>
      <c r="I608" s="152"/>
      <c r="J608" s="152"/>
      <c r="K608" s="152"/>
      <c r="L608" s="152"/>
      <c r="M608" s="152"/>
      <c r="N608" s="152"/>
      <c r="O608" s="152"/>
      <c r="P608" s="152"/>
      <c r="Q608" s="152"/>
      <c r="R608" s="152"/>
      <c r="S608" s="152"/>
      <c r="T608" s="152"/>
      <c r="U608" s="152"/>
      <c r="V608" s="152"/>
      <c r="W608" s="152"/>
      <c r="X608" s="152"/>
      <c r="Y608" s="152"/>
      <c r="Z608" s="152"/>
      <c r="AA608" s="152"/>
      <c r="AB608" s="152"/>
      <c r="AC608" s="152"/>
      <c r="AD608" s="152"/>
      <c r="AE608" s="152"/>
    </row>
    <row r="609" spans="1:31" ht="15.75">
      <c r="A609" s="152"/>
      <c r="B609" s="152"/>
      <c r="C609" s="281"/>
      <c r="D609" s="152"/>
      <c r="E609" s="152"/>
      <c r="F609" s="152"/>
      <c r="G609" s="152"/>
      <c r="H609" s="152"/>
      <c r="I609" s="152"/>
      <c r="J609" s="152"/>
      <c r="K609" s="152"/>
      <c r="L609" s="152"/>
      <c r="M609" s="152"/>
      <c r="N609" s="152"/>
      <c r="O609" s="152"/>
      <c r="P609" s="152"/>
      <c r="Q609" s="152"/>
      <c r="R609" s="152"/>
      <c r="S609" s="152"/>
      <c r="T609" s="152"/>
      <c r="U609" s="152"/>
      <c r="V609" s="152"/>
      <c r="W609" s="152"/>
      <c r="X609" s="152"/>
      <c r="Y609" s="152"/>
      <c r="Z609" s="152"/>
      <c r="AA609" s="152"/>
      <c r="AB609" s="152"/>
      <c r="AC609" s="152"/>
      <c r="AD609" s="152"/>
      <c r="AE609" s="152"/>
    </row>
    <row r="610" spans="1:31" ht="15.75">
      <c r="A610" s="152"/>
      <c r="B610" s="152"/>
      <c r="C610" s="281"/>
      <c r="D610" s="152"/>
      <c r="E610" s="152"/>
      <c r="F610" s="152"/>
      <c r="G610" s="152"/>
      <c r="H610" s="152"/>
      <c r="I610" s="152"/>
      <c r="J610" s="152"/>
      <c r="K610" s="152"/>
      <c r="L610" s="152"/>
      <c r="M610" s="152"/>
      <c r="N610" s="152"/>
      <c r="O610" s="152"/>
      <c r="P610" s="152"/>
      <c r="Q610" s="152"/>
      <c r="R610" s="152"/>
      <c r="S610" s="152"/>
      <c r="T610" s="152"/>
      <c r="U610" s="152"/>
      <c r="V610" s="152"/>
      <c r="W610" s="152"/>
      <c r="X610" s="152"/>
      <c r="Y610" s="152"/>
      <c r="Z610" s="152"/>
      <c r="AA610" s="152"/>
      <c r="AB610" s="152"/>
      <c r="AC610" s="152"/>
      <c r="AD610" s="152"/>
      <c r="AE610" s="152"/>
    </row>
    <row r="611" spans="1:31" ht="15.75">
      <c r="A611" s="152"/>
      <c r="B611" s="152"/>
      <c r="C611" s="281"/>
      <c r="D611" s="152"/>
      <c r="E611" s="152"/>
      <c r="F611" s="152"/>
      <c r="G611" s="152"/>
      <c r="H611" s="152"/>
      <c r="I611" s="152"/>
      <c r="J611" s="152"/>
      <c r="K611" s="152"/>
      <c r="L611" s="152"/>
      <c r="M611" s="152"/>
      <c r="N611" s="152"/>
      <c r="O611" s="152"/>
      <c r="P611" s="152"/>
      <c r="Q611" s="152"/>
      <c r="R611" s="152"/>
      <c r="S611" s="152"/>
      <c r="T611" s="152"/>
      <c r="U611" s="152"/>
      <c r="V611" s="152"/>
      <c r="W611" s="152"/>
      <c r="X611" s="152"/>
      <c r="Y611" s="152"/>
      <c r="Z611" s="152"/>
      <c r="AA611" s="152"/>
      <c r="AB611" s="152"/>
      <c r="AC611" s="152"/>
      <c r="AD611" s="152"/>
      <c r="AE611" s="152"/>
    </row>
    <row r="612" spans="1:31" ht="15.75">
      <c r="A612" s="152"/>
      <c r="B612" s="152"/>
      <c r="C612" s="281"/>
      <c r="D612" s="152"/>
      <c r="E612" s="152"/>
      <c r="F612" s="152"/>
      <c r="G612" s="152"/>
      <c r="H612" s="152"/>
      <c r="I612" s="152"/>
      <c r="J612" s="152"/>
      <c r="K612" s="152"/>
      <c r="L612" s="152"/>
      <c r="M612" s="152"/>
      <c r="N612" s="152"/>
      <c r="O612" s="152"/>
      <c r="P612" s="152"/>
      <c r="Q612" s="152"/>
      <c r="R612" s="152"/>
      <c r="S612" s="152"/>
      <c r="T612" s="152"/>
      <c r="U612" s="152"/>
      <c r="V612" s="152"/>
      <c r="W612" s="152"/>
      <c r="X612" s="152"/>
      <c r="Y612" s="152"/>
      <c r="Z612" s="152"/>
      <c r="AA612" s="152"/>
      <c r="AB612" s="152"/>
      <c r="AC612" s="152"/>
      <c r="AD612" s="152"/>
      <c r="AE612" s="152"/>
    </row>
    <row r="613" spans="1:31" ht="15.75">
      <c r="A613" s="152"/>
      <c r="B613" s="152"/>
      <c r="C613" s="281"/>
      <c r="D613" s="152"/>
      <c r="E613" s="152"/>
      <c r="F613" s="152"/>
      <c r="G613" s="152"/>
      <c r="H613" s="152"/>
      <c r="I613" s="152"/>
      <c r="J613" s="152"/>
      <c r="K613" s="152"/>
      <c r="L613" s="152"/>
      <c r="M613" s="152"/>
      <c r="N613" s="152"/>
      <c r="O613" s="152"/>
      <c r="P613" s="152"/>
      <c r="Q613" s="152"/>
      <c r="R613" s="152"/>
      <c r="S613" s="152"/>
      <c r="T613" s="152"/>
      <c r="U613" s="152"/>
      <c r="V613" s="152"/>
      <c r="W613" s="152"/>
      <c r="X613" s="152"/>
      <c r="Y613" s="152"/>
      <c r="Z613" s="152"/>
      <c r="AA613" s="152"/>
      <c r="AB613" s="152"/>
      <c r="AC613" s="152"/>
      <c r="AD613" s="152"/>
      <c r="AE613" s="152"/>
    </row>
    <row r="614" spans="1:31" ht="15.75">
      <c r="A614" s="152"/>
      <c r="B614" s="152"/>
      <c r="C614" s="281"/>
      <c r="D614" s="152"/>
      <c r="E614" s="152"/>
      <c r="F614" s="152"/>
      <c r="G614" s="152"/>
      <c r="H614" s="152"/>
      <c r="I614" s="152"/>
      <c r="J614" s="152"/>
      <c r="K614" s="152"/>
      <c r="L614" s="152"/>
      <c r="M614" s="152"/>
      <c r="N614" s="152"/>
      <c r="O614" s="152"/>
      <c r="P614" s="152"/>
      <c r="Q614" s="152"/>
      <c r="R614" s="152"/>
      <c r="S614" s="152"/>
      <c r="T614" s="152"/>
      <c r="U614" s="152"/>
      <c r="V614" s="152"/>
      <c r="W614" s="152"/>
      <c r="X614" s="152"/>
      <c r="Y614" s="152"/>
      <c r="Z614" s="152"/>
      <c r="AA614" s="152"/>
      <c r="AB614" s="152"/>
      <c r="AC614" s="152"/>
      <c r="AD614" s="152"/>
      <c r="AE614" s="152"/>
    </row>
    <row r="615" spans="1:31" ht="15.75">
      <c r="A615" s="152"/>
      <c r="B615" s="152"/>
      <c r="C615" s="281"/>
      <c r="D615" s="152"/>
      <c r="E615" s="152"/>
      <c r="F615" s="152"/>
      <c r="G615" s="152"/>
      <c r="H615" s="152"/>
      <c r="I615" s="152"/>
      <c r="J615" s="152"/>
      <c r="K615" s="152"/>
      <c r="L615" s="152"/>
      <c r="M615" s="152"/>
      <c r="N615" s="152"/>
      <c r="O615" s="152"/>
      <c r="P615" s="152"/>
      <c r="Q615" s="152"/>
      <c r="R615" s="152"/>
      <c r="S615" s="152"/>
      <c r="T615" s="152"/>
      <c r="U615" s="152"/>
      <c r="V615" s="152"/>
      <c r="W615" s="152"/>
      <c r="X615" s="152"/>
      <c r="Y615" s="152"/>
      <c r="Z615" s="152"/>
      <c r="AA615" s="152"/>
      <c r="AB615" s="152"/>
      <c r="AC615" s="152"/>
      <c r="AD615" s="152"/>
      <c r="AE615" s="152"/>
    </row>
    <row r="616" spans="1:31" ht="15.75">
      <c r="A616" s="152"/>
      <c r="B616" s="152"/>
      <c r="C616" s="281"/>
      <c r="D616" s="152"/>
      <c r="E616" s="152"/>
      <c r="F616" s="152"/>
      <c r="G616" s="152"/>
      <c r="H616" s="152"/>
      <c r="I616" s="152"/>
      <c r="J616" s="152"/>
      <c r="K616" s="152"/>
      <c r="L616" s="152"/>
      <c r="M616" s="152"/>
      <c r="N616" s="152"/>
      <c r="O616" s="152"/>
      <c r="P616" s="152"/>
      <c r="Q616" s="152"/>
      <c r="R616" s="152"/>
      <c r="S616" s="152"/>
      <c r="T616" s="152"/>
      <c r="U616" s="152"/>
      <c r="V616" s="152"/>
      <c r="W616" s="152"/>
      <c r="X616" s="152"/>
      <c r="Y616" s="152"/>
      <c r="Z616" s="152"/>
      <c r="AA616" s="152"/>
      <c r="AB616" s="152"/>
      <c r="AC616" s="152"/>
      <c r="AD616" s="152"/>
      <c r="AE616" s="152"/>
    </row>
    <row r="617" spans="1:31" ht="15.75">
      <c r="A617" s="152"/>
      <c r="B617" s="152"/>
      <c r="C617" s="281"/>
      <c r="D617" s="152"/>
      <c r="E617" s="152"/>
      <c r="F617" s="152"/>
      <c r="G617" s="152"/>
      <c r="H617" s="152"/>
      <c r="I617" s="152"/>
      <c r="J617" s="152"/>
      <c r="K617" s="152"/>
      <c r="L617" s="152"/>
      <c r="M617" s="152"/>
      <c r="N617" s="152"/>
      <c r="O617" s="152"/>
      <c r="P617" s="152"/>
      <c r="Q617" s="152"/>
      <c r="R617" s="152"/>
      <c r="S617" s="152"/>
      <c r="T617" s="152"/>
      <c r="U617" s="152"/>
      <c r="V617" s="152"/>
      <c r="W617" s="152"/>
      <c r="X617" s="152"/>
      <c r="Y617" s="152"/>
      <c r="Z617" s="152"/>
      <c r="AA617" s="152"/>
      <c r="AB617" s="152"/>
      <c r="AC617" s="152"/>
      <c r="AD617" s="152"/>
      <c r="AE617" s="152"/>
    </row>
    <row r="618" spans="1:31" ht="15.75">
      <c r="A618" s="152"/>
      <c r="B618" s="152"/>
      <c r="C618" s="281"/>
      <c r="D618" s="152"/>
      <c r="E618" s="152"/>
      <c r="F618" s="152"/>
      <c r="G618" s="152"/>
      <c r="H618" s="152"/>
      <c r="I618" s="152"/>
      <c r="J618" s="152"/>
      <c r="K618" s="152"/>
      <c r="L618" s="152"/>
      <c r="M618" s="152"/>
      <c r="N618" s="152"/>
      <c r="O618" s="152"/>
      <c r="P618" s="152"/>
      <c r="Q618" s="152"/>
      <c r="R618" s="152"/>
      <c r="S618" s="152"/>
      <c r="T618" s="152"/>
      <c r="U618" s="152"/>
      <c r="V618" s="152"/>
      <c r="W618" s="152"/>
      <c r="X618" s="152"/>
      <c r="Y618" s="152"/>
      <c r="Z618" s="152"/>
      <c r="AA618" s="152"/>
      <c r="AB618" s="152"/>
      <c r="AC618" s="152"/>
      <c r="AD618" s="152"/>
      <c r="AE618" s="152"/>
    </row>
    <row r="619" spans="1:31" ht="15.75">
      <c r="A619" s="152"/>
      <c r="B619" s="152"/>
      <c r="C619" s="281"/>
      <c r="D619" s="152"/>
      <c r="E619" s="152"/>
      <c r="F619" s="152"/>
      <c r="G619" s="152"/>
      <c r="H619" s="152"/>
      <c r="I619" s="152"/>
      <c r="J619" s="152"/>
      <c r="K619" s="152"/>
      <c r="L619" s="152"/>
      <c r="M619" s="152"/>
      <c r="N619" s="152"/>
      <c r="O619" s="152"/>
      <c r="P619" s="152"/>
      <c r="Q619" s="152"/>
      <c r="R619" s="152"/>
      <c r="S619" s="152"/>
      <c r="T619" s="152"/>
      <c r="U619" s="152"/>
      <c r="V619" s="152"/>
      <c r="W619" s="152"/>
      <c r="X619" s="152"/>
      <c r="Y619" s="152"/>
      <c r="Z619" s="152"/>
      <c r="AA619" s="152"/>
      <c r="AB619" s="152"/>
      <c r="AC619" s="152"/>
      <c r="AD619" s="152"/>
      <c r="AE619" s="152"/>
    </row>
    <row r="620" spans="1:31" ht="15.75">
      <c r="A620" s="152"/>
      <c r="B620" s="152"/>
      <c r="C620" s="281"/>
      <c r="D620" s="152"/>
      <c r="E620" s="152"/>
      <c r="F620" s="152"/>
      <c r="G620" s="152"/>
      <c r="H620" s="152"/>
      <c r="I620" s="152"/>
      <c r="J620" s="152"/>
      <c r="K620" s="152"/>
      <c r="L620" s="152"/>
      <c r="M620" s="152"/>
      <c r="N620" s="152"/>
      <c r="O620" s="152"/>
      <c r="P620" s="152"/>
      <c r="Q620" s="152"/>
      <c r="R620" s="152"/>
      <c r="S620" s="152"/>
      <c r="T620" s="152"/>
      <c r="U620" s="152"/>
      <c r="V620" s="152"/>
      <c r="W620" s="152"/>
      <c r="X620" s="152"/>
      <c r="Y620" s="152"/>
      <c r="Z620" s="152"/>
      <c r="AA620" s="152"/>
      <c r="AB620" s="152"/>
      <c r="AC620" s="152"/>
      <c r="AD620" s="152"/>
      <c r="AE620" s="152"/>
    </row>
    <row r="621" spans="1:31" ht="15.75">
      <c r="A621" s="152"/>
      <c r="B621" s="152"/>
      <c r="C621" s="281"/>
      <c r="D621" s="152"/>
      <c r="E621" s="152"/>
      <c r="F621" s="152"/>
      <c r="G621" s="152"/>
      <c r="H621" s="152"/>
      <c r="I621" s="152"/>
      <c r="J621" s="152"/>
      <c r="K621" s="152"/>
      <c r="L621" s="152"/>
      <c r="M621" s="152"/>
      <c r="N621" s="152"/>
      <c r="O621" s="152"/>
      <c r="P621" s="152"/>
      <c r="Q621" s="152"/>
      <c r="R621" s="152"/>
      <c r="S621" s="152"/>
      <c r="T621" s="152"/>
      <c r="U621" s="152"/>
      <c r="V621" s="152"/>
      <c r="W621" s="152"/>
      <c r="X621" s="152"/>
      <c r="Y621" s="152"/>
      <c r="Z621" s="152"/>
      <c r="AA621" s="152"/>
      <c r="AB621" s="152"/>
      <c r="AC621" s="152"/>
      <c r="AD621" s="152"/>
      <c r="AE621" s="152"/>
    </row>
    <row r="622" spans="1:31" ht="15.75">
      <c r="A622" s="152"/>
      <c r="B622" s="152"/>
      <c r="C622" s="281"/>
      <c r="D622" s="152"/>
      <c r="E622" s="152"/>
      <c r="F622" s="152"/>
      <c r="G622" s="152"/>
      <c r="H622" s="152"/>
      <c r="I622" s="152"/>
      <c r="J622" s="152"/>
      <c r="K622" s="152"/>
      <c r="L622" s="152"/>
      <c r="M622" s="152"/>
      <c r="N622" s="152"/>
      <c r="O622" s="152"/>
      <c r="P622" s="152"/>
      <c r="Q622" s="152"/>
      <c r="R622" s="152"/>
      <c r="S622" s="152"/>
      <c r="T622" s="152"/>
      <c r="U622" s="152"/>
      <c r="V622" s="152"/>
      <c r="W622" s="152"/>
      <c r="X622" s="152"/>
      <c r="Y622" s="152"/>
      <c r="Z622" s="152"/>
      <c r="AA622" s="152"/>
      <c r="AB622" s="152"/>
      <c r="AC622" s="152"/>
      <c r="AD622" s="152"/>
      <c r="AE622" s="152"/>
    </row>
    <row r="623" spans="1:31" ht="15.75">
      <c r="A623" s="152"/>
      <c r="B623" s="152"/>
      <c r="C623" s="281"/>
      <c r="D623" s="152"/>
      <c r="E623" s="152"/>
      <c r="F623" s="152"/>
      <c r="G623" s="152"/>
      <c r="H623" s="152"/>
      <c r="I623" s="152"/>
      <c r="J623" s="152"/>
      <c r="K623" s="152"/>
      <c r="L623" s="152"/>
      <c r="M623" s="152"/>
      <c r="N623" s="152"/>
      <c r="O623" s="152"/>
      <c r="P623" s="152"/>
      <c r="Q623" s="152"/>
      <c r="R623" s="152"/>
      <c r="S623" s="152"/>
      <c r="T623" s="152"/>
      <c r="U623" s="152"/>
      <c r="V623" s="152"/>
      <c r="W623" s="152"/>
      <c r="X623" s="152"/>
      <c r="Y623" s="152"/>
      <c r="Z623" s="152"/>
      <c r="AA623" s="152"/>
      <c r="AB623" s="152"/>
      <c r="AC623" s="152"/>
      <c r="AD623" s="152"/>
      <c r="AE623" s="152"/>
    </row>
    <row r="624" spans="1:31" ht="15.75">
      <c r="A624" s="152"/>
      <c r="B624" s="152"/>
      <c r="C624" s="281"/>
      <c r="D624" s="152"/>
      <c r="E624" s="152"/>
      <c r="F624" s="152"/>
      <c r="G624" s="152"/>
      <c r="H624" s="152"/>
      <c r="I624" s="152"/>
      <c r="J624" s="152"/>
      <c r="K624" s="152"/>
      <c r="L624" s="152"/>
      <c r="M624" s="152"/>
      <c r="N624" s="152"/>
      <c r="O624" s="152"/>
      <c r="P624" s="152"/>
      <c r="Q624" s="152"/>
      <c r="R624" s="152"/>
      <c r="S624" s="152"/>
      <c r="T624" s="152"/>
      <c r="U624" s="152"/>
      <c r="V624" s="152"/>
      <c r="W624" s="152"/>
      <c r="X624" s="152"/>
      <c r="Y624" s="152"/>
      <c r="Z624" s="152"/>
      <c r="AA624" s="152"/>
      <c r="AB624" s="152"/>
      <c r="AC624" s="152"/>
      <c r="AD624" s="152"/>
      <c r="AE624" s="152"/>
    </row>
    <row r="625" spans="1:31" ht="15.75">
      <c r="A625" s="152"/>
      <c r="B625" s="152"/>
      <c r="C625" s="281"/>
      <c r="D625" s="152"/>
      <c r="E625" s="152"/>
      <c r="F625" s="152"/>
      <c r="G625" s="152"/>
      <c r="H625" s="152"/>
      <c r="I625" s="152"/>
      <c r="J625" s="152"/>
      <c r="K625" s="152"/>
      <c r="L625" s="152"/>
      <c r="M625" s="152"/>
      <c r="N625" s="152"/>
      <c r="O625" s="152"/>
      <c r="P625" s="152"/>
      <c r="Q625" s="152"/>
      <c r="R625" s="152"/>
      <c r="S625" s="152"/>
      <c r="T625" s="152"/>
      <c r="U625" s="152"/>
      <c r="V625" s="152"/>
      <c r="W625" s="152"/>
      <c r="X625" s="152"/>
      <c r="Y625" s="152"/>
      <c r="Z625" s="152"/>
      <c r="AA625" s="152"/>
      <c r="AB625" s="152"/>
      <c r="AC625" s="152"/>
      <c r="AD625" s="152"/>
      <c r="AE625" s="152"/>
    </row>
    <row r="626" spans="1:31" ht="15.75">
      <c r="A626" s="152"/>
      <c r="B626" s="152"/>
      <c r="C626" s="281"/>
      <c r="D626" s="152"/>
      <c r="E626" s="152"/>
      <c r="F626" s="152"/>
      <c r="G626" s="152"/>
      <c r="H626" s="152"/>
      <c r="I626" s="152"/>
      <c r="J626" s="152"/>
      <c r="K626" s="152"/>
      <c r="L626" s="152"/>
      <c r="M626" s="152"/>
      <c r="N626" s="152"/>
      <c r="O626" s="152"/>
      <c r="P626" s="152"/>
      <c r="Q626" s="152"/>
      <c r="R626" s="152"/>
      <c r="S626" s="152"/>
      <c r="T626" s="152"/>
      <c r="U626" s="152"/>
      <c r="V626" s="152"/>
      <c r="W626" s="152"/>
      <c r="X626" s="152"/>
      <c r="Y626" s="152"/>
      <c r="Z626" s="152"/>
      <c r="AA626" s="152"/>
      <c r="AB626" s="152"/>
      <c r="AC626" s="152"/>
      <c r="AD626" s="152"/>
      <c r="AE626" s="152"/>
    </row>
    <row r="627" spans="1:31" ht="15.75">
      <c r="A627" s="152"/>
      <c r="B627" s="152"/>
      <c r="C627" s="281"/>
      <c r="D627" s="152"/>
      <c r="E627" s="152"/>
      <c r="F627" s="152"/>
      <c r="G627" s="152"/>
      <c r="H627" s="152"/>
      <c r="I627" s="152"/>
      <c r="J627" s="152"/>
      <c r="K627" s="152"/>
      <c r="L627" s="152"/>
      <c r="M627" s="152"/>
      <c r="N627" s="152"/>
      <c r="O627" s="152"/>
      <c r="P627" s="152"/>
      <c r="Q627" s="152"/>
      <c r="R627" s="152"/>
      <c r="S627" s="152"/>
      <c r="T627" s="152"/>
      <c r="U627" s="152"/>
      <c r="V627" s="152"/>
      <c r="W627" s="152"/>
      <c r="X627" s="152"/>
      <c r="Y627" s="152"/>
      <c r="Z627" s="152"/>
      <c r="AA627" s="152"/>
      <c r="AB627" s="152"/>
      <c r="AC627" s="152"/>
      <c r="AD627" s="152"/>
      <c r="AE627" s="152"/>
    </row>
    <row r="628" spans="1:31" ht="15.75">
      <c r="A628" s="152"/>
      <c r="B628" s="152"/>
      <c r="C628" s="281"/>
      <c r="D628" s="152"/>
      <c r="E628" s="152"/>
      <c r="F628" s="152"/>
      <c r="G628" s="152"/>
      <c r="H628" s="152"/>
      <c r="I628" s="152"/>
      <c r="J628" s="152"/>
      <c r="K628" s="152"/>
      <c r="L628" s="152"/>
      <c r="M628" s="152"/>
      <c r="N628" s="152"/>
      <c r="O628" s="152"/>
      <c r="P628" s="152"/>
      <c r="Q628" s="152"/>
      <c r="R628" s="152"/>
      <c r="S628" s="152"/>
      <c r="T628" s="152"/>
      <c r="U628" s="152"/>
      <c r="V628" s="152"/>
      <c r="W628" s="152"/>
      <c r="X628" s="152"/>
      <c r="Y628" s="152"/>
      <c r="Z628" s="152"/>
      <c r="AA628" s="152"/>
      <c r="AB628" s="152"/>
      <c r="AC628" s="152"/>
      <c r="AD628" s="152"/>
      <c r="AE628" s="152"/>
    </row>
    <row r="629" spans="1:31" ht="15.75">
      <c r="A629" s="152"/>
      <c r="B629" s="152"/>
      <c r="C629" s="281"/>
      <c r="D629" s="152"/>
      <c r="E629" s="152"/>
      <c r="F629" s="152"/>
      <c r="G629" s="152"/>
      <c r="H629" s="152"/>
      <c r="I629" s="152"/>
      <c r="J629" s="152"/>
      <c r="K629" s="152"/>
      <c r="L629" s="152"/>
      <c r="M629" s="152"/>
      <c r="N629" s="152"/>
      <c r="O629" s="152"/>
      <c r="P629" s="152"/>
      <c r="Q629" s="152"/>
      <c r="R629" s="152"/>
      <c r="S629" s="152"/>
      <c r="T629" s="152"/>
      <c r="U629" s="152"/>
      <c r="V629" s="152"/>
      <c r="W629" s="152"/>
      <c r="X629" s="152"/>
      <c r="Y629" s="152"/>
      <c r="Z629" s="152"/>
      <c r="AA629" s="152"/>
      <c r="AB629" s="152"/>
      <c r="AC629" s="152"/>
      <c r="AD629" s="152"/>
      <c r="AE629" s="152"/>
    </row>
    <row r="630" spans="1:31" ht="15.75">
      <c r="A630" s="152"/>
      <c r="B630" s="152"/>
      <c r="C630" s="281"/>
      <c r="D630" s="152"/>
      <c r="E630" s="152"/>
      <c r="F630" s="152"/>
      <c r="G630" s="152"/>
      <c r="H630" s="152"/>
      <c r="I630" s="152"/>
      <c r="J630" s="152"/>
      <c r="K630" s="152"/>
      <c r="L630" s="152"/>
      <c r="M630" s="152"/>
      <c r="N630" s="152"/>
      <c r="O630" s="152"/>
      <c r="P630" s="152"/>
      <c r="Q630" s="152"/>
      <c r="R630" s="152"/>
      <c r="S630" s="152"/>
      <c r="T630" s="152"/>
      <c r="U630" s="152"/>
      <c r="V630" s="152"/>
      <c r="W630" s="152"/>
      <c r="X630" s="152"/>
      <c r="Y630" s="152"/>
      <c r="Z630" s="152"/>
      <c r="AA630" s="152"/>
      <c r="AB630" s="152"/>
      <c r="AC630" s="152"/>
      <c r="AD630" s="152"/>
      <c r="AE630" s="152"/>
    </row>
    <row r="631" spans="1:31" ht="15.75">
      <c r="A631" s="152"/>
      <c r="B631" s="152"/>
      <c r="C631" s="281"/>
      <c r="D631" s="152"/>
      <c r="E631" s="152"/>
      <c r="F631" s="152"/>
      <c r="G631" s="152"/>
      <c r="H631" s="152"/>
      <c r="I631" s="152"/>
      <c r="J631" s="152"/>
      <c r="K631" s="152"/>
      <c r="L631" s="152"/>
      <c r="M631" s="152"/>
      <c r="N631" s="152"/>
      <c r="O631" s="152"/>
      <c r="P631" s="152"/>
      <c r="Q631" s="152"/>
      <c r="R631" s="152"/>
      <c r="S631" s="152"/>
      <c r="T631" s="152"/>
      <c r="U631" s="152"/>
      <c r="V631" s="152"/>
      <c r="W631" s="152"/>
      <c r="X631" s="152"/>
      <c r="Y631" s="152"/>
      <c r="Z631" s="152"/>
      <c r="AA631" s="152"/>
      <c r="AB631" s="152"/>
      <c r="AC631" s="152"/>
      <c r="AD631" s="152"/>
      <c r="AE631" s="152"/>
    </row>
    <row r="632" spans="1:31" ht="15.75">
      <c r="A632" s="152"/>
      <c r="B632" s="152"/>
      <c r="C632" s="281"/>
      <c r="D632" s="152"/>
      <c r="E632" s="152"/>
      <c r="F632" s="152"/>
      <c r="G632" s="152"/>
      <c r="H632" s="152"/>
      <c r="I632" s="152"/>
      <c r="J632" s="152"/>
      <c r="K632" s="152"/>
      <c r="L632" s="152"/>
      <c r="M632" s="152"/>
      <c r="N632" s="152"/>
      <c r="O632" s="152"/>
      <c r="P632" s="152"/>
      <c r="Q632" s="152"/>
      <c r="R632" s="152"/>
      <c r="S632" s="152"/>
      <c r="T632" s="152"/>
      <c r="U632" s="152"/>
      <c r="V632" s="152"/>
      <c r="W632" s="152"/>
      <c r="X632" s="152"/>
      <c r="Y632" s="152"/>
      <c r="Z632" s="152"/>
      <c r="AA632" s="152"/>
      <c r="AB632" s="152"/>
      <c r="AC632" s="152"/>
      <c r="AD632" s="152"/>
      <c r="AE632" s="152"/>
    </row>
    <row r="633" spans="1:31" ht="15.75">
      <c r="A633" s="152"/>
      <c r="B633" s="152"/>
      <c r="C633" s="281"/>
      <c r="D633" s="152"/>
      <c r="E633" s="152"/>
      <c r="F633" s="152"/>
      <c r="G633" s="152"/>
      <c r="H633" s="152"/>
      <c r="I633" s="152"/>
      <c r="J633" s="152"/>
      <c r="K633" s="152"/>
      <c r="L633" s="152"/>
      <c r="M633" s="152"/>
      <c r="N633" s="152"/>
      <c r="O633" s="152"/>
      <c r="P633" s="152"/>
      <c r="Q633" s="152"/>
      <c r="R633" s="152"/>
      <c r="S633" s="152"/>
      <c r="T633" s="152"/>
      <c r="U633" s="152"/>
      <c r="V633" s="152"/>
      <c r="W633" s="152"/>
      <c r="X633" s="152"/>
      <c r="Y633" s="152"/>
      <c r="Z633" s="152"/>
      <c r="AA633" s="152"/>
      <c r="AB633" s="152"/>
      <c r="AC633" s="152"/>
      <c r="AD633" s="152"/>
      <c r="AE633" s="152"/>
    </row>
    <row r="634" spans="1:31" ht="15.75">
      <c r="A634" s="152"/>
      <c r="B634" s="152"/>
      <c r="C634" s="281"/>
      <c r="D634" s="152"/>
      <c r="E634" s="152"/>
      <c r="F634" s="152"/>
      <c r="G634" s="152"/>
      <c r="H634" s="152"/>
      <c r="I634" s="152"/>
      <c r="J634" s="152"/>
      <c r="K634" s="152"/>
      <c r="L634" s="152"/>
      <c r="M634" s="152"/>
      <c r="N634" s="152"/>
      <c r="O634" s="152"/>
      <c r="P634" s="152"/>
      <c r="Q634" s="152"/>
      <c r="R634" s="152"/>
      <c r="S634" s="152"/>
      <c r="T634" s="152"/>
      <c r="U634" s="152"/>
      <c r="V634" s="152"/>
      <c r="W634" s="152"/>
      <c r="X634" s="152"/>
      <c r="Y634" s="152"/>
      <c r="Z634" s="152"/>
      <c r="AA634" s="152"/>
      <c r="AB634" s="152"/>
      <c r="AC634" s="152"/>
      <c r="AD634" s="152"/>
      <c r="AE634" s="152"/>
    </row>
    <row r="635" spans="1:31" ht="15.75">
      <c r="A635" s="152"/>
      <c r="B635" s="152"/>
      <c r="C635" s="281"/>
      <c r="D635" s="152"/>
      <c r="E635" s="152"/>
      <c r="F635" s="152"/>
      <c r="G635" s="152"/>
      <c r="H635" s="152"/>
      <c r="I635" s="152"/>
      <c r="J635" s="152"/>
      <c r="K635" s="152"/>
      <c r="L635" s="152"/>
      <c r="M635" s="152"/>
      <c r="N635" s="152"/>
      <c r="O635" s="152"/>
      <c r="P635" s="152"/>
      <c r="Q635" s="152"/>
      <c r="R635" s="152"/>
      <c r="S635" s="152"/>
      <c r="T635" s="152"/>
      <c r="U635" s="152"/>
      <c r="V635" s="152"/>
      <c r="W635" s="152"/>
      <c r="X635" s="152"/>
      <c r="Y635" s="152"/>
      <c r="Z635" s="152"/>
      <c r="AA635" s="152"/>
      <c r="AB635" s="152"/>
      <c r="AC635" s="152"/>
      <c r="AD635" s="152"/>
      <c r="AE635" s="152"/>
    </row>
    <row r="636" spans="1:31" ht="15.75">
      <c r="A636" s="152"/>
      <c r="B636" s="152"/>
      <c r="C636" s="281"/>
      <c r="D636" s="152"/>
      <c r="E636" s="152"/>
      <c r="F636" s="152"/>
      <c r="G636" s="152"/>
      <c r="H636" s="152"/>
      <c r="I636" s="152"/>
      <c r="J636" s="152"/>
      <c r="K636" s="152"/>
      <c r="L636" s="152"/>
      <c r="M636" s="152"/>
      <c r="N636" s="152"/>
      <c r="O636" s="152"/>
      <c r="P636" s="152"/>
      <c r="Q636" s="152"/>
      <c r="R636" s="152"/>
      <c r="S636" s="152"/>
      <c r="T636" s="152"/>
      <c r="U636" s="152"/>
      <c r="V636" s="152"/>
      <c r="W636" s="152"/>
      <c r="X636" s="152"/>
      <c r="Y636" s="152"/>
      <c r="Z636" s="152"/>
      <c r="AA636" s="152"/>
      <c r="AB636" s="152"/>
      <c r="AC636" s="152"/>
      <c r="AD636" s="152"/>
      <c r="AE636" s="152"/>
    </row>
    <row r="637" spans="1:31" ht="15.75">
      <c r="A637" s="152"/>
      <c r="B637" s="152"/>
      <c r="C637" s="281"/>
      <c r="D637" s="152"/>
      <c r="E637" s="152"/>
      <c r="F637" s="152"/>
      <c r="G637" s="152"/>
      <c r="H637" s="152"/>
      <c r="I637" s="152"/>
      <c r="J637" s="152"/>
      <c r="K637" s="152"/>
      <c r="L637" s="152"/>
      <c r="M637" s="152"/>
      <c r="N637" s="152"/>
      <c r="O637" s="152"/>
      <c r="P637" s="152"/>
      <c r="Q637" s="152"/>
      <c r="R637" s="152"/>
      <c r="S637" s="152"/>
      <c r="T637" s="152"/>
      <c r="U637" s="152"/>
      <c r="V637" s="152"/>
      <c r="W637" s="152"/>
      <c r="X637" s="152"/>
      <c r="Y637" s="152"/>
      <c r="Z637" s="152"/>
      <c r="AA637" s="152"/>
      <c r="AB637" s="152"/>
      <c r="AC637" s="152"/>
      <c r="AD637" s="152"/>
      <c r="AE637" s="152"/>
    </row>
    <row r="638" spans="1:31" ht="15.75">
      <c r="A638" s="152"/>
      <c r="B638" s="152"/>
      <c r="C638" s="281"/>
      <c r="D638" s="152"/>
      <c r="E638" s="152"/>
      <c r="F638" s="152"/>
      <c r="G638" s="152"/>
      <c r="H638" s="152"/>
      <c r="I638" s="152"/>
      <c r="J638" s="152"/>
      <c r="K638" s="152"/>
      <c r="L638" s="152"/>
      <c r="M638" s="152"/>
      <c r="N638" s="152"/>
      <c r="O638" s="152"/>
      <c r="P638" s="152"/>
      <c r="Q638" s="152"/>
      <c r="R638" s="152"/>
      <c r="S638" s="152"/>
      <c r="T638" s="152"/>
      <c r="U638" s="152"/>
      <c r="V638" s="152"/>
      <c r="W638" s="152"/>
      <c r="X638" s="152"/>
      <c r="Y638" s="152"/>
      <c r="Z638" s="152"/>
      <c r="AA638" s="152"/>
      <c r="AB638" s="152"/>
      <c r="AC638" s="152"/>
      <c r="AD638" s="152"/>
      <c r="AE638" s="152"/>
    </row>
    <row r="639" spans="1:31" ht="15.75">
      <c r="A639" s="152"/>
      <c r="B639" s="152"/>
      <c r="C639" s="281"/>
      <c r="D639" s="152"/>
      <c r="E639" s="152"/>
      <c r="F639" s="152"/>
      <c r="G639" s="152"/>
      <c r="H639" s="152"/>
      <c r="I639" s="152"/>
      <c r="J639" s="152"/>
      <c r="K639" s="152"/>
      <c r="L639" s="152"/>
      <c r="M639" s="152"/>
      <c r="N639" s="152"/>
      <c r="O639" s="152"/>
      <c r="P639" s="152"/>
      <c r="Q639" s="152"/>
      <c r="R639" s="152"/>
      <c r="S639" s="152"/>
      <c r="T639" s="152"/>
      <c r="U639" s="152"/>
      <c r="V639" s="152"/>
      <c r="W639" s="152"/>
      <c r="X639" s="152"/>
      <c r="Y639" s="152"/>
      <c r="Z639" s="152"/>
      <c r="AA639" s="152"/>
      <c r="AB639" s="152"/>
      <c r="AC639" s="152"/>
      <c r="AD639" s="152"/>
      <c r="AE639" s="152"/>
    </row>
    <row r="640" spans="1:31" ht="15.75">
      <c r="A640" s="152"/>
      <c r="B640" s="152"/>
      <c r="C640" s="281"/>
      <c r="D640" s="152"/>
      <c r="E640" s="152"/>
      <c r="F640" s="152"/>
      <c r="G640" s="152"/>
      <c r="H640" s="152"/>
      <c r="I640" s="152"/>
      <c r="J640" s="152"/>
      <c r="K640" s="152"/>
      <c r="L640" s="152"/>
      <c r="M640" s="152"/>
      <c r="N640" s="152"/>
      <c r="O640" s="152"/>
      <c r="P640" s="152"/>
      <c r="Q640" s="152"/>
      <c r="R640" s="152"/>
      <c r="S640" s="152"/>
      <c r="T640" s="152"/>
      <c r="U640" s="152"/>
      <c r="V640" s="152"/>
      <c r="W640" s="152"/>
      <c r="X640" s="152"/>
      <c r="Y640" s="152"/>
      <c r="Z640" s="152"/>
      <c r="AA640" s="152"/>
      <c r="AB640" s="152"/>
      <c r="AC640" s="152"/>
      <c r="AD640" s="152"/>
      <c r="AE640" s="152"/>
    </row>
    <row r="641" spans="1:31" ht="15.75">
      <c r="A641" s="152"/>
      <c r="B641" s="152"/>
      <c r="C641" s="281"/>
      <c r="D641" s="152"/>
      <c r="E641" s="152"/>
      <c r="F641" s="152"/>
      <c r="G641" s="152"/>
      <c r="H641" s="152"/>
      <c r="I641" s="152"/>
      <c r="J641" s="152"/>
      <c r="K641" s="152"/>
      <c r="L641" s="152"/>
      <c r="M641" s="152"/>
      <c r="N641" s="152"/>
      <c r="O641" s="152"/>
      <c r="P641" s="152"/>
      <c r="Q641" s="152"/>
      <c r="R641" s="152"/>
      <c r="S641" s="152"/>
      <c r="T641" s="152"/>
      <c r="U641" s="152"/>
      <c r="V641" s="152"/>
      <c r="W641" s="152"/>
      <c r="X641" s="152"/>
      <c r="Y641" s="152"/>
      <c r="Z641" s="152"/>
      <c r="AA641" s="152"/>
      <c r="AB641" s="152"/>
      <c r="AC641" s="152"/>
      <c r="AD641" s="152"/>
      <c r="AE641" s="152"/>
    </row>
    <row r="642" spans="1:31" ht="15.75">
      <c r="A642" s="152"/>
      <c r="B642" s="152"/>
      <c r="C642" s="281"/>
      <c r="D642" s="152"/>
      <c r="E642" s="152"/>
      <c r="F642" s="152"/>
      <c r="G642" s="152"/>
      <c r="H642" s="152"/>
      <c r="I642" s="152"/>
      <c r="J642" s="152"/>
      <c r="K642" s="152"/>
      <c r="L642" s="152"/>
      <c r="M642" s="152"/>
      <c r="N642" s="152"/>
      <c r="O642" s="152"/>
      <c r="P642" s="152"/>
      <c r="Q642" s="152"/>
      <c r="R642" s="152"/>
      <c r="S642" s="152"/>
      <c r="T642" s="152"/>
      <c r="U642" s="152"/>
      <c r="V642" s="152"/>
      <c r="W642" s="152"/>
      <c r="X642" s="152"/>
      <c r="Y642" s="152"/>
      <c r="Z642" s="152"/>
      <c r="AA642" s="152"/>
      <c r="AB642" s="152"/>
      <c r="AC642" s="152"/>
      <c r="AD642" s="152"/>
      <c r="AE642" s="152"/>
    </row>
    <row r="643" spans="1:31" ht="15.75">
      <c r="A643" s="152"/>
      <c r="B643" s="152"/>
      <c r="C643" s="281"/>
      <c r="D643" s="152"/>
      <c r="E643" s="152"/>
      <c r="F643" s="152"/>
      <c r="G643" s="152"/>
      <c r="H643" s="152"/>
      <c r="I643" s="152"/>
      <c r="J643" s="152"/>
      <c r="K643" s="152"/>
      <c r="L643" s="152"/>
      <c r="M643" s="152"/>
      <c r="N643" s="152"/>
      <c r="O643" s="152"/>
      <c r="P643" s="152"/>
      <c r="Q643" s="152"/>
      <c r="R643" s="152"/>
      <c r="S643" s="152"/>
      <c r="T643" s="152"/>
      <c r="U643" s="152"/>
      <c r="V643" s="152"/>
      <c r="W643" s="152"/>
      <c r="X643" s="152"/>
      <c r="Y643" s="152"/>
      <c r="Z643" s="152"/>
      <c r="AA643" s="152"/>
      <c r="AB643" s="152"/>
      <c r="AC643" s="152"/>
      <c r="AD643" s="152"/>
      <c r="AE643" s="152"/>
    </row>
    <row r="644" spans="1:31" ht="15.75">
      <c r="A644" s="152"/>
      <c r="B644" s="152"/>
      <c r="C644" s="281"/>
      <c r="D644" s="152"/>
      <c r="E644" s="152"/>
      <c r="F644" s="152"/>
      <c r="G644" s="152"/>
      <c r="H644" s="152"/>
      <c r="I644" s="152"/>
      <c r="J644" s="152"/>
      <c r="K644" s="152"/>
      <c r="L644" s="152"/>
      <c r="M644" s="152"/>
      <c r="N644" s="152"/>
      <c r="O644" s="152"/>
      <c r="P644" s="152"/>
      <c r="Q644" s="152"/>
      <c r="R644" s="152"/>
      <c r="S644" s="152"/>
      <c r="T644" s="152"/>
      <c r="U644" s="152"/>
      <c r="V644" s="152"/>
      <c r="W644" s="152"/>
      <c r="X644" s="152"/>
      <c r="Y644" s="152"/>
      <c r="Z644" s="152"/>
      <c r="AA644" s="152"/>
      <c r="AB644" s="152"/>
      <c r="AC644" s="152"/>
      <c r="AD644" s="152"/>
      <c r="AE644" s="152"/>
    </row>
    <row r="645" spans="1:31" ht="15.75">
      <c r="A645" s="152"/>
      <c r="B645" s="152"/>
      <c r="C645" s="281"/>
      <c r="D645" s="152"/>
      <c r="E645" s="152"/>
      <c r="F645" s="152"/>
      <c r="G645" s="152"/>
      <c r="H645" s="152"/>
      <c r="I645" s="152"/>
      <c r="J645" s="152"/>
      <c r="K645" s="152"/>
      <c r="L645" s="152"/>
      <c r="M645" s="152"/>
      <c r="N645" s="152"/>
      <c r="O645" s="152"/>
      <c r="P645" s="152"/>
      <c r="Q645" s="152"/>
      <c r="R645" s="152"/>
      <c r="S645" s="152"/>
      <c r="T645" s="152"/>
      <c r="U645" s="152"/>
      <c r="V645" s="152"/>
      <c r="W645" s="152"/>
      <c r="X645" s="152"/>
      <c r="Y645" s="152"/>
      <c r="Z645" s="152"/>
      <c r="AA645" s="152"/>
      <c r="AB645" s="152"/>
      <c r="AC645" s="152"/>
      <c r="AD645" s="152"/>
      <c r="AE645" s="152"/>
    </row>
    <row r="646" spans="1:31" ht="15.75">
      <c r="A646" s="152"/>
      <c r="B646" s="152"/>
      <c r="C646" s="281"/>
      <c r="D646" s="152"/>
      <c r="E646" s="152"/>
      <c r="F646" s="152"/>
      <c r="G646" s="152"/>
      <c r="H646" s="152"/>
      <c r="I646" s="152"/>
      <c r="J646" s="152"/>
      <c r="K646" s="152"/>
      <c r="L646" s="152"/>
      <c r="M646" s="152"/>
      <c r="N646" s="152"/>
      <c r="O646" s="152"/>
      <c r="P646" s="152"/>
      <c r="Q646" s="152"/>
      <c r="R646" s="152"/>
      <c r="S646" s="152"/>
      <c r="T646" s="152"/>
      <c r="U646" s="152"/>
      <c r="V646" s="152"/>
      <c r="W646" s="152"/>
      <c r="X646" s="152"/>
      <c r="Y646" s="152"/>
      <c r="Z646" s="152"/>
      <c r="AA646" s="152"/>
      <c r="AB646" s="152"/>
      <c r="AC646" s="152"/>
      <c r="AD646" s="152"/>
      <c r="AE646" s="152"/>
    </row>
    <row r="647" spans="1:31" ht="15.75">
      <c r="A647" s="152"/>
      <c r="B647" s="152"/>
      <c r="C647" s="281"/>
      <c r="D647" s="152"/>
      <c r="E647" s="152"/>
      <c r="F647" s="152"/>
      <c r="G647" s="152"/>
      <c r="H647" s="152"/>
      <c r="I647" s="152"/>
      <c r="J647" s="152"/>
      <c r="K647" s="152"/>
      <c r="L647" s="152"/>
      <c r="M647" s="152"/>
      <c r="N647" s="152"/>
      <c r="O647" s="152"/>
      <c r="P647" s="152"/>
      <c r="Q647" s="152"/>
      <c r="R647" s="152"/>
      <c r="S647" s="152"/>
      <c r="T647" s="152"/>
      <c r="U647" s="152"/>
      <c r="V647" s="152"/>
      <c r="W647" s="152"/>
      <c r="X647" s="152"/>
      <c r="Y647" s="152"/>
      <c r="Z647" s="152"/>
      <c r="AA647" s="152"/>
      <c r="AB647" s="152"/>
      <c r="AC647" s="152"/>
      <c r="AD647" s="152"/>
      <c r="AE647" s="152"/>
    </row>
    <row r="648" spans="1:31" ht="15.75">
      <c r="A648" s="152"/>
      <c r="B648" s="152"/>
      <c r="C648" s="281"/>
      <c r="D648" s="152"/>
      <c r="E648" s="152"/>
      <c r="F648" s="152"/>
      <c r="G648" s="152"/>
      <c r="H648" s="152"/>
      <c r="I648" s="152"/>
      <c r="J648" s="152"/>
      <c r="K648" s="152"/>
      <c r="L648" s="152"/>
      <c r="M648" s="152"/>
      <c r="N648" s="152"/>
      <c r="O648" s="152"/>
      <c r="P648" s="152"/>
      <c r="Q648" s="152"/>
      <c r="R648" s="152"/>
      <c r="S648" s="152"/>
      <c r="T648" s="152"/>
      <c r="U648" s="152"/>
      <c r="V648" s="152"/>
      <c r="W648" s="152"/>
      <c r="X648" s="152"/>
      <c r="Y648" s="152"/>
      <c r="Z648" s="152"/>
      <c r="AA648" s="152"/>
      <c r="AB648" s="152"/>
      <c r="AC648" s="152"/>
      <c r="AD648" s="152"/>
      <c r="AE648" s="152"/>
    </row>
    <row r="649" spans="1:31" ht="15.75">
      <c r="A649" s="152"/>
      <c r="B649" s="152"/>
      <c r="C649" s="281"/>
      <c r="D649" s="152"/>
      <c r="E649" s="152"/>
      <c r="F649" s="152"/>
      <c r="G649" s="152"/>
      <c r="H649" s="152"/>
      <c r="I649" s="152"/>
      <c r="J649" s="152"/>
      <c r="K649" s="152"/>
      <c r="L649" s="152"/>
      <c r="M649" s="152"/>
      <c r="N649" s="152"/>
      <c r="O649" s="152"/>
      <c r="P649" s="152"/>
      <c r="Q649" s="152"/>
      <c r="R649" s="152"/>
      <c r="S649" s="152"/>
      <c r="T649" s="152"/>
      <c r="U649" s="152"/>
      <c r="V649" s="152"/>
      <c r="W649" s="152"/>
      <c r="X649" s="152"/>
      <c r="Y649" s="152"/>
      <c r="Z649" s="152"/>
      <c r="AA649" s="152"/>
      <c r="AB649" s="152"/>
      <c r="AC649" s="152"/>
      <c r="AD649" s="152"/>
      <c r="AE649" s="152"/>
    </row>
    <row r="650" spans="1:31" ht="15.75">
      <c r="A650" s="152"/>
      <c r="B650" s="152"/>
      <c r="C650" s="281"/>
      <c r="D650" s="152"/>
      <c r="E650" s="152"/>
      <c r="F650" s="152"/>
      <c r="G650" s="152"/>
      <c r="H650" s="152"/>
      <c r="I650" s="152"/>
      <c r="J650" s="152"/>
      <c r="K650" s="152"/>
      <c r="L650" s="152"/>
      <c r="M650" s="152"/>
      <c r="N650" s="152"/>
      <c r="O650" s="152"/>
      <c r="P650" s="152"/>
      <c r="Q650" s="152"/>
      <c r="R650" s="152"/>
      <c r="S650" s="152"/>
      <c r="T650" s="152"/>
      <c r="U650" s="152"/>
      <c r="V650" s="152"/>
      <c r="W650" s="152"/>
      <c r="X650" s="152"/>
      <c r="Y650" s="152"/>
      <c r="Z650" s="152"/>
      <c r="AA650" s="152"/>
      <c r="AB650" s="152"/>
      <c r="AC650" s="152"/>
      <c r="AD650" s="152"/>
      <c r="AE650" s="152"/>
    </row>
    <row r="651" spans="1:31" ht="15.75">
      <c r="A651" s="152"/>
      <c r="B651" s="152"/>
      <c r="C651" s="281"/>
      <c r="D651" s="152"/>
      <c r="E651" s="152"/>
      <c r="F651" s="152"/>
      <c r="G651" s="152"/>
      <c r="H651" s="152"/>
      <c r="I651" s="152"/>
      <c r="J651" s="152"/>
      <c r="K651" s="152"/>
      <c r="L651" s="152"/>
      <c r="M651" s="152"/>
      <c r="N651" s="152"/>
      <c r="O651" s="152"/>
      <c r="P651" s="152"/>
      <c r="Q651" s="152"/>
      <c r="R651" s="152"/>
      <c r="S651" s="152"/>
      <c r="T651" s="152"/>
      <c r="U651" s="152"/>
      <c r="V651" s="152"/>
      <c r="W651" s="152"/>
      <c r="X651" s="152"/>
      <c r="Y651" s="152"/>
      <c r="Z651" s="152"/>
      <c r="AA651" s="152"/>
      <c r="AB651" s="152"/>
      <c r="AC651" s="152"/>
      <c r="AD651" s="152"/>
      <c r="AE651" s="152"/>
    </row>
    <row r="652" spans="1:31" ht="15.75">
      <c r="A652" s="152"/>
      <c r="B652" s="152"/>
      <c r="C652" s="281"/>
      <c r="D652" s="152"/>
      <c r="E652" s="152"/>
      <c r="F652" s="152"/>
      <c r="G652" s="152"/>
      <c r="H652" s="152"/>
      <c r="I652" s="152"/>
      <c r="J652" s="152"/>
      <c r="K652" s="152"/>
      <c r="L652" s="152"/>
      <c r="M652" s="152"/>
      <c r="N652" s="152"/>
      <c r="O652" s="152"/>
      <c r="P652" s="152"/>
      <c r="Q652" s="152"/>
      <c r="R652" s="152"/>
      <c r="S652" s="152"/>
      <c r="T652" s="152"/>
      <c r="U652" s="152"/>
      <c r="V652" s="152"/>
      <c r="W652" s="152"/>
      <c r="X652" s="152"/>
      <c r="Y652" s="152"/>
      <c r="Z652" s="152"/>
      <c r="AA652" s="152"/>
      <c r="AB652" s="152"/>
      <c r="AC652" s="152"/>
      <c r="AD652" s="152"/>
      <c r="AE652" s="152"/>
    </row>
    <row r="653" spans="1:31" ht="15.75">
      <c r="A653" s="152"/>
      <c r="B653" s="152"/>
      <c r="C653" s="281"/>
      <c r="D653" s="152"/>
      <c r="E653" s="152"/>
      <c r="F653" s="152"/>
      <c r="G653" s="152"/>
      <c r="H653" s="152"/>
      <c r="I653" s="152"/>
      <c r="J653" s="152"/>
      <c r="K653" s="152"/>
      <c r="L653" s="152"/>
      <c r="M653" s="152"/>
      <c r="N653" s="152"/>
      <c r="O653" s="152"/>
      <c r="P653" s="152"/>
      <c r="Q653" s="152"/>
      <c r="R653" s="152"/>
      <c r="S653" s="152"/>
      <c r="T653" s="152"/>
      <c r="U653" s="152"/>
      <c r="V653" s="152"/>
      <c r="W653" s="152"/>
      <c r="X653" s="152"/>
      <c r="Y653" s="152"/>
      <c r="Z653" s="152"/>
      <c r="AA653" s="152"/>
      <c r="AB653" s="152"/>
      <c r="AC653" s="152"/>
      <c r="AD653" s="152"/>
      <c r="AE653" s="152"/>
    </row>
    <row r="654" spans="1:31" ht="15.75">
      <c r="A654" s="152"/>
      <c r="B654" s="152"/>
      <c r="C654" s="281"/>
      <c r="D654" s="152"/>
      <c r="E654" s="152"/>
      <c r="F654" s="152"/>
      <c r="G654" s="152"/>
      <c r="H654" s="152"/>
      <c r="I654" s="152"/>
      <c r="J654" s="152"/>
      <c r="K654" s="152"/>
      <c r="L654" s="152"/>
      <c r="M654" s="152"/>
      <c r="N654" s="152"/>
      <c r="O654" s="152"/>
      <c r="P654" s="152"/>
      <c r="Q654" s="152"/>
      <c r="R654" s="152"/>
      <c r="S654" s="152"/>
      <c r="T654" s="152"/>
      <c r="U654" s="152"/>
      <c r="V654" s="152"/>
      <c r="W654" s="152"/>
      <c r="X654" s="152"/>
      <c r="Y654" s="152"/>
      <c r="Z654" s="152"/>
      <c r="AA654" s="152"/>
      <c r="AB654" s="152"/>
      <c r="AC654" s="152"/>
      <c r="AD654" s="152"/>
      <c r="AE654" s="152"/>
    </row>
    <row r="655" spans="1:31" ht="15.75">
      <c r="A655" s="152"/>
      <c r="B655" s="152"/>
      <c r="C655" s="281"/>
      <c r="D655" s="152"/>
      <c r="E655" s="152"/>
      <c r="F655" s="152"/>
      <c r="G655" s="152"/>
      <c r="H655" s="152"/>
      <c r="I655" s="152"/>
      <c r="J655" s="152"/>
      <c r="K655" s="152"/>
      <c r="L655" s="152"/>
      <c r="M655" s="152"/>
      <c r="N655" s="152"/>
      <c r="O655" s="152"/>
      <c r="P655" s="152"/>
      <c r="Q655" s="152"/>
      <c r="R655" s="152"/>
      <c r="S655" s="152"/>
      <c r="T655" s="152"/>
      <c r="U655" s="152"/>
      <c r="V655" s="152"/>
      <c r="W655" s="152"/>
      <c r="X655" s="152"/>
      <c r="Y655" s="152"/>
      <c r="Z655" s="152"/>
      <c r="AA655" s="152"/>
      <c r="AB655" s="152"/>
      <c r="AC655" s="152"/>
      <c r="AD655" s="152"/>
      <c r="AE655" s="152"/>
    </row>
    <row r="656" spans="1:31" ht="15.75">
      <c r="A656" s="152"/>
      <c r="B656" s="152"/>
      <c r="C656" s="281"/>
      <c r="D656" s="152"/>
      <c r="E656" s="152"/>
      <c r="F656" s="152"/>
      <c r="G656" s="152"/>
      <c r="H656" s="152"/>
      <c r="I656" s="152"/>
      <c r="J656" s="152"/>
      <c r="K656" s="152"/>
      <c r="L656" s="152"/>
      <c r="M656" s="152"/>
      <c r="N656" s="152"/>
      <c r="O656" s="152"/>
      <c r="P656" s="152"/>
      <c r="Q656" s="152"/>
      <c r="R656" s="152"/>
      <c r="S656" s="152"/>
      <c r="T656" s="152"/>
      <c r="U656" s="152"/>
      <c r="V656" s="152"/>
      <c r="W656" s="152"/>
      <c r="X656" s="152"/>
      <c r="Y656" s="152"/>
      <c r="Z656" s="152"/>
      <c r="AA656" s="152"/>
      <c r="AB656" s="152"/>
      <c r="AC656" s="152"/>
      <c r="AD656" s="152"/>
      <c r="AE656" s="152"/>
    </row>
    <row r="657" spans="1:31" ht="15.75">
      <c r="A657" s="152"/>
      <c r="B657" s="152"/>
      <c r="C657" s="281"/>
      <c r="D657" s="152"/>
      <c r="E657" s="152"/>
      <c r="F657" s="152"/>
      <c r="G657" s="152"/>
      <c r="H657" s="152"/>
      <c r="I657" s="152"/>
      <c r="J657" s="152"/>
      <c r="K657" s="152"/>
      <c r="L657" s="152"/>
      <c r="M657" s="152"/>
      <c r="N657" s="152"/>
      <c r="O657" s="152"/>
      <c r="P657" s="152"/>
      <c r="Q657" s="152"/>
      <c r="R657" s="152"/>
      <c r="S657" s="152"/>
      <c r="T657" s="152"/>
      <c r="U657" s="152"/>
      <c r="V657" s="152"/>
      <c r="W657" s="152"/>
      <c r="X657" s="152"/>
      <c r="Y657" s="152"/>
      <c r="Z657" s="152"/>
      <c r="AA657" s="152"/>
      <c r="AB657" s="152"/>
      <c r="AC657" s="152"/>
      <c r="AD657" s="152"/>
      <c r="AE657" s="152"/>
    </row>
    <row r="658" spans="1:31" ht="15.75">
      <c r="A658" s="152"/>
      <c r="B658" s="152"/>
      <c r="C658" s="281"/>
      <c r="D658" s="152"/>
      <c r="E658" s="152"/>
      <c r="F658" s="152"/>
      <c r="G658" s="152"/>
      <c r="H658" s="152"/>
      <c r="I658" s="152"/>
      <c r="J658" s="152"/>
      <c r="K658" s="152"/>
      <c r="L658" s="152"/>
      <c r="M658" s="152"/>
      <c r="N658" s="152"/>
      <c r="O658" s="152"/>
      <c r="P658" s="152"/>
      <c r="Q658" s="152"/>
      <c r="R658" s="152"/>
      <c r="S658" s="152"/>
      <c r="T658" s="152"/>
      <c r="U658" s="152"/>
      <c r="V658" s="152"/>
      <c r="W658" s="152"/>
      <c r="X658" s="152"/>
      <c r="Y658" s="152"/>
      <c r="Z658" s="152"/>
      <c r="AA658" s="152"/>
      <c r="AB658" s="152"/>
      <c r="AC658" s="152"/>
      <c r="AD658" s="152"/>
      <c r="AE658" s="152"/>
    </row>
    <row r="659" spans="1:31" ht="15.75">
      <c r="A659" s="152"/>
      <c r="B659" s="152"/>
      <c r="C659" s="281"/>
      <c r="D659" s="152"/>
      <c r="E659" s="152"/>
      <c r="F659" s="152"/>
      <c r="G659" s="152"/>
      <c r="H659" s="152"/>
      <c r="I659" s="152"/>
      <c r="J659" s="152"/>
      <c r="K659" s="152"/>
      <c r="L659" s="152"/>
      <c r="M659" s="152"/>
      <c r="N659" s="152"/>
      <c r="O659" s="152"/>
      <c r="P659" s="152"/>
      <c r="Q659" s="152"/>
      <c r="R659" s="152"/>
      <c r="S659" s="152"/>
      <c r="T659" s="152"/>
      <c r="U659" s="152"/>
      <c r="V659" s="152"/>
      <c r="W659" s="152"/>
      <c r="X659" s="152"/>
      <c r="Y659" s="152"/>
      <c r="Z659" s="152"/>
      <c r="AA659" s="152"/>
      <c r="AB659" s="152"/>
      <c r="AC659" s="152"/>
      <c r="AD659" s="152"/>
      <c r="AE659" s="152"/>
    </row>
    <row r="660" spans="1:31" ht="15.75">
      <c r="A660" s="152"/>
      <c r="B660" s="152"/>
      <c r="C660" s="281"/>
      <c r="D660" s="152"/>
      <c r="E660" s="152"/>
      <c r="F660" s="152"/>
      <c r="G660" s="152"/>
      <c r="H660" s="152"/>
      <c r="I660" s="152"/>
      <c r="J660" s="152"/>
      <c r="K660" s="152"/>
      <c r="L660" s="152"/>
      <c r="M660" s="152"/>
      <c r="N660" s="152"/>
      <c r="O660" s="152"/>
      <c r="P660" s="152"/>
      <c r="Q660" s="152"/>
      <c r="R660" s="152"/>
      <c r="S660" s="152"/>
      <c r="T660" s="152"/>
      <c r="U660" s="152"/>
      <c r="V660" s="152"/>
      <c r="W660" s="152"/>
      <c r="X660" s="152"/>
      <c r="Y660" s="152"/>
      <c r="Z660" s="152"/>
      <c r="AA660" s="152"/>
      <c r="AB660" s="152"/>
      <c r="AC660" s="152"/>
      <c r="AD660" s="152"/>
      <c r="AE660" s="152"/>
    </row>
    <row r="661" spans="1:31" ht="15.75">
      <c r="A661" s="152"/>
      <c r="B661" s="152"/>
      <c r="C661" s="281"/>
      <c r="D661" s="152"/>
      <c r="E661" s="152"/>
      <c r="F661" s="152"/>
      <c r="G661" s="152"/>
      <c r="H661" s="152"/>
      <c r="I661" s="152"/>
      <c r="J661" s="152"/>
      <c r="K661" s="152"/>
      <c r="L661" s="152"/>
      <c r="M661" s="152"/>
      <c r="N661" s="152"/>
      <c r="O661" s="152"/>
      <c r="P661" s="152"/>
      <c r="Q661" s="152"/>
      <c r="R661" s="152"/>
      <c r="S661" s="152"/>
      <c r="T661" s="152"/>
      <c r="U661" s="152"/>
      <c r="V661" s="152"/>
      <c r="W661" s="152"/>
      <c r="X661" s="152"/>
      <c r="Y661" s="152"/>
      <c r="Z661" s="152"/>
      <c r="AA661" s="152"/>
      <c r="AB661" s="152"/>
      <c r="AC661" s="152"/>
      <c r="AD661" s="152"/>
      <c r="AE661" s="152"/>
    </row>
    <row r="662" spans="1:31" ht="15.75">
      <c r="A662" s="152"/>
      <c r="B662" s="152"/>
      <c r="C662" s="281"/>
      <c r="D662" s="152"/>
      <c r="E662" s="152"/>
      <c r="F662" s="152"/>
      <c r="G662" s="152"/>
      <c r="H662" s="152"/>
      <c r="I662" s="152"/>
      <c r="J662" s="152"/>
      <c r="K662" s="152"/>
      <c r="L662" s="152"/>
      <c r="M662" s="152"/>
      <c r="N662" s="152"/>
      <c r="O662" s="152"/>
      <c r="P662" s="152"/>
      <c r="Q662" s="152"/>
      <c r="R662" s="152"/>
      <c r="S662" s="152"/>
      <c r="T662" s="152"/>
      <c r="U662" s="152"/>
      <c r="V662" s="152"/>
      <c r="W662" s="152"/>
      <c r="X662" s="152"/>
      <c r="Y662" s="152"/>
      <c r="Z662" s="152"/>
      <c r="AA662" s="152"/>
      <c r="AB662" s="152"/>
      <c r="AC662" s="152"/>
      <c r="AD662" s="152"/>
      <c r="AE662" s="152"/>
    </row>
    <row r="663" spans="1:31" ht="15.75">
      <c r="A663" s="152"/>
      <c r="B663" s="152"/>
      <c r="C663" s="281"/>
      <c r="D663" s="152"/>
      <c r="E663" s="152"/>
      <c r="F663" s="152"/>
      <c r="G663" s="152"/>
      <c r="H663" s="152"/>
      <c r="I663" s="152"/>
      <c r="J663" s="152"/>
      <c r="K663" s="152"/>
      <c r="L663" s="152"/>
      <c r="M663" s="152"/>
      <c r="N663" s="152"/>
      <c r="O663" s="152"/>
      <c r="P663" s="152"/>
      <c r="Q663" s="152"/>
      <c r="R663" s="152"/>
      <c r="S663" s="152"/>
      <c r="T663" s="152"/>
      <c r="U663" s="152"/>
      <c r="V663" s="152"/>
      <c r="W663" s="152"/>
      <c r="X663" s="152"/>
      <c r="Y663" s="152"/>
      <c r="Z663" s="152"/>
      <c r="AA663" s="152"/>
      <c r="AB663" s="152"/>
      <c r="AC663" s="152"/>
      <c r="AD663" s="152"/>
      <c r="AE663" s="152"/>
    </row>
    <row r="664" spans="1:31" ht="15.75">
      <c r="A664" s="152"/>
      <c r="B664" s="152"/>
      <c r="C664" s="281"/>
      <c r="D664" s="152"/>
      <c r="E664" s="152"/>
      <c r="F664" s="152"/>
      <c r="G664" s="152"/>
      <c r="H664" s="152"/>
      <c r="I664" s="152"/>
      <c r="J664" s="152"/>
      <c r="K664" s="152"/>
      <c r="L664" s="152"/>
      <c r="M664" s="152"/>
      <c r="N664" s="152"/>
      <c r="O664" s="152"/>
      <c r="P664" s="152"/>
      <c r="Q664" s="152"/>
      <c r="R664" s="152"/>
      <c r="S664" s="152"/>
      <c r="T664" s="152"/>
      <c r="U664" s="152"/>
      <c r="V664" s="152"/>
      <c r="W664" s="152"/>
      <c r="X664" s="152"/>
      <c r="Y664" s="152"/>
      <c r="Z664" s="152"/>
      <c r="AA664" s="152"/>
      <c r="AB664" s="152"/>
      <c r="AC664" s="152"/>
      <c r="AD664" s="152"/>
      <c r="AE664" s="152"/>
    </row>
    <row r="665" spans="1:31" ht="15.75">
      <c r="A665" s="152"/>
      <c r="B665" s="152"/>
      <c r="C665" s="281"/>
      <c r="D665" s="152"/>
      <c r="E665" s="152"/>
      <c r="F665" s="152"/>
      <c r="G665" s="152"/>
      <c r="H665" s="152"/>
      <c r="I665" s="152"/>
      <c r="J665" s="152"/>
      <c r="K665" s="152"/>
      <c r="L665" s="152"/>
      <c r="M665" s="152"/>
      <c r="N665" s="152"/>
      <c r="O665" s="152"/>
      <c r="P665" s="152"/>
      <c r="Q665" s="152"/>
      <c r="R665" s="152"/>
      <c r="S665" s="152"/>
      <c r="T665" s="152"/>
      <c r="U665" s="152"/>
      <c r="V665" s="152"/>
      <c r="W665" s="152"/>
      <c r="X665" s="152"/>
      <c r="Y665" s="152"/>
      <c r="Z665" s="152"/>
      <c r="AA665" s="152"/>
      <c r="AB665" s="152"/>
      <c r="AC665" s="152"/>
      <c r="AD665" s="152"/>
      <c r="AE665" s="152"/>
    </row>
    <row r="666" spans="1:31" ht="15.75">
      <c r="A666" s="152"/>
      <c r="B666" s="152"/>
      <c r="C666" s="281"/>
      <c r="D666" s="152"/>
      <c r="E666" s="152"/>
      <c r="F666" s="152"/>
      <c r="G666" s="152"/>
      <c r="H666" s="152"/>
      <c r="I666" s="152"/>
      <c r="J666" s="152"/>
      <c r="K666" s="152"/>
      <c r="L666" s="152"/>
      <c r="M666" s="152"/>
      <c r="N666" s="152"/>
      <c r="O666" s="152"/>
      <c r="P666" s="152"/>
      <c r="Q666" s="152"/>
      <c r="R666" s="152"/>
      <c r="S666" s="152"/>
      <c r="T666" s="152"/>
      <c r="U666" s="152"/>
      <c r="V666" s="152"/>
      <c r="W666" s="152"/>
      <c r="X666" s="152"/>
      <c r="Y666" s="152"/>
      <c r="Z666" s="152"/>
      <c r="AA666" s="152"/>
      <c r="AB666" s="152"/>
      <c r="AC666" s="152"/>
      <c r="AD666" s="152"/>
      <c r="AE666" s="152"/>
    </row>
    <row r="667" spans="1:31" ht="15.75">
      <c r="A667" s="152"/>
      <c r="B667" s="152"/>
      <c r="C667" s="281"/>
      <c r="D667" s="152"/>
      <c r="E667" s="152"/>
      <c r="F667" s="152"/>
      <c r="G667" s="152"/>
      <c r="H667" s="152"/>
      <c r="I667" s="152"/>
      <c r="J667" s="152"/>
      <c r="K667" s="152"/>
      <c r="L667" s="152"/>
      <c r="M667" s="152"/>
      <c r="N667" s="152"/>
      <c r="O667" s="152"/>
      <c r="P667" s="152"/>
      <c r="Q667" s="152"/>
      <c r="R667" s="152"/>
      <c r="S667" s="152"/>
      <c r="T667" s="152"/>
      <c r="U667" s="152"/>
      <c r="V667" s="152"/>
      <c r="W667" s="152"/>
      <c r="X667" s="152"/>
      <c r="Y667" s="152"/>
      <c r="Z667" s="152"/>
      <c r="AA667" s="152"/>
      <c r="AB667" s="152"/>
      <c r="AC667" s="152"/>
      <c r="AD667" s="152"/>
      <c r="AE667" s="152"/>
    </row>
    <row r="668" spans="1:31" ht="15.75">
      <c r="A668" s="152"/>
      <c r="B668" s="152"/>
      <c r="C668" s="281"/>
      <c r="D668" s="152"/>
      <c r="E668" s="152"/>
      <c r="F668" s="152"/>
      <c r="G668" s="152"/>
      <c r="H668" s="152"/>
      <c r="I668" s="152"/>
      <c r="J668" s="152"/>
      <c r="K668" s="152"/>
      <c r="L668" s="152"/>
      <c r="M668" s="152"/>
      <c r="N668" s="152"/>
      <c r="O668" s="152"/>
      <c r="P668" s="152"/>
      <c r="Q668" s="152"/>
      <c r="R668" s="152"/>
      <c r="S668" s="152"/>
      <c r="T668" s="152"/>
      <c r="U668" s="152"/>
      <c r="V668" s="152"/>
      <c r="W668" s="152"/>
      <c r="X668" s="152"/>
      <c r="Y668" s="152"/>
      <c r="Z668" s="152"/>
      <c r="AA668" s="152"/>
      <c r="AB668" s="152"/>
      <c r="AC668" s="152"/>
      <c r="AD668" s="152"/>
      <c r="AE668" s="152"/>
    </row>
    <row r="669" spans="1:31" ht="15.75">
      <c r="A669" s="152"/>
      <c r="B669" s="152"/>
      <c r="C669" s="281"/>
      <c r="D669" s="152"/>
      <c r="E669" s="152"/>
      <c r="F669" s="152"/>
      <c r="G669" s="152"/>
      <c r="H669" s="152"/>
      <c r="I669" s="152"/>
      <c r="J669" s="152"/>
      <c r="K669" s="152"/>
      <c r="L669" s="152"/>
      <c r="M669" s="152"/>
      <c r="N669" s="152"/>
      <c r="O669" s="152"/>
      <c r="P669" s="152"/>
      <c r="Q669" s="152"/>
      <c r="R669" s="152"/>
      <c r="S669" s="152"/>
      <c r="T669" s="152"/>
      <c r="U669" s="152"/>
      <c r="V669" s="152"/>
      <c r="W669" s="152"/>
      <c r="X669" s="152"/>
      <c r="Y669" s="152"/>
      <c r="Z669" s="152"/>
      <c r="AA669" s="152"/>
      <c r="AB669" s="152"/>
      <c r="AC669" s="152"/>
      <c r="AD669" s="152"/>
      <c r="AE669" s="152"/>
    </row>
    <row r="670" spans="1:31" ht="15.75">
      <c r="A670" s="152"/>
      <c r="B670" s="152"/>
      <c r="C670" s="281"/>
      <c r="D670" s="152"/>
      <c r="E670" s="152"/>
      <c r="F670" s="152"/>
      <c r="G670" s="152"/>
      <c r="H670" s="152"/>
      <c r="I670" s="152"/>
      <c r="J670" s="152"/>
      <c r="K670" s="152"/>
      <c r="L670" s="152"/>
      <c r="M670" s="152"/>
      <c r="N670" s="152"/>
      <c r="O670" s="152"/>
      <c r="P670" s="152"/>
      <c r="Q670" s="152"/>
      <c r="R670" s="152"/>
      <c r="S670" s="152"/>
      <c r="T670" s="152"/>
      <c r="U670" s="152"/>
      <c r="V670" s="152"/>
      <c r="W670" s="152"/>
      <c r="X670" s="152"/>
      <c r="Y670" s="152"/>
      <c r="Z670" s="152"/>
      <c r="AA670" s="152"/>
      <c r="AB670" s="152"/>
      <c r="AC670" s="152"/>
      <c r="AD670" s="152"/>
      <c r="AE670" s="152"/>
    </row>
    <row r="671" spans="1:31" ht="15.75">
      <c r="A671" s="152"/>
      <c r="B671" s="152"/>
      <c r="C671" s="281"/>
      <c r="D671" s="152"/>
      <c r="E671" s="152"/>
      <c r="F671" s="152"/>
      <c r="G671" s="152"/>
      <c r="H671" s="152"/>
      <c r="I671" s="152"/>
      <c r="J671" s="152"/>
      <c r="K671" s="152"/>
      <c r="L671" s="152"/>
      <c r="M671" s="152"/>
      <c r="N671" s="152"/>
      <c r="O671" s="152"/>
      <c r="P671" s="152"/>
      <c r="Q671" s="152"/>
      <c r="R671" s="152"/>
      <c r="S671" s="152"/>
      <c r="T671" s="152"/>
      <c r="U671" s="152"/>
      <c r="V671" s="152"/>
      <c r="W671" s="152"/>
      <c r="X671" s="152"/>
      <c r="Y671" s="152"/>
      <c r="Z671" s="152"/>
      <c r="AA671" s="152"/>
      <c r="AB671" s="152"/>
      <c r="AC671" s="152"/>
      <c r="AD671" s="152"/>
      <c r="AE671" s="152"/>
    </row>
    <row r="672" spans="1:31" ht="15.75">
      <c r="A672" s="152"/>
      <c r="B672" s="152"/>
      <c r="C672" s="281"/>
      <c r="D672" s="152"/>
      <c r="E672" s="152"/>
      <c r="F672" s="152"/>
      <c r="G672" s="152"/>
      <c r="H672" s="152"/>
      <c r="I672" s="152"/>
      <c r="J672" s="152"/>
      <c r="K672" s="152"/>
      <c r="L672" s="152"/>
      <c r="M672" s="152"/>
      <c r="N672" s="152"/>
      <c r="O672" s="152"/>
      <c r="P672" s="152"/>
      <c r="Q672" s="152"/>
      <c r="R672" s="152"/>
      <c r="S672" s="152"/>
      <c r="T672" s="152"/>
      <c r="U672" s="152"/>
      <c r="V672" s="152"/>
      <c r="W672" s="152"/>
      <c r="X672" s="152"/>
      <c r="Y672" s="152"/>
      <c r="Z672" s="152"/>
      <c r="AA672" s="152"/>
      <c r="AB672" s="152"/>
      <c r="AC672" s="152"/>
      <c r="AD672" s="152"/>
      <c r="AE672" s="152"/>
    </row>
    <row r="673" spans="1:31" ht="15.75">
      <c r="A673" s="152"/>
      <c r="B673" s="152"/>
      <c r="C673" s="281"/>
      <c r="D673" s="152"/>
      <c r="E673" s="152"/>
      <c r="F673" s="152"/>
      <c r="G673" s="152"/>
      <c r="H673" s="152"/>
      <c r="I673" s="152"/>
      <c r="J673" s="152"/>
      <c r="K673" s="152"/>
      <c r="L673" s="152"/>
      <c r="M673" s="152"/>
      <c r="N673" s="152"/>
      <c r="O673" s="152"/>
      <c r="P673" s="152"/>
      <c r="Q673" s="152"/>
      <c r="R673" s="152"/>
      <c r="S673" s="152"/>
      <c r="T673" s="152"/>
      <c r="U673" s="152"/>
      <c r="V673" s="152"/>
      <c r="W673" s="152"/>
      <c r="X673" s="152"/>
      <c r="Y673" s="152"/>
      <c r="Z673" s="152"/>
      <c r="AA673" s="152"/>
      <c r="AB673" s="152"/>
      <c r="AC673" s="152"/>
      <c r="AD673" s="152"/>
      <c r="AE673" s="152"/>
    </row>
    <row r="674" spans="1:31" ht="15.75">
      <c r="A674" s="152"/>
      <c r="B674" s="152"/>
      <c r="C674" s="281"/>
      <c r="D674" s="152"/>
      <c r="E674" s="152"/>
      <c r="F674" s="152"/>
      <c r="G674" s="152"/>
      <c r="H674" s="152"/>
      <c r="I674" s="152"/>
      <c r="J674" s="152"/>
      <c r="K674" s="152"/>
      <c r="L674" s="152"/>
      <c r="M674" s="152"/>
      <c r="N674" s="152"/>
      <c r="O674" s="152"/>
      <c r="P674" s="152"/>
      <c r="Q674" s="152"/>
      <c r="R674" s="152"/>
      <c r="S674" s="152"/>
      <c r="T674" s="152"/>
      <c r="U674" s="152"/>
      <c r="V674" s="152"/>
      <c r="W674" s="152"/>
      <c r="X674" s="152"/>
      <c r="Y674" s="152"/>
      <c r="Z674" s="152"/>
      <c r="AA674" s="152"/>
      <c r="AB674" s="152"/>
      <c r="AC674" s="152"/>
      <c r="AD674" s="152"/>
      <c r="AE674" s="152"/>
    </row>
    <row r="675" spans="1:31" ht="15.75">
      <c r="A675" s="152"/>
      <c r="B675" s="152"/>
      <c r="C675" s="281"/>
      <c r="D675" s="152"/>
      <c r="E675" s="152"/>
      <c r="F675" s="152"/>
      <c r="G675" s="152"/>
      <c r="H675" s="152"/>
      <c r="I675" s="152"/>
      <c r="J675" s="152"/>
      <c r="K675" s="152"/>
      <c r="L675" s="152"/>
      <c r="M675" s="152"/>
      <c r="N675" s="152"/>
      <c r="O675" s="152"/>
      <c r="P675" s="152"/>
      <c r="Q675" s="152"/>
      <c r="R675" s="152"/>
      <c r="S675" s="152"/>
      <c r="T675" s="152"/>
      <c r="U675" s="152"/>
      <c r="V675" s="152"/>
      <c r="W675" s="152"/>
      <c r="X675" s="152"/>
      <c r="Y675" s="152"/>
      <c r="Z675" s="152"/>
      <c r="AA675" s="152"/>
      <c r="AB675" s="152"/>
      <c r="AC675" s="152"/>
      <c r="AD675" s="152"/>
      <c r="AE675" s="152"/>
    </row>
    <row r="676" spans="1:31" ht="15.75">
      <c r="A676" s="152"/>
      <c r="B676" s="152"/>
      <c r="C676" s="281"/>
      <c r="D676" s="152"/>
      <c r="E676" s="152"/>
      <c r="F676" s="152"/>
      <c r="G676" s="152"/>
      <c r="H676" s="152"/>
      <c r="I676" s="152"/>
      <c r="J676" s="152"/>
      <c r="K676" s="152"/>
      <c r="L676" s="152"/>
      <c r="M676" s="152"/>
      <c r="N676" s="152"/>
      <c r="O676" s="152"/>
      <c r="P676" s="152"/>
      <c r="Q676" s="152"/>
      <c r="R676" s="152"/>
      <c r="S676" s="152"/>
      <c r="T676" s="152"/>
      <c r="U676" s="152"/>
      <c r="V676" s="152"/>
      <c r="W676" s="152"/>
      <c r="X676" s="152"/>
      <c r="Y676" s="152"/>
      <c r="Z676" s="152"/>
      <c r="AA676" s="152"/>
      <c r="AB676" s="152"/>
      <c r="AC676" s="152"/>
      <c r="AD676" s="152"/>
      <c r="AE676" s="152"/>
    </row>
    <row r="677" spans="1:31" ht="15.75">
      <c r="A677" s="152"/>
      <c r="B677" s="152"/>
      <c r="C677" s="281"/>
      <c r="D677" s="152"/>
      <c r="E677" s="152"/>
      <c r="F677" s="152"/>
      <c r="G677" s="152"/>
      <c r="H677" s="152"/>
      <c r="I677" s="152"/>
      <c r="J677" s="152"/>
      <c r="K677" s="152"/>
      <c r="L677" s="152"/>
      <c r="M677" s="152"/>
      <c r="N677" s="152"/>
      <c r="O677" s="152"/>
      <c r="P677" s="152"/>
      <c r="Q677" s="152"/>
      <c r="R677" s="152"/>
      <c r="S677" s="152"/>
      <c r="T677" s="152"/>
      <c r="U677" s="152"/>
      <c r="V677" s="152"/>
      <c r="W677" s="152"/>
      <c r="X677" s="152"/>
      <c r="Y677" s="152"/>
      <c r="Z677" s="152"/>
      <c r="AA677" s="152"/>
      <c r="AB677" s="152"/>
      <c r="AC677" s="152"/>
      <c r="AD677" s="152"/>
      <c r="AE677" s="152"/>
    </row>
    <row r="678" spans="1:31" ht="15.75">
      <c r="A678" s="152"/>
      <c r="B678" s="152"/>
      <c r="C678" s="281"/>
      <c r="D678" s="152"/>
      <c r="E678" s="152"/>
      <c r="F678" s="152"/>
      <c r="G678" s="152"/>
      <c r="H678" s="152"/>
      <c r="I678" s="152"/>
      <c r="J678" s="152"/>
      <c r="K678" s="152"/>
      <c r="L678" s="152"/>
      <c r="M678" s="152"/>
      <c r="N678" s="152"/>
      <c r="O678" s="152"/>
      <c r="P678" s="152"/>
      <c r="Q678" s="152"/>
      <c r="R678" s="152"/>
      <c r="S678" s="152"/>
      <c r="T678" s="152"/>
      <c r="U678" s="152"/>
      <c r="V678" s="152"/>
      <c r="W678" s="152"/>
      <c r="X678" s="152"/>
      <c r="Y678" s="152"/>
      <c r="Z678" s="152"/>
      <c r="AA678" s="152"/>
      <c r="AB678" s="152"/>
      <c r="AC678" s="152"/>
      <c r="AD678" s="152"/>
      <c r="AE678" s="152"/>
    </row>
    <row r="679" spans="1:31" ht="15.75">
      <c r="A679" s="152"/>
      <c r="B679" s="152"/>
      <c r="C679" s="281"/>
      <c r="D679" s="152"/>
      <c r="E679" s="152"/>
      <c r="F679" s="152"/>
      <c r="G679" s="152"/>
      <c r="H679" s="152"/>
      <c r="I679" s="152"/>
      <c r="J679" s="152"/>
      <c r="K679" s="152"/>
      <c r="L679" s="152"/>
      <c r="M679" s="152"/>
      <c r="N679" s="152"/>
      <c r="O679" s="152"/>
      <c r="P679" s="152"/>
      <c r="Q679" s="152"/>
      <c r="R679" s="152"/>
      <c r="S679" s="152"/>
      <c r="T679" s="152"/>
      <c r="U679" s="152"/>
      <c r="V679" s="152"/>
      <c r="W679" s="152"/>
      <c r="X679" s="152"/>
      <c r="Y679" s="152"/>
      <c r="Z679" s="152"/>
      <c r="AA679" s="152"/>
      <c r="AB679" s="152"/>
      <c r="AC679" s="152"/>
      <c r="AD679" s="152"/>
      <c r="AE679" s="152"/>
    </row>
    <row r="680" spans="1:31" ht="15.75">
      <c r="A680" s="152"/>
      <c r="B680" s="152"/>
      <c r="C680" s="281"/>
      <c r="D680" s="152"/>
      <c r="E680" s="152"/>
      <c r="F680" s="152"/>
      <c r="G680" s="152"/>
      <c r="H680" s="152"/>
      <c r="I680" s="152"/>
      <c r="J680" s="152"/>
      <c r="K680" s="152"/>
      <c r="L680" s="152"/>
      <c r="M680" s="152"/>
      <c r="N680" s="152"/>
      <c r="O680" s="152"/>
      <c r="P680" s="152"/>
      <c r="Q680" s="152"/>
      <c r="R680" s="152"/>
      <c r="S680" s="152"/>
      <c r="T680" s="152"/>
      <c r="U680" s="152"/>
      <c r="V680" s="152"/>
      <c r="W680" s="152"/>
      <c r="X680" s="152"/>
      <c r="Y680" s="152"/>
      <c r="Z680" s="152"/>
      <c r="AA680" s="152"/>
      <c r="AB680" s="152"/>
      <c r="AC680" s="152"/>
      <c r="AD680" s="152"/>
      <c r="AE680" s="152"/>
    </row>
    <row r="681" spans="1:31" ht="15.75">
      <c r="A681" s="152"/>
      <c r="B681" s="152"/>
      <c r="C681" s="281"/>
      <c r="D681" s="152"/>
      <c r="E681" s="152"/>
      <c r="F681" s="152"/>
      <c r="G681" s="152"/>
      <c r="H681" s="152"/>
      <c r="I681" s="152"/>
      <c r="J681" s="152"/>
      <c r="K681" s="152"/>
      <c r="L681" s="152"/>
      <c r="M681" s="152"/>
      <c r="N681" s="152"/>
      <c r="O681" s="152"/>
      <c r="P681" s="152"/>
      <c r="Q681" s="152"/>
      <c r="R681" s="152"/>
      <c r="S681" s="152"/>
      <c r="T681" s="152"/>
      <c r="U681" s="152"/>
      <c r="V681" s="152"/>
      <c r="W681" s="152"/>
      <c r="X681" s="152"/>
      <c r="Y681" s="152"/>
      <c r="Z681" s="152"/>
      <c r="AA681" s="152"/>
      <c r="AB681" s="152"/>
      <c r="AC681" s="152"/>
      <c r="AD681" s="152"/>
      <c r="AE681" s="152"/>
    </row>
    <row r="682" spans="1:31" ht="15.75">
      <c r="A682" s="152"/>
      <c r="B682" s="152"/>
      <c r="C682" s="281"/>
      <c r="D682" s="152"/>
      <c r="E682" s="152"/>
      <c r="F682" s="152"/>
      <c r="G682" s="152"/>
      <c r="H682" s="152"/>
      <c r="I682" s="152"/>
      <c r="J682" s="152"/>
      <c r="K682" s="152"/>
      <c r="L682" s="152"/>
      <c r="M682" s="152"/>
      <c r="N682" s="152"/>
      <c r="O682" s="152"/>
      <c r="P682" s="152"/>
      <c r="Q682" s="152"/>
      <c r="R682" s="152"/>
      <c r="S682" s="152"/>
      <c r="T682" s="152"/>
      <c r="U682" s="152"/>
      <c r="V682" s="152"/>
      <c r="W682" s="152"/>
      <c r="X682" s="152"/>
      <c r="Y682" s="152"/>
      <c r="Z682" s="152"/>
      <c r="AA682" s="152"/>
      <c r="AB682" s="152"/>
      <c r="AC682" s="152"/>
      <c r="AD682" s="152"/>
      <c r="AE682" s="152"/>
    </row>
    <row r="683" spans="1:31" ht="15.75">
      <c r="A683" s="152"/>
      <c r="B683" s="152"/>
      <c r="C683" s="281"/>
      <c r="D683" s="152"/>
      <c r="E683" s="152"/>
      <c r="F683" s="152"/>
      <c r="G683" s="152"/>
      <c r="H683" s="152"/>
      <c r="I683" s="152"/>
      <c r="J683" s="152"/>
      <c r="K683" s="152"/>
      <c r="L683" s="152"/>
      <c r="M683" s="152"/>
      <c r="N683" s="152"/>
      <c r="O683" s="152"/>
      <c r="P683" s="152"/>
      <c r="Q683" s="152"/>
      <c r="R683" s="152"/>
      <c r="S683" s="152"/>
      <c r="T683" s="152"/>
      <c r="U683" s="152"/>
      <c r="V683" s="152"/>
      <c r="W683" s="152"/>
      <c r="X683" s="152"/>
      <c r="Y683" s="152"/>
      <c r="Z683" s="152"/>
      <c r="AA683" s="152"/>
      <c r="AB683" s="152"/>
      <c r="AC683" s="152"/>
      <c r="AD683" s="152"/>
      <c r="AE683" s="152"/>
    </row>
    <row r="684" spans="1:31" ht="15.75">
      <c r="A684" s="152"/>
      <c r="B684" s="152"/>
      <c r="C684" s="281"/>
      <c r="D684" s="152"/>
      <c r="E684" s="152"/>
      <c r="F684" s="152"/>
      <c r="G684" s="152"/>
      <c r="H684" s="152"/>
      <c r="I684" s="152"/>
      <c r="J684" s="152"/>
      <c r="K684" s="152"/>
      <c r="L684" s="152"/>
      <c r="M684" s="152"/>
      <c r="N684" s="152"/>
      <c r="O684" s="152"/>
      <c r="P684" s="152"/>
      <c r="Q684" s="152"/>
      <c r="R684" s="152"/>
      <c r="S684" s="152"/>
      <c r="T684" s="152"/>
      <c r="U684" s="152"/>
      <c r="V684" s="152"/>
      <c r="W684" s="152"/>
      <c r="X684" s="152"/>
      <c r="Y684" s="152"/>
      <c r="Z684" s="152"/>
      <c r="AA684" s="152"/>
      <c r="AB684" s="152"/>
      <c r="AC684" s="152"/>
      <c r="AD684" s="152"/>
      <c r="AE684" s="152"/>
    </row>
    <row r="685" spans="1:31" ht="15.75">
      <c r="A685" s="152"/>
      <c r="B685" s="152"/>
      <c r="C685" s="281"/>
      <c r="D685" s="152"/>
      <c r="E685" s="152"/>
      <c r="F685" s="152"/>
      <c r="G685" s="152"/>
      <c r="H685" s="152"/>
      <c r="I685" s="152"/>
      <c r="J685" s="152"/>
      <c r="K685" s="152"/>
      <c r="L685" s="152"/>
      <c r="M685" s="152"/>
      <c r="N685" s="152"/>
      <c r="O685" s="152"/>
      <c r="P685" s="152"/>
      <c r="Q685" s="152"/>
      <c r="R685" s="152"/>
      <c r="S685" s="152"/>
      <c r="T685" s="152"/>
      <c r="U685" s="152"/>
      <c r="V685" s="152"/>
      <c r="W685" s="152"/>
      <c r="X685" s="152"/>
      <c r="Y685" s="152"/>
      <c r="Z685" s="152"/>
      <c r="AA685" s="152"/>
      <c r="AB685" s="152"/>
      <c r="AC685" s="152"/>
      <c r="AD685" s="152"/>
      <c r="AE685" s="152"/>
    </row>
    <row r="686" spans="1:31" ht="15.75">
      <c r="A686" s="152"/>
      <c r="B686" s="152"/>
      <c r="C686" s="281"/>
      <c r="D686" s="152"/>
      <c r="E686" s="152"/>
      <c r="F686" s="152"/>
      <c r="G686" s="152"/>
      <c r="H686" s="152"/>
      <c r="I686" s="152"/>
      <c r="J686" s="152"/>
      <c r="K686" s="152"/>
      <c r="L686" s="152"/>
      <c r="M686" s="152"/>
      <c r="N686" s="152"/>
      <c r="O686" s="152"/>
      <c r="P686" s="152"/>
      <c r="Q686" s="152"/>
      <c r="R686" s="152"/>
      <c r="S686" s="152"/>
      <c r="T686" s="152"/>
      <c r="U686" s="152"/>
      <c r="V686" s="152"/>
      <c r="W686" s="152"/>
      <c r="X686" s="152"/>
      <c r="Y686" s="152"/>
      <c r="Z686" s="152"/>
      <c r="AA686" s="152"/>
      <c r="AB686" s="152"/>
      <c r="AC686" s="152"/>
      <c r="AD686" s="152"/>
      <c r="AE686" s="152"/>
    </row>
    <row r="687" spans="1:31" ht="15.75">
      <c r="A687" s="152"/>
      <c r="B687" s="152"/>
      <c r="C687" s="281"/>
      <c r="D687" s="152"/>
      <c r="E687" s="152"/>
      <c r="F687" s="152"/>
      <c r="G687" s="152"/>
      <c r="H687" s="152"/>
      <c r="I687" s="152"/>
      <c r="J687" s="152"/>
      <c r="K687" s="152"/>
      <c r="L687" s="152"/>
      <c r="M687" s="152"/>
      <c r="N687" s="152"/>
      <c r="O687" s="152"/>
      <c r="P687" s="152"/>
      <c r="Q687" s="152"/>
      <c r="R687" s="152"/>
      <c r="S687" s="152"/>
      <c r="T687" s="152"/>
      <c r="U687" s="152"/>
      <c r="V687" s="152"/>
      <c r="W687" s="152"/>
      <c r="X687" s="152"/>
      <c r="Y687" s="152"/>
      <c r="Z687" s="152"/>
      <c r="AA687" s="152"/>
      <c r="AB687" s="152"/>
      <c r="AC687" s="152"/>
      <c r="AD687" s="152"/>
      <c r="AE687" s="152"/>
    </row>
    <row r="688" spans="1:31" ht="15.75">
      <c r="A688" s="152"/>
      <c r="B688" s="152"/>
      <c r="C688" s="281"/>
      <c r="D688" s="152"/>
      <c r="E688" s="152"/>
      <c r="F688" s="152"/>
      <c r="G688" s="152"/>
      <c r="H688" s="152"/>
      <c r="I688" s="152"/>
      <c r="J688" s="152"/>
      <c r="K688" s="152"/>
      <c r="L688" s="152"/>
      <c r="M688" s="152"/>
      <c r="N688" s="152"/>
      <c r="O688" s="152"/>
      <c r="P688" s="152"/>
      <c r="Q688" s="152"/>
      <c r="R688" s="152"/>
      <c r="S688" s="152"/>
      <c r="T688" s="152"/>
      <c r="U688" s="152"/>
      <c r="V688" s="152"/>
      <c r="W688" s="152"/>
      <c r="X688" s="152"/>
      <c r="Y688" s="152"/>
      <c r="Z688" s="152"/>
      <c r="AA688" s="152"/>
      <c r="AB688" s="152"/>
      <c r="AC688" s="152"/>
      <c r="AD688" s="152"/>
      <c r="AE688" s="152"/>
    </row>
    <row r="689" spans="1:31" ht="15.75">
      <c r="A689" s="152"/>
      <c r="B689" s="152"/>
      <c r="C689" s="281"/>
      <c r="D689" s="152"/>
      <c r="E689" s="152"/>
      <c r="F689" s="152"/>
      <c r="G689" s="152"/>
      <c r="H689" s="152"/>
      <c r="I689" s="152"/>
      <c r="J689" s="152"/>
      <c r="K689" s="152"/>
      <c r="L689" s="152"/>
      <c r="M689" s="152"/>
      <c r="N689" s="152"/>
      <c r="O689" s="152"/>
      <c r="P689" s="152"/>
      <c r="Q689" s="152"/>
      <c r="R689" s="152"/>
      <c r="S689" s="152"/>
      <c r="T689" s="152"/>
      <c r="U689" s="152"/>
      <c r="V689" s="152"/>
      <c r="W689" s="152"/>
      <c r="X689" s="152"/>
      <c r="Y689" s="152"/>
      <c r="Z689" s="152"/>
      <c r="AA689" s="152"/>
      <c r="AB689" s="152"/>
      <c r="AC689" s="152"/>
      <c r="AD689" s="152"/>
      <c r="AE689" s="152"/>
    </row>
    <row r="690" spans="1:31" ht="15.75">
      <c r="A690" s="152"/>
      <c r="B690" s="152"/>
      <c r="C690" s="281"/>
      <c r="D690" s="152"/>
      <c r="E690" s="152"/>
      <c r="F690" s="152"/>
      <c r="G690" s="152"/>
      <c r="H690" s="152"/>
      <c r="I690" s="152"/>
      <c r="J690" s="152"/>
      <c r="K690" s="152"/>
      <c r="L690" s="152"/>
      <c r="M690" s="152"/>
      <c r="N690" s="152"/>
      <c r="O690" s="152"/>
      <c r="P690" s="152"/>
      <c r="Q690" s="152"/>
      <c r="R690" s="152"/>
      <c r="S690" s="152"/>
      <c r="T690" s="152"/>
      <c r="U690" s="152"/>
      <c r="V690" s="152"/>
      <c r="W690" s="152"/>
      <c r="X690" s="152"/>
      <c r="Y690" s="152"/>
      <c r="Z690" s="152"/>
      <c r="AA690" s="152"/>
      <c r="AB690" s="152"/>
      <c r="AC690" s="152"/>
      <c r="AD690" s="152"/>
      <c r="AE690" s="152"/>
    </row>
    <row r="691" spans="1:31" ht="15.75">
      <c r="A691" s="152"/>
      <c r="B691" s="152"/>
      <c r="C691" s="281"/>
      <c r="D691" s="152"/>
      <c r="E691" s="152"/>
      <c r="F691" s="152"/>
      <c r="G691" s="152"/>
      <c r="H691" s="152"/>
      <c r="I691" s="152"/>
      <c r="J691" s="152"/>
      <c r="K691" s="152"/>
      <c r="L691" s="152"/>
      <c r="M691" s="152"/>
      <c r="N691" s="152"/>
      <c r="O691" s="152"/>
      <c r="P691" s="152"/>
      <c r="Q691" s="152"/>
      <c r="R691" s="152"/>
      <c r="S691" s="152"/>
      <c r="T691" s="152"/>
      <c r="U691" s="152"/>
      <c r="V691" s="152"/>
      <c r="W691" s="152"/>
      <c r="X691" s="152"/>
      <c r="Y691" s="152"/>
      <c r="Z691" s="152"/>
      <c r="AA691" s="152"/>
      <c r="AB691" s="152"/>
      <c r="AC691" s="152"/>
      <c r="AD691" s="152"/>
      <c r="AE691" s="152"/>
    </row>
    <row r="692" spans="1:31" ht="15.75">
      <c r="A692" s="152"/>
      <c r="B692" s="152"/>
      <c r="C692" s="281"/>
      <c r="D692" s="152"/>
      <c r="E692" s="152"/>
      <c r="F692" s="152"/>
      <c r="G692" s="152"/>
      <c r="H692" s="152"/>
      <c r="I692" s="152"/>
      <c r="J692" s="152"/>
      <c r="K692" s="152"/>
      <c r="L692" s="152"/>
      <c r="M692" s="152"/>
      <c r="N692" s="152"/>
      <c r="O692" s="152"/>
      <c r="P692" s="152"/>
      <c r="Q692" s="152"/>
      <c r="R692" s="152"/>
      <c r="S692" s="152"/>
      <c r="T692" s="152"/>
      <c r="U692" s="152"/>
      <c r="V692" s="152"/>
      <c r="W692" s="152"/>
      <c r="X692" s="152"/>
      <c r="Y692" s="152"/>
      <c r="Z692" s="152"/>
      <c r="AA692" s="152"/>
      <c r="AB692" s="152"/>
      <c r="AC692" s="152"/>
      <c r="AD692" s="152"/>
      <c r="AE692" s="152"/>
    </row>
    <row r="693" spans="1:31" ht="15.75">
      <c r="A693" s="152"/>
      <c r="B693" s="152"/>
      <c r="C693" s="281"/>
      <c r="D693" s="152"/>
      <c r="E693" s="152"/>
      <c r="F693" s="152"/>
      <c r="G693" s="152"/>
      <c r="H693" s="152"/>
      <c r="I693" s="152"/>
      <c r="J693" s="152"/>
      <c r="K693" s="152"/>
      <c r="L693" s="152"/>
      <c r="M693" s="152"/>
      <c r="N693" s="152"/>
      <c r="O693" s="152"/>
      <c r="P693" s="152"/>
      <c r="Q693" s="152"/>
      <c r="R693" s="152"/>
      <c r="S693" s="152"/>
      <c r="T693" s="152"/>
      <c r="U693" s="152"/>
      <c r="V693" s="152"/>
      <c r="W693" s="152"/>
      <c r="X693" s="152"/>
      <c r="Y693" s="152"/>
      <c r="Z693" s="152"/>
      <c r="AA693" s="152"/>
      <c r="AB693" s="152"/>
      <c r="AC693" s="152"/>
      <c r="AD693" s="152"/>
      <c r="AE693" s="152"/>
    </row>
    <row r="694" spans="1:31" ht="15.75">
      <c r="A694" s="152"/>
      <c r="B694" s="152"/>
      <c r="C694" s="281"/>
      <c r="D694" s="152"/>
      <c r="E694" s="152"/>
      <c r="F694" s="152"/>
      <c r="G694" s="152"/>
      <c r="H694" s="152"/>
      <c r="I694" s="152"/>
      <c r="J694" s="152"/>
      <c r="K694" s="152"/>
      <c r="L694" s="152"/>
      <c r="M694" s="152"/>
      <c r="N694" s="152"/>
      <c r="O694" s="152"/>
      <c r="P694" s="152"/>
      <c r="Q694" s="152"/>
      <c r="R694" s="152"/>
      <c r="S694" s="152"/>
      <c r="T694" s="152"/>
      <c r="U694" s="152"/>
      <c r="V694" s="152"/>
      <c r="W694" s="152"/>
      <c r="X694" s="152"/>
      <c r="Y694" s="152"/>
      <c r="Z694" s="152"/>
      <c r="AA694" s="152"/>
      <c r="AB694" s="152"/>
      <c r="AC694" s="152"/>
      <c r="AD694" s="152"/>
      <c r="AE694" s="152"/>
    </row>
    <row r="695" spans="1:31" ht="15.75">
      <c r="A695" s="152"/>
      <c r="B695" s="152"/>
      <c r="C695" s="281"/>
      <c r="D695" s="152"/>
      <c r="E695" s="152"/>
      <c r="F695" s="152"/>
      <c r="G695" s="152"/>
      <c r="H695" s="152"/>
      <c r="I695" s="152"/>
      <c r="J695" s="152"/>
      <c r="K695" s="152"/>
      <c r="L695" s="152"/>
      <c r="M695" s="152"/>
      <c r="N695" s="152"/>
      <c r="O695" s="152"/>
      <c r="P695" s="152"/>
      <c r="Q695" s="152"/>
      <c r="R695" s="152"/>
      <c r="S695" s="152"/>
      <c r="T695" s="152"/>
      <c r="U695" s="152"/>
      <c r="V695" s="152"/>
      <c r="W695" s="152"/>
      <c r="X695" s="152"/>
      <c r="Y695" s="152"/>
      <c r="Z695" s="152"/>
      <c r="AA695" s="152"/>
      <c r="AB695" s="152"/>
      <c r="AC695" s="152"/>
      <c r="AD695" s="152"/>
      <c r="AE695" s="152"/>
    </row>
    <row r="696" spans="1:31" ht="15.75">
      <c r="A696" s="152"/>
      <c r="B696" s="152"/>
      <c r="C696" s="281"/>
      <c r="D696" s="152"/>
      <c r="E696" s="152"/>
      <c r="F696" s="152"/>
      <c r="G696" s="152"/>
      <c r="H696" s="152"/>
      <c r="I696" s="152"/>
      <c r="J696" s="152"/>
      <c r="K696" s="152"/>
      <c r="L696" s="152"/>
      <c r="M696" s="152"/>
      <c r="N696" s="152"/>
      <c r="O696" s="152"/>
      <c r="P696" s="152"/>
      <c r="Q696" s="152"/>
      <c r="R696" s="152"/>
      <c r="S696" s="152"/>
      <c r="T696" s="152"/>
      <c r="U696" s="152"/>
      <c r="V696" s="152"/>
      <c r="W696" s="152"/>
      <c r="X696" s="152"/>
      <c r="Y696" s="152"/>
      <c r="Z696" s="152"/>
      <c r="AA696" s="152"/>
      <c r="AB696" s="152"/>
      <c r="AC696" s="152"/>
      <c r="AD696" s="152"/>
      <c r="AE696" s="152"/>
    </row>
    <row r="697" spans="1:31" ht="15.75">
      <c r="A697" s="152"/>
      <c r="B697" s="152"/>
      <c r="C697" s="281"/>
      <c r="D697" s="152"/>
      <c r="E697" s="152"/>
      <c r="F697" s="152"/>
      <c r="G697" s="152"/>
      <c r="H697" s="152"/>
      <c r="I697" s="152"/>
      <c r="J697" s="152"/>
      <c r="K697" s="152"/>
      <c r="L697" s="152"/>
      <c r="M697" s="152"/>
      <c r="N697" s="152"/>
      <c r="O697" s="152"/>
      <c r="P697" s="152"/>
      <c r="Q697" s="152"/>
      <c r="R697" s="152"/>
      <c r="S697" s="152"/>
      <c r="T697" s="152"/>
      <c r="U697" s="152"/>
      <c r="V697" s="152"/>
      <c r="W697" s="152"/>
      <c r="X697" s="152"/>
      <c r="Y697" s="152"/>
      <c r="Z697" s="152"/>
      <c r="AA697" s="152"/>
      <c r="AB697" s="152"/>
      <c r="AC697" s="152"/>
      <c r="AD697" s="152"/>
      <c r="AE697" s="152"/>
    </row>
    <row r="698" spans="1:31" ht="15.75">
      <c r="A698" s="152"/>
      <c r="B698" s="152"/>
      <c r="C698" s="281"/>
      <c r="D698" s="152"/>
      <c r="E698" s="152"/>
      <c r="F698" s="152"/>
      <c r="G698" s="152"/>
      <c r="H698" s="152"/>
      <c r="I698" s="152"/>
      <c r="J698" s="152"/>
      <c r="K698" s="152"/>
      <c r="L698" s="152"/>
      <c r="M698" s="152"/>
      <c r="N698" s="152"/>
      <c r="O698" s="152"/>
      <c r="P698" s="152"/>
      <c r="Q698" s="152"/>
      <c r="R698" s="152"/>
      <c r="S698" s="152"/>
      <c r="T698" s="152"/>
      <c r="U698" s="152"/>
      <c r="V698" s="152"/>
      <c r="W698" s="152"/>
      <c r="X698" s="152"/>
      <c r="Y698" s="152"/>
      <c r="Z698" s="152"/>
      <c r="AA698" s="152"/>
      <c r="AB698" s="152"/>
      <c r="AC698" s="152"/>
      <c r="AD698" s="152"/>
      <c r="AE698" s="152"/>
    </row>
    <row r="699" spans="1:31" ht="15.75">
      <c r="A699" s="152"/>
      <c r="B699" s="152"/>
      <c r="C699" s="281"/>
      <c r="D699" s="152"/>
      <c r="E699" s="152"/>
      <c r="F699" s="152"/>
      <c r="G699" s="152"/>
      <c r="H699" s="152"/>
      <c r="I699" s="152"/>
      <c r="J699" s="152"/>
      <c r="K699" s="152"/>
      <c r="L699" s="152"/>
      <c r="M699" s="152"/>
      <c r="N699" s="152"/>
      <c r="O699" s="152"/>
      <c r="P699" s="152"/>
      <c r="Q699" s="152"/>
      <c r="R699" s="152"/>
      <c r="S699" s="152"/>
      <c r="T699" s="152"/>
      <c r="U699" s="152"/>
      <c r="V699" s="152"/>
      <c r="W699" s="152"/>
      <c r="X699" s="152"/>
      <c r="Y699" s="152"/>
      <c r="Z699" s="152"/>
      <c r="AA699" s="152"/>
      <c r="AB699" s="152"/>
      <c r="AC699" s="152"/>
      <c r="AD699" s="152"/>
      <c r="AE699" s="152"/>
    </row>
    <row r="700" spans="1:31" ht="15.75">
      <c r="A700" s="152"/>
      <c r="B700" s="152"/>
      <c r="C700" s="281"/>
      <c r="D700" s="152"/>
      <c r="E700" s="152"/>
      <c r="F700" s="152"/>
      <c r="G700" s="152"/>
      <c r="H700" s="152"/>
      <c r="I700" s="152"/>
      <c r="J700" s="152"/>
      <c r="K700" s="152"/>
      <c r="L700" s="152"/>
      <c r="M700" s="152"/>
      <c r="N700" s="152"/>
      <c r="O700" s="152"/>
      <c r="P700" s="152"/>
      <c r="Q700" s="152"/>
      <c r="R700" s="152"/>
      <c r="S700" s="152"/>
      <c r="T700" s="152"/>
      <c r="U700" s="152"/>
      <c r="V700" s="152"/>
      <c r="W700" s="152"/>
      <c r="X700" s="152"/>
      <c r="Y700" s="152"/>
      <c r="Z700" s="152"/>
      <c r="AA700" s="152"/>
      <c r="AB700" s="152"/>
      <c r="AC700" s="152"/>
      <c r="AD700" s="152"/>
      <c r="AE700" s="152"/>
    </row>
    <row r="701" spans="1:31" ht="15.75">
      <c r="A701" s="152"/>
      <c r="B701" s="152"/>
      <c r="C701" s="281"/>
      <c r="D701" s="152"/>
      <c r="E701" s="152"/>
      <c r="F701" s="152"/>
      <c r="G701" s="152"/>
      <c r="H701" s="152"/>
      <c r="I701" s="152"/>
      <c r="J701" s="152"/>
      <c r="K701" s="152"/>
      <c r="L701" s="152"/>
      <c r="M701" s="152"/>
      <c r="N701" s="152"/>
      <c r="O701" s="152"/>
      <c r="P701" s="152"/>
      <c r="Q701" s="152"/>
      <c r="R701" s="152"/>
      <c r="S701" s="152"/>
      <c r="T701" s="152"/>
      <c r="U701" s="152"/>
      <c r="V701" s="152"/>
      <c r="W701" s="152"/>
      <c r="X701" s="152"/>
      <c r="Y701" s="152"/>
      <c r="Z701" s="152"/>
      <c r="AA701" s="152"/>
      <c r="AB701" s="152"/>
      <c r="AC701" s="152"/>
      <c r="AD701" s="152"/>
      <c r="AE701" s="152"/>
    </row>
    <row r="702" spans="1:31" ht="15.75">
      <c r="A702" s="152"/>
      <c r="B702" s="152"/>
      <c r="C702" s="281"/>
      <c r="D702" s="152"/>
      <c r="E702" s="152"/>
      <c r="F702" s="152"/>
      <c r="G702" s="152"/>
      <c r="H702" s="152"/>
      <c r="I702" s="152"/>
      <c r="J702" s="152"/>
      <c r="K702" s="152"/>
      <c r="L702" s="152"/>
      <c r="M702" s="152"/>
      <c r="N702" s="152"/>
      <c r="O702" s="152"/>
      <c r="P702" s="152"/>
      <c r="Q702" s="152"/>
      <c r="R702" s="152"/>
      <c r="S702" s="152"/>
      <c r="T702" s="152"/>
      <c r="U702" s="152"/>
      <c r="V702" s="152"/>
      <c r="W702" s="152"/>
      <c r="X702" s="152"/>
      <c r="Y702" s="152"/>
      <c r="Z702" s="152"/>
      <c r="AA702" s="152"/>
      <c r="AB702" s="152"/>
      <c r="AC702" s="152"/>
      <c r="AD702" s="152"/>
      <c r="AE702" s="152"/>
    </row>
    <row r="703" spans="1:31" ht="15.75">
      <c r="A703" s="152"/>
      <c r="B703" s="152"/>
      <c r="C703" s="281"/>
      <c r="D703" s="152"/>
      <c r="E703" s="152"/>
      <c r="F703" s="152"/>
      <c r="G703" s="152"/>
      <c r="H703" s="152"/>
      <c r="I703" s="152"/>
      <c r="J703" s="152"/>
      <c r="K703" s="152"/>
      <c r="L703" s="152"/>
      <c r="M703" s="152"/>
      <c r="N703" s="152"/>
      <c r="O703" s="152"/>
      <c r="P703" s="152"/>
      <c r="Q703" s="152"/>
      <c r="R703" s="152"/>
      <c r="S703" s="152"/>
      <c r="T703" s="152"/>
      <c r="U703" s="152"/>
      <c r="V703" s="152"/>
      <c r="W703" s="152"/>
      <c r="X703" s="152"/>
      <c r="Y703" s="152"/>
      <c r="Z703" s="152"/>
      <c r="AA703" s="152"/>
      <c r="AB703" s="152"/>
      <c r="AC703" s="152"/>
      <c r="AD703" s="152"/>
      <c r="AE703" s="152"/>
    </row>
    <row r="704" spans="1:31" ht="15.75">
      <c r="A704" s="152"/>
      <c r="B704" s="152"/>
      <c r="C704" s="281"/>
      <c r="D704" s="152"/>
      <c r="E704" s="152"/>
      <c r="F704" s="152"/>
      <c r="G704" s="152"/>
      <c r="H704" s="152"/>
      <c r="I704" s="152"/>
      <c r="J704" s="152"/>
      <c r="K704" s="152"/>
      <c r="L704" s="152"/>
      <c r="M704" s="152"/>
      <c r="N704" s="152"/>
      <c r="O704" s="152"/>
      <c r="P704" s="152"/>
      <c r="Q704" s="152"/>
      <c r="R704" s="152"/>
      <c r="S704" s="152"/>
      <c r="T704" s="152"/>
      <c r="U704" s="152"/>
      <c r="V704" s="152"/>
      <c r="W704" s="152"/>
      <c r="X704" s="152"/>
      <c r="Y704" s="152"/>
      <c r="Z704" s="152"/>
      <c r="AA704" s="152"/>
      <c r="AB704" s="152"/>
      <c r="AC704" s="152"/>
      <c r="AD704" s="152"/>
      <c r="AE704" s="152"/>
    </row>
    <row r="705" spans="1:31" ht="15.75">
      <c r="A705" s="152"/>
      <c r="B705" s="152"/>
      <c r="C705" s="281"/>
      <c r="D705" s="152"/>
      <c r="E705" s="152"/>
      <c r="F705" s="152"/>
      <c r="G705" s="152"/>
      <c r="H705" s="152"/>
      <c r="I705" s="152"/>
      <c r="J705" s="152"/>
      <c r="K705" s="152"/>
      <c r="L705" s="152"/>
      <c r="M705" s="152"/>
      <c r="N705" s="152"/>
      <c r="O705" s="152"/>
      <c r="P705" s="152"/>
      <c r="Q705" s="152"/>
      <c r="R705" s="152"/>
      <c r="S705" s="152"/>
      <c r="T705" s="152"/>
      <c r="U705" s="152"/>
      <c r="V705" s="152"/>
      <c r="W705" s="152"/>
      <c r="X705" s="152"/>
      <c r="Y705" s="152"/>
      <c r="Z705" s="152"/>
      <c r="AA705" s="152"/>
      <c r="AB705" s="152"/>
      <c r="AC705" s="152"/>
      <c r="AD705" s="152"/>
      <c r="AE705" s="152"/>
    </row>
    <row r="706" spans="1:31" ht="15.75">
      <c r="A706" s="152"/>
      <c r="B706" s="152"/>
      <c r="C706" s="281"/>
      <c r="D706" s="152"/>
      <c r="E706" s="152"/>
      <c r="F706" s="152"/>
      <c r="G706" s="152"/>
      <c r="H706" s="152"/>
      <c r="I706" s="152"/>
      <c r="J706" s="152"/>
      <c r="K706" s="152"/>
      <c r="L706" s="152"/>
      <c r="M706" s="152"/>
      <c r="N706" s="152"/>
      <c r="O706" s="152"/>
      <c r="P706" s="152"/>
      <c r="Q706" s="152"/>
      <c r="R706" s="152"/>
      <c r="S706" s="152"/>
      <c r="T706" s="152"/>
      <c r="U706" s="152"/>
      <c r="V706" s="152"/>
      <c r="W706" s="152"/>
      <c r="X706" s="152"/>
      <c r="Y706" s="152"/>
      <c r="Z706" s="152"/>
      <c r="AA706" s="152"/>
      <c r="AB706" s="152"/>
      <c r="AC706" s="152"/>
      <c r="AD706" s="152"/>
      <c r="AE706" s="152"/>
    </row>
    <row r="707" spans="1:31" ht="15.75">
      <c r="A707" s="152"/>
      <c r="B707" s="152"/>
      <c r="C707" s="281"/>
      <c r="D707" s="152"/>
      <c r="E707" s="152"/>
      <c r="F707" s="152"/>
      <c r="G707" s="152"/>
      <c r="H707" s="152"/>
      <c r="I707" s="152"/>
      <c r="J707" s="152"/>
      <c r="K707" s="152"/>
      <c r="L707" s="152"/>
      <c r="M707" s="152"/>
      <c r="N707" s="152"/>
      <c r="O707" s="152"/>
      <c r="P707" s="152"/>
      <c r="Q707" s="152"/>
      <c r="R707" s="152"/>
      <c r="S707" s="152"/>
      <c r="T707" s="152"/>
      <c r="U707" s="152"/>
      <c r="V707" s="152"/>
      <c r="W707" s="152"/>
      <c r="X707" s="152"/>
      <c r="Y707" s="152"/>
      <c r="Z707" s="152"/>
      <c r="AA707" s="152"/>
      <c r="AB707" s="152"/>
      <c r="AC707" s="152"/>
      <c r="AD707" s="152"/>
      <c r="AE707" s="152"/>
    </row>
    <row r="708" spans="1:31" ht="15.75">
      <c r="A708" s="152"/>
      <c r="B708" s="152"/>
      <c r="C708" s="281"/>
      <c r="D708" s="152"/>
      <c r="E708" s="152"/>
      <c r="F708" s="152"/>
      <c r="G708" s="152"/>
      <c r="H708" s="152"/>
      <c r="I708" s="152"/>
      <c r="J708" s="152"/>
      <c r="K708" s="152"/>
      <c r="L708" s="152"/>
      <c r="M708" s="152"/>
      <c r="N708" s="152"/>
      <c r="O708" s="152"/>
      <c r="P708" s="152"/>
      <c r="Q708" s="152"/>
      <c r="R708" s="152"/>
      <c r="S708" s="152"/>
      <c r="T708" s="152"/>
      <c r="U708" s="152"/>
      <c r="V708" s="152"/>
      <c r="W708" s="152"/>
      <c r="X708" s="152"/>
      <c r="Y708" s="152"/>
      <c r="Z708" s="152"/>
      <c r="AA708" s="152"/>
      <c r="AB708" s="152"/>
      <c r="AC708" s="152"/>
      <c r="AD708" s="152"/>
      <c r="AE708" s="152"/>
    </row>
    <row r="709" spans="1:31" ht="15.75">
      <c r="A709" s="152"/>
      <c r="B709" s="152"/>
      <c r="C709" s="281"/>
      <c r="D709" s="152"/>
      <c r="E709" s="152"/>
      <c r="F709" s="152"/>
      <c r="G709" s="152"/>
      <c r="H709" s="152"/>
      <c r="I709" s="152"/>
      <c r="J709" s="152"/>
      <c r="K709" s="152"/>
      <c r="L709" s="152"/>
      <c r="M709" s="152"/>
      <c r="N709" s="152"/>
      <c r="O709" s="152"/>
      <c r="P709" s="152"/>
      <c r="Q709" s="152"/>
      <c r="R709" s="152"/>
      <c r="S709" s="152"/>
      <c r="T709" s="152"/>
      <c r="U709" s="152"/>
      <c r="V709" s="152"/>
      <c r="W709" s="152"/>
      <c r="X709" s="152"/>
      <c r="Y709" s="152"/>
      <c r="Z709" s="152"/>
      <c r="AA709" s="152"/>
      <c r="AB709" s="152"/>
      <c r="AC709" s="152"/>
      <c r="AD709" s="152"/>
      <c r="AE709" s="152"/>
    </row>
    <row r="710" spans="1:31" ht="15.75">
      <c r="A710" s="152"/>
      <c r="B710" s="152"/>
      <c r="C710" s="281"/>
      <c r="D710" s="152"/>
      <c r="E710" s="152"/>
      <c r="F710" s="152"/>
      <c r="G710" s="152"/>
      <c r="H710" s="152"/>
      <c r="I710" s="152"/>
      <c r="J710" s="152"/>
      <c r="K710" s="152"/>
      <c r="L710" s="152"/>
      <c r="M710" s="152"/>
      <c r="N710" s="152"/>
      <c r="O710" s="152"/>
      <c r="P710" s="152"/>
      <c r="Q710" s="152"/>
      <c r="R710" s="152"/>
      <c r="S710" s="152"/>
      <c r="T710" s="152"/>
      <c r="U710" s="152"/>
      <c r="V710" s="152"/>
      <c r="W710" s="152"/>
      <c r="X710" s="152"/>
      <c r="Y710" s="152"/>
      <c r="Z710" s="152"/>
      <c r="AA710" s="152"/>
      <c r="AB710" s="152"/>
      <c r="AC710" s="152"/>
      <c r="AD710" s="152"/>
      <c r="AE710" s="152"/>
    </row>
    <row r="711" spans="1:31" ht="15.75">
      <c r="A711" s="152"/>
      <c r="B711" s="152"/>
      <c r="C711" s="281"/>
      <c r="D711" s="152"/>
      <c r="E711" s="152"/>
      <c r="F711" s="152"/>
      <c r="G711" s="152"/>
      <c r="H711" s="152"/>
      <c r="I711" s="152"/>
      <c r="J711" s="152"/>
      <c r="K711" s="152"/>
      <c r="L711" s="152"/>
      <c r="M711" s="152"/>
      <c r="N711" s="152"/>
      <c r="O711" s="152"/>
      <c r="P711" s="152"/>
      <c r="Q711" s="152"/>
      <c r="R711" s="152"/>
      <c r="S711" s="152"/>
      <c r="T711" s="152"/>
      <c r="U711" s="152"/>
      <c r="V711" s="152"/>
      <c r="W711" s="152"/>
      <c r="X711" s="152"/>
      <c r="Y711" s="152"/>
      <c r="Z711" s="152"/>
      <c r="AA711" s="152"/>
      <c r="AB711" s="152"/>
      <c r="AC711" s="152"/>
      <c r="AD711" s="152"/>
      <c r="AE711" s="152"/>
    </row>
    <row r="712" spans="1:31" ht="15.75">
      <c r="A712" s="152"/>
      <c r="B712" s="152"/>
      <c r="C712" s="281"/>
      <c r="D712" s="152"/>
      <c r="E712" s="152"/>
      <c r="F712" s="152"/>
      <c r="G712" s="152"/>
      <c r="H712" s="152"/>
      <c r="I712" s="152"/>
      <c r="J712" s="152"/>
      <c r="K712" s="152"/>
      <c r="L712" s="152"/>
      <c r="M712" s="152"/>
      <c r="N712" s="152"/>
      <c r="O712" s="152"/>
      <c r="P712" s="152"/>
      <c r="Q712" s="152"/>
      <c r="R712" s="152"/>
      <c r="S712" s="152"/>
      <c r="T712" s="152"/>
      <c r="U712" s="152"/>
      <c r="V712" s="152"/>
      <c r="W712" s="152"/>
      <c r="X712" s="152"/>
      <c r="Y712" s="152"/>
      <c r="Z712" s="152"/>
      <c r="AA712" s="152"/>
      <c r="AB712" s="152"/>
      <c r="AC712" s="152"/>
      <c r="AD712" s="152"/>
      <c r="AE712" s="152"/>
    </row>
    <row r="713" spans="1:31" ht="15.75">
      <c r="A713" s="152"/>
      <c r="B713" s="152"/>
      <c r="C713" s="281"/>
      <c r="D713" s="152"/>
      <c r="E713" s="152"/>
      <c r="F713" s="152"/>
      <c r="G713" s="152"/>
      <c r="H713" s="152"/>
      <c r="I713" s="152"/>
      <c r="J713" s="152"/>
      <c r="K713" s="152"/>
      <c r="L713" s="152"/>
      <c r="M713" s="152"/>
      <c r="N713" s="152"/>
      <c r="O713" s="152"/>
      <c r="P713" s="152"/>
      <c r="Q713" s="152"/>
      <c r="R713" s="152"/>
      <c r="S713" s="152"/>
      <c r="T713" s="152"/>
      <c r="U713" s="152"/>
      <c r="V713" s="152"/>
      <c r="W713" s="152"/>
      <c r="X713" s="152"/>
      <c r="Y713" s="152"/>
      <c r="Z713" s="152"/>
      <c r="AA713" s="152"/>
      <c r="AB713" s="152"/>
      <c r="AC713" s="152"/>
      <c r="AD713" s="152"/>
      <c r="AE713" s="152"/>
    </row>
    <row r="714" spans="1:31" ht="15.75">
      <c r="A714" s="152"/>
      <c r="B714" s="152"/>
      <c r="C714" s="281"/>
      <c r="D714" s="152"/>
      <c r="E714" s="152"/>
      <c r="F714" s="152"/>
      <c r="G714" s="152"/>
      <c r="H714" s="152"/>
      <c r="I714" s="152"/>
      <c r="J714" s="152"/>
      <c r="K714" s="152"/>
      <c r="L714" s="152"/>
      <c r="M714" s="152"/>
      <c r="N714" s="152"/>
      <c r="O714" s="152"/>
      <c r="P714" s="152"/>
      <c r="Q714" s="152"/>
      <c r="R714" s="152"/>
      <c r="S714" s="152"/>
      <c r="T714" s="152"/>
      <c r="U714" s="152"/>
      <c r="V714" s="152"/>
      <c r="W714" s="152"/>
      <c r="X714" s="152"/>
      <c r="Y714" s="152"/>
      <c r="Z714" s="152"/>
      <c r="AA714" s="152"/>
      <c r="AB714" s="152"/>
      <c r="AC714" s="152"/>
      <c r="AD714" s="152"/>
      <c r="AE714" s="152"/>
    </row>
    <row r="715" spans="1:31" ht="15.75">
      <c r="A715" s="152"/>
      <c r="B715" s="152"/>
      <c r="C715" s="281"/>
      <c r="D715" s="152"/>
      <c r="E715" s="152"/>
      <c r="F715" s="152"/>
      <c r="G715" s="152"/>
      <c r="H715" s="152"/>
      <c r="I715" s="152"/>
      <c r="J715" s="152"/>
      <c r="K715" s="152"/>
      <c r="L715" s="152"/>
      <c r="M715" s="152"/>
      <c r="N715" s="152"/>
      <c r="O715" s="152"/>
      <c r="P715" s="152"/>
      <c r="Q715" s="152"/>
      <c r="R715" s="152"/>
      <c r="S715" s="152"/>
      <c r="T715" s="152"/>
      <c r="U715" s="152"/>
      <c r="V715" s="152"/>
      <c r="W715" s="152"/>
      <c r="X715" s="152"/>
      <c r="Y715" s="152"/>
      <c r="Z715" s="152"/>
      <c r="AA715" s="152"/>
      <c r="AB715" s="152"/>
      <c r="AC715" s="152"/>
      <c r="AD715" s="152"/>
      <c r="AE715" s="152"/>
    </row>
    <row r="716" spans="1:31" ht="15.75">
      <c r="A716" s="152"/>
      <c r="B716" s="152"/>
      <c r="C716" s="281"/>
      <c r="D716" s="152"/>
      <c r="E716" s="152"/>
      <c r="F716" s="152"/>
      <c r="G716" s="152"/>
      <c r="H716" s="152"/>
      <c r="I716" s="152"/>
      <c r="J716" s="152"/>
      <c r="K716" s="152"/>
      <c r="L716" s="152"/>
      <c r="M716" s="152"/>
      <c r="N716" s="152"/>
      <c r="O716" s="152"/>
      <c r="P716" s="152"/>
      <c r="Q716" s="152"/>
      <c r="R716" s="152"/>
      <c r="S716" s="152"/>
      <c r="T716" s="152"/>
      <c r="U716" s="152"/>
      <c r="V716" s="152"/>
      <c r="W716" s="152"/>
      <c r="X716" s="152"/>
      <c r="Y716" s="152"/>
      <c r="Z716" s="152"/>
      <c r="AA716" s="152"/>
      <c r="AB716" s="152"/>
      <c r="AC716" s="152"/>
      <c r="AD716" s="152"/>
      <c r="AE716" s="152"/>
    </row>
    <row r="717" spans="1:31" ht="15.75">
      <c r="A717" s="152"/>
      <c r="B717" s="152"/>
      <c r="C717" s="281"/>
      <c r="D717" s="152"/>
      <c r="E717" s="152"/>
      <c r="F717" s="152"/>
      <c r="G717" s="152"/>
      <c r="H717" s="152"/>
      <c r="I717" s="152"/>
      <c r="J717" s="152"/>
      <c r="K717" s="152"/>
      <c r="L717" s="152"/>
      <c r="M717" s="152"/>
      <c r="N717" s="152"/>
      <c r="O717" s="152"/>
      <c r="P717" s="152"/>
      <c r="Q717" s="152"/>
      <c r="R717" s="152"/>
      <c r="S717" s="152"/>
      <c r="T717" s="152"/>
      <c r="U717" s="152"/>
      <c r="V717" s="152"/>
      <c r="W717" s="152"/>
      <c r="X717" s="152"/>
      <c r="Y717" s="152"/>
      <c r="Z717" s="152"/>
      <c r="AA717" s="152"/>
      <c r="AB717" s="152"/>
      <c r="AC717" s="152"/>
      <c r="AD717" s="152"/>
      <c r="AE717" s="152"/>
    </row>
    <row r="718" spans="1:31" ht="15.75">
      <c r="A718" s="152"/>
      <c r="B718" s="152"/>
      <c r="C718" s="281"/>
      <c r="D718" s="152"/>
      <c r="E718" s="152"/>
      <c r="F718" s="152"/>
      <c r="G718" s="152"/>
      <c r="H718" s="152"/>
      <c r="I718" s="152"/>
      <c r="J718" s="152"/>
      <c r="K718" s="152"/>
      <c r="L718" s="152"/>
      <c r="M718" s="152"/>
      <c r="N718" s="152"/>
      <c r="O718" s="152"/>
      <c r="P718" s="152"/>
      <c r="Q718" s="152"/>
      <c r="R718" s="152"/>
      <c r="S718" s="152"/>
      <c r="T718" s="152"/>
      <c r="U718" s="152"/>
      <c r="V718" s="152"/>
      <c r="W718" s="152"/>
      <c r="X718" s="152"/>
      <c r="Y718" s="152"/>
      <c r="Z718" s="152"/>
      <c r="AA718" s="152"/>
      <c r="AB718" s="152"/>
      <c r="AC718" s="152"/>
      <c r="AD718" s="152"/>
      <c r="AE718" s="152"/>
    </row>
    <row r="719" spans="1:31" ht="15.75">
      <c r="A719" s="152"/>
      <c r="B719" s="152"/>
      <c r="C719" s="281"/>
      <c r="D719" s="152"/>
      <c r="E719" s="152"/>
      <c r="F719" s="152"/>
      <c r="G719" s="152"/>
      <c r="H719" s="152"/>
      <c r="I719" s="152"/>
      <c r="J719" s="152"/>
      <c r="K719" s="152"/>
      <c r="L719" s="152"/>
      <c r="M719" s="152"/>
      <c r="N719" s="152"/>
      <c r="O719" s="152"/>
      <c r="P719" s="152"/>
      <c r="Q719" s="152"/>
      <c r="R719" s="152"/>
      <c r="S719" s="152"/>
      <c r="T719" s="152"/>
      <c r="U719" s="152"/>
      <c r="V719" s="152"/>
      <c r="W719" s="152"/>
      <c r="X719" s="152"/>
      <c r="Y719" s="152"/>
      <c r="Z719" s="152"/>
      <c r="AA719" s="152"/>
      <c r="AB719" s="152"/>
      <c r="AC719" s="152"/>
      <c r="AD719" s="152"/>
      <c r="AE719" s="152"/>
    </row>
    <row r="720" spans="1:31" ht="15.75">
      <c r="A720" s="152"/>
      <c r="B720" s="152"/>
      <c r="C720" s="281"/>
      <c r="D720" s="152"/>
      <c r="E720" s="152"/>
      <c r="F720" s="152"/>
      <c r="G720" s="152"/>
      <c r="H720" s="152"/>
      <c r="I720" s="152"/>
      <c r="J720" s="152"/>
      <c r="K720" s="152"/>
      <c r="L720" s="152"/>
      <c r="M720" s="152"/>
      <c r="N720" s="152"/>
      <c r="O720" s="152"/>
      <c r="P720" s="152"/>
      <c r="Q720" s="152"/>
      <c r="R720" s="152"/>
      <c r="S720" s="152"/>
      <c r="T720" s="152"/>
      <c r="U720" s="152"/>
      <c r="V720" s="152"/>
      <c r="W720" s="152"/>
      <c r="X720" s="152"/>
      <c r="Y720" s="152"/>
      <c r="Z720" s="152"/>
      <c r="AA720" s="152"/>
      <c r="AB720" s="152"/>
      <c r="AC720" s="152"/>
      <c r="AD720" s="152"/>
      <c r="AE720" s="152"/>
    </row>
    <row r="721" spans="1:31" ht="15.75">
      <c r="A721" s="152"/>
      <c r="B721" s="152"/>
      <c r="C721" s="281"/>
      <c r="D721" s="152"/>
      <c r="E721" s="152"/>
      <c r="F721" s="152"/>
      <c r="G721" s="152"/>
      <c r="H721" s="152"/>
      <c r="I721" s="152"/>
      <c r="J721" s="152"/>
      <c r="K721" s="152"/>
      <c r="L721" s="152"/>
      <c r="M721" s="152"/>
      <c r="N721" s="152"/>
      <c r="O721" s="152"/>
      <c r="P721" s="152"/>
      <c r="Q721" s="152"/>
      <c r="R721" s="152"/>
      <c r="S721" s="152"/>
      <c r="T721" s="152"/>
      <c r="U721" s="152"/>
      <c r="V721" s="152"/>
      <c r="W721" s="152"/>
      <c r="X721" s="152"/>
      <c r="Y721" s="152"/>
      <c r="Z721" s="152"/>
      <c r="AA721" s="152"/>
      <c r="AB721" s="152"/>
      <c r="AC721" s="152"/>
      <c r="AD721" s="152"/>
      <c r="AE721" s="152"/>
    </row>
    <row r="722" spans="1:31" ht="15.75">
      <c r="A722" s="152"/>
      <c r="B722" s="152"/>
      <c r="C722" s="281"/>
      <c r="D722" s="152"/>
      <c r="E722" s="152"/>
      <c r="F722" s="152"/>
      <c r="G722" s="152"/>
      <c r="H722" s="152"/>
      <c r="I722" s="152"/>
      <c r="J722" s="152"/>
      <c r="K722" s="152"/>
      <c r="L722" s="152"/>
      <c r="M722" s="152"/>
      <c r="N722" s="152"/>
      <c r="O722" s="152"/>
      <c r="P722" s="152"/>
      <c r="Q722" s="152"/>
      <c r="R722" s="152"/>
      <c r="S722" s="152"/>
      <c r="T722" s="152"/>
      <c r="U722" s="152"/>
      <c r="V722" s="152"/>
      <c r="W722" s="152"/>
      <c r="X722" s="152"/>
      <c r="Y722" s="152"/>
      <c r="Z722" s="152"/>
      <c r="AA722" s="152"/>
      <c r="AB722" s="152"/>
      <c r="AC722" s="152"/>
      <c r="AD722" s="152"/>
      <c r="AE722" s="152"/>
    </row>
    <row r="723" spans="1:31" ht="15.75">
      <c r="A723" s="152"/>
      <c r="B723" s="152"/>
      <c r="C723" s="281"/>
      <c r="D723" s="152"/>
      <c r="E723" s="152"/>
      <c r="F723" s="152"/>
      <c r="G723" s="152"/>
      <c r="H723" s="152"/>
      <c r="I723" s="152"/>
      <c r="J723" s="152"/>
      <c r="K723" s="152"/>
      <c r="L723" s="152"/>
      <c r="M723" s="152"/>
      <c r="N723" s="152"/>
      <c r="O723" s="152"/>
      <c r="P723" s="152"/>
      <c r="Q723" s="152"/>
      <c r="R723" s="152"/>
      <c r="S723" s="152"/>
      <c r="T723" s="152"/>
      <c r="U723" s="152"/>
      <c r="V723" s="152"/>
      <c r="W723" s="152"/>
      <c r="X723" s="152"/>
      <c r="Y723" s="152"/>
      <c r="Z723" s="152"/>
      <c r="AA723" s="152"/>
      <c r="AB723" s="152"/>
      <c r="AC723" s="152"/>
      <c r="AD723" s="152"/>
      <c r="AE723" s="152"/>
    </row>
    <row r="724" spans="1:31" ht="15.75">
      <c r="A724" s="152"/>
      <c r="B724" s="152"/>
      <c r="C724" s="281"/>
      <c r="D724" s="152"/>
      <c r="E724" s="152"/>
      <c r="F724" s="152"/>
      <c r="G724" s="152"/>
      <c r="H724" s="152"/>
      <c r="I724" s="152"/>
      <c r="J724" s="152"/>
      <c r="K724" s="152"/>
      <c r="L724" s="152"/>
      <c r="M724" s="152"/>
      <c r="N724" s="152"/>
      <c r="O724" s="152"/>
      <c r="P724" s="152"/>
      <c r="Q724" s="152"/>
      <c r="R724" s="152"/>
      <c r="S724" s="152"/>
      <c r="T724" s="152"/>
      <c r="U724" s="152"/>
      <c r="V724" s="152"/>
      <c r="W724" s="152"/>
      <c r="X724" s="152"/>
      <c r="Y724" s="152"/>
      <c r="Z724" s="152"/>
      <c r="AA724" s="152"/>
      <c r="AB724" s="152"/>
      <c r="AC724" s="152"/>
      <c r="AD724" s="152"/>
      <c r="AE724" s="152"/>
    </row>
    <row r="725" spans="1:31" ht="15.75">
      <c r="A725" s="152"/>
      <c r="B725" s="152"/>
      <c r="C725" s="281"/>
      <c r="D725" s="152"/>
      <c r="E725" s="152"/>
      <c r="F725" s="152"/>
      <c r="G725" s="152"/>
      <c r="H725" s="152"/>
      <c r="I725" s="152"/>
      <c r="J725" s="152"/>
      <c r="K725" s="152"/>
      <c r="L725" s="152"/>
      <c r="M725" s="152"/>
      <c r="N725" s="152"/>
      <c r="O725" s="152"/>
      <c r="P725" s="152"/>
      <c r="Q725" s="152"/>
      <c r="R725" s="152"/>
      <c r="S725" s="152"/>
      <c r="T725" s="152"/>
      <c r="U725" s="152"/>
      <c r="V725" s="152"/>
      <c r="W725" s="152"/>
      <c r="X725" s="152"/>
      <c r="Y725" s="152"/>
      <c r="Z725" s="152"/>
      <c r="AA725" s="152"/>
      <c r="AB725" s="152"/>
      <c r="AC725" s="152"/>
      <c r="AD725" s="152"/>
      <c r="AE725" s="152"/>
    </row>
    <row r="726" spans="1:31" ht="15.75">
      <c r="A726" s="152"/>
      <c r="B726" s="152"/>
      <c r="C726" s="281"/>
      <c r="D726" s="152"/>
      <c r="E726" s="152"/>
      <c r="F726" s="152"/>
      <c r="G726" s="152"/>
      <c r="H726" s="152"/>
      <c r="I726" s="152"/>
      <c r="J726" s="152"/>
      <c r="K726" s="152"/>
      <c r="L726" s="152"/>
      <c r="M726" s="152"/>
      <c r="N726" s="152"/>
      <c r="O726" s="152"/>
      <c r="P726" s="152"/>
      <c r="Q726" s="152"/>
      <c r="R726" s="152"/>
      <c r="S726" s="152"/>
      <c r="T726" s="152"/>
      <c r="U726" s="152"/>
      <c r="V726" s="152"/>
      <c r="W726" s="152"/>
      <c r="X726" s="152"/>
      <c r="Y726" s="152"/>
      <c r="Z726" s="152"/>
      <c r="AA726" s="152"/>
      <c r="AB726" s="152"/>
      <c r="AC726" s="152"/>
      <c r="AD726" s="152"/>
      <c r="AE726" s="152"/>
    </row>
    <row r="727" spans="1:31" ht="15.75">
      <c r="A727" s="152"/>
      <c r="B727" s="152"/>
      <c r="C727" s="281"/>
      <c r="D727" s="152"/>
      <c r="E727" s="152"/>
      <c r="F727" s="152"/>
      <c r="G727" s="152"/>
      <c r="H727" s="152"/>
      <c r="I727" s="152"/>
      <c r="J727" s="152"/>
      <c r="K727" s="152"/>
      <c r="L727" s="152"/>
      <c r="M727" s="152"/>
      <c r="N727" s="152"/>
      <c r="O727" s="152"/>
      <c r="P727" s="152"/>
      <c r="Q727" s="152"/>
      <c r="R727" s="152"/>
      <c r="S727" s="152"/>
      <c r="T727" s="152"/>
      <c r="U727" s="152"/>
      <c r="V727" s="152"/>
      <c r="W727" s="152"/>
      <c r="X727" s="152"/>
      <c r="Y727" s="152"/>
      <c r="Z727" s="152"/>
      <c r="AA727" s="152"/>
      <c r="AB727" s="152"/>
      <c r="AC727" s="152"/>
      <c r="AD727" s="152"/>
      <c r="AE727" s="152"/>
    </row>
    <row r="728" spans="1:31" ht="15.75">
      <c r="A728" s="152"/>
      <c r="B728" s="152"/>
      <c r="C728" s="281"/>
      <c r="D728" s="152"/>
      <c r="E728" s="152"/>
      <c r="F728" s="152"/>
      <c r="G728" s="152"/>
      <c r="H728" s="152"/>
      <c r="I728" s="152"/>
      <c r="J728" s="152"/>
      <c r="K728" s="152"/>
      <c r="L728" s="152"/>
      <c r="M728" s="152"/>
      <c r="N728" s="152"/>
      <c r="O728" s="152"/>
      <c r="P728" s="152"/>
      <c r="Q728" s="152"/>
      <c r="R728" s="152"/>
      <c r="S728" s="152"/>
      <c r="T728" s="152"/>
      <c r="U728" s="152"/>
      <c r="V728" s="152"/>
      <c r="W728" s="152"/>
      <c r="X728" s="152"/>
      <c r="Y728" s="152"/>
      <c r="Z728" s="152"/>
      <c r="AA728" s="152"/>
      <c r="AB728" s="152"/>
      <c r="AC728" s="152"/>
      <c r="AD728" s="152"/>
      <c r="AE728" s="152"/>
    </row>
    <row r="729" spans="1:31" ht="15.75">
      <c r="A729" s="152"/>
      <c r="B729" s="152"/>
      <c r="C729" s="281"/>
      <c r="D729" s="152"/>
      <c r="E729" s="152"/>
      <c r="F729" s="152"/>
      <c r="G729" s="152"/>
      <c r="H729" s="152"/>
      <c r="I729" s="152"/>
      <c r="J729" s="152"/>
      <c r="K729" s="152"/>
      <c r="L729" s="152"/>
      <c r="M729" s="152"/>
      <c r="N729" s="152"/>
      <c r="O729" s="152"/>
      <c r="P729" s="152"/>
      <c r="Q729" s="152"/>
      <c r="R729" s="152"/>
      <c r="S729" s="152"/>
      <c r="T729" s="152"/>
      <c r="U729" s="152"/>
      <c r="V729" s="152"/>
      <c r="W729" s="152"/>
      <c r="X729" s="152"/>
      <c r="Y729" s="152"/>
      <c r="Z729" s="152"/>
      <c r="AA729" s="152"/>
      <c r="AB729" s="152"/>
      <c r="AC729" s="152"/>
      <c r="AD729" s="152"/>
      <c r="AE729" s="152"/>
    </row>
    <row r="730" spans="1:31" ht="15.75">
      <c r="A730" s="152"/>
      <c r="B730" s="152"/>
      <c r="C730" s="281"/>
      <c r="D730" s="152"/>
      <c r="E730" s="152"/>
      <c r="F730" s="152"/>
      <c r="G730" s="152"/>
      <c r="H730" s="152"/>
      <c r="I730" s="152"/>
      <c r="J730" s="152"/>
      <c r="K730" s="152"/>
      <c r="L730" s="152"/>
      <c r="M730" s="152"/>
      <c r="N730" s="152"/>
      <c r="O730" s="152"/>
      <c r="P730" s="152"/>
      <c r="Q730" s="152"/>
      <c r="R730" s="152"/>
      <c r="S730" s="152"/>
      <c r="T730" s="152"/>
      <c r="U730" s="152"/>
      <c r="V730" s="152"/>
      <c r="W730" s="152"/>
      <c r="X730" s="152"/>
      <c r="Y730" s="152"/>
      <c r="Z730" s="152"/>
      <c r="AA730" s="152"/>
      <c r="AB730" s="152"/>
      <c r="AC730" s="152"/>
      <c r="AD730" s="152"/>
      <c r="AE730" s="152"/>
    </row>
    <row r="731" spans="1:31" ht="15.75">
      <c r="A731" s="152"/>
      <c r="B731" s="152"/>
      <c r="C731" s="281"/>
      <c r="D731" s="152"/>
      <c r="E731" s="152"/>
      <c r="F731" s="152"/>
      <c r="G731" s="152"/>
      <c r="H731" s="152"/>
      <c r="I731" s="152"/>
      <c r="J731" s="152"/>
      <c r="K731" s="152"/>
      <c r="L731" s="152"/>
      <c r="M731" s="152"/>
      <c r="N731" s="152"/>
      <c r="O731" s="152"/>
      <c r="P731" s="152"/>
      <c r="Q731" s="152"/>
      <c r="R731" s="152"/>
      <c r="S731" s="152"/>
      <c r="T731" s="152"/>
      <c r="U731" s="152"/>
      <c r="V731" s="152"/>
      <c r="W731" s="152"/>
      <c r="X731" s="152"/>
      <c r="Y731" s="152"/>
      <c r="Z731" s="152"/>
      <c r="AA731" s="152"/>
      <c r="AB731" s="152"/>
      <c r="AC731" s="152"/>
      <c r="AD731" s="152"/>
      <c r="AE731" s="152"/>
    </row>
    <row r="732" spans="1:31" ht="15.75">
      <c r="A732" s="152"/>
      <c r="B732" s="152"/>
      <c r="C732" s="281"/>
      <c r="D732" s="152"/>
      <c r="E732" s="152"/>
      <c r="F732" s="152"/>
      <c r="G732" s="152"/>
      <c r="H732" s="152"/>
      <c r="I732" s="152"/>
      <c r="J732" s="152"/>
      <c r="K732" s="152"/>
      <c r="L732" s="152"/>
      <c r="M732" s="152"/>
      <c r="N732" s="152"/>
      <c r="O732" s="152"/>
      <c r="P732" s="152"/>
      <c r="Q732" s="152"/>
      <c r="R732" s="152"/>
      <c r="S732" s="152"/>
      <c r="T732" s="152"/>
      <c r="U732" s="152"/>
      <c r="V732" s="152"/>
      <c r="W732" s="152"/>
      <c r="X732" s="152"/>
      <c r="Y732" s="152"/>
      <c r="Z732" s="152"/>
      <c r="AA732" s="152"/>
      <c r="AB732" s="152"/>
      <c r="AC732" s="152"/>
      <c r="AD732" s="152"/>
      <c r="AE732" s="152"/>
    </row>
    <row r="733" spans="1:31" ht="15.75">
      <c r="A733" s="152"/>
      <c r="B733" s="152"/>
      <c r="C733" s="281"/>
      <c r="D733" s="152"/>
      <c r="E733" s="152"/>
      <c r="F733" s="152"/>
      <c r="G733" s="152"/>
      <c r="H733" s="152"/>
      <c r="I733" s="152"/>
      <c r="J733" s="152"/>
      <c r="K733" s="152"/>
      <c r="L733" s="152"/>
      <c r="M733" s="152"/>
      <c r="N733" s="152"/>
      <c r="O733" s="152"/>
      <c r="P733" s="152"/>
      <c r="Q733" s="152"/>
      <c r="R733" s="152"/>
      <c r="S733" s="152"/>
      <c r="T733" s="152"/>
      <c r="U733" s="152"/>
      <c r="V733" s="152"/>
      <c r="W733" s="152"/>
      <c r="X733" s="152"/>
      <c r="Y733" s="152"/>
      <c r="Z733" s="152"/>
      <c r="AA733" s="152"/>
      <c r="AB733" s="152"/>
      <c r="AC733" s="152"/>
      <c r="AD733" s="152"/>
      <c r="AE733" s="152"/>
    </row>
    <row r="734" spans="1:31" ht="15.75">
      <c r="A734" s="152"/>
      <c r="B734" s="152"/>
      <c r="C734" s="281"/>
      <c r="D734" s="152"/>
      <c r="E734" s="152"/>
      <c r="F734" s="152"/>
      <c r="G734" s="152"/>
      <c r="H734" s="152"/>
      <c r="I734" s="152"/>
      <c r="J734" s="152"/>
      <c r="K734" s="152"/>
      <c r="L734" s="152"/>
      <c r="M734" s="152"/>
      <c r="N734" s="152"/>
      <c r="O734" s="152"/>
      <c r="P734" s="152"/>
      <c r="Q734" s="152"/>
      <c r="R734" s="152"/>
      <c r="S734" s="152"/>
      <c r="T734" s="152"/>
      <c r="U734" s="152"/>
      <c r="V734" s="152"/>
      <c r="W734" s="152"/>
      <c r="X734" s="152"/>
      <c r="Y734" s="152"/>
      <c r="Z734" s="152"/>
      <c r="AA734" s="152"/>
      <c r="AB734" s="152"/>
      <c r="AC734" s="152"/>
      <c r="AD734" s="152"/>
      <c r="AE734" s="152"/>
    </row>
    <row r="735" spans="1:31" ht="15.75">
      <c r="A735" s="152"/>
      <c r="B735" s="152"/>
      <c r="C735" s="281"/>
      <c r="D735" s="152"/>
      <c r="E735" s="152"/>
      <c r="F735" s="152"/>
      <c r="G735" s="152"/>
      <c r="H735" s="152"/>
      <c r="I735" s="152"/>
      <c r="J735" s="152"/>
      <c r="K735" s="152"/>
      <c r="L735" s="152"/>
      <c r="M735" s="152"/>
      <c r="N735" s="152"/>
      <c r="O735" s="152"/>
      <c r="P735" s="152"/>
      <c r="Q735" s="152"/>
      <c r="R735" s="152"/>
      <c r="S735" s="152"/>
      <c r="T735" s="152"/>
      <c r="U735" s="152"/>
      <c r="V735" s="152"/>
      <c r="W735" s="152"/>
      <c r="X735" s="152"/>
      <c r="Y735" s="152"/>
      <c r="Z735" s="152"/>
      <c r="AA735" s="152"/>
      <c r="AB735" s="152"/>
      <c r="AC735" s="152"/>
      <c r="AD735" s="152"/>
      <c r="AE735" s="152"/>
    </row>
    <row r="736" spans="1:31" ht="15.75">
      <c r="A736" s="152"/>
      <c r="B736" s="152"/>
      <c r="C736" s="281"/>
      <c r="D736" s="152"/>
      <c r="E736" s="152"/>
      <c r="F736" s="152"/>
      <c r="G736" s="152"/>
      <c r="H736" s="152"/>
      <c r="I736" s="152"/>
      <c r="J736" s="152"/>
      <c r="K736" s="152"/>
      <c r="L736" s="152"/>
      <c r="M736" s="152"/>
      <c r="N736" s="152"/>
      <c r="O736" s="152"/>
      <c r="P736" s="152"/>
      <c r="Q736" s="152"/>
      <c r="R736" s="152"/>
      <c r="S736" s="152"/>
      <c r="T736" s="152"/>
      <c r="U736" s="152"/>
      <c r="V736" s="152"/>
      <c r="W736" s="152"/>
      <c r="X736" s="152"/>
      <c r="Y736" s="152"/>
      <c r="Z736" s="152"/>
      <c r="AA736" s="152"/>
      <c r="AB736" s="152"/>
      <c r="AC736" s="152"/>
      <c r="AD736" s="152"/>
      <c r="AE736" s="152"/>
    </row>
    <row r="737" spans="1:31" ht="15.75">
      <c r="A737" s="152"/>
      <c r="B737" s="152"/>
      <c r="C737" s="281"/>
      <c r="D737" s="152"/>
      <c r="E737" s="152"/>
      <c r="F737" s="152"/>
      <c r="G737" s="152"/>
      <c r="H737" s="152"/>
      <c r="I737" s="152"/>
      <c r="J737" s="152"/>
      <c r="K737" s="152"/>
      <c r="L737" s="152"/>
      <c r="M737" s="152"/>
      <c r="N737" s="152"/>
      <c r="O737" s="152"/>
      <c r="P737" s="152"/>
      <c r="Q737" s="152"/>
      <c r="R737" s="152"/>
      <c r="S737" s="152"/>
      <c r="T737" s="152"/>
      <c r="U737" s="152"/>
      <c r="V737" s="152"/>
      <c r="W737" s="152"/>
      <c r="X737" s="152"/>
      <c r="Y737" s="152"/>
      <c r="Z737" s="152"/>
      <c r="AA737" s="152"/>
      <c r="AB737" s="152"/>
      <c r="AC737" s="152"/>
      <c r="AD737" s="152"/>
      <c r="AE737" s="152"/>
    </row>
    <row r="738" spans="1:31" ht="15.75">
      <c r="A738" s="152"/>
      <c r="B738" s="152"/>
      <c r="C738" s="281"/>
      <c r="D738" s="152"/>
      <c r="E738" s="152"/>
      <c r="F738" s="152"/>
      <c r="G738" s="152"/>
      <c r="H738" s="152"/>
      <c r="I738" s="152"/>
      <c r="J738" s="152"/>
      <c r="K738" s="152"/>
      <c r="L738" s="152"/>
      <c r="M738" s="152"/>
      <c r="N738" s="152"/>
      <c r="O738" s="152"/>
      <c r="P738" s="152"/>
      <c r="Q738" s="152"/>
      <c r="R738" s="152"/>
      <c r="S738" s="152"/>
      <c r="T738" s="152"/>
      <c r="U738" s="152"/>
      <c r="V738" s="152"/>
      <c r="W738" s="152"/>
      <c r="X738" s="152"/>
      <c r="Y738" s="152"/>
      <c r="Z738" s="152"/>
      <c r="AA738" s="152"/>
      <c r="AB738" s="152"/>
      <c r="AC738" s="152"/>
      <c r="AD738" s="152"/>
      <c r="AE738" s="152"/>
    </row>
    <row r="739" spans="1:31" ht="15.75">
      <c r="A739" s="152"/>
      <c r="B739" s="152"/>
      <c r="C739" s="281"/>
      <c r="D739" s="152"/>
      <c r="E739" s="152"/>
      <c r="F739" s="152"/>
      <c r="G739" s="152"/>
      <c r="H739" s="152"/>
      <c r="I739" s="152"/>
      <c r="J739" s="152"/>
      <c r="K739" s="152"/>
      <c r="L739" s="152"/>
      <c r="M739" s="152"/>
      <c r="N739" s="152"/>
      <c r="O739" s="152"/>
      <c r="P739" s="152"/>
      <c r="Q739" s="152"/>
      <c r="R739" s="152"/>
      <c r="S739" s="152"/>
      <c r="T739" s="152"/>
      <c r="U739" s="152"/>
      <c r="V739" s="152"/>
      <c r="W739" s="152"/>
      <c r="X739" s="152"/>
      <c r="Y739" s="152"/>
      <c r="Z739" s="152"/>
      <c r="AA739" s="152"/>
      <c r="AB739" s="152"/>
      <c r="AC739" s="152"/>
      <c r="AD739" s="152"/>
      <c r="AE739" s="152"/>
    </row>
    <row r="740" spans="1:31" ht="15.75">
      <c r="A740" s="152"/>
      <c r="B740" s="152"/>
      <c r="C740" s="281"/>
      <c r="D740" s="152"/>
      <c r="E740" s="152"/>
      <c r="F740" s="152"/>
      <c r="G740" s="152"/>
      <c r="H740" s="152"/>
      <c r="I740" s="152"/>
      <c r="J740" s="152"/>
      <c r="K740" s="152"/>
      <c r="L740" s="152"/>
      <c r="M740" s="152"/>
      <c r="N740" s="152"/>
      <c r="O740" s="152"/>
      <c r="P740" s="152"/>
      <c r="Q740" s="152"/>
      <c r="R740" s="152"/>
      <c r="S740" s="152"/>
      <c r="T740" s="152"/>
      <c r="U740" s="152"/>
      <c r="V740" s="152"/>
      <c r="W740" s="152"/>
      <c r="X740" s="152"/>
      <c r="Y740" s="152"/>
      <c r="Z740" s="152"/>
      <c r="AA740" s="152"/>
      <c r="AB740" s="152"/>
      <c r="AC740" s="152"/>
      <c r="AD740" s="152"/>
      <c r="AE740" s="152"/>
    </row>
    <row r="741" spans="1:31" ht="15.75">
      <c r="A741" s="152"/>
      <c r="B741" s="152"/>
      <c r="C741" s="281"/>
      <c r="D741" s="152"/>
      <c r="E741" s="152"/>
      <c r="F741" s="152"/>
      <c r="G741" s="152"/>
      <c r="H741" s="152"/>
      <c r="I741" s="152"/>
      <c r="J741" s="152"/>
      <c r="K741" s="152"/>
      <c r="L741" s="152"/>
      <c r="M741" s="152"/>
      <c r="N741" s="152"/>
      <c r="O741" s="152"/>
      <c r="P741" s="152"/>
      <c r="Q741" s="152"/>
      <c r="R741" s="152"/>
      <c r="S741" s="152"/>
      <c r="T741" s="152"/>
      <c r="U741" s="152"/>
      <c r="V741" s="152"/>
      <c r="W741" s="152"/>
      <c r="X741" s="152"/>
      <c r="Y741" s="152"/>
      <c r="Z741" s="152"/>
      <c r="AA741" s="152"/>
      <c r="AB741" s="152"/>
      <c r="AC741" s="152"/>
      <c r="AD741" s="152"/>
      <c r="AE741" s="152"/>
    </row>
    <row r="742" spans="1:31" ht="15.75">
      <c r="A742" s="152"/>
      <c r="B742" s="152"/>
      <c r="C742" s="281"/>
      <c r="D742" s="152"/>
      <c r="E742" s="152"/>
      <c r="F742" s="152"/>
      <c r="G742" s="152"/>
      <c r="H742" s="152"/>
      <c r="I742" s="152"/>
      <c r="J742" s="152"/>
      <c r="K742" s="152"/>
      <c r="L742" s="152"/>
      <c r="M742" s="152"/>
      <c r="N742" s="152"/>
      <c r="O742" s="152"/>
      <c r="P742" s="152"/>
      <c r="Q742" s="152"/>
      <c r="R742" s="152"/>
      <c r="S742" s="152"/>
      <c r="T742" s="152"/>
      <c r="U742" s="152"/>
      <c r="V742" s="152"/>
      <c r="W742" s="152"/>
      <c r="X742" s="152"/>
      <c r="Y742" s="152"/>
      <c r="Z742" s="152"/>
      <c r="AA742" s="152"/>
      <c r="AB742" s="152"/>
      <c r="AC742" s="152"/>
      <c r="AD742" s="152"/>
      <c r="AE742" s="152"/>
    </row>
    <row r="743" spans="1:31" ht="15.75">
      <c r="A743" s="152"/>
      <c r="B743" s="152"/>
      <c r="C743" s="281"/>
      <c r="D743" s="152"/>
      <c r="E743" s="152"/>
      <c r="F743" s="152"/>
      <c r="G743" s="152"/>
      <c r="H743" s="152"/>
      <c r="I743" s="152"/>
      <c r="J743" s="152"/>
      <c r="K743" s="152"/>
      <c r="L743" s="152"/>
      <c r="M743" s="152"/>
      <c r="N743" s="152"/>
      <c r="O743" s="152"/>
      <c r="P743" s="152"/>
      <c r="Q743" s="152"/>
      <c r="R743" s="152"/>
      <c r="S743" s="152"/>
      <c r="T743" s="152"/>
      <c r="U743" s="152"/>
      <c r="V743" s="152"/>
      <c r="W743" s="152"/>
      <c r="X743" s="152"/>
      <c r="Y743" s="152"/>
      <c r="Z743" s="152"/>
      <c r="AA743" s="152"/>
      <c r="AB743" s="152"/>
      <c r="AC743" s="152"/>
      <c r="AD743" s="152"/>
      <c r="AE743" s="152"/>
    </row>
    <row r="744" spans="1:31" ht="15.75">
      <c r="A744" s="152"/>
      <c r="B744" s="152"/>
      <c r="C744" s="281"/>
      <c r="D744" s="152"/>
      <c r="E744" s="152"/>
      <c r="F744" s="152"/>
      <c r="G744" s="152"/>
      <c r="H744" s="152"/>
      <c r="I744" s="152"/>
      <c r="J744" s="152"/>
      <c r="K744" s="152"/>
      <c r="L744" s="152"/>
      <c r="M744" s="152"/>
      <c r="N744" s="152"/>
      <c r="O744" s="152"/>
      <c r="P744" s="152"/>
      <c r="Q744" s="152"/>
      <c r="R744" s="152"/>
      <c r="S744" s="152"/>
      <c r="T744" s="152"/>
      <c r="U744" s="152"/>
      <c r="V744" s="152"/>
      <c r="W744" s="152"/>
      <c r="X744" s="152"/>
      <c r="Y744" s="152"/>
      <c r="Z744" s="152"/>
      <c r="AA744" s="152"/>
      <c r="AB744" s="152"/>
      <c r="AC744" s="152"/>
      <c r="AD744" s="152"/>
      <c r="AE744" s="152"/>
    </row>
    <row r="745" spans="1:31" ht="15.75">
      <c r="A745" s="152"/>
      <c r="B745" s="152"/>
      <c r="C745" s="281"/>
      <c r="D745" s="152"/>
      <c r="E745" s="152"/>
      <c r="F745" s="152"/>
      <c r="G745" s="152"/>
      <c r="H745" s="152"/>
      <c r="I745" s="152"/>
      <c r="J745" s="152"/>
      <c r="K745" s="152"/>
      <c r="L745" s="152"/>
      <c r="M745" s="152"/>
      <c r="N745" s="152"/>
      <c r="O745" s="152"/>
      <c r="P745" s="152"/>
      <c r="Q745" s="152"/>
      <c r="R745" s="152"/>
      <c r="S745" s="152"/>
      <c r="T745" s="152"/>
      <c r="U745" s="152"/>
      <c r="V745" s="152"/>
      <c r="W745" s="152"/>
      <c r="X745" s="152"/>
      <c r="Y745" s="152"/>
      <c r="Z745" s="152"/>
      <c r="AA745" s="152"/>
      <c r="AB745" s="152"/>
      <c r="AC745" s="152"/>
      <c r="AD745" s="152"/>
      <c r="AE745" s="152"/>
    </row>
    <row r="746" spans="1:31" ht="15.75">
      <c r="A746" s="152"/>
      <c r="B746" s="152"/>
      <c r="C746" s="281"/>
      <c r="D746" s="152"/>
      <c r="E746" s="152"/>
      <c r="F746" s="152"/>
      <c r="G746" s="152"/>
      <c r="H746" s="152"/>
      <c r="I746" s="152"/>
      <c r="J746" s="152"/>
      <c r="K746" s="152"/>
      <c r="L746" s="152"/>
      <c r="M746" s="152"/>
      <c r="N746" s="152"/>
      <c r="O746" s="152"/>
      <c r="P746" s="152"/>
      <c r="Q746" s="152"/>
      <c r="R746" s="152"/>
      <c r="S746" s="152"/>
      <c r="T746" s="152"/>
      <c r="U746" s="152"/>
      <c r="V746" s="152"/>
      <c r="W746" s="152"/>
      <c r="X746" s="152"/>
      <c r="Y746" s="152"/>
      <c r="Z746" s="152"/>
      <c r="AA746" s="152"/>
      <c r="AB746" s="152"/>
      <c r="AC746" s="152"/>
      <c r="AD746" s="152"/>
      <c r="AE746" s="152"/>
    </row>
    <row r="747" spans="1:31" ht="15.75">
      <c r="A747" s="152"/>
      <c r="B747" s="152"/>
      <c r="C747" s="281"/>
      <c r="D747" s="152"/>
      <c r="E747" s="152"/>
      <c r="F747" s="152"/>
      <c r="G747" s="152"/>
      <c r="H747" s="152"/>
      <c r="I747" s="152"/>
      <c r="J747" s="152"/>
      <c r="K747" s="152"/>
      <c r="L747" s="152"/>
      <c r="M747" s="152"/>
      <c r="N747" s="152"/>
      <c r="O747" s="152"/>
      <c r="P747" s="152"/>
      <c r="Q747" s="152"/>
      <c r="R747" s="152"/>
      <c r="S747" s="152"/>
      <c r="T747" s="152"/>
      <c r="U747" s="152"/>
      <c r="V747" s="152"/>
      <c r="W747" s="152"/>
      <c r="X747" s="152"/>
      <c r="Y747" s="152"/>
      <c r="Z747" s="152"/>
      <c r="AA747" s="152"/>
      <c r="AB747" s="152"/>
      <c r="AC747" s="152"/>
      <c r="AD747" s="152"/>
      <c r="AE747" s="152"/>
    </row>
    <row r="748" spans="1:31" ht="15.75">
      <c r="A748" s="152"/>
      <c r="B748" s="152"/>
      <c r="C748" s="281"/>
      <c r="D748" s="152"/>
      <c r="E748" s="152"/>
      <c r="F748" s="152"/>
      <c r="G748" s="152"/>
      <c r="H748" s="152"/>
      <c r="I748" s="152"/>
      <c r="J748" s="152"/>
      <c r="K748" s="152"/>
      <c r="L748" s="152"/>
      <c r="M748" s="152"/>
      <c r="N748" s="152"/>
      <c r="O748" s="152"/>
      <c r="P748" s="152"/>
      <c r="Q748" s="152"/>
      <c r="R748" s="152"/>
      <c r="S748" s="152"/>
      <c r="T748" s="152"/>
      <c r="U748" s="152"/>
      <c r="V748" s="152"/>
      <c r="W748" s="152"/>
      <c r="X748" s="152"/>
      <c r="Y748" s="152"/>
      <c r="Z748" s="152"/>
      <c r="AA748" s="152"/>
      <c r="AB748" s="152"/>
      <c r="AC748" s="152"/>
      <c r="AD748" s="152"/>
      <c r="AE748" s="152"/>
    </row>
    <row r="749" spans="1:31" ht="15.75">
      <c r="A749" s="152"/>
      <c r="B749" s="152"/>
      <c r="C749" s="281"/>
      <c r="D749" s="152"/>
      <c r="E749" s="152"/>
      <c r="F749" s="152"/>
      <c r="G749" s="152"/>
      <c r="H749" s="152"/>
      <c r="I749" s="152"/>
      <c r="J749" s="152"/>
      <c r="K749" s="152"/>
      <c r="L749" s="152"/>
      <c r="M749" s="152"/>
      <c r="N749" s="152"/>
      <c r="O749" s="152"/>
      <c r="P749" s="152"/>
      <c r="Q749" s="152"/>
      <c r="R749" s="152"/>
      <c r="S749" s="152"/>
      <c r="T749" s="152"/>
      <c r="U749" s="152"/>
      <c r="V749" s="152"/>
      <c r="W749" s="152"/>
      <c r="X749" s="152"/>
      <c r="Y749" s="152"/>
      <c r="Z749" s="152"/>
      <c r="AA749" s="152"/>
      <c r="AB749" s="152"/>
      <c r="AC749" s="152"/>
      <c r="AD749" s="152"/>
      <c r="AE749" s="152"/>
    </row>
    <row r="750" spans="1:31" ht="15.75">
      <c r="A750" s="152"/>
      <c r="B750" s="152"/>
      <c r="C750" s="281"/>
      <c r="D750" s="152"/>
      <c r="E750" s="152"/>
      <c r="F750" s="152"/>
      <c r="G750" s="152"/>
      <c r="H750" s="152"/>
      <c r="I750" s="152"/>
      <c r="J750" s="152"/>
      <c r="K750" s="152"/>
      <c r="L750" s="152"/>
      <c r="M750" s="152"/>
      <c r="N750" s="152"/>
      <c r="O750" s="152"/>
      <c r="P750" s="152"/>
      <c r="Q750" s="152"/>
      <c r="R750" s="152"/>
      <c r="S750" s="152"/>
      <c r="T750" s="152"/>
      <c r="U750" s="152"/>
      <c r="V750" s="152"/>
      <c r="W750" s="152"/>
      <c r="X750" s="152"/>
      <c r="Y750" s="152"/>
      <c r="Z750" s="152"/>
      <c r="AA750" s="152"/>
      <c r="AB750" s="152"/>
      <c r="AC750" s="152"/>
      <c r="AD750" s="152"/>
      <c r="AE750" s="152"/>
    </row>
    <row r="751" spans="1:31" ht="15.75">
      <c r="A751" s="152"/>
      <c r="B751" s="152"/>
      <c r="C751" s="281"/>
      <c r="D751" s="152"/>
      <c r="E751" s="152"/>
      <c r="F751" s="152"/>
      <c r="G751" s="152"/>
      <c r="H751" s="152"/>
      <c r="I751" s="152"/>
      <c r="J751" s="152"/>
      <c r="K751" s="152"/>
      <c r="L751" s="152"/>
      <c r="M751" s="152"/>
      <c r="N751" s="152"/>
      <c r="O751" s="152"/>
      <c r="P751" s="152"/>
      <c r="Q751" s="152"/>
      <c r="R751" s="152"/>
      <c r="S751" s="152"/>
      <c r="T751" s="152"/>
      <c r="U751" s="152"/>
      <c r="V751" s="152"/>
      <c r="W751" s="152"/>
      <c r="X751" s="152"/>
      <c r="Y751" s="152"/>
      <c r="Z751" s="152"/>
      <c r="AA751" s="152"/>
      <c r="AB751" s="152"/>
      <c r="AC751" s="152"/>
      <c r="AD751" s="152"/>
      <c r="AE751" s="152"/>
    </row>
    <row r="752" spans="1:31" ht="15.75">
      <c r="A752" s="152"/>
      <c r="B752" s="152"/>
      <c r="C752" s="281"/>
      <c r="D752" s="152"/>
      <c r="E752" s="152"/>
      <c r="F752" s="152"/>
      <c r="G752" s="152"/>
      <c r="H752" s="152"/>
      <c r="I752" s="152"/>
      <c r="J752" s="152"/>
      <c r="K752" s="152"/>
      <c r="L752" s="152"/>
      <c r="M752" s="152"/>
      <c r="N752" s="152"/>
      <c r="O752" s="152"/>
      <c r="P752" s="152"/>
      <c r="Q752" s="152"/>
      <c r="R752" s="152"/>
      <c r="S752" s="152"/>
      <c r="T752" s="152"/>
      <c r="U752" s="152"/>
      <c r="V752" s="152"/>
      <c r="W752" s="152"/>
      <c r="X752" s="152"/>
      <c r="Y752" s="152"/>
      <c r="Z752" s="152"/>
      <c r="AA752" s="152"/>
      <c r="AB752" s="152"/>
      <c r="AC752" s="152"/>
      <c r="AD752" s="152"/>
      <c r="AE752" s="152"/>
    </row>
    <row r="753" spans="1:31" ht="15.75">
      <c r="A753" s="152"/>
      <c r="B753" s="152"/>
      <c r="C753" s="281"/>
      <c r="D753" s="152"/>
      <c r="E753" s="152"/>
      <c r="F753" s="152"/>
      <c r="G753" s="152"/>
      <c r="H753" s="152"/>
      <c r="I753" s="152"/>
      <c r="J753" s="152"/>
      <c r="K753" s="152"/>
      <c r="L753" s="152"/>
      <c r="M753" s="152"/>
      <c r="N753" s="152"/>
      <c r="O753" s="152"/>
      <c r="P753" s="152"/>
      <c r="Q753" s="152"/>
      <c r="R753" s="152"/>
      <c r="S753" s="152"/>
      <c r="T753" s="152"/>
      <c r="U753" s="152"/>
      <c r="V753" s="152"/>
      <c r="W753" s="152"/>
      <c r="X753" s="152"/>
      <c r="Y753" s="152"/>
      <c r="Z753" s="152"/>
      <c r="AA753" s="152"/>
      <c r="AB753" s="152"/>
      <c r="AC753" s="152"/>
      <c r="AD753" s="152"/>
      <c r="AE753" s="152"/>
    </row>
    <row r="754" spans="1:31" ht="15.75">
      <c r="A754" s="152"/>
      <c r="B754" s="152"/>
      <c r="C754" s="281"/>
      <c r="D754" s="152"/>
      <c r="E754" s="152"/>
      <c r="F754" s="152"/>
      <c r="G754" s="152"/>
      <c r="H754" s="152"/>
      <c r="I754" s="152"/>
      <c r="J754" s="152"/>
      <c r="K754" s="152"/>
      <c r="L754" s="152"/>
      <c r="M754" s="152"/>
      <c r="N754" s="152"/>
      <c r="O754" s="152"/>
      <c r="P754" s="152"/>
      <c r="Q754" s="152"/>
      <c r="R754" s="152"/>
      <c r="S754" s="152"/>
      <c r="T754" s="152"/>
      <c r="U754" s="152"/>
      <c r="V754" s="152"/>
      <c r="W754" s="152"/>
      <c r="X754" s="152"/>
      <c r="Y754" s="152"/>
      <c r="Z754" s="152"/>
      <c r="AA754" s="152"/>
      <c r="AB754" s="152"/>
      <c r="AC754" s="152"/>
      <c r="AD754" s="152"/>
      <c r="AE754" s="152"/>
    </row>
    <row r="755" spans="1:31" ht="15.75">
      <c r="A755" s="152"/>
      <c r="B755" s="152"/>
      <c r="C755" s="281"/>
      <c r="D755" s="152"/>
      <c r="E755" s="152"/>
      <c r="F755" s="152"/>
      <c r="G755" s="152"/>
      <c r="H755" s="152"/>
      <c r="I755" s="152"/>
      <c r="J755" s="152"/>
      <c r="K755" s="152"/>
      <c r="L755" s="152"/>
      <c r="M755" s="152"/>
      <c r="N755" s="152"/>
      <c r="O755" s="152"/>
      <c r="P755" s="152"/>
      <c r="Q755" s="152"/>
      <c r="R755" s="152"/>
      <c r="S755" s="152"/>
      <c r="T755" s="152"/>
      <c r="U755" s="152"/>
      <c r="V755" s="152"/>
      <c r="W755" s="152"/>
      <c r="X755" s="152"/>
      <c r="Y755" s="152"/>
      <c r="Z755" s="152"/>
      <c r="AA755" s="152"/>
      <c r="AB755" s="152"/>
      <c r="AC755" s="152"/>
      <c r="AD755" s="152"/>
      <c r="AE755" s="152"/>
    </row>
    <row r="756" spans="1:31" ht="15.75">
      <c r="A756" s="152"/>
      <c r="B756" s="152"/>
      <c r="C756" s="281"/>
      <c r="D756" s="152"/>
      <c r="E756" s="152"/>
      <c r="F756" s="152"/>
      <c r="G756" s="152"/>
      <c r="H756" s="152"/>
      <c r="I756" s="152"/>
      <c r="J756" s="152"/>
      <c r="K756" s="152"/>
      <c r="L756" s="152"/>
      <c r="M756" s="152"/>
      <c r="N756" s="152"/>
      <c r="O756" s="152"/>
      <c r="P756" s="152"/>
      <c r="Q756" s="152"/>
      <c r="R756" s="152"/>
      <c r="S756" s="152"/>
      <c r="T756" s="152"/>
      <c r="U756" s="152"/>
      <c r="V756" s="152"/>
      <c r="W756" s="152"/>
      <c r="X756" s="152"/>
      <c r="Y756" s="152"/>
      <c r="Z756" s="152"/>
      <c r="AA756" s="152"/>
      <c r="AB756" s="152"/>
      <c r="AC756" s="152"/>
      <c r="AD756" s="152"/>
      <c r="AE756" s="152"/>
    </row>
    <row r="757" spans="1:31" ht="15.75">
      <c r="A757" s="152"/>
      <c r="B757" s="152"/>
      <c r="C757" s="281"/>
      <c r="D757" s="152"/>
      <c r="E757" s="152"/>
      <c r="F757" s="152"/>
      <c r="G757" s="152"/>
      <c r="H757" s="152"/>
      <c r="I757" s="152"/>
      <c r="J757" s="152"/>
      <c r="K757" s="152"/>
      <c r="L757" s="152"/>
      <c r="M757" s="152"/>
      <c r="N757" s="152"/>
      <c r="O757" s="152"/>
      <c r="P757" s="152"/>
      <c r="Q757" s="152"/>
      <c r="R757" s="152"/>
      <c r="S757" s="152"/>
      <c r="T757" s="152"/>
      <c r="U757" s="152"/>
      <c r="V757" s="152"/>
      <c r="W757" s="152"/>
      <c r="X757" s="152"/>
      <c r="Y757" s="152"/>
      <c r="Z757" s="152"/>
      <c r="AA757" s="152"/>
      <c r="AB757" s="152"/>
      <c r="AC757" s="152"/>
      <c r="AD757" s="152"/>
      <c r="AE757" s="152"/>
    </row>
    <row r="758" spans="1:31" ht="15.75">
      <c r="A758" s="152"/>
      <c r="B758" s="152"/>
      <c r="C758" s="281"/>
      <c r="D758" s="152"/>
      <c r="E758" s="152"/>
      <c r="F758" s="152"/>
      <c r="G758" s="152"/>
      <c r="H758" s="152"/>
      <c r="I758" s="152"/>
      <c r="J758" s="152"/>
      <c r="K758" s="152"/>
      <c r="L758" s="152"/>
      <c r="M758" s="152"/>
      <c r="N758" s="152"/>
      <c r="O758" s="152"/>
      <c r="P758" s="152"/>
      <c r="Q758" s="152"/>
      <c r="R758" s="152"/>
      <c r="S758" s="152"/>
      <c r="T758" s="152"/>
      <c r="U758" s="152"/>
      <c r="V758" s="152"/>
      <c r="W758" s="152"/>
      <c r="X758" s="152"/>
      <c r="Y758" s="152"/>
      <c r="Z758" s="152"/>
      <c r="AA758" s="152"/>
      <c r="AB758" s="152"/>
      <c r="AC758" s="152"/>
      <c r="AD758" s="152"/>
      <c r="AE758" s="152"/>
    </row>
    <row r="759" spans="1:31" ht="15.75">
      <c r="A759" s="152"/>
      <c r="B759" s="152"/>
      <c r="C759" s="281"/>
      <c r="D759" s="152"/>
      <c r="E759" s="152"/>
      <c r="F759" s="152"/>
      <c r="G759" s="152"/>
      <c r="H759" s="152"/>
      <c r="I759" s="152"/>
      <c r="J759" s="152"/>
      <c r="K759" s="152"/>
      <c r="L759" s="152"/>
      <c r="M759" s="152"/>
      <c r="N759" s="152"/>
      <c r="O759" s="152"/>
      <c r="P759" s="152"/>
      <c r="Q759" s="152"/>
      <c r="R759" s="152"/>
      <c r="S759" s="152"/>
      <c r="T759" s="152"/>
      <c r="U759" s="152"/>
      <c r="V759" s="152"/>
      <c r="W759" s="152"/>
      <c r="X759" s="152"/>
      <c r="Y759" s="152"/>
      <c r="Z759" s="152"/>
      <c r="AA759" s="152"/>
      <c r="AB759" s="152"/>
      <c r="AC759" s="152"/>
      <c r="AD759" s="152"/>
      <c r="AE759" s="152"/>
    </row>
    <row r="760" spans="1:31" ht="15.75">
      <c r="A760" s="152"/>
      <c r="B760" s="152"/>
      <c r="C760" s="281"/>
      <c r="D760" s="152"/>
      <c r="E760" s="152"/>
      <c r="F760" s="152"/>
      <c r="G760" s="152"/>
      <c r="H760" s="152"/>
      <c r="I760" s="152"/>
      <c r="J760" s="152"/>
      <c r="K760" s="152"/>
      <c r="L760" s="152"/>
      <c r="M760" s="152"/>
      <c r="N760" s="152"/>
      <c r="O760" s="152"/>
      <c r="P760" s="152"/>
      <c r="Q760" s="152"/>
      <c r="R760" s="152"/>
      <c r="S760" s="152"/>
      <c r="T760" s="152"/>
      <c r="U760" s="152"/>
      <c r="V760" s="152"/>
      <c r="W760" s="152"/>
      <c r="X760" s="152"/>
      <c r="Y760" s="152"/>
      <c r="Z760" s="152"/>
      <c r="AA760" s="152"/>
      <c r="AB760" s="152"/>
      <c r="AC760" s="152"/>
      <c r="AD760" s="152"/>
      <c r="AE760" s="152"/>
    </row>
    <row r="761" spans="1:31" ht="15.75">
      <c r="A761" s="152"/>
      <c r="B761" s="152"/>
      <c r="C761" s="281"/>
      <c r="D761" s="152"/>
      <c r="E761" s="152"/>
      <c r="F761" s="152"/>
      <c r="G761" s="152"/>
      <c r="H761" s="152"/>
      <c r="I761" s="152"/>
      <c r="J761" s="152"/>
      <c r="K761" s="152"/>
      <c r="L761" s="152"/>
      <c r="M761" s="152"/>
      <c r="N761" s="152"/>
      <c r="O761" s="152"/>
      <c r="P761" s="152"/>
      <c r="Q761" s="152"/>
      <c r="R761" s="152"/>
      <c r="S761" s="152"/>
      <c r="T761" s="152"/>
      <c r="U761" s="152"/>
      <c r="V761" s="152"/>
      <c r="W761" s="152"/>
      <c r="X761" s="152"/>
      <c r="Y761" s="152"/>
      <c r="Z761" s="152"/>
      <c r="AA761" s="152"/>
      <c r="AB761" s="152"/>
      <c r="AC761" s="152"/>
      <c r="AD761" s="152"/>
      <c r="AE761" s="152"/>
    </row>
    <row r="762" spans="1:31" ht="15.75">
      <c r="A762" s="152"/>
      <c r="B762" s="152"/>
      <c r="C762" s="281"/>
      <c r="D762" s="152"/>
      <c r="E762" s="152"/>
      <c r="F762" s="152"/>
      <c r="G762" s="152"/>
      <c r="H762" s="152"/>
      <c r="I762" s="152"/>
      <c r="J762" s="152"/>
      <c r="K762" s="152"/>
      <c r="L762" s="152"/>
      <c r="M762" s="152"/>
      <c r="N762" s="152"/>
      <c r="O762" s="152"/>
      <c r="P762" s="152"/>
      <c r="Q762" s="152"/>
      <c r="R762" s="152"/>
      <c r="S762" s="152"/>
      <c r="T762" s="152"/>
      <c r="U762" s="152"/>
      <c r="V762" s="152"/>
      <c r="W762" s="152"/>
      <c r="X762" s="152"/>
      <c r="Y762" s="152"/>
      <c r="Z762" s="152"/>
      <c r="AA762" s="152"/>
      <c r="AB762" s="152"/>
      <c r="AC762" s="152"/>
      <c r="AD762" s="152"/>
      <c r="AE762" s="152"/>
    </row>
    <row r="763" spans="1:31" ht="15.75">
      <c r="A763" s="152"/>
      <c r="B763" s="152"/>
      <c r="C763" s="281"/>
      <c r="D763" s="152"/>
      <c r="E763" s="152"/>
      <c r="F763" s="152"/>
      <c r="G763" s="152"/>
      <c r="H763" s="152"/>
      <c r="I763" s="152"/>
      <c r="J763" s="152"/>
      <c r="K763" s="152"/>
      <c r="L763" s="152"/>
      <c r="M763" s="152"/>
      <c r="N763" s="152"/>
      <c r="O763" s="152"/>
      <c r="P763" s="152"/>
      <c r="Q763" s="152"/>
      <c r="R763" s="152"/>
      <c r="S763" s="152"/>
      <c r="T763" s="152"/>
      <c r="U763" s="152"/>
      <c r="V763" s="152"/>
      <c r="W763" s="152"/>
      <c r="X763" s="152"/>
      <c r="Y763" s="152"/>
      <c r="Z763" s="152"/>
      <c r="AA763" s="152"/>
      <c r="AB763" s="152"/>
      <c r="AC763" s="152"/>
      <c r="AD763" s="152"/>
      <c r="AE763" s="152"/>
    </row>
    <row r="764" spans="1:31" ht="15.75">
      <c r="A764" s="152"/>
      <c r="B764" s="152"/>
      <c r="C764" s="281"/>
      <c r="D764" s="152"/>
      <c r="E764" s="152"/>
      <c r="F764" s="152"/>
      <c r="G764" s="152"/>
      <c r="H764" s="152"/>
      <c r="I764" s="152"/>
      <c r="J764" s="152"/>
      <c r="K764" s="152"/>
      <c r="L764" s="152"/>
      <c r="M764" s="152"/>
      <c r="N764" s="152"/>
      <c r="O764" s="152"/>
      <c r="P764" s="152"/>
      <c r="Q764" s="152"/>
      <c r="R764" s="152"/>
      <c r="S764" s="152"/>
      <c r="T764" s="152"/>
      <c r="U764" s="152"/>
      <c r="V764" s="152"/>
      <c r="W764" s="152"/>
      <c r="X764" s="152"/>
      <c r="Y764" s="152"/>
      <c r="Z764" s="152"/>
      <c r="AA764" s="152"/>
      <c r="AB764" s="152"/>
      <c r="AC764" s="152"/>
      <c r="AD764" s="152"/>
      <c r="AE764" s="152"/>
    </row>
    <row r="765" spans="1:31" ht="15.75">
      <c r="A765" s="152"/>
      <c r="B765" s="152"/>
      <c r="C765" s="281"/>
      <c r="D765" s="152"/>
      <c r="E765" s="152"/>
      <c r="F765" s="152"/>
      <c r="G765" s="152"/>
      <c r="H765" s="152"/>
      <c r="I765" s="152"/>
      <c r="J765" s="152"/>
      <c r="K765" s="152"/>
      <c r="L765" s="152"/>
      <c r="M765" s="152"/>
      <c r="N765" s="152"/>
      <c r="O765" s="152"/>
      <c r="P765" s="152"/>
      <c r="Q765" s="152"/>
      <c r="R765" s="152"/>
      <c r="S765" s="152"/>
      <c r="T765" s="152"/>
      <c r="U765" s="152"/>
      <c r="V765" s="152"/>
      <c r="W765" s="152"/>
      <c r="X765" s="152"/>
      <c r="Y765" s="152"/>
      <c r="Z765" s="152"/>
      <c r="AA765" s="152"/>
      <c r="AB765" s="152"/>
      <c r="AC765" s="152"/>
      <c r="AD765" s="152"/>
      <c r="AE765" s="152"/>
    </row>
    <row r="766" spans="1:31" ht="15.75">
      <c r="A766" s="152"/>
      <c r="B766" s="152"/>
      <c r="C766" s="281"/>
      <c r="D766" s="152"/>
      <c r="E766" s="152"/>
      <c r="F766" s="152"/>
      <c r="G766" s="152"/>
      <c r="H766" s="152"/>
      <c r="I766" s="152"/>
      <c r="J766" s="152"/>
      <c r="K766" s="152"/>
      <c r="L766" s="152"/>
      <c r="M766" s="152"/>
      <c r="N766" s="152"/>
      <c r="O766" s="152"/>
      <c r="P766" s="152"/>
      <c r="Q766" s="152"/>
      <c r="R766" s="152"/>
      <c r="S766" s="152"/>
      <c r="T766" s="152"/>
      <c r="U766" s="152"/>
      <c r="V766" s="152"/>
      <c r="W766" s="152"/>
      <c r="X766" s="152"/>
      <c r="Y766" s="152"/>
      <c r="Z766" s="152"/>
      <c r="AA766" s="152"/>
      <c r="AB766" s="152"/>
      <c r="AC766" s="152"/>
      <c r="AD766" s="152"/>
      <c r="AE766" s="152"/>
    </row>
    <row r="767" spans="1:31" ht="15.75">
      <c r="A767" s="152"/>
      <c r="B767" s="152"/>
      <c r="C767" s="281"/>
      <c r="D767" s="152"/>
      <c r="E767" s="152"/>
      <c r="F767" s="152"/>
      <c r="G767" s="152"/>
      <c r="H767" s="152"/>
      <c r="I767" s="152"/>
      <c r="J767" s="152"/>
      <c r="K767" s="152"/>
      <c r="L767" s="152"/>
      <c r="M767" s="152"/>
      <c r="N767" s="152"/>
      <c r="O767" s="152"/>
      <c r="P767" s="152"/>
      <c r="Q767" s="152"/>
      <c r="R767" s="152"/>
      <c r="S767" s="152"/>
      <c r="T767" s="152"/>
      <c r="U767" s="152"/>
      <c r="V767" s="152"/>
      <c r="W767" s="152"/>
      <c r="X767" s="152"/>
      <c r="Y767" s="152"/>
      <c r="Z767" s="152"/>
      <c r="AA767" s="152"/>
      <c r="AB767" s="152"/>
      <c r="AC767" s="152"/>
      <c r="AD767" s="152"/>
      <c r="AE767" s="152"/>
    </row>
    <row r="768" spans="1:31" ht="15.75">
      <c r="A768" s="152"/>
      <c r="B768" s="152"/>
      <c r="C768" s="281"/>
      <c r="D768" s="152"/>
      <c r="E768" s="152"/>
      <c r="F768" s="152"/>
      <c r="G768" s="152"/>
      <c r="H768" s="152"/>
      <c r="I768" s="152"/>
      <c r="J768" s="152"/>
      <c r="K768" s="152"/>
      <c r="L768" s="152"/>
      <c r="M768" s="152"/>
      <c r="N768" s="152"/>
      <c r="O768" s="152"/>
      <c r="P768" s="152"/>
      <c r="Q768" s="152"/>
      <c r="R768" s="152"/>
      <c r="S768" s="152"/>
      <c r="T768" s="152"/>
      <c r="U768" s="152"/>
      <c r="V768" s="152"/>
      <c r="W768" s="152"/>
      <c r="X768" s="152"/>
      <c r="Y768" s="152"/>
      <c r="Z768" s="152"/>
      <c r="AA768" s="152"/>
      <c r="AB768" s="152"/>
      <c r="AC768" s="152"/>
      <c r="AD768" s="152"/>
      <c r="AE768" s="152"/>
    </row>
    <row r="769" spans="1:31" ht="15.75">
      <c r="A769" s="152"/>
      <c r="B769" s="152"/>
      <c r="C769" s="281"/>
      <c r="D769" s="152"/>
      <c r="E769" s="152"/>
      <c r="F769" s="152"/>
      <c r="G769" s="152"/>
      <c r="H769" s="152"/>
      <c r="I769" s="152"/>
      <c r="J769" s="152"/>
      <c r="K769" s="152"/>
      <c r="L769" s="152"/>
      <c r="M769" s="152"/>
      <c r="N769" s="152"/>
      <c r="O769" s="152"/>
      <c r="P769" s="152"/>
      <c r="Q769" s="152"/>
      <c r="R769" s="152"/>
      <c r="S769" s="152"/>
      <c r="T769" s="152"/>
      <c r="U769" s="152"/>
      <c r="V769" s="152"/>
      <c r="W769" s="152"/>
      <c r="X769" s="152"/>
      <c r="Y769" s="152"/>
      <c r="Z769" s="152"/>
      <c r="AA769" s="152"/>
      <c r="AB769" s="152"/>
      <c r="AC769" s="152"/>
      <c r="AD769" s="152"/>
      <c r="AE769" s="152"/>
    </row>
    <row r="770" spans="1:31" ht="15.75">
      <c r="A770" s="152"/>
      <c r="B770" s="152"/>
      <c r="C770" s="281"/>
      <c r="D770" s="152"/>
      <c r="E770" s="152"/>
      <c r="F770" s="152"/>
      <c r="G770" s="152"/>
      <c r="H770" s="152"/>
      <c r="I770" s="152"/>
      <c r="J770" s="152"/>
      <c r="K770" s="152"/>
      <c r="L770" s="152"/>
      <c r="M770" s="152"/>
      <c r="N770" s="152"/>
      <c r="O770" s="152"/>
      <c r="P770" s="152"/>
      <c r="Q770" s="152"/>
      <c r="R770" s="152"/>
      <c r="S770" s="152"/>
      <c r="T770" s="152"/>
      <c r="U770" s="152"/>
      <c r="V770" s="152"/>
      <c r="W770" s="152"/>
      <c r="X770" s="152"/>
      <c r="Y770" s="152"/>
      <c r="Z770" s="152"/>
      <c r="AA770" s="152"/>
      <c r="AB770" s="152"/>
      <c r="AC770" s="152"/>
      <c r="AD770" s="152"/>
      <c r="AE770" s="152"/>
    </row>
    <row r="771" spans="1:31" ht="15.75">
      <c r="A771" s="152"/>
      <c r="B771" s="152"/>
      <c r="C771" s="281"/>
      <c r="D771" s="152"/>
      <c r="E771" s="152"/>
      <c r="F771" s="152"/>
      <c r="G771" s="152"/>
      <c r="H771" s="152"/>
      <c r="I771" s="152"/>
      <c r="J771" s="152"/>
      <c r="K771" s="152"/>
      <c r="L771" s="152"/>
      <c r="M771" s="152"/>
      <c r="N771" s="152"/>
      <c r="O771" s="152"/>
      <c r="P771" s="152"/>
      <c r="Q771" s="152"/>
      <c r="R771" s="152"/>
      <c r="S771" s="152"/>
      <c r="T771" s="152"/>
      <c r="U771" s="152"/>
      <c r="V771" s="152"/>
      <c r="W771" s="152"/>
      <c r="X771" s="152"/>
      <c r="Y771" s="152"/>
      <c r="Z771" s="152"/>
      <c r="AA771" s="152"/>
      <c r="AB771" s="152"/>
      <c r="AC771" s="152"/>
      <c r="AD771" s="152"/>
      <c r="AE771" s="152"/>
    </row>
    <row r="772" spans="1:31" ht="15.75">
      <c r="A772" s="152"/>
      <c r="B772" s="152"/>
      <c r="C772" s="281"/>
      <c r="D772" s="152"/>
      <c r="E772" s="152"/>
      <c r="F772" s="152"/>
      <c r="G772" s="152"/>
      <c r="H772" s="152"/>
      <c r="I772" s="152"/>
      <c r="J772" s="152"/>
      <c r="K772" s="152"/>
      <c r="L772" s="152"/>
      <c r="M772" s="152"/>
      <c r="N772" s="152"/>
      <c r="O772" s="152"/>
      <c r="P772" s="152"/>
      <c r="Q772" s="152"/>
      <c r="R772" s="152"/>
      <c r="S772" s="152"/>
      <c r="T772" s="152"/>
      <c r="U772" s="152"/>
      <c r="V772" s="152"/>
      <c r="W772" s="152"/>
      <c r="X772" s="152"/>
      <c r="Y772" s="152"/>
      <c r="Z772" s="152"/>
      <c r="AA772" s="152"/>
      <c r="AB772" s="152"/>
      <c r="AC772" s="152"/>
      <c r="AD772" s="152"/>
      <c r="AE772" s="152"/>
    </row>
    <row r="773" spans="1:31" ht="15.75">
      <c r="A773" s="152"/>
      <c r="B773" s="152"/>
      <c r="C773" s="281"/>
      <c r="D773" s="152"/>
      <c r="E773" s="152"/>
      <c r="F773" s="152"/>
      <c r="G773" s="152"/>
      <c r="H773" s="152"/>
      <c r="I773" s="152"/>
      <c r="J773" s="152"/>
      <c r="K773" s="152"/>
      <c r="L773" s="152"/>
      <c r="M773" s="152"/>
      <c r="N773" s="152"/>
      <c r="O773" s="152"/>
      <c r="P773" s="152"/>
      <c r="Q773" s="152"/>
      <c r="R773" s="152"/>
      <c r="S773" s="152"/>
      <c r="T773" s="152"/>
      <c r="U773" s="152"/>
      <c r="V773" s="152"/>
      <c r="W773" s="152"/>
      <c r="X773" s="152"/>
      <c r="Y773" s="152"/>
      <c r="Z773" s="152"/>
      <c r="AA773" s="152"/>
      <c r="AB773" s="152"/>
      <c r="AC773" s="152"/>
      <c r="AD773" s="152"/>
      <c r="AE773" s="152"/>
    </row>
    <row r="774" spans="1:31" ht="15.75">
      <c r="A774" s="152"/>
      <c r="B774" s="152"/>
      <c r="C774" s="281"/>
      <c r="D774" s="152"/>
      <c r="E774" s="152"/>
      <c r="F774" s="152"/>
      <c r="G774" s="152"/>
      <c r="H774" s="152"/>
      <c r="I774" s="152"/>
      <c r="J774" s="152"/>
      <c r="K774" s="152"/>
      <c r="L774" s="152"/>
      <c r="M774" s="152"/>
      <c r="N774" s="152"/>
      <c r="O774" s="152"/>
      <c r="P774" s="152"/>
      <c r="Q774" s="152"/>
      <c r="R774" s="152"/>
      <c r="S774" s="152"/>
      <c r="T774" s="152"/>
      <c r="U774" s="152"/>
      <c r="V774" s="152"/>
      <c r="W774" s="152"/>
      <c r="X774" s="152"/>
      <c r="Y774" s="152"/>
      <c r="Z774" s="152"/>
      <c r="AA774" s="152"/>
      <c r="AB774" s="152"/>
      <c r="AC774" s="152"/>
      <c r="AD774" s="152"/>
      <c r="AE774" s="152"/>
    </row>
    <row r="775" spans="1:31" ht="15.75">
      <c r="A775" s="152"/>
      <c r="B775" s="152"/>
      <c r="C775" s="281"/>
      <c r="D775" s="152"/>
      <c r="E775" s="152"/>
      <c r="F775" s="152"/>
      <c r="G775" s="152"/>
      <c r="H775" s="152"/>
      <c r="I775" s="152"/>
      <c r="J775" s="152"/>
      <c r="K775" s="152"/>
      <c r="L775" s="152"/>
      <c r="M775" s="152"/>
      <c r="N775" s="152"/>
      <c r="O775" s="152"/>
      <c r="P775" s="152"/>
      <c r="Q775" s="152"/>
      <c r="R775" s="152"/>
      <c r="S775" s="152"/>
      <c r="T775" s="152"/>
      <c r="U775" s="152"/>
      <c r="V775" s="152"/>
      <c r="W775" s="152"/>
      <c r="X775" s="152"/>
      <c r="Y775" s="152"/>
      <c r="Z775" s="152"/>
      <c r="AA775" s="152"/>
      <c r="AB775" s="152"/>
      <c r="AC775" s="152"/>
      <c r="AD775" s="152"/>
      <c r="AE775" s="152"/>
    </row>
    <row r="776" spans="1:31" ht="15.75">
      <c r="A776" s="152"/>
      <c r="B776" s="152"/>
      <c r="C776" s="281"/>
      <c r="D776" s="152"/>
      <c r="E776" s="152"/>
      <c r="F776" s="152"/>
      <c r="G776" s="152"/>
      <c r="H776" s="152"/>
      <c r="I776" s="152"/>
      <c r="J776" s="152"/>
      <c r="K776" s="152"/>
      <c r="L776" s="152"/>
      <c r="M776" s="152"/>
      <c r="N776" s="152"/>
      <c r="O776" s="152"/>
      <c r="P776" s="152"/>
      <c r="Q776" s="152"/>
      <c r="R776" s="152"/>
      <c r="S776" s="152"/>
      <c r="T776" s="152"/>
      <c r="U776" s="152"/>
      <c r="V776" s="152"/>
      <c r="W776" s="152"/>
      <c r="X776" s="152"/>
      <c r="Y776" s="152"/>
      <c r="Z776" s="152"/>
      <c r="AA776" s="152"/>
      <c r="AB776" s="152"/>
      <c r="AC776" s="152"/>
      <c r="AD776" s="152"/>
      <c r="AE776" s="152"/>
    </row>
    <row r="777" spans="1:31" ht="15.75">
      <c r="A777" s="152"/>
      <c r="B777" s="152"/>
      <c r="C777" s="281"/>
      <c r="D777" s="152"/>
      <c r="E777" s="152"/>
      <c r="F777" s="152"/>
      <c r="G777" s="152"/>
      <c r="H777" s="152"/>
      <c r="I777" s="152"/>
      <c r="J777" s="152"/>
      <c r="K777" s="152"/>
      <c r="L777" s="152"/>
      <c r="M777" s="152"/>
      <c r="N777" s="152"/>
      <c r="O777" s="152"/>
      <c r="P777" s="152"/>
      <c r="Q777" s="152"/>
      <c r="R777" s="152"/>
      <c r="S777" s="152"/>
      <c r="T777" s="152"/>
      <c r="U777" s="152"/>
      <c r="V777" s="152"/>
      <c r="W777" s="152"/>
      <c r="X777" s="152"/>
      <c r="Y777" s="152"/>
      <c r="Z777" s="152"/>
      <c r="AA777" s="152"/>
      <c r="AB777" s="152"/>
      <c r="AC777" s="152"/>
      <c r="AD777" s="152"/>
      <c r="AE777" s="152"/>
    </row>
    <row r="778" spans="1:31" ht="15.75">
      <c r="A778" s="152"/>
      <c r="B778" s="152"/>
      <c r="C778" s="281"/>
      <c r="D778" s="152"/>
      <c r="E778" s="152"/>
      <c r="F778" s="152"/>
      <c r="G778" s="152"/>
      <c r="H778" s="152"/>
      <c r="I778" s="152"/>
      <c r="J778" s="152"/>
      <c r="K778" s="152"/>
      <c r="L778" s="152"/>
      <c r="M778" s="152"/>
      <c r="N778" s="152"/>
      <c r="O778" s="152"/>
      <c r="P778" s="152"/>
      <c r="Q778" s="152"/>
      <c r="R778" s="152"/>
      <c r="S778" s="152"/>
      <c r="T778" s="152"/>
      <c r="U778" s="152"/>
      <c r="V778" s="152"/>
      <c r="W778" s="152"/>
      <c r="X778" s="152"/>
      <c r="Y778" s="152"/>
      <c r="Z778" s="152"/>
      <c r="AA778" s="152"/>
      <c r="AB778" s="152"/>
      <c r="AC778" s="152"/>
      <c r="AD778" s="152"/>
      <c r="AE778" s="152"/>
    </row>
    <row r="779" spans="1:31" ht="15.75">
      <c r="A779" s="152"/>
      <c r="B779" s="152"/>
      <c r="C779" s="281"/>
      <c r="D779" s="152"/>
      <c r="E779" s="152"/>
      <c r="F779" s="152"/>
      <c r="G779" s="152"/>
      <c r="H779" s="152"/>
      <c r="I779" s="152"/>
      <c r="J779" s="152"/>
      <c r="K779" s="152"/>
      <c r="L779" s="152"/>
      <c r="M779" s="152"/>
      <c r="N779" s="152"/>
      <c r="O779" s="152"/>
      <c r="P779" s="152"/>
      <c r="Q779" s="152"/>
      <c r="R779" s="152"/>
      <c r="S779" s="152"/>
      <c r="T779" s="152"/>
      <c r="U779" s="152"/>
      <c r="V779" s="152"/>
      <c r="W779" s="152"/>
      <c r="X779" s="152"/>
      <c r="Y779" s="152"/>
      <c r="Z779" s="152"/>
      <c r="AA779" s="152"/>
      <c r="AB779" s="152"/>
      <c r="AC779" s="152"/>
      <c r="AD779" s="152"/>
      <c r="AE779" s="152"/>
    </row>
    <row r="780" spans="1:31" ht="15.75">
      <c r="A780" s="152"/>
      <c r="B780" s="152"/>
      <c r="C780" s="281"/>
      <c r="D780" s="152"/>
      <c r="E780" s="152"/>
      <c r="F780" s="152"/>
      <c r="G780" s="152"/>
      <c r="H780" s="152"/>
      <c r="I780" s="152"/>
      <c r="J780" s="152"/>
      <c r="K780" s="152"/>
      <c r="L780" s="152"/>
      <c r="M780" s="152"/>
      <c r="N780" s="152"/>
      <c r="O780" s="152"/>
      <c r="P780" s="152"/>
      <c r="Q780" s="152"/>
      <c r="R780" s="152"/>
      <c r="S780" s="152"/>
      <c r="T780" s="152"/>
      <c r="U780" s="152"/>
      <c r="V780" s="152"/>
      <c r="W780" s="152"/>
      <c r="X780" s="152"/>
      <c r="Y780" s="152"/>
      <c r="Z780" s="152"/>
      <c r="AA780" s="152"/>
      <c r="AB780" s="152"/>
      <c r="AC780" s="152"/>
      <c r="AD780" s="152"/>
      <c r="AE780" s="152"/>
    </row>
    <row r="781" spans="1:31" ht="15.75">
      <c r="A781" s="152"/>
      <c r="B781" s="152"/>
      <c r="C781" s="281"/>
      <c r="D781" s="152"/>
      <c r="E781" s="152"/>
      <c r="F781" s="152"/>
      <c r="G781" s="152"/>
      <c r="H781" s="152"/>
      <c r="I781" s="152"/>
      <c r="J781" s="152"/>
      <c r="K781" s="152"/>
      <c r="L781" s="152"/>
      <c r="M781" s="152"/>
      <c r="N781" s="152"/>
      <c r="O781" s="152"/>
      <c r="P781" s="152"/>
      <c r="Q781" s="152"/>
      <c r="R781" s="152"/>
      <c r="S781" s="152"/>
      <c r="T781" s="152"/>
      <c r="U781" s="152"/>
      <c r="V781" s="152"/>
      <c r="W781" s="152"/>
      <c r="X781" s="152"/>
      <c r="Y781" s="152"/>
      <c r="Z781" s="152"/>
      <c r="AA781" s="152"/>
      <c r="AB781" s="152"/>
      <c r="AC781" s="152"/>
      <c r="AD781" s="152"/>
      <c r="AE781" s="152"/>
    </row>
    <row r="782" spans="1:31" ht="15.75">
      <c r="A782" s="152"/>
      <c r="B782" s="152"/>
      <c r="C782" s="281"/>
      <c r="D782" s="152"/>
      <c r="E782" s="152"/>
      <c r="F782" s="152"/>
      <c r="G782" s="152"/>
      <c r="H782" s="152"/>
      <c r="I782" s="152"/>
      <c r="J782" s="152"/>
      <c r="K782" s="152"/>
      <c r="L782" s="152"/>
      <c r="M782" s="152"/>
      <c r="N782" s="152"/>
      <c r="O782" s="152"/>
      <c r="P782" s="152"/>
      <c r="Q782" s="152"/>
      <c r="R782" s="152"/>
      <c r="S782" s="152"/>
      <c r="T782" s="152"/>
      <c r="U782" s="152"/>
      <c r="V782" s="152"/>
      <c r="W782" s="152"/>
      <c r="X782" s="152"/>
      <c r="Y782" s="152"/>
      <c r="Z782" s="152"/>
      <c r="AA782" s="152"/>
      <c r="AB782" s="152"/>
      <c r="AC782" s="152"/>
      <c r="AD782" s="152"/>
      <c r="AE782" s="152"/>
    </row>
    <row r="783" spans="1:31" ht="15.75">
      <c r="A783" s="152"/>
      <c r="B783" s="152"/>
      <c r="C783" s="281"/>
      <c r="D783" s="152"/>
      <c r="E783" s="152"/>
      <c r="F783" s="152"/>
      <c r="G783" s="152"/>
      <c r="H783" s="152"/>
      <c r="I783" s="152"/>
      <c r="J783" s="152"/>
      <c r="K783" s="152"/>
      <c r="L783" s="152"/>
      <c r="M783" s="152"/>
      <c r="N783" s="152"/>
      <c r="O783" s="152"/>
      <c r="P783" s="152"/>
      <c r="Q783" s="152"/>
      <c r="R783" s="152"/>
      <c r="S783" s="152"/>
      <c r="T783" s="152"/>
      <c r="U783" s="152"/>
      <c r="V783" s="152"/>
      <c r="W783" s="152"/>
      <c r="X783" s="152"/>
      <c r="Y783" s="152"/>
      <c r="Z783" s="152"/>
      <c r="AA783" s="152"/>
      <c r="AB783" s="152"/>
      <c r="AC783" s="152"/>
      <c r="AD783" s="152"/>
      <c r="AE783" s="152"/>
    </row>
    <row r="784" spans="1:31" ht="15.75">
      <c r="A784" s="152"/>
      <c r="B784" s="152"/>
      <c r="C784" s="281"/>
      <c r="D784" s="152"/>
      <c r="E784" s="152"/>
      <c r="F784" s="152"/>
      <c r="G784" s="152"/>
      <c r="H784" s="152"/>
      <c r="I784" s="152"/>
      <c r="J784" s="152"/>
      <c r="K784" s="152"/>
      <c r="L784" s="152"/>
      <c r="M784" s="152"/>
      <c r="N784" s="152"/>
      <c r="O784" s="152"/>
      <c r="P784" s="152"/>
      <c r="Q784" s="152"/>
      <c r="R784" s="152"/>
      <c r="S784" s="152"/>
      <c r="T784" s="152"/>
      <c r="U784" s="152"/>
      <c r="V784" s="152"/>
      <c r="W784" s="152"/>
      <c r="X784" s="152"/>
      <c r="Y784" s="152"/>
      <c r="Z784" s="152"/>
      <c r="AA784" s="152"/>
      <c r="AB784" s="152"/>
      <c r="AC784" s="152"/>
      <c r="AD784" s="152"/>
      <c r="AE784" s="152"/>
    </row>
    <row r="785" spans="1:31" ht="15.75">
      <c r="A785" s="152"/>
      <c r="B785" s="152"/>
      <c r="C785" s="281"/>
      <c r="D785" s="152"/>
      <c r="E785" s="152"/>
      <c r="F785" s="152"/>
      <c r="G785" s="152"/>
      <c r="H785" s="152"/>
      <c r="I785" s="152"/>
      <c r="J785" s="152"/>
      <c r="K785" s="152"/>
      <c r="L785" s="152"/>
      <c r="M785" s="152"/>
      <c r="N785" s="152"/>
      <c r="O785" s="152"/>
      <c r="P785" s="152"/>
      <c r="Q785" s="152"/>
      <c r="R785" s="152"/>
      <c r="S785" s="152"/>
      <c r="T785" s="152"/>
      <c r="U785" s="152"/>
      <c r="V785" s="152"/>
      <c r="W785" s="152"/>
      <c r="X785" s="152"/>
      <c r="Y785" s="152"/>
      <c r="Z785" s="152"/>
      <c r="AA785" s="152"/>
      <c r="AB785" s="152"/>
      <c r="AC785" s="152"/>
      <c r="AD785" s="152"/>
      <c r="AE785" s="152"/>
    </row>
    <row r="786" spans="1:31" ht="15.75">
      <c r="A786" s="152"/>
      <c r="B786" s="152"/>
      <c r="C786" s="281"/>
      <c r="D786" s="152"/>
      <c r="E786" s="152"/>
      <c r="F786" s="152"/>
      <c r="G786" s="152"/>
      <c r="H786" s="152"/>
      <c r="I786" s="152"/>
      <c r="J786" s="152"/>
      <c r="K786" s="152"/>
      <c r="L786" s="152"/>
      <c r="M786" s="152"/>
      <c r="N786" s="152"/>
      <c r="O786" s="152"/>
      <c r="P786" s="152"/>
      <c r="Q786" s="152"/>
      <c r="R786" s="152"/>
      <c r="S786" s="152"/>
      <c r="T786" s="152"/>
      <c r="U786" s="152"/>
      <c r="V786" s="152"/>
      <c r="W786" s="152"/>
      <c r="X786" s="152"/>
      <c r="Y786" s="152"/>
      <c r="Z786" s="152"/>
      <c r="AA786" s="152"/>
      <c r="AB786" s="152"/>
      <c r="AC786" s="152"/>
      <c r="AD786" s="152"/>
      <c r="AE786" s="152"/>
    </row>
    <row r="787" spans="1:31" ht="15.75">
      <c r="A787" s="152"/>
      <c r="B787" s="152"/>
      <c r="C787" s="281"/>
      <c r="D787" s="152"/>
      <c r="E787" s="152"/>
      <c r="F787" s="152"/>
      <c r="G787" s="152"/>
      <c r="H787" s="152"/>
      <c r="I787" s="152"/>
      <c r="J787" s="152"/>
      <c r="K787" s="152"/>
      <c r="L787" s="152"/>
      <c r="M787" s="152"/>
      <c r="N787" s="152"/>
      <c r="O787" s="152"/>
      <c r="P787" s="152"/>
      <c r="Q787" s="152"/>
      <c r="R787" s="152"/>
      <c r="S787" s="152"/>
      <c r="T787" s="152"/>
      <c r="U787" s="152"/>
      <c r="V787" s="152"/>
      <c r="W787" s="152"/>
      <c r="X787" s="152"/>
      <c r="Y787" s="152"/>
      <c r="Z787" s="152"/>
      <c r="AA787" s="152"/>
      <c r="AB787" s="152"/>
      <c r="AC787" s="152"/>
      <c r="AD787" s="152"/>
      <c r="AE787" s="152"/>
    </row>
    <row r="788" spans="1:31" ht="15.75">
      <c r="A788" s="152"/>
      <c r="B788" s="152"/>
      <c r="C788" s="281"/>
      <c r="D788" s="152"/>
      <c r="E788" s="152"/>
      <c r="F788" s="152"/>
      <c r="G788" s="152"/>
      <c r="H788" s="152"/>
      <c r="I788" s="152"/>
      <c r="J788" s="152"/>
      <c r="K788" s="152"/>
      <c r="L788" s="152"/>
      <c r="M788" s="152"/>
      <c r="N788" s="152"/>
      <c r="O788" s="152"/>
      <c r="P788" s="152"/>
      <c r="Q788" s="152"/>
      <c r="R788" s="152"/>
      <c r="S788" s="152"/>
      <c r="T788" s="152"/>
      <c r="U788" s="152"/>
      <c r="V788" s="152"/>
      <c r="W788" s="152"/>
      <c r="X788" s="152"/>
      <c r="Y788" s="152"/>
      <c r="Z788" s="152"/>
      <c r="AA788" s="152"/>
      <c r="AB788" s="152"/>
      <c r="AC788" s="152"/>
      <c r="AD788" s="152"/>
      <c r="AE788" s="152"/>
    </row>
    <row r="789" spans="1:31" ht="15.75">
      <c r="A789" s="152"/>
      <c r="B789" s="152"/>
      <c r="C789" s="281"/>
      <c r="D789" s="152"/>
      <c r="E789" s="152"/>
      <c r="F789" s="152"/>
      <c r="G789" s="152"/>
      <c r="H789" s="152"/>
      <c r="I789" s="152"/>
      <c r="J789" s="152"/>
      <c r="K789" s="152"/>
      <c r="L789" s="152"/>
      <c r="M789" s="152"/>
      <c r="N789" s="152"/>
      <c r="O789" s="152"/>
      <c r="P789" s="152"/>
      <c r="Q789" s="152"/>
      <c r="R789" s="152"/>
      <c r="S789" s="152"/>
      <c r="T789" s="152"/>
      <c r="U789" s="152"/>
      <c r="V789" s="152"/>
      <c r="W789" s="152"/>
      <c r="X789" s="152"/>
      <c r="Y789" s="152"/>
      <c r="Z789" s="152"/>
      <c r="AA789" s="152"/>
      <c r="AB789" s="152"/>
      <c r="AC789" s="152"/>
      <c r="AD789" s="152"/>
      <c r="AE789" s="152"/>
    </row>
    <row r="790" spans="1:31" ht="15.75">
      <c r="A790" s="152"/>
      <c r="B790" s="152"/>
      <c r="C790" s="281"/>
      <c r="D790" s="152"/>
      <c r="E790" s="152"/>
      <c r="F790" s="152"/>
      <c r="G790" s="152"/>
      <c r="H790" s="152"/>
      <c r="I790" s="152"/>
      <c r="J790" s="152"/>
      <c r="K790" s="152"/>
      <c r="L790" s="152"/>
      <c r="M790" s="152"/>
      <c r="N790" s="152"/>
      <c r="O790" s="152"/>
      <c r="P790" s="152"/>
      <c r="Q790" s="152"/>
      <c r="R790" s="152"/>
      <c r="S790" s="152"/>
      <c r="T790" s="152"/>
      <c r="U790" s="152"/>
      <c r="V790" s="152"/>
      <c r="W790" s="152"/>
      <c r="X790" s="152"/>
      <c r="Y790" s="152"/>
      <c r="Z790" s="152"/>
      <c r="AA790" s="152"/>
      <c r="AB790" s="152"/>
      <c r="AC790" s="152"/>
      <c r="AD790" s="152"/>
      <c r="AE790" s="152"/>
    </row>
    <row r="791" spans="1:31" ht="15.75">
      <c r="A791" s="152"/>
      <c r="B791" s="152"/>
      <c r="C791" s="281"/>
      <c r="D791" s="152"/>
      <c r="E791" s="152"/>
      <c r="F791" s="152"/>
      <c r="G791" s="152"/>
      <c r="H791" s="152"/>
      <c r="I791" s="152"/>
      <c r="J791" s="152"/>
      <c r="K791" s="152"/>
      <c r="L791" s="152"/>
      <c r="M791" s="152"/>
      <c r="N791" s="152"/>
      <c r="O791" s="152"/>
      <c r="P791" s="152"/>
      <c r="Q791" s="152"/>
      <c r="R791" s="152"/>
      <c r="S791" s="152"/>
      <c r="T791" s="152"/>
      <c r="U791" s="152"/>
      <c r="V791" s="152"/>
      <c r="W791" s="152"/>
      <c r="X791" s="152"/>
      <c r="Y791" s="152"/>
      <c r="Z791" s="152"/>
      <c r="AA791" s="152"/>
      <c r="AB791" s="152"/>
      <c r="AC791" s="152"/>
      <c r="AD791" s="152"/>
      <c r="AE791" s="152"/>
    </row>
    <row r="792" spans="1:31" ht="15.75">
      <c r="A792" s="152"/>
      <c r="B792" s="152"/>
      <c r="C792" s="281"/>
      <c r="D792" s="152"/>
      <c r="E792" s="152"/>
      <c r="F792" s="152"/>
      <c r="G792" s="152"/>
      <c r="H792" s="152"/>
      <c r="I792" s="152"/>
      <c r="J792" s="152"/>
      <c r="K792" s="152"/>
      <c r="L792" s="152"/>
      <c r="M792" s="152"/>
      <c r="N792" s="152"/>
      <c r="O792" s="152"/>
      <c r="P792" s="152"/>
      <c r="Q792" s="152"/>
      <c r="R792" s="152"/>
      <c r="S792" s="152"/>
      <c r="T792" s="152"/>
      <c r="U792" s="152"/>
      <c r="V792" s="152"/>
      <c r="W792" s="152"/>
      <c r="X792" s="152"/>
      <c r="Y792" s="152"/>
      <c r="Z792" s="152"/>
      <c r="AA792" s="152"/>
      <c r="AB792" s="152"/>
      <c r="AC792" s="152"/>
      <c r="AD792" s="152"/>
      <c r="AE792" s="152"/>
    </row>
    <row r="793" spans="1:31" ht="15.75">
      <c r="A793" s="152"/>
      <c r="B793" s="152"/>
      <c r="C793" s="281"/>
      <c r="D793" s="152"/>
      <c r="E793" s="152"/>
      <c r="F793" s="152"/>
      <c r="G793" s="152"/>
      <c r="H793" s="152"/>
      <c r="I793" s="152"/>
      <c r="J793" s="152"/>
      <c r="K793" s="152"/>
      <c r="L793" s="152"/>
      <c r="M793" s="152"/>
      <c r="N793" s="152"/>
      <c r="O793" s="152"/>
      <c r="P793" s="152"/>
      <c r="Q793" s="152"/>
      <c r="R793" s="152"/>
      <c r="S793" s="152"/>
      <c r="T793" s="152"/>
      <c r="U793" s="152"/>
      <c r="V793" s="152"/>
      <c r="W793" s="152"/>
      <c r="X793" s="152"/>
      <c r="Y793" s="152"/>
      <c r="Z793" s="152"/>
      <c r="AA793" s="152"/>
      <c r="AB793" s="152"/>
      <c r="AC793" s="152"/>
      <c r="AD793" s="152"/>
      <c r="AE793" s="152"/>
    </row>
    <row r="794" spans="1:31" ht="15.75">
      <c r="A794" s="152"/>
      <c r="B794" s="152"/>
      <c r="C794" s="281"/>
      <c r="D794" s="152"/>
      <c r="E794" s="152"/>
      <c r="F794" s="152"/>
      <c r="G794" s="152"/>
      <c r="H794" s="152"/>
      <c r="I794" s="152"/>
      <c r="J794" s="152"/>
      <c r="K794" s="152"/>
      <c r="L794" s="152"/>
      <c r="M794" s="152"/>
      <c r="N794" s="152"/>
      <c r="O794" s="152"/>
      <c r="P794" s="152"/>
      <c r="Q794" s="152"/>
      <c r="R794" s="152"/>
      <c r="S794" s="152"/>
      <c r="T794" s="152"/>
      <c r="U794" s="152"/>
      <c r="V794" s="152"/>
      <c r="W794" s="152"/>
      <c r="X794" s="152"/>
      <c r="Y794" s="152"/>
      <c r="Z794" s="152"/>
      <c r="AA794" s="152"/>
      <c r="AB794" s="152"/>
      <c r="AC794" s="152"/>
      <c r="AD794" s="152"/>
      <c r="AE794" s="152"/>
    </row>
    <row r="795" spans="1:31" ht="15.75">
      <c r="A795" s="152"/>
      <c r="B795" s="152"/>
      <c r="C795" s="281"/>
      <c r="D795" s="152"/>
      <c r="E795" s="152"/>
      <c r="F795" s="152"/>
      <c r="G795" s="152"/>
      <c r="H795" s="152"/>
      <c r="I795" s="152"/>
      <c r="J795" s="152"/>
      <c r="K795" s="152"/>
      <c r="L795" s="152"/>
      <c r="M795" s="152"/>
      <c r="N795" s="152"/>
      <c r="O795" s="152"/>
      <c r="P795" s="152"/>
      <c r="Q795" s="152"/>
      <c r="R795" s="152"/>
      <c r="S795" s="152"/>
      <c r="T795" s="152"/>
      <c r="U795" s="152"/>
      <c r="V795" s="152"/>
      <c r="W795" s="152"/>
      <c r="X795" s="152"/>
      <c r="Y795" s="152"/>
      <c r="Z795" s="152"/>
      <c r="AA795" s="152"/>
      <c r="AB795" s="152"/>
      <c r="AC795" s="152"/>
      <c r="AD795" s="152"/>
      <c r="AE795" s="152"/>
    </row>
    <row r="796" spans="1:31" ht="15.75">
      <c r="A796" s="152"/>
      <c r="B796" s="152"/>
      <c r="C796" s="281"/>
      <c r="D796" s="152"/>
      <c r="E796" s="152"/>
      <c r="F796" s="152"/>
      <c r="G796" s="152"/>
      <c r="H796" s="152"/>
      <c r="I796" s="152"/>
      <c r="J796" s="152"/>
      <c r="K796" s="152"/>
      <c r="L796" s="152"/>
      <c r="M796" s="152"/>
      <c r="N796" s="152"/>
      <c r="O796" s="152"/>
      <c r="P796" s="152"/>
      <c r="Q796" s="152"/>
      <c r="R796" s="152"/>
      <c r="S796" s="152"/>
      <c r="T796" s="152"/>
      <c r="U796" s="152"/>
      <c r="V796" s="152"/>
      <c r="W796" s="152"/>
      <c r="X796" s="152"/>
      <c r="Y796" s="152"/>
      <c r="Z796" s="152"/>
      <c r="AA796" s="152"/>
      <c r="AB796" s="152"/>
      <c r="AC796" s="152"/>
      <c r="AD796" s="152"/>
      <c r="AE796" s="152"/>
    </row>
    <row r="797" spans="1:31" ht="15.75">
      <c r="A797" s="152"/>
      <c r="B797" s="152"/>
      <c r="C797" s="281"/>
      <c r="D797" s="152"/>
      <c r="E797" s="152"/>
      <c r="F797" s="152"/>
      <c r="G797" s="152"/>
      <c r="H797" s="152"/>
      <c r="I797" s="152"/>
      <c r="J797" s="152"/>
      <c r="K797" s="152"/>
      <c r="L797" s="152"/>
      <c r="M797" s="152"/>
      <c r="N797" s="152"/>
      <c r="O797" s="152"/>
      <c r="P797" s="152"/>
      <c r="Q797" s="152"/>
      <c r="R797" s="152"/>
      <c r="S797" s="152"/>
      <c r="T797" s="152"/>
      <c r="U797" s="152"/>
      <c r="V797" s="152"/>
      <c r="W797" s="152"/>
      <c r="X797" s="152"/>
      <c r="Y797" s="152"/>
      <c r="Z797" s="152"/>
      <c r="AA797" s="152"/>
      <c r="AB797" s="152"/>
      <c r="AC797" s="152"/>
      <c r="AD797" s="152"/>
      <c r="AE797" s="152"/>
    </row>
    <row r="798" spans="1:31" ht="15.75">
      <c r="A798" s="152"/>
      <c r="B798" s="152"/>
      <c r="C798" s="281"/>
      <c r="D798" s="152"/>
      <c r="E798" s="152"/>
      <c r="F798" s="152"/>
      <c r="G798" s="152"/>
      <c r="H798" s="152"/>
      <c r="I798" s="152"/>
      <c r="J798" s="152"/>
      <c r="K798" s="152"/>
      <c r="L798" s="152"/>
      <c r="M798" s="152"/>
      <c r="N798" s="152"/>
      <c r="O798" s="152"/>
      <c r="P798" s="152"/>
      <c r="Q798" s="152"/>
      <c r="R798" s="152"/>
      <c r="S798" s="152"/>
      <c r="T798" s="152"/>
      <c r="U798" s="152"/>
      <c r="V798" s="152"/>
      <c r="W798" s="152"/>
      <c r="X798" s="152"/>
      <c r="Y798" s="152"/>
      <c r="Z798" s="152"/>
      <c r="AA798" s="152"/>
      <c r="AB798" s="152"/>
      <c r="AC798" s="152"/>
      <c r="AD798" s="152"/>
      <c r="AE798" s="152"/>
    </row>
    <row r="799" spans="1:31" ht="15.75">
      <c r="A799" s="152"/>
      <c r="B799" s="152"/>
      <c r="C799" s="281"/>
      <c r="D799" s="152"/>
      <c r="E799" s="152"/>
      <c r="F799" s="152"/>
      <c r="G799" s="152"/>
      <c r="H799" s="152"/>
      <c r="I799" s="152"/>
      <c r="J799" s="152"/>
      <c r="K799" s="152"/>
      <c r="L799" s="152"/>
      <c r="M799" s="152"/>
      <c r="N799" s="152"/>
      <c r="O799" s="152"/>
      <c r="P799" s="152"/>
      <c r="Q799" s="152"/>
      <c r="R799" s="152"/>
      <c r="S799" s="152"/>
      <c r="T799" s="152"/>
      <c r="U799" s="152"/>
      <c r="V799" s="152"/>
      <c r="W799" s="152"/>
      <c r="X799" s="152"/>
      <c r="Y799" s="152"/>
      <c r="Z799" s="152"/>
      <c r="AA799" s="152"/>
      <c r="AB799" s="152"/>
      <c r="AC799" s="152"/>
      <c r="AD799" s="152"/>
      <c r="AE799" s="152"/>
    </row>
    <row r="800" spans="1:31" ht="15.75">
      <c r="A800" s="152"/>
      <c r="B800" s="152"/>
      <c r="C800" s="281"/>
      <c r="D800" s="152"/>
      <c r="E800" s="152"/>
      <c r="F800" s="152"/>
      <c r="G800" s="152"/>
      <c r="H800" s="152"/>
      <c r="I800" s="152"/>
      <c r="J800" s="152"/>
      <c r="K800" s="152"/>
      <c r="L800" s="152"/>
      <c r="M800" s="152"/>
      <c r="N800" s="152"/>
      <c r="O800" s="152"/>
      <c r="P800" s="152"/>
      <c r="Q800" s="152"/>
      <c r="R800" s="152"/>
      <c r="S800" s="152"/>
      <c r="T800" s="152"/>
      <c r="U800" s="152"/>
      <c r="V800" s="152"/>
      <c r="W800" s="152"/>
      <c r="X800" s="152"/>
      <c r="Y800" s="152"/>
      <c r="Z800" s="152"/>
      <c r="AA800" s="152"/>
      <c r="AB800" s="152"/>
      <c r="AC800" s="152"/>
      <c r="AD800" s="152"/>
      <c r="AE800" s="152"/>
    </row>
    <row r="801" spans="1:31" ht="15.75">
      <c r="A801" s="152"/>
      <c r="B801" s="152"/>
      <c r="C801" s="281"/>
      <c r="D801" s="152"/>
      <c r="E801" s="152"/>
      <c r="F801" s="152"/>
      <c r="G801" s="152"/>
      <c r="H801" s="152"/>
      <c r="I801" s="152"/>
      <c r="J801" s="152"/>
      <c r="K801" s="152"/>
      <c r="L801" s="152"/>
      <c r="M801" s="152"/>
      <c r="N801" s="152"/>
      <c r="O801" s="152"/>
      <c r="P801" s="152"/>
      <c r="Q801" s="152"/>
      <c r="R801" s="152"/>
      <c r="S801" s="152"/>
      <c r="T801" s="152"/>
      <c r="U801" s="152"/>
      <c r="V801" s="152"/>
      <c r="W801" s="152"/>
      <c r="X801" s="152"/>
      <c r="Y801" s="152"/>
      <c r="Z801" s="152"/>
      <c r="AA801" s="152"/>
      <c r="AB801" s="152"/>
      <c r="AC801" s="152"/>
      <c r="AD801" s="152"/>
      <c r="AE801" s="152"/>
    </row>
    <row r="802" spans="1:31" ht="15.75">
      <c r="A802" s="152"/>
      <c r="B802" s="152"/>
      <c r="C802" s="281"/>
      <c r="D802" s="152"/>
      <c r="E802" s="152"/>
      <c r="F802" s="152"/>
      <c r="G802" s="152"/>
      <c r="H802" s="152"/>
      <c r="I802" s="152"/>
      <c r="J802" s="152"/>
      <c r="K802" s="152"/>
      <c r="L802" s="152"/>
      <c r="M802" s="152"/>
      <c r="N802" s="152"/>
      <c r="O802" s="152"/>
      <c r="P802" s="152"/>
      <c r="Q802" s="152"/>
      <c r="R802" s="152"/>
      <c r="S802" s="152"/>
      <c r="T802" s="152"/>
      <c r="U802" s="152"/>
      <c r="V802" s="152"/>
      <c r="W802" s="152"/>
      <c r="X802" s="152"/>
      <c r="Y802" s="152"/>
      <c r="Z802" s="152"/>
      <c r="AA802" s="152"/>
      <c r="AB802" s="152"/>
      <c r="AC802" s="152"/>
      <c r="AD802" s="152"/>
      <c r="AE802" s="152"/>
    </row>
    <row r="803" spans="1:31" ht="15.75">
      <c r="A803" s="152"/>
      <c r="B803" s="152"/>
      <c r="C803" s="281"/>
      <c r="D803" s="152"/>
      <c r="E803" s="152"/>
      <c r="F803" s="152"/>
      <c r="G803" s="152"/>
      <c r="H803" s="152"/>
      <c r="I803" s="152"/>
      <c r="J803" s="152"/>
      <c r="K803" s="152"/>
      <c r="L803" s="152"/>
      <c r="M803" s="152"/>
      <c r="N803" s="152"/>
      <c r="O803" s="152"/>
      <c r="P803" s="152"/>
      <c r="Q803" s="152"/>
      <c r="R803" s="152"/>
      <c r="S803" s="152"/>
      <c r="T803" s="152"/>
      <c r="U803" s="152"/>
      <c r="V803" s="152"/>
      <c r="W803" s="152"/>
      <c r="X803" s="152"/>
      <c r="Y803" s="152"/>
      <c r="Z803" s="152"/>
      <c r="AA803" s="152"/>
      <c r="AB803" s="152"/>
      <c r="AC803" s="152"/>
      <c r="AD803" s="152"/>
      <c r="AE803" s="152"/>
    </row>
    <row r="804" spans="1:31" ht="15.75">
      <c r="A804" s="152"/>
      <c r="B804" s="152"/>
      <c r="C804" s="281"/>
      <c r="D804" s="152"/>
      <c r="E804" s="152"/>
      <c r="F804" s="152"/>
      <c r="G804" s="152"/>
      <c r="H804" s="152"/>
      <c r="I804" s="152"/>
      <c r="J804" s="152"/>
      <c r="K804" s="152"/>
      <c r="L804" s="152"/>
      <c r="M804" s="152"/>
      <c r="N804" s="152"/>
      <c r="O804" s="152"/>
      <c r="P804" s="152"/>
      <c r="Q804" s="152"/>
      <c r="R804" s="152"/>
      <c r="S804" s="152"/>
      <c r="T804" s="152"/>
      <c r="U804" s="152"/>
      <c r="V804" s="152"/>
      <c r="W804" s="152"/>
      <c r="X804" s="152"/>
      <c r="Y804" s="152"/>
      <c r="Z804" s="152"/>
      <c r="AA804" s="152"/>
      <c r="AB804" s="152"/>
      <c r="AC804" s="152"/>
      <c r="AD804" s="152"/>
      <c r="AE804" s="152"/>
    </row>
    <row r="805" spans="1:31" ht="15.75">
      <c r="A805" s="152"/>
      <c r="B805" s="152"/>
      <c r="C805" s="281"/>
      <c r="D805" s="152"/>
      <c r="E805" s="152"/>
      <c r="F805" s="152"/>
      <c r="G805" s="152"/>
      <c r="H805" s="152"/>
      <c r="I805" s="152"/>
      <c r="J805" s="152"/>
      <c r="K805" s="152"/>
      <c r="L805" s="152"/>
      <c r="M805" s="152"/>
      <c r="N805" s="152"/>
      <c r="O805" s="152"/>
      <c r="P805" s="152"/>
      <c r="Q805" s="152"/>
      <c r="R805" s="152"/>
      <c r="S805" s="152"/>
      <c r="T805" s="152"/>
      <c r="U805" s="152"/>
      <c r="V805" s="152"/>
      <c r="W805" s="152"/>
      <c r="X805" s="152"/>
      <c r="Y805" s="152"/>
      <c r="Z805" s="152"/>
      <c r="AA805" s="152"/>
      <c r="AB805" s="152"/>
      <c r="AC805" s="152"/>
      <c r="AD805" s="152"/>
      <c r="AE805" s="152"/>
    </row>
    <row r="806" spans="1:31" ht="15.75">
      <c r="A806" s="152"/>
      <c r="B806" s="152"/>
      <c r="C806" s="281"/>
      <c r="D806" s="152"/>
      <c r="E806" s="152"/>
      <c r="F806" s="152"/>
      <c r="G806" s="152"/>
      <c r="H806" s="152"/>
      <c r="I806" s="152"/>
      <c r="J806" s="152"/>
      <c r="K806" s="152"/>
      <c r="L806" s="152"/>
      <c r="M806" s="152"/>
      <c r="N806" s="152"/>
      <c r="O806" s="152"/>
      <c r="P806" s="152"/>
      <c r="Q806" s="152"/>
      <c r="R806" s="152"/>
      <c r="S806" s="152"/>
      <c r="T806" s="152"/>
      <c r="U806" s="152"/>
      <c r="V806" s="152"/>
      <c r="W806" s="152"/>
      <c r="X806" s="152"/>
      <c r="Y806" s="152"/>
      <c r="Z806" s="152"/>
      <c r="AA806" s="152"/>
      <c r="AB806" s="152"/>
      <c r="AC806" s="152"/>
      <c r="AD806" s="152"/>
      <c r="AE806" s="152"/>
    </row>
    <row r="807" spans="1:31" ht="15.75">
      <c r="A807" s="152"/>
      <c r="B807" s="152"/>
      <c r="C807" s="281"/>
      <c r="D807" s="152"/>
      <c r="E807" s="152"/>
      <c r="F807" s="152"/>
      <c r="G807" s="152"/>
      <c r="H807" s="152"/>
      <c r="I807" s="152"/>
      <c r="J807" s="152"/>
      <c r="K807" s="152"/>
      <c r="L807" s="152"/>
      <c r="M807" s="152"/>
      <c r="N807" s="152"/>
      <c r="O807" s="152"/>
      <c r="P807" s="152"/>
      <c r="Q807" s="152"/>
      <c r="R807" s="152"/>
      <c r="S807" s="152"/>
      <c r="T807" s="152"/>
      <c r="U807" s="152"/>
      <c r="V807" s="152"/>
      <c r="W807" s="152"/>
      <c r="X807" s="152"/>
      <c r="Y807" s="152"/>
      <c r="Z807" s="152"/>
      <c r="AA807" s="152"/>
      <c r="AB807" s="152"/>
      <c r="AC807" s="152"/>
      <c r="AD807" s="152"/>
      <c r="AE807" s="152"/>
    </row>
    <row r="808" spans="1:31" ht="15.75">
      <c r="A808" s="152"/>
      <c r="B808" s="152"/>
      <c r="C808" s="281"/>
      <c r="D808" s="152"/>
      <c r="E808" s="152"/>
      <c r="F808" s="152"/>
      <c r="G808" s="152"/>
      <c r="H808" s="152"/>
      <c r="I808" s="152"/>
      <c r="J808" s="152"/>
      <c r="K808" s="152"/>
      <c r="L808" s="152"/>
      <c r="M808" s="152"/>
      <c r="N808" s="152"/>
      <c r="O808" s="152"/>
      <c r="P808" s="152"/>
      <c r="Q808" s="152"/>
      <c r="R808" s="152"/>
      <c r="S808" s="152"/>
      <c r="T808" s="152"/>
      <c r="U808" s="152"/>
      <c r="V808" s="152"/>
      <c r="W808" s="152"/>
      <c r="X808" s="152"/>
      <c r="Y808" s="152"/>
      <c r="Z808" s="152"/>
      <c r="AA808" s="152"/>
      <c r="AB808" s="152"/>
      <c r="AC808" s="152"/>
      <c r="AD808" s="152"/>
      <c r="AE808" s="152"/>
    </row>
    <row r="809" spans="1:31" ht="15.75">
      <c r="A809" s="152"/>
      <c r="B809" s="152"/>
      <c r="C809" s="281"/>
      <c r="D809" s="152"/>
      <c r="E809" s="152"/>
      <c r="F809" s="152"/>
      <c r="G809" s="152"/>
      <c r="H809" s="152"/>
      <c r="I809" s="152"/>
      <c r="J809" s="152"/>
      <c r="K809" s="152"/>
      <c r="L809" s="152"/>
      <c r="M809" s="152"/>
      <c r="N809" s="152"/>
      <c r="O809" s="152"/>
      <c r="P809" s="152"/>
      <c r="Q809" s="152"/>
      <c r="R809" s="152"/>
      <c r="S809" s="152"/>
      <c r="T809" s="152"/>
      <c r="U809" s="152"/>
      <c r="V809" s="152"/>
      <c r="W809" s="152"/>
      <c r="X809" s="152"/>
      <c r="Y809" s="152"/>
      <c r="Z809" s="152"/>
      <c r="AA809" s="152"/>
      <c r="AB809" s="152"/>
      <c r="AC809" s="152"/>
      <c r="AD809" s="152"/>
      <c r="AE809" s="152"/>
    </row>
    <row r="810" spans="1:31" ht="15.75">
      <c r="A810" s="152"/>
      <c r="B810" s="152"/>
      <c r="C810" s="281"/>
      <c r="D810" s="152"/>
      <c r="E810" s="152"/>
      <c r="F810" s="152"/>
      <c r="G810" s="152"/>
      <c r="H810" s="152"/>
      <c r="I810" s="152"/>
      <c r="J810" s="152"/>
      <c r="K810" s="152"/>
      <c r="L810" s="152"/>
      <c r="M810" s="152"/>
      <c r="N810" s="152"/>
      <c r="O810" s="152"/>
      <c r="P810" s="152"/>
      <c r="Q810" s="152"/>
      <c r="R810" s="152"/>
      <c r="S810" s="152"/>
      <c r="T810" s="152"/>
      <c r="U810" s="152"/>
      <c r="V810" s="152"/>
      <c r="W810" s="152"/>
      <c r="X810" s="152"/>
      <c r="Y810" s="152"/>
      <c r="Z810" s="152"/>
      <c r="AA810" s="152"/>
      <c r="AB810" s="152"/>
      <c r="AC810" s="152"/>
      <c r="AD810" s="152"/>
      <c r="AE810" s="152"/>
    </row>
    <row r="811" spans="1:31" ht="15.75">
      <c r="A811" s="152"/>
      <c r="B811" s="152"/>
      <c r="C811" s="281"/>
      <c r="D811" s="152"/>
      <c r="E811" s="152"/>
      <c r="F811" s="152"/>
      <c r="G811" s="152"/>
      <c r="H811" s="152"/>
      <c r="I811" s="152"/>
      <c r="J811" s="152"/>
      <c r="K811" s="152"/>
      <c r="L811" s="152"/>
      <c r="M811" s="152"/>
      <c r="N811" s="152"/>
      <c r="O811" s="152"/>
      <c r="P811" s="152"/>
      <c r="Q811" s="152"/>
      <c r="R811" s="152"/>
      <c r="S811" s="152"/>
      <c r="T811" s="152"/>
      <c r="U811" s="152"/>
      <c r="V811" s="152"/>
      <c r="W811" s="152"/>
      <c r="X811" s="152"/>
      <c r="Y811" s="152"/>
      <c r="Z811" s="152"/>
      <c r="AA811" s="152"/>
      <c r="AB811" s="152"/>
      <c r="AC811" s="152"/>
      <c r="AD811" s="152"/>
      <c r="AE811" s="152"/>
    </row>
    <row r="812" spans="1:31" ht="15.75">
      <c r="A812" s="152"/>
      <c r="B812" s="152"/>
      <c r="C812" s="281"/>
      <c r="D812" s="152"/>
      <c r="E812" s="152"/>
      <c r="F812" s="152"/>
      <c r="G812" s="152"/>
      <c r="H812" s="152"/>
      <c r="I812" s="152"/>
      <c r="J812" s="152"/>
      <c r="K812" s="152"/>
      <c r="L812" s="152"/>
      <c r="M812" s="152"/>
      <c r="N812" s="152"/>
      <c r="O812" s="152"/>
      <c r="P812" s="152"/>
      <c r="Q812" s="152"/>
      <c r="R812" s="152"/>
      <c r="S812" s="152"/>
      <c r="T812" s="152"/>
      <c r="U812" s="152"/>
      <c r="V812" s="152"/>
      <c r="W812" s="152"/>
      <c r="X812" s="152"/>
      <c r="Y812" s="152"/>
      <c r="Z812" s="152"/>
      <c r="AA812" s="152"/>
      <c r="AB812" s="152"/>
      <c r="AC812" s="152"/>
      <c r="AD812" s="152"/>
      <c r="AE812" s="152"/>
    </row>
    <row r="813" spans="1:31" ht="15.75">
      <c r="A813" s="152"/>
      <c r="B813" s="152"/>
      <c r="C813" s="281"/>
      <c r="D813" s="152"/>
      <c r="E813" s="152"/>
      <c r="F813" s="152"/>
      <c r="G813" s="152"/>
      <c r="H813" s="152"/>
      <c r="I813" s="152"/>
      <c r="J813" s="152"/>
      <c r="K813" s="152"/>
      <c r="L813" s="152"/>
      <c r="M813" s="152"/>
      <c r="N813" s="152"/>
      <c r="O813" s="152"/>
      <c r="P813" s="152"/>
      <c r="Q813" s="152"/>
      <c r="R813" s="152"/>
      <c r="S813" s="152"/>
      <c r="T813" s="152"/>
      <c r="U813" s="152"/>
      <c r="V813" s="152"/>
      <c r="W813" s="152"/>
      <c r="X813" s="152"/>
      <c r="Y813" s="152"/>
      <c r="Z813" s="152"/>
      <c r="AA813" s="152"/>
      <c r="AB813" s="152"/>
      <c r="AC813" s="152"/>
      <c r="AD813" s="152"/>
      <c r="AE813" s="152"/>
    </row>
    <row r="814" spans="1:31" ht="15.75">
      <c r="A814" s="152"/>
      <c r="B814" s="152"/>
      <c r="C814" s="281"/>
      <c r="D814" s="152"/>
      <c r="E814" s="152"/>
      <c r="F814" s="152"/>
      <c r="G814" s="152"/>
      <c r="H814" s="152"/>
      <c r="I814" s="152"/>
      <c r="J814" s="152"/>
      <c r="K814" s="152"/>
      <c r="L814" s="152"/>
      <c r="M814" s="152"/>
      <c r="N814" s="152"/>
      <c r="O814" s="152"/>
      <c r="P814" s="152"/>
      <c r="Q814" s="152"/>
      <c r="R814" s="152"/>
      <c r="S814" s="152"/>
      <c r="T814" s="152"/>
      <c r="U814" s="152"/>
      <c r="V814" s="152"/>
      <c r="W814" s="152"/>
      <c r="X814" s="152"/>
      <c r="Y814" s="152"/>
      <c r="Z814" s="152"/>
      <c r="AA814" s="152"/>
      <c r="AB814" s="152"/>
      <c r="AC814" s="152"/>
      <c r="AD814" s="152"/>
      <c r="AE814" s="152"/>
    </row>
    <row r="815" spans="1:31" ht="15.75">
      <c r="A815" s="152"/>
      <c r="B815" s="152"/>
      <c r="C815" s="281"/>
      <c r="D815" s="152"/>
      <c r="E815" s="152"/>
      <c r="F815" s="152"/>
      <c r="G815" s="152"/>
      <c r="H815" s="152"/>
      <c r="I815" s="152"/>
      <c r="J815" s="152"/>
      <c r="K815" s="152"/>
      <c r="L815" s="152"/>
      <c r="M815" s="152"/>
      <c r="N815" s="152"/>
      <c r="O815" s="152"/>
      <c r="P815" s="152"/>
      <c r="Q815" s="152"/>
      <c r="R815" s="152"/>
      <c r="S815" s="152"/>
      <c r="T815" s="152"/>
      <c r="U815" s="152"/>
      <c r="V815" s="152"/>
      <c r="W815" s="152"/>
      <c r="X815" s="152"/>
      <c r="Y815" s="152"/>
      <c r="Z815" s="152"/>
      <c r="AA815" s="152"/>
      <c r="AB815" s="152"/>
      <c r="AC815" s="152"/>
      <c r="AD815" s="152"/>
      <c r="AE815" s="152"/>
    </row>
    <row r="816" spans="1:31" ht="15.75">
      <c r="A816" s="152"/>
      <c r="B816" s="152"/>
      <c r="C816" s="281"/>
      <c r="D816" s="152"/>
      <c r="E816" s="152"/>
      <c r="F816" s="152"/>
      <c r="G816" s="152"/>
      <c r="H816" s="152"/>
      <c r="I816" s="152"/>
      <c r="J816" s="152"/>
      <c r="K816" s="152"/>
      <c r="L816" s="152"/>
      <c r="M816" s="152"/>
      <c r="N816" s="152"/>
      <c r="O816" s="152"/>
      <c r="P816" s="152"/>
      <c r="Q816" s="152"/>
      <c r="R816" s="152"/>
      <c r="S816" s="152"/>
      <c r="T816" s="152"/>
      <c r="U816" s="152"/>
      <c r="V816" s="152"/>
      <c r="W816" s="152"/>
      <c r="X816" s="152"/>
      <c r="Y816" s="152"/>
      <c r="Z816" s="152"/>
      <c r="AA816" s="152"/>
      <c r="AB816" s="152"/>
      <c r="AC816" s="152"/>
      <c r="AD816" s="152"/>
      <c r="AE816" s="152"/>
    </row>
    <row r="817" spans="1:31" ht="15.75">
      <c r="A817" s="152"/>
      <c r="B817" s="152"/>
      <c r="C817" s="281"/>
      <c r="D817" s="152"/>
      <c r="E817" s="152"/>
      <c r="F817" s="152"/>
      <c r="G817" s="152"/>
      <c r="H817" s="152"/>
      <c r="I817" s="152"/>
      <c r="J817" s="152"/>
      <c r="K817" s="152"/>
      <c r="L817" s="152"/>
      <c r="M817" s="152"/>
      <c r="N817" s="152"/>
      <c r="O817" s="152"/>
      <c r="P817" s="152"/>
      <c r="Q817" s="152"/>
      <c r="R817" s="152"/>
      <c r="S817" s="152"/>
      <c r="T817" s="152"/>
      <c r="U817" s="152"/>
      <c r="V817" s="152"/>
      <c r="W817" s="152"/>
      <c r="X817" s="152"/>
      <c r="Y817" s="152"/>
      <c r="Z817" s="152"/>
      <c r="AA817" s="152"/>
      <c r="AB817" s="152"/>
      <c r="AC817" s="152"/>
      <c r="AD817" s="152"/>
      <c r="AE817" s="152"/>
    </row>
    <row r="818" spans="1:31" ht="15.75">
      <c r="A818" s="152"/>
      <c r="B818" s="152"/>
      <c r="C818" s="281"/>
      <c r="D818" s="152"/>
      <c r="E818" s="152"/>
      <c r="F818" s="152"/>
      <c r="G818" s="152"/>
      <c r="H818" s="152"/>
      <c r="I818" s="152"/>
      <c r="J818" s="152"/>
      <c r="K818" s="152"/>
      <c r="L818" s="152"/>
      <c r="M818" s="152"/>
      <c r="N818" s="152"/>
      <c r="O818" s="152"/>
      <c r="P818" s="152"/>
      <c r="Q818" s="152"/>
      <c r="R818" s="152"/>
      <c r="S818" s="152"/>
      <c r="T818" s="152"/>
      <c r="U818" s="152"/>
      <c r="V818" s="152"/>
      <c r="W818" s="152"/>
      <c r="X818" s="152"/>
      <c r="Y818" s="152"/>
      <c r="Z818" s="152"/>
      <c r="AA818" s="152"/>
      <c r="AB818" s="152"/>
      <c r="AC818" s="152"/>
      <c r="AD818" s="152"/>
      <c r="AE818" s="152"/>
    </row>
    <row r="819" spans="1:31" ht="15.75">
      <c r="A819" s="152"/>
      <c r="B819" s="152"/>
      <c r="C819" s="281"/>
      <c r="D819" s="152"/>
      <c r="E819" s="152"/>
      <c r="F819" s="152"/>
      <c r="G819" s="152"/>
      <c r="H819" s="152"/>
      <c r="I819" s="152"/>
      <c r="J819" s="152"/>
      <c r="K819" s="152"/>
      <c r="L819" s="152"/>
      <c r="M819" s="152"/>
      <c r="N819" s="152"/>
      <c r="O819" s="152"/>
      <c r="P819" s="152"/>
      <c r="Q819" s="152"/>
      <c r="R819" s="152"/>
      <c r="S819" s="152"/>
      <c r="T819" s="152"/>
      <c r="U819" s="152"/>
      <c r="V819" s="152"/>
      <c r="W819" s="152"/>
      <c r="X819" s="152"/>
      <c r="Y819" s="152"/>
      <c r="Z819" s="152"/>
      <c r="AA819" s="152"/>
      <c r="AB819" s="152"/>
      <c r="AC819" s="152"/>
      <c r="AD819" s="152"/>
      <c r="AE819" s="152"/>
    </row>
    <row r="820" spans="1:31" ht="15.75">
      <c r="A820" s="152"/>
      <c r="B820" s="152"/>
      <c r="C820" s="281"/>
      <c r="D820" s="152"/>
      <c r="E820" s="152"/>
      <c r="F820" s="152"/>
      <c r="G820" s="152"/>
      <c r="H820" s="152"/>
      <c r="I820" s="152"/>
      <c r="J820" s="152"/>
      <c r="K820" s="152"/>
      <c r="L820" s="152"/>
      <c r="M820" s="152"/>
      <c r="N820" s="152"/>
      <c r="O820" s="152"/>
      <c r="P820" s="152"/>
      <c r="Q820" s="152"/>
      <c r="R820" s="152"/>
      <c r="S820" s="152"/>
      <c r="T820" s="152"/>
      <c r="U820" s="152"/>
      <c r="V820" s="152"/>
      <c r="W820" s="152"/>
      <c r="X820" s="152"/>
      <c r="Y820" s="152"/>
      <c r="Z820" s="152"/>
      <c r="AA820" s="152"/>
      <c r="AB820" s="152"/>
      <c r="AC820" s="152"/>
      <c r="AD820" s="152"/>
      <c r="AE820" s="152"/>
    </row>
    <row r="821" spans="1:31" ht="15.75">
      <c r="A821" s="152"/>
      <c r="B821" s="152"/>
      <c r="C821" s="281"/>
      <c r="D821" s="152"/>
      <c r="E821" s="152"/>
      <c r="F821" s="152"/>
      <c r="G821" s="152"/>
      <c r="H821" s="152"/>
      <c r="I821" s="152"/>
      <c r="J821" s="152"/>
      <c r="K821" s="152"/>
      <c r="L821" s="152"/>
      <c r="M821" s="152"/>
      <c r="N821" s="152"/>
      <c r="O821" s="152"/>
      <c r="P821" s="152"/>
      <c r="Q821" s="152"/>
      <c r="R821" s="152"/>
      <c r="S821" s="152"/>
      <c r="T821" s="152"/>
      <c r="U821" s="152"/>
      <c r="V821" s="152"/>
      <c r="W821" s="152"/>
      <c r="X821" s="152"/>
      <c r="Y821" s="152"/>
      <c r="Z821" s="152"/>
      <c r="AA821" s="152"/>
      <c r="AB821" s="152"/>
      <c r="AC821" s="152"/>
      <c r="AD821" s="152"/>
      <c r="AE821" s="152"/>
    </row>
    <row r="822" spans="1:31" ht="15.75">
      <c r="A822" s="152"/>
      <c r="B822" s="152"/>
      <c r="C822" s="281"/>
      <c r="D822" s="152"/>
      <c r="E822" s="152"/>
      <c r="F822" s="152"/>
      <c r="G822" s="152"/>
      <c r="H822" s="152"/>
      <c r="I822" s="152"/>
      <c r="J822" s="152"/>
      <c r="K822" s="152"/>
      <c r="L822" s="152"/>
      <c r="M822" s="152"/>
      <c r="N822" s="152"/>
      <c r="O822" s="152"/>
      <c r="P822" s="152"/>
      <c r="Q822" s="152"/>
      <c r="R822" s="152"/>
      <c r="S822" s="152"/>
      <c r="T822" s="152"/>
      <c r="U822" s="152"/>
      <c r="V822" s="152"/>
      <c r="W822" s="152"/>
      <c r="X822" s="152"/>
      <c r="Y822" s="152"/>
      <c r="Z822" s="152"/>
      <c r="AA822" s="152"/>
      <c r="AB822" s="152"/>
      <c r="AC822" s="152"/>
      <c r="AD822" s="152"/>
      <c r="AE822" s="152"/>
    </row>
    <row r="823" spans="1:31" ht="15.75">
      <c r="A823" s="152"/>
      <c r="B823" s="152"/>
      <c r="C823" s="281"/>
      <c r="D823" s="152"/>
      <c r="E823" s="152"/>
      <c r="F823" s="152"/>
      <c r="G823" s="152"/>
      <c r="H823" s="152"/>
      <c r="I823" s="152"/>
      <c r="J823" s="152"/>
      <c r="K823" s="152"/>
      <c r="L823" s="152"/>
      <c r="M823" s="152"/>
      <c r="N823" s="152"/>
      <c r="O823" s="152"/>
      <c r="P823" s="152"/>
      <c r="Q823" s="152"/>
      <c r="R823" s="152"/>
      <c r="S823" s="152"/>
      <c r="T823" s="152"/>
      <c r="U823" s="152"/>
      <c r="V823" s="152"/>
      <c r="W823" s="152"/>
      <c r="X823" s="152"/>
      <c r="Y823" s="152"/>
      <c r="Z823" s="152"/>
      <c r="AA823" s="152"/>
      <c r="AB823" s="152"/>
      <c r="AC823" s="152"/>
      <c r="AD823" s="152"/>
      <c r="AE823" s="152"/>
    </row>
    <row r="824" spans="1:31" ht="15.75">
      <c r="A824" s="152"/>
      <c r="B824" s="152"/>
      <c r="C824" s="281"/>
      <c r="D824" s="152"/>
      <c r="E824" s="152"/>
      <c r="F824" s="152"/>
      <c r="G824" s="152"/>
      <c r="H824" s="152"/>
      <c r="I824" s="152"/>
      <c r="J824" s="152"/>
      <c r="K824" s="152"/>
      <c r="L824" s="152"/>
      <c r="M824" s="152"/>
      <c r="N824" s="152"/>
      <c r="O824" s="152"/>
      <c r="P824" s="152"/>
      <c r="Q824" s="152"/>
      <c r="R824" s="152"/>
      <c r="S824" s="152"/>
      <c r="T824" s="152"/>
      <c r="U824" s="152"/>
      <c r="V824" s="152"/>
      <c r="W824" s="152"/>
      <c r="X824" s="152"/>
      <c r="Y824" s="152"/>
      <c r="Z824" s="152"/>
      <c r="AA824" s="152"/>
      <c r="AB824" s="152"/>
      <c r="AC824" s="152"/>
      <c r="AD824" s="152"/>
      <c r="AE824" s="152"/>
    </row>
    <row r="825" spans="1:31" ht="15.75">
      <c r="A825" s="152"/>
      <c r="B825" s="152"/>
      <c r="C825" s="281"/>
      <c r="D825" s="152"/>
      <c r="E825" s="152"/>
      <c r="F825" s="152"/>
      <c r="G825" s="152"/>
      <c r="H825" s="152"/>
      <c r="I825" s="152"/>
      <c r="J825" s="152"/>
      <c r="K825" s="152"/>
      <c r="L825" s="152"/>
      <c r="M825" s="152"/>
      <c r="N825" s="152"/>
      <c r="O825" s="152"/>
      <c r="P825" s="152"/>
      <c r="Q825" s="152"/>
      <c r="R825" s="152"/>
      <c r="S825" s="152"/>
      <c r="T825" s="152"/>
      <c r="U825" s="152"/>
      <c r="V825" s="152"/>
      <c r="W825" s="152"/>
      <c r="X825" s="152"/>
      <c r="Y825" s="152"/>
      <c r="Z825" s="152"/>
      <c r="AA825" s="152"/>
      <c r="AB825" s="152"/>
      <c r="AC825" s="152"/>
      <c r="AD825" s="152"/>
      <c r="AE825" s="152"/>
    </row>
    <row r="826" spans="1:31" ht="15.75">
      <c r="A826" s="152"/>
      <c r="B826" s="152"/>
      <c r="C826" s="281"/>
      <c r="D826" s="152"/>
      <c r="E826" s="152"/>
      <c r="F826" s="152"/>
      <c r="G826" s="152"/>
      <c r="H826" s="152"/>
      <c r="I826" s="152"/>
      <c r="J826" s="152"/>
      <c r="K826" s="152"/>
      <c r="L826" s="152"/>
      <c r="M826" s="152"/>
      <c r="N826" s="152"/>
      <c r="O826" s="152"/>
      <c r="P826" s="152"/>
      <c r="Q826" s="152"/>
      <c r="R826" s="152"/>
      <c r="S826" s="152"/>
      <c r="T826" s="152"/>
      <c r="U826" s="152"/>
      <c r="V826" s="152"/>
      <c r="W826" s="152"/>
      <c r="X826" s="152"/>
      <c r="Y826" s="152"/>
      <c r="Z826" s="152"/>
      <c r="AA826" s="152"/>
      <c r="AB826" s="152"/>
      <c r="AC826" s="152"/>
      <c r="AD826" s="152"/>
      <c r="AE826" s="152"/>
    </row>
    <row r="827" spans="1:31" ht="15.75">
      <c r="A827" s="152"/>
      <c r="B827" s="152"/>
      <c r="C827" s="281"/>
      <c r="D827" s="152"/>
      <c r="E827" s="152"/>
      <c r="F827" s="152"/>
      <c r="G827" s="152"/>
      <c r="H827" s="152"/>
      <c r="I827" s="152"/>
      <c r="J827" s="152"/>
      <c r="K827" s="152"/>
      <c r="L827" s="152"/>
      <c r="M827" s="152"/>
      <c r="N827" s="152"/>
      <c r="O827" s="152"/>
      <c r="P827" s="152"/>
      <c r="Q827" s="152"/>
      <c r="R827" s="152"/>
      <c r="S827" s="152"/>
      <c r="T827" s="152"/>
      <c r="U827" s="152"/>
      <c r="V827" s="152"/>
      <c r="W827" s="152"/>
      <c r="X827" s="152"/>
      <c r="Y827" s="152"/>
      <c r="Z827" s="152"/>
      <c r="AA827" s="152"/>
      <c r="AB827" s="152"/>
      <c r="AC827" s="152"/>
      <c r="AD827" s="152"/>
      <c r="AE827" s="152"/>
    </row>
    <row r="828" spans="1:31" ht="15.75">
      <c r="A828" s="152"/>
      <c r="B828" s="152"/>
      <c r="C828" s="281"/>
      <c r="D828" s="152"/>
      <c r="E828" s="152"/>
      <c r="F828" s="152"/>
      <c r="G828" s="152"/>
      <c r="H828" s="152"/>
      <c r="I828" s="152"/>
      <c r="J828" s="152"/>
      <c r="K828" s="152"/>
      <c r="L828" s="152"/>
      <c r="M828" s="152"/>
      <c r="N828" s="152"/>
      <c r="O828" s="152"/>
      <c r="P828" s="152"/>
      <c r="Q828" s="152"/>
      <c r="R828" s="152"/>
      <c r="S828" s="152"/>
      <c r="T828" s="152"/>
      <c r="U828" s="152"/>
      <c r="V828" s="152"/>
      <c r="W828" s="152"/>
      <c r="X828" s="152"/>
      <c r="Y828" s="152"/>
      <c r="Z828" s="152"/>
      <c r="AA828" s="152"/>
      <c r="AB828" s="152"/>
      <c r="AC828" s="152"/>
      <c r="AD828" s="152"/>
      <c r="AE828" s="152"/>
    </row>
    <row r="829" spans="1:31" ht="15.75">
      <c r="A829" s="152"/>
      <c r="B829" s="152"/>
      <c r="C829" s="281"/>
      <c r="D829" s="152"/>
      <c r="E829" s="152"/>
      <c r="F829" s="152"/>
      <c r="G829" s="152"/>
      <c r="H829" s="152"/>
      <c r="I829" s="152"/>
      <c r="J829" s="152"/>
      <c r="K829" s="152"/>
      <c r="L829" s="152"/>
      <c r="M829" s="152"/>
      <c r="N829" s="152"/>
      <c r="O829" s="152"/>
      <c r="P829" s="152"/>
      <c r="Q829" s="152"/>
      <c r="R829" s="152"/>
      <c r="S829" s="152"/>
      <c r="T829" s="152"/>
      <c r="U829" s="152"/>
      <c r="V829" s="152"/>
      <c r="W829" s="152"/>
      <c r="X829" s="152"/>
      <c r="Y829" s="152"/>
      <c r="Z829" s="152"/>
      <c r="AA829" s="152"/>
      <c r="AB829" s="152"/>
      <c r="AC829" s="152"/>
      <c r="AD829" s="152"/>
      <c r="AE829" s="152"/>
    </row>
    <row r="830" spans="1:31" ht="15.75">
      <c r="A830" s="152"/>
      <c r="B830" s="152"/>
      <c r="C830" s="281"/>
      <c r="D830" s="152"/>
      <c r="E830" s="152"/>
      <c r="F830" s="152"/>
      <c r="G830" s="152"/>
      <c r="H830" s="152"/>
      <c r="I830" s="152"/>
      <c r="J830" s="152"/>
      <c r="K830" s="152"/>
      <c r="L830" s="152"/>
      <c r="M830" s="152"/>
      <c r="N830" s="152"/>
      <c r="O830" s="152"/>
      <c r="P830" s="152"/>
      <c r="Q830" s="152"/>
      <c r="R830" s="152"/>
      <c r="S830" s="152"/>
      <c r="T830" s="152"/>
      <c r="U830" s="152"/>
      <c r="V830" s="152"/>
      <c r="W830" s="152"/>
      <c r="X830" s="152"/>
      <c r="Y830" s="152"/>
      <c r="Z830" s="152"/>
      <c r="AA830" s="152"/>
      <c r="AB830" s="152"/>
      <c r="AC830" s="152"/>
      <c r="AD830" s="152"/>
      <c r="AE830" s="152"/>
    </row>
    <row r="831" spans="1:31" ht="15.75">
      <c r="A831" s="152"/>
      <c r="B831" s="152"/>
      <c r="C831" s="281"/>
      <c r="D831" s="152"/>
      <c r="E831" s="152"/>
      <c r="F831" s="152"/>
      <c r="G831" s="152"/>
      <c r="H831" s="152"/>
      <c r="I831" s="152"/>
      <c r="J831" s="152"/>
      <c r="K831" s="152"/>
      <c r="L831" s="152"/>
      <c r="M831" s="152"/>
      <c r="N831" s="152"/>
      <c r="O831" s="152"/>
      <c r="P831" s="152"/>
      <c r="Q831" s="152"/>
      <c r="R831" s="152"/>
      <c r="S831" s="152"/>
      <c r="T831" s="152"/>
      <c r="U831" s="152"/>
      <c r="V831" s="152"/>
      <c r="W831" s="152"/>
      <c r="X831" s="152"/>
      <c r="Y831" s="152"/>
      <c r="Z831" s="152"/>
      <c r="AA831" s="152"/>
      <c r="AB831" s="152"/>
      <c r="AC831" s="152"/>
      <c r="AD831" s="152"/>
      <c r="AE831" s="152"/>
    </row>
    <row r="832" spans="1:31" ht="15.75">
      <c r="A832" s="152"/>
      <c r="B832" s="152"/>
      <c r="C832" s="281"/>
      <c r="D832" s="152"/>
      <c r="E832" s="152"/>
      <c r="F832" s="152"/>
      <c r="G832" s="152"/>
      <c r="H832" s="152"/>
      <c r="I832" s="152"/>
      <c r="J832" s="152"/>
      <c r="K832" s="152"/>
      <c r="L832" s="152"/>
      <c r="M832" s="152"/>
      <c r="N832" s="152"/>
      <c r="O832" s="152"/>
      <c r="P832" s="152"/>
      <c r="Q832" s="152"/>
      <c r="R832" s="152"/>
      <c r="S832" s="152"/>
      <c r="T832" s="152"/>
      <c r="U832" s="152"/>
      <c r="V832" s="152"/>
      <c r="W832" s="152"/>
      <c r="X832" s="152"/>
      <c r="Y832" s="152"/>
      <c r="Z832" s="152"/>
      <c r="AA832" s="152"/>
      <c r="AB832" s="152"/>
      <c r="AC832" s="152"/>
      <c r="AD832" s="152"/>
      <c r="AE832" s="152"/>
    </row>
    <row r="833" spans="1:31" ht="15.75">
      <c r="A833" s="152"/>
      <c r="B833" s="152"/>
      <c r="C833" s="281"/>
      <c r="D833" s="152"/>
      <c r="E833" s="152"/>
      <c r="F833" s="152"/>
      <c r="G833" s="152"/>
      <c r="H833" s="152"/>
      <c r="I833" s="152"/>
      <c r="J833" s="152"/>
      <c r="K833" s="152"/>
      <c r="L833" s="152"/>
      <c r="M833" s="152"/>
      <c r="N833" s="152"/>
      <c r="O833" s="152"/>
      <c r="P833" s="152"/>
      <c r="Q833" s="152"/>
      <c r="R833" s="152"/>
      <c r="S833" s="152"/>
      <c r="T833" s="152"/>
      <c r="U833" s="152"/>
      <c r="V833" s="152"/>
      <c r="W833" s="152"/>
      <c r="X833" s="152"/>
      <c r="Y833" s="152"/>
      <c r="Z833" s="152"/>
      <c r="AA833" s="152"/>
      <c r="AB833" s="152"/>
      <c r="AC833" s="152"/>
      <c r="AD833" s="152"/>
      <c r="AE833" s="152"/>
    </row>
    <row r="834" spans="1:31" ht="15.75">
      <c r="A834" s="152"/>
      <c r="B834" s="152"/>
      <c r="C834" s="281"/>
      <c r="D834" s="152"/>
      <c r="E834" s="152"/>
      <c r="F834" s="152"/>
      <c r="G834" s="152"/>
      <c r="H834" s="152"/>
      <c r="I834" s="152"/>
      <c r="J834" s="152"/>
      <c r="K834" s="152"/>
      <c r="L834" s="152"/>
      <c r="M834" s="152"/>
      <c r="N834" s="152"/>
      <c r="O834" s="152"/>
      <c r="P834" s="152"/>
      <c r="Q834" s="152"/>
      <c r="R834" s="152"/>
      <c r="S834" s="152"/>
      <c r="T834" s="152"/>
      <c r="U834" s="152"/>
      <c r="V834" s="152"/>
      <c r="W834" s="152"/>
      <c r="X834" s="152"/>
      <c r="Y834" s="152"/>
      <c r="Z834" s="152"/>
      <c r="AA834" s="152"/>
      <c r="AB834" s="152"/>
      <c r="AC834" s="152"/>
      <c r="AD834" s="152"/>
      <c r="AE834" s="152"/>
    </row>
    <row r="835" spans="1:31" ht="15.75">
      <c r="A835" s="152"/>
      <c r="B835" s="152"/>
      <c r="C835" s="281"/>
      <c r="D835" s="152"/>
      <c r="E835" s="152"/>
      <c r="F835" s="152"/>
      <c r="G835" s="152"/>
      <c r="H835" s="152"/>
      <c r="I835" s="152"/>
      <c r="J835" s="152"/>
      <c r="K835" s="152"/>
      <c r="L835" s="152"/>
      <c r="M835" s="152"/>
      <c r="N835" s="152"/>
      <c r="O835" s="152"/>
      <c r="P835" s="152"/>
      <c r="Q835" s="152"/>
      <c r="R835" s="152"/>
      <c r="S835" s="152"/>
      <c r="T835" s="152"/>
      <c r="U835" s="152"/>
      <c r="V835" s="152"/>
      <c r="W835" s="152"/>
      <c r="X835" s="152"/>
      <c r="Y835" s="152"/>
      <c r="Z835" s="152"/>
      <c r="AA835" s="152"/>
      <c r="AB835" s="152"/>
      <c r="AC835" s="152"/>
      <c r="AD835" s="152"/>
      <c r="AE835" s="152"/>
    </row>
    <row r="836" spans="1:31" ht="15.75">
      <c r="A836" s="152"/>
      <c r="B836" s="152"/>
      <c r="C836" s="281"/>
      <c r="D836" s="152"/>
      <c r="E836" s="152"/>
      <c r="F836" s="152"/>
      <c r="G836" s="152"/>
      <c r="H836" s="152"/>
      <c r="I836" s="152"/>
      <c r="J836" s="152"/>
      <c r="K836" s="152"/>
      <c r="L836" s="152"/>
      <c r="M836" s="152"/>
      <c r="N836" s="152"/>
      <c r="O836" s="152"/>
      <c r="P836" s="152"/>
      <c r="Q836" s="152"/>
      <c r="R836" s="152"/>
      <c r="S836" s="152"/>
      <c r="T836" s="152"/>
      <c r="U836" s="152"/>
      <c r="V836" s="152"/>
      <c r="W836" s="152"/>
      <c r="X836" s="152"/>
      <c r="Y836" s="152"/>
      <c r="Z836" s="152"/>
      <c r="AA836" s="152"/>
      <c r="AB836" s="152"/>
      <c r="AC836" s="152"/>
      <c r="AD836" s="152"/>
      <c r="AE836" s="152"/>
    </row>
    <row r="837" spans="1:31" ht="15.75">
      <c r="A837" s="152"/>
      <c r="B837" s="152"/>
      <c r="C837" s="281"/>
      <c r="D837" s="152"/>
      <c r="E837" s="152"/>
      <c r="F837" s="152"/>
      <c r="G837" s="152"/>
      <c r="H837" s="152"/>
      <c r="I837" s="152"/>
      <c r="J837" s="152"/>
      <c r="K837" s="152"/>
      <c r="L837" s="152"/>
      <c r="M837" s="152"/>
      <c r="N837" s="152"/>
      <c r="O837" s="152"/>
      <c r="P837" s="152"/>
      <c r="Q837" s="152"/>
      <c r="R837" s="152"/>
      <c r="S837" s="152"/>
      <c r="T837" s="152"/>
      <c r="U837" s="152"/>
      <c r="V837" s="152"/>
      <c r="W837" s="152"/>
      <c r="X837" s="152"/>
      <c r="Y837" s="152"/>
      <c r="Z837" s="152"/>
      <c r="AA837" s="152"/>
      <c r="AB837" s="152"/>
      <c r="AC837" s="152"/>
      <c r="AD837" s="152"/>
      <c r="AE837" s="152"/>
    </row>
    <row r="838" spans="1:31" ht="15.75">
      <c r="A838" s="152"/>
      <c r="B838" s="152"/>
      <c r="C838" s="281"/>
      <c r="D838" s="152"/>
      <c r="E838" s="152"/>
      <c r="F838" s="152"/>
      <c r="G838" s="152"/>
      <c r="H838" s="152"/>
      <c r="I838" s="152"/>
      <c r="J838" s="152"/>
      <c r="K838" s="152"/>
      <c r="L838" s="152"/>
      <c r="M838" s="152"/>
      <c r="N838" s="152"/>
      <c r="O838" s="152"/>
      <c r="P838" s="152"/>
      <c r="Q838" s="152"/>
      <c r="R838" s="152"/>
      <c r="S838" s="152"/>
      <c r="T838" s="152"/>
      <c r="U838" s="152"/>
      <c r="V838" s="152"/>
      <c r="W838" s="152"/>
      <c r="X838" s="152"/>
      <c r="Y838" s="152"/>
      <c r="Z838" s="152"/>
      <c r="AA838" s="152"/>
      <c r="AB838" s="152"/>
      <c r="AC838" s="152"/>
      <c r="AD838" s="152"/>
      <c r="AE838" s="152"/>
    </row>
    <row r="839" spans="1:31" ht="15.75">
      <c r="A839" s="152"/>
      <c r="B839" s="152"/>
      <c r="C839" s="281"/>
      <c r="D839" s="152"/>
      <c r="E839" s="152"/>
      <c r="F839" s="152"/>
      <c r="G839" s="152"/>
      <c r="H839" s="152"/>
      <c r="I839" s="152"/>
      <c r="J839" s="152"/>
      <c r="K839" s="152"/>
      <c r="L839" s="152"/>
      <c r="M839" s="152"/>
      <c r="N839" s="152"/>
      <c r="O839" s="152"/>
      <c r="P839" s="152"/>
      <c r="Q839" s="152"/>
      <c r="R839" s="152"/>
      <c r="S839" s="152"/>
      <c r="T839" s="152"/>
      <c r="U839" s="152"/>
      <c r="V839" s="152"/>
      <c r="W839" s="152"/>
      <c r="X839" s="152"/>
      <c r="Y839" s="152"/>
      <c r="Z839" s="152"/>
      <c r="AA839" s="152"/>
      <c r="AB839" s="152"/>
      <c r="AC839" s="152"/>
      <c r="AD839" s="152"/>
      <c r="AE839" s="152"/>
    </row>
    <row r="840" spans="1:31" ht="15.75">
      <c r="A840" s="152"/>
      <c r="B840" s="152"/>
      <c r="C840" s="281"/>
      <c r="D840" s="152"/>
      <c r="E840" s="152"/>
      <c r="F840" s="152"/>
      <c r="G840" s="152"/>
      <c r="H840" s="152"/>
      <c r="I840" s="152"/>
      <c r="J840" s="152"/>
      <c r="K840" s="152"/>
      <c r="L840" s="152"/>
      <c r="M840" s="152"/>
      <c r="N840" s="152"/>
      <c r="O840" s="152"/>
      <c r="P840" s="152"/>
      <c r="Q840" s="152"/>
      <c r="R840" s="152"/>
      <c r="S840" s="152"/>
      <c r="T840" s="152"/>
      <c r="U840" s="152"/>
      <c r="V840" s="152"/>
      <c r="W840" s="152"/>
      <c r="X840" s="152"/>
      <c r="Y840" s="152"/>
      <c r="Z840" s="152"/>
      <c r="AA840" s="152"/>
      <c r="AB840" s="152"/>
      <c r="AC840" s="152"/>
      <c r="AD840" s="152"/>
      <c r="AE840" s="152"/>
    </row>
    <row r="841" spans="1:31" ht="15.75">
      <c r="A841" s="152"/>
      <c r="B841" s="152"/>
      <c r="C841" s="281"/>
      <c r="D841" s="152"/>
      <c r="E841" s="152"/>
      <c r="F841" s="152"/>
      <c r="G841" s="152"/>
      <c r="H841" s="152"/>
      <c r="I841" s="152"/>
      <c r="J841" s="152"/>
      <c r="K841" s="152"/>
      <c r="L841" s="152"/>
      <c r="M841" s="152"/>
      <c r="N841" s="152"/>
      <c r="O841" s="152"/>
      <c r="P841" s="152"/>
      <c r="Q841" s="152"/>
      <c r="R841" s="152"/>
      <c r="S841" s="152"/>
      <c r="T841" s="152"/>
      <c r="U841" s="152"/>
      <c r="V841" s="152"/>
      <c r="W841" s="152"/>
      <c r="X841" s="152"/>
      <c r="Y841" s="152"/>
      <c r="Z841" s="152"/>
      <c r="AA841" s="152"/>
      <c r="AB841" s="152"/>
      <c r="AC841" s="152"/>
      <c r="AD841" s="152"/>
      <c r="AE841" s="152"/>
    </row>
    <row r="842" spans="1:31" ht="15.75">
      <c r="A842" s="152"/>
      <c r="B842" s="152"/>
      <c r="C842" s="281"/>
      <c r="D842" s="152"/>
      <c r="E842" s="152"/>
      <c r="F842" s="152"/>
      <c r="G842" s="152"/>
      <c r="H842" s="152"/>
      <c r="I842" s="152"/>
      <c r="J842" s="152"/>
      <c r="K842" s="152"/>
      <c r="L842" s="152"/>
      <c r="M842" s="152"/>
      <c r="N842" s="152"/>
      <c r="O842" s="152"/>
      <c r="P842" s="152"/>
      <c r="Q842" s="152"/>
      <c r="R842" s="152"/>
      <c r="S842" s="152"/>
      <c r="T842" s="152"/>
      <c r="U842" s="152"/>
      <c r="V842" s="152"/>
      <c r="W842" s="152"/>
      <c r="X842" s="152"/>
      <c r="Y842" s="152"/>
      <c r="Z842" s="152"/>
      <c r="AA842" s="152"/>
      <c r="AB842" s="152"/>
      <c r="AC842" s="152"/>
      <c r="AD842" s="152"/>
      <c r="AE842" s="152"/>
    </row>
    <row r="843" spans="1:31" ht="15.75">
      <c r="A843" s="152"/>
      <c r="B843" s="152"/>
      <c r="C843" s="281"/>
      <c r="D843" s="152"/>
      <c r="E843" s="152"/>
      <c r="F843" s="152"/>
      <c r="G843" s="152"/>
      <c r="H843" s="152"/>
      <c r="I843" s="152"/>
      <c r="J843" s="152"/>
      <c r="K843" s="152"/>
      <c r="L843" s="152"/>
      <c r="M843" s="152"/>
      <c r="N843" s="152"/>
      <c r="O843" s="152"/>
      <c r="P843" s="152"/>
      <c r="Q843" s="152"/>
      <c r="R843" s="152"/>
      <c r="S843" s="152"/>
      <c r="T843" s="152"/>
      <c r="U843" s="152"/>
      <c r="V843" s="152"/>
      <c r="W843" s="152"/>
      <c r="X843" s="152"/>
      <c r="Y843" s="152"/>
      <c r="Z843" s="152"/>
      <c r="AA843" s="152"/>
      <c r="AB843" s="152"/>
      <c r="AC843" s="152"/>
      <c r="AD843" s="152"/>
      <c r="AE843" s="152"/>
    </row>
    <row r="844" spans="1:31" ht="15.75">
      <c r="A844" s="152"/>
      <c r="B844" s="152"/>
      <c r="C844" s="281"/>
      <c r="D844" s="152"/>
      <c r="E844" s="152"/>
      <c r="F844" s="152"/>
      <c r="G844" s="152"/>
      <c r="H844" s="152"/>
      <c r="I844" s="152"/>
      <c r="J844" s="152"/>
      <c r="K844" s="152"/>
      <c r="L844" s="152"/>
      <c r="M844" s="152"/>
      <c r="N844" s="152"/>
      <c r="O844" s="152"/>
      <c r="P844" s="152"/>
      <c r="Q844" s="152"/>
      <c r="R844" s="152"/>
      <c r="S844" s="152"/>
      <c r="T844" s="152"/>
      <c r="U844" s="152"/>
      <c r="V844" s="152"/>
      <c r="W844" s="152"/>
      <c r="X844" s="152"/>
      <c r="Y844" s="152"/>
      <c r="Z844" s="152"/>
      <c r="AA844" s="152"/>
      <c r="AB844" s="152"/>
      <c r="AC844" s="152"/>
      <c r="AD844" s="152"/>
      <c r="AE844" s="152"/>
    </row>
    <row r="845" spans="1:31" ht="15.75">
      <c r="A845" s="152"/>
      <c r="B845" s="152"/>
      <c r="C845" s="281"/>
      <c r="D845" s="152"/>
      <c r="E845" s="152"/>
      <c r="F845" s="152"/>
      <c r="G845" s="152"/>
      <c r="H845" s="152"/>
      <c r="I845" s="152"/>
      <c r="J845" s="152"/>
      <c r="K845" s="152"/>
      <c r="L845" s="152"/>
      <c r="M845" s="152"/>
      <c r="N845" s="152"/>
      <c r="O845" s="152"/>
      <c r="P845" s="152"/>
      <c r="Q845" s="152"/>
      <c r="R845" s="152"/>
      <c r="S845" s="152"/>
      <c r="T845" s="152"/>
      <c r="U845" s="152"/>
      <c r="V845" s="152"/>
      <c r="W845" s="152"/>
      <c r="X845" s="152"/>
      <c r="Y845" s="152"/>
      <c r="Z845" s="152"/>
      <c r="AA845" s="152"/>
      <c r="AB845" s="152"/>
      <c r="AC845" s="152"/>
      <c r="AD845" s="152"/>
      <c r="AE845" s="152"/>
    </row>
    <row r="846" spans="1:31" ht="15.75">
      <c r="A846" s="152"/>
      <c r="B846" s="152"/>
      <c r="C846" s="281"/>
      <c r="D846" s="152"/>
      <c r="E846" s="152"/>
      <c r="F846" s="152"/>
      <c r="G846" s="152"/>
      <c r="H846" s="152"/>
      <c r="I846" s="152"/>
      <c r="J846" s="152"/>
      <c r="K846" s="152"/>
      <c r="L846" s="152"/>
      <c r="M846" s="152"/>
      <c r="N846" s="152"/>
      <c r="O846" s="152"/>
      <c r="P846" s="152"/>
      <c r="Q846" s="152"/>
      <c r="R846" s="152"/>
      <c r="S846" s="152"/>
      <c r="T846" s="152"/>
      <c r="U846" s="152"/>
      <c r="V846" s="152"/>
      <c r="W846" s="152"/>
      <c r="X846" s="152"/>
      <c r="Y846" s="152"/>
      <c r="Z846" s="152"/>
      <c r="AA846" s="152"/>
      <c r="AB846" s="152"/>
      <c r="AC846" s="152"/>
      <c r="AD846" s="152"/>
      <c r="AE846" s="152"/>
    </row>
    <row r="847" spans="1:31" ht="15.75">
      <c r="A847" s="152"/>
      <c r="B847" s="152"/>
      <c r="C847" s="281"/>
      <c r="D847" s="152"/>
      <c r="E847" s="152"/>
      <c r="F847" s="152"/>
      <c r="G847" s="152"/>
      <c r="H847" s="152"/>
      <c r="I847" s="152"/>
      <c r="J847" s="152"/>
      <c r="K847" s="152"/>
      <c r="L847" s="152"/>
      <c r="M847" s="152"/>
      <c r="N847" s="152"/>
      <c r="O847" s="152"/>
      <c r="P847" s="152"/>
      <c r="Q847" s="152"/>
      <c r="R847" s="152"/>
      <c r="S847" s="152"/>
      <c r="T847" s="152"/>
      <c r="U847" s="152"/>
      <c r="V847" s="152"/>
      <c r="W847" s="152"/>
      <c r="X847" s="152"/>
      <c r="Y847" s="152"/>
      <c r="Z847" s="152"/>
      <c r="AA847" s="152"/>
      <c r="AB847" s="152"/>
      <c r="AC847" s="152"/>
      <c r="AD847" s="152"/>
      <c r="AE847" s="152"/>
    </row>
    <row r="848" spans="1:31" ht="15.75">
      <c r="A848" s="152"/>
      <c r="B848" s="152"/>
      <c r="C848" s="281"/>
      <c r="D848" s="152"/>
      <c r="E848" s="152"/>
      <c r="F848" s="152"/>
      <c r="G848" s="152"/>
      <c r="H848" s="152"/>
      <c r="I848" s="152"/>
      <c r="J848" s="152"/>
      <c r="K848" s="152"/>
      <c r="L848" s="152"/>
      <c r="M848" s="152"/>
      <c r="N848" s="152"/>
      <c r="O848" s="152"/>
      <c r="P848" s="152"/>
      <c r="Q848" s="152"/>
      <c r="R848" s="152"/>
      <c r="S848" s="152"/>
      <c r="T848" s="152"/>
      <c r="U848" s="152"/>
      <c r="V848" s="152"/>
      <c r="W848" s="152"/>
      <c r="X848" s="152"/>
      <c r="Y848" s="152"/>
      <c r="Z848" s="152"/>
      <c r="AA848" s="152"/>
      <c r="AB848" s="152"/>
      <c r="AC848" s="152"/>
      <c r="AD848" s="152"/>
      <c r="AE848" s="152"/>
    </row>
    <row r="849" spans="1:31" ht="15.75">
      <c r="A849" s="152"/>
      <c r="B849" s="152"/>
      <c r="C849" s="281"/>
      <c r="D849" s="152"/>
      <c r="E849" s="152"/>
      <c r="F849" s="152"/>
      <c r="G849" s="152"/>
      <c r="H849" s="152"/>
      <c r="I849" s="152"/>
      <c r="J849" s="152"/>
      <c r="K849" s="152"/>
      <c r="L849" s="152"/>
      <c r="M849" s="152"/>
      <c r="N849" s="152"/>
      <c r="O849" s="152"/>
      <c r="P849" s="152"/>
      <c r="Q849" s="152"/>
      <c r="R849" s="152"/>
      <c r="S849" s="152"/>
      <c r="T849" s="152"/>
      <c r="U849" s="152"/>
      <c r="V849" s="152"/>
      <c r="W849" s="152"/>
      <c r="X849" s="152"/>
      <c r="Y849" s="152"/>
      <c r="Z849" s="152"/>
      <c r="AA849" s="152"/>
      <c r="AB849" s="152"/>
      <c r="AC849" s="152"/>
      <c r="AD849" s="152"/>
      <c r="AE849" s="152"/>
    </row>
    <row r="850" spans="1:31" ht="15.75">
      <c r="A850" s="152"/>
      <c r="B850" s="152"/>
      <c r="C850" s="281"/>
      <c r="D850" s="152"/>
      <c r="E850" s="152"/>
      <c r="F850" s="152"/>
      <c r="G850" s="152"/>
      <c r="H850" s="152"/>
      <c r="I850" s="152"/>
      <c r="J850" s="152"/>
      <c r="K850" s="152"/>
      <c r="L850" s="152"/>
      <c r="M850" s="152"/>
      <c r="N850" s="152"/>
      <c r="O850" s="152"/>
      <c r="P850" s="152"/>
      <c r="Q850" s="152"/>
      <c r="R850" s="152"/>
      <c r="S850" s="152"/>
      <c r="T850" s="152"/>
      <c r="U850" s="152"/>
      <c r="V850" s="152"/>
      <c r="W850" s="152"/>
      <c r="X850" s="152"/>
      <c r="Y850" s="152"/>
      <c r="Z850" s="152"/>
      <c r="AA850" s="152"/>
      <c r="AB850" s="152"/>
      <c r="AC850" s="152"/>
      <c r="AD850" s="152"/>
      <c r="AE850" s="152"/>
    </row>
    <row r="851" spans="1:31" ht="15.75">
      <c r="A851" s="152"/>
      <c r="B851" s="152"/>
      <c r="C851" s="281"/>
      <c r="D851" s="152"/>
      <c r="E851" s="152"/>
      <c r="F851" s="152"/>
      <c r="G851" s="152"/>
      <c r="H851" s="152"/>
      <c r="I851" s="152"/>
      <c r="J851" s="152"/>
      <c r="K851" s="152"/>
      <c r="L851" s="152"/>
      <c r="M851" s="152"/>
      <c r="N851" s="152"/>
      <c r="O851" s="152"/>
      <c r="P851" s="152"/>
      <c r="Q851" s="152"/>
      <c r="R851" s="152"/>
      <c r="S851" s="152"/>
      <c r="T851" s="152"/>
      <c r="U851" s="152"/>
      <c r="V851" s="152"/>
      <c r="W851" s="152"/>
      <c r="X851" s="152"/>
      <c r="Y851" s="152"/>
      <c r="Z851" s="152"/>
      <c r="AA851" s="152"/>
      <c r="AB851" s="152"/>
      <c r="AC851" s="152"/>
      <c r="AD851" s="152"/>
      <c r="AE851" s="152"/>
    </row>
    <row r="852" spans="1:31" ht="15.75">
      <c r="A852" s="152"/>
      <c r="B852" s="152"/>
      <c r="C852" s="281"/>
      <c r="D852" s="152"/>
      <c r="E852" s="152"/>
      <c r="F852" s="152"/>
      <c r="G852" s="152"/>
      <c r="H852" s="152"/>
      <c r="I852" s="152"/>
      <c r="J852" s="152"/>
      <c r="K852" s="152"/>
      <c r="L852" s="152"/>
      <c r="M852" s="152"/>
      <c r="N852" s="152"/>
      <c r="O852" s="152"/>
      <c r="P852" s="152"/>
      <c r="Q852" s="152"/>
      <c r="R852" s="152"/>
      <c r="S852" s="152"/>
      <c r="T852" s="152"/>
      <c r="U852" s="152"/>
      <c r="V852" s="152"/>
      <c r="W852" s="152"/>
      <c r="X852" s="152"/>
      <c r="Y852" s="152"/>
      <c r="Z852" s="152"/>
      <c r="AA852" s="152"/>
      <c r="AB852" s="152"/>
      <c r="AC852" s="152"/>
      <c r="AD852" s="152"/>
      <c r="AE852" s="152"/>
    </row>
    <row r="853" spans="1:31" ht="15.75">
      <c r="A853" s="152"/>
      <c r="B853" s="152"/>
      <c r="C853" s="281"/>
      <c r="D853" s="152"/>
      <c r="E853" s="152"/>
      <c r="F853" s="152"/>
      <c r="G853" s="152"/>
      <c r="H853" s="152"/>
      <c r="I853" s="152"/>
      <c r="J853" s="152"/>
      <c r="K853" s="152"/>
      <c r="L853" s="152"/>
      <c r="M853" s="152"/>
      <c r="N853" s="152"/>
      <c r="O853" s="152"/>
      <c r="P853" s="152"/>
      <c r="Q853" s="152"/>
      <c r="R853" s="152"/>
      <c r="S853" s="152"/>
      <c r="T853" s="152"/>
      <c r="U853" s="152"/>
      <c r="V853" s="152"/>
      <c r="W853" s="152"/>
      <c r="X853" s="152"/>
      <c r="Y853" s="152"/>
      <c r="Z853" s="152"/>
      <c r="AA853" s="152"/>
      <c r="AB853" s="152"/>
      <c r="AC853" s="152"/>
      <c r="AD853" s="152"/>
      <c r="AE853" s="152"/>
    </row>
    <row r="854" spans="1:31" ht="15.75">
      <c r="A854" s="152"/>
      <c r="B854" s="152"/>
      <c r="C854" s="281"/>
      <c r="D854" s="152"/>
      <c r="E854" s="152"/>
      <c r="F854" s="152"/>
      <c r="G854" s="152"/>
      <c r="H854" s="152"/>
      <c r="I854" s="152"/>
      <c r="J854" s="152"/>
      <c r="K854" s="152"/>
      <c r="L854" s="152"/>
      <c r="M854" s="152"/>
      <c r="N854" s="152"/>
      <c r="O854" s="152"/>
      <c r="P854" s="152"/>
      <c r="Q854" s="152"/>
      <c r="R854" s="152"/>
      <c r="S854" s="152"/>
      <c r="T854" s="152"/>
      <c r="U854" s="152"/>
      <c r="V854" s="152"/>
      <c r="W854" s="152"/>
      <c r="X854" s="152"/>
      <c r="Y854" s="152"/>
      <c r="Z854" s="152"/>
      <c r="AA854" s="152"/>
      <c r="AB854" s="152"/>
      <c r="AC854" s="152"/>
      <c r="AD854" s="152"/>
      <c r="AE854" s="152"/>
    </row>
    <row r="855" spans="1:31" ht="15.75">
      <c r="A855" s="152"/>
      <c r="B855" s="152"/>
      <c r="C855" s="281"/>
      <c r="D855" s="152"/>
      <c r="E855" s="152"/>
      <c r="F855" s="152"/>
      <c r="G855" s="152"/>
      <c r="H855" s="152"/>
      <c r="I855" s="152"/>
      <c r="J855" s="152"/>
      <c r="K855" s="152"/>
      <c r="L855" s="152"/>
      <c r="M855" s="152"/>
      <c r="N855" s="152"/>
      <c r="O855" s="152"/>
      <c r="P855" s="152"/>
      <c r="Q855" s="152"/>
      <c r="R855" s="152"/>
      <c r="S855" s="152"/>
      <c r="T855" s="152"/>
      <c r="U855" s="152"/>
      <c r="V855" s="152"/>
      <c r="W855" s="152"/>
      <c r="X855" s="152"/>
      <c r="Y855" s="152"/>
      <c r="Z855" s="152"/>
      <c r="AA855" s="152"/>
      <c r="AB855" s="152"/>
      <c r="AC855" s="152"/>
      <c r="AD855" s="152"/>
      <c r="AE855" s="152"/>
    </row>
    <row r="856" spans="1:31" ht="15.75">
      <c r="A856" s="152"/>
      <c r="B856" s="152"/>
      <c r="C856" s="281"/>
      <c r="D856" s="152"/>
      <c r="E856" s="152"/>
      <c r="F856" s="152"/>
      <c r="G856" s="152"/>
      <c r="H856" s="152"/>
      <c r="I856" s="152"/>
      <c r="J856" s="152"/>
      <c r="K856" s="152"/>
      <c r="L856" s="152"/>
      <c r="M856" s="152"/>
      <c r="N856" s="152"/>
      <c r="O856" s="152"/>
      <c r="P856" s="152"/>
      <c r="Q856" s="152"/>
      <c r="R856" s="152"/>
      <c r="S856" s="152"/>
      <c r="T856" s="152"/>
      <c r="U856" s="152"/>
      <c r="V856" s="152"/>
      <c r="W856" s="152"/>
      <c r="X856" s="152"/>
      <c r="Y856" s="152"/>
      <c r="Z856" s="152"/>
      <c r="AA856" s="152"/>
      <c r="AB856" s="152"/>
      <c r="AC856" s="152"/>
      <c r="AD856" s="152"/>
      <c r="AE856" s="152"/>
    </row>
    <row r="857" spans="1:31" ht="15.75">
      <c r="A857" s="152"/>
      <c r="B857" s="152"/>
      <c r="C857" s="281"/>
      <c r="D857" s="152"/>
      <c r="E857" s="152"/>
      <c r="F857" s="152"/>
      <c r="G857" s="152"/>
      <c r="H857" s="152"/>
      <c r="I857" s="152"/>
      <c r="J857" s="152"/>
      <c r="K857" s="152"/>
      <c r="L857" s="152"/>
      <c r="M857" s="152"/>
      <c r="N857" s="152"/>
      <c r="O857" s="152"/>
      <c r="P857" s="152"/>
      <c r="Q857" s="152"/>
      <c r="R857" s="152"/>
      <c r="S857" s="152"/>
      <c r="T857" s="152"/>
      <c r="U857" s="152"/>
      <c r="V857" s="152"/>
      <c r="W857" s="152"/>
      <c r="X857" s="152"/>
      <c r="Y857" s="152"/>
      <c r="Z857" s="152"/>
      <c r="AA857" s="152"/>
      <c r="AB857" s="152"/>
      <c r="AC857" s="152"/>
      <c r="AD857" s="152"/>
      <c r="AE857" s="152"/>
    </row>
    <row r="858" spans="1:31" ht="15.75">
      <c r="A858" s="152"/>
      <c r="B858" s="152"/>
      <c r="C858" s="281"/>
      <c r="D858" s="152"/>
      <c r="E858" s="152"/>
      <c r="F858" s="152"/>
      <c r="G858" s="152"/>
      <c r="H858" s="152"/>
      <c r="I858" s="152"/>
      <c r="J858" s="152"/>
      <c r="K858" s="152"/>
      <c r="L858" s="152"/>
      <c r="M858" s="152"/>
      <c r="N858" s="152"/>
      <c r="O858" s="152"/>
      <c r="P858" s="152"/>
      <c r="Q858" s="152"/>
      <c r="R858" s="152"/>
      <c r="S858" s="152"/>
      <c r="T858" s="152"/>
      <c r="U858" s="152"/>
      <c r="V858" s="152"/>
      <c r="W858" s="152"/>
      <c r="X858" s="152"/>
      <c r="Y858" s="152"/>
      <c r="Z858" s="152"/>
      <c r="AA858" s="152"/>
      <c r="AB858" s="152"/>
      <c r="AC858" s="152"/>
      <c r="AD858" s="152"/>
      <c r="AE858" s="152"/>
    </row>
    <row r="859" spans="1:31" ht="15.75">
      <c r="A859" s="152"/>
      <c r="B859" s="152"/>
      <c r="C859" s="281"/>
      <c r="D859" s="152"/>
      <c r="E859" s="152"/>
      <c r="F859" s="152"/>
      <c r="G859" s="152"/>
      <c r="H859" s="152"/>
      <c r="I859" s="152"/>
      <c r="J859" s="152"/>
      <c r="K859" s="152"/>
      <c r="L859" s="152"/>
      <c r="M859" s="152"/>
      <c r="N859" s="152"/>
      <c r="O859" s="152"/>
      <c r="P859" s="152"/>
      <c r="Q859" s="152"/>
      <c r="R859" s="152"/>
      <c r="S859" s="152"/>
      <c r="T859" s="152"/>
      <c r="U859" s="152"/>
      <c r="V859" s="152"/>
      <c r="W859" s="152"/>
      <c r="X859" s="152"/>
      <c r="Y859" s="152"/>
      <c r="Z859" s="152"/>
      <c r="AA859" s="152"/>
      <c r="AB859" s="152"/>
      <c r="AC859" s="152"/>
      <c r="AD859" s="152"/>
      <c r="AE859" s="152"/>
    </row>
    <row r="860" spans="1:31" ht="15.75">
      <c r="A860" s="152"/>
      <c r="B860" s="152"/>
      <c r="C860" s="281"/>
      <c r="D860" s="152"/>
      <c r="E860" s="152"/>
      <c r="F860" s="152"/>
      <c r="G860" s="152"/>
      <c r="H860" s="152"/>
      <c r="I860" s="152"/>
      <c r="J860" s="152"/>
      <c r="K860" s="152"/>
      <c r="L860" s="152"/>
      <c r="M860" s="152"/>
      <c r="N860" s="152"/>
      <c r="O860" s="152"/>
      <c r="P860" s="152"/>
      <c r="Q860" s="152"/>
      <c r="R860" s="152"/>
      <c r="S860" s="152"/>
      <c r="T860" s="152"/>
      <c r="U860" s="152"/>
      <c r="V860" s="152"/>
      <c r="W860" s="152"/>
      <c r="X860" s="152"/>
      <c r="Y860" s="152"/>
      <c r="Z860" s="152"/>
      <c r="AA860" s="152"/>
      <c r="AB860" s="152"/>
      <c r="AC860" s="152"/>
      <c r="AD860" s="152"/>
      <c r="AE860" s="152"/>
    </row>
    <row r="861" spans="1:31" ht="15.75">
      <c r="A861" s="152"/>
      <c r="B861" s="152"/>
      <c r="C861" s="281"/>
      <c r="D861" s="152"/>
      <c r="E861" s="152"/>
      <c r="F861" s="152"/>
      <c r="G861" s="152"/>
      <c r="H861" s="152"/>
      <c r="I861" s="152"/>
      <c r="J861" s="152"/>
      <c r="K861" s="152"/>
      <c r="L861" s="152"/>
      <c r="M861" s="152"/>
      <c r="N861" s="152"/>
      <c r="O861" s="152"/>
      <c r="P861" s="152"/>
      <c r="Q861" s="152"/>
      <c r="R861" s="152"/>
      <c r="S861" s="152"/>
      <c r="T861" s="152"/>
      <c r="U861" s="152"/>
      <c r="V861" s="152"/>
      <c r="W861" s="152"/>
      <c r="X861" s="152"/>
      <c r="Y861" s="152"/>
      <c r="Z861" s="152"/>
      <c r="AA861" s="152"/>
      <c r="AB861" s="152"/>
      <c r="AC861" s="152"/>
      <c r="AD861" s="152"/>
      <c r="AE861" s="152"/>
    </row>
    <row r="862" spans="1:31" ht="15.75">
      <c r="A862" s="152"/>
      <c r="B862" s="152"/>
      <c r="C862" s="281"/>
      <c r="D862" s="152"/>
      <c r="E862" s="152"/>
      <c r="F862" s="152"/>
      <c r="G862" s="152"/>
      <c r="H862" s="152"/>
      <c r="I862" s="152"/>
      <c r="J862" s="152"/>
      <c r="K862" s="152"/>
      <c r="L862" s="152"/>
      <c r="M862" s="152"/>
      <c r="N862" s="152"/>
      <c r="O862" s="152"/>
      <c r="P862" s="152"/>
      <c r="Q862" s="152"/>
      <c r="R862" s="152"/>
      <c r="S862" s="152"/>
      <c r="T862" s="152"/>
      <c r="U862" s="152"/>
      <c r="V862" s="152"/>
      <c r="W862" s="152"/>
      <c r="X862" s="152"/>
      <c r="Y862" s="152"/>
      <c r="Z862" s="152"/>
      <c r="AA862" s="152"/>
      <c r="AB862" s="152"/>
      <c r="AC862" s="152"/>
      <c r="AD862" s="152"/>
      <c r="AE862" s="152"/>
    </row>
    <row r="863" spans="1:31" ht="15.75">
      <c r="A863" s="152"/>
      <c r="B863" s="152"/>
      <c r="C863" s="281"/>
      <c r="D863" s="152"/>
      <c r="E863" s="152"/>
      <c r="F863" s="152"/>
      <c r="G863" s="152"/>
      <c r="H863" s="152"/>
      <c r="I863" s="152"/>
      <c r="J863" s="152"/>
      <c r="K863" s="152"/>
      <c r="L863" s="152"/>
      <c r="M863" s="152"/>
      <c r="N863" s="152"/>
      <c r="O863" s="152"/>
      <c r="P863" s="152"/>
      <c r="Q863" s="152"/>
      <c r="R863" s="152"/>
      <c r="S863" s="152"/>
      <c r="T863" s="152"/>
      <c r="U863" s="152"/>
      <c r="V863" s="152"/>
      <c r="W863" s="152"/>
      <c r="X863" s="152"/>
      <c r="Y863" s="152"/>
      <c r="Z863" s="152"/>
      <c r="AA863" s="152"/>
      <c r="AB863" s="152"/>
      <c r="AC863" s="152"/>
      <c r="AD863" s="152"/>
      <c r="AE863" s="152"/>
    </row>
    <row r="864" spans="1:31" ht="15.75">
      <c r="A864" s="152"/>
      <c r="B864" s="152"/>
      <c r="C864" s="281"/>
      <c r="D864" s="152"/>
      <c r="E864" s="152"/>
      <c r="F864" s="152"/>
      <c r="G864" s="152"/>
      <c r="H864" s="152"/>
      <c r="I864" s="152"/>
      <c r="J864" s="152"/>
      <c r="K864" s="152"/>
      <c r="L864" s="152"/>
      <c r="M864" s="152"/>
      <c r="N864" s="152"/>
      <c r="O864" s="152"/>
      <c r="P864" s="152"/>
      <c r="Q864" s="152"/>
      <c r="R864" s="152"/>
      <c r="S864" s="152"/>
      <c r="T864" s="152"/>
      <c r="U864" s="152"/>
      <c r="V864" s="152"/>
      <c r="W864" s="152"/>
      <c r="X864" s="152"/>
      <c r="Y864" s="152"/>
      <c r="Z864" s="152"/>
      <c r="AA864" s="152"/>
      <c r="AB864" s="152"/>
      <c r="AC864" s="152"/>
      <c r="AD864" s="152"/>
      <c r="AE864" s="152"/>
    </row>
    <row r="865" spans="1:31" ht="15.75">
      <c r="A865" s="152"/>
      <c r="B865" s="152"/>
      <c r="C865" s="281"/>
      <c r="D865" s="152"/>
      <c r="E865" s="152"/>
      <c r="F865" s="152"/>
      <c r="G865" s="152"/>
      <c r="H865" s="152"/>
      <c r="I865" s="152"/>
      <c r="J865" s="152"/>
      <c r="K865" s="152"/>
      <c r="L865" s="152"/>
      <c r="M865" s="152"/>
      <c r="N865" s="152"/>
      <c r="O865" s="152"/>
      <c r="P865" s="152"/>
      <c r="Q865" s="152"/>
      <c r="R865" s="152"/>
      <c r="S865" s="152"/>
      <c r="T865" s="152"/>
      <c r="U865" s="152"/>
      <c r="V865" s="152"/>
      <c r="W865" s="152"/>
      <c r="X865" s="152"/>
      <c r="Y865" s="152"/>
      <c r="Z865" s="152"/>
      <c r="AA865" s="152"/>
      <c r="AB865" s="152"/>
      <c r="AC865" s="152"/>
      <c r="AD865" s="152"/>
      <c r="AE865" s="152"/>
    </row>
    <row r="866" spans="1:31" ht="15.75">
      <c r="A866" s="152"/>
      <c r="B866" s="152"/>
      <c r="C866" s="281"/>
      <c r="D866" s="152"/>
      <c r="E866" s="152"/>
      <c r="F866" s="152"/>
      <c r="G866" s="152"/>
      <c r="H866" s="152"/>
      <c r="I866" s="152"/>
      <c r="J866" s="152"/>
      <c r="K866" s="152"/>
      <c r="L866" s="152"/>
      <c r="M866" s="152"/>
      <c r="N866" s="152"/>
      <c r="O866" s="152"/>
      <c r="P866" s="152"/>
      <c r="Q866" s="152"/>
      <c r="R866" s="152"/>
      <c r="S866" s="152"/>
      <c r="T866" s="152"/>
      <c r="U866" s="152"/>
      <c r="V866" s="152"/>
      <c r="W866" s="152"/>
      <c r="X866" s="152"/>
      <c r="Y866" s="152"/>
      <c r="Z866" s="152"/>
      <c r="AA866" s="152"/>
      <c r="AB866" s="152"/>
      <c r="AC866" s="152"/>
      <c r="AD866" s="152"/>
      <c r="AE866" s="152"/>
    </row>
    <row r="867" spans="1:31" ht="15.75">
      <c r="A867" s="152"/>
      <c r="B867" s="152"/>
      <c r="C867" s="281"/>
      <c r="D867" s="152"/>
      <c r="E867" s="152"/>
      <c r="F867" s="152"/>
      <c r="G867" s="152"/>
      <c r="H867" s="152"/>
      <c r="I867" s="152"/>
      <c r="J867" s="152"/>
      <c r="K867" s="152"/>
      <c r="L867" s="152"/>
      <c r="M867" s="152"/>
      <c r="N867" s="152"/>
      <c r="O867" s="152"/>
      <c r="P867" s="152"/>
      <c r="Q867" s="152"/>
      <c r="R867" s="152"/>
      <c r="S867" s="152"/>
      <c r="T867" s="152"/>
      <c r="U867" s="152"/>
      <c r="V867" s="152"/>
      <c r="W867" s="152"/>
      <c r="X867" s="152"/>
      <c r="Y867" s="152"/>
      <c r="Z867" s="152"/>
      <c r="AA867" s="152"/>
      <c r="AB867" s="152"/>
      <c r="AC867" s="152"/>
      <c r="AD867" s="152"/>
      <c r="AE867" s="152"/>
    </row>
    <row r="868" spans="1:31" ht="15.75">
      <c r="A868" s="152"/>
      <c r="B868" s="152"/>
      <c r="C868" s="281"/>
      <c r="D868" s="152"/>
      <c r="E868" s="152"/>
      <c r="F868" s="152"/>
      <c r="G868" s="152"/>
      <c r="H868" s="152"/>
      <c r="I868" s="152"/>
      <c r="J868" s="152"/>
      <c r="K868" s="152"/>
      <c r="L868" s="152"/>
      <c r="M868" s="152"/>
      <c r="N868" s="152"/>
      <c r="O868" s="152"/>
      <c r="P868" s="152"/>
      <c r="Q868" s="152"/>
      <c r="R868" s="152"/>
      <c r="S868" s="152"/>
      <c r="T868" s="152"/>
      <c r="U868" s="152"/>
      <c r="V868" s="152"/>
      <c r="W868" s="152"/>
      <c r="X868" s="152"/>
      <c r="Y868" s="152"/>
      <c r="Z868" s="152"/>
      <c r="AA868" s="152"/>
      <c r="AB868" s="152"/>
      <c r="AC868" s="152"/>
      <c r="AD868" s="152"/>
      <c r="AE868" s="152"/>
    </row>
    <row r="869" spans="1:31" ht="15.75">
      <c r="A869" s="152"/>
      <c r="B869" s="152"/>
      <c r="C869" s="281"/>
      <c r="D869" s="152"/>
      <c r="E869" s="152"/>
      <c r="F869" s="152"/>
      <c r="G869" s="152"/>
      <c r="H869" s="152"/>
      <c r="I869" s="152"/>
      <c r="J869" s="152"/>
      <c r="K869" s="152"/>
      <c r="L869" s="152"/>
      <c r="M869" s="152"/>
      <c r="N869" s="152"/>
      <c r="O869" s="152"/>
      <c r="P869" s="152"/>
      <c r="Q869" s="152"/>
      <c r="R869" s="152"/>
      <c r="S869" s="152"/>
      <c r="T869" s="152"/>
      <c r="U869" s="152"/>
      <c r="V869" s="152"/>
      <c r="W869" s="152"/>
      <c r="X869" s="152"/>
      <c r="Y869" s="152"/>
      <c r="Z869" s="152"/>
      <c r="AA869" s="152"/>
      <c r="AB869" s="152"/>
      <c r="AC869" s="152"/>
      <c r="AD869" s="152"/>
      <c r="AE869" s="152"/>
    </row>
    <row r="870" spans="1:31" ht="15.75">
      <c r="A870" s="152"/>
      <c r="B870" s="152"/>
      <c r="C870" s="281"/>
      <c r="D870" s="152"/>
      <c r="E870" s="152"/>
      <c r="F870" s="152"/>
      <c r="G870" s="152"/>
      <c r="H870" s="152"/>
      <c r="I870" s="152"/>
      <c r="J870" s="152"/>
      <c r="K870" s="152"/>
      <c r="L870" s="152"/>
      <c r="M870" s="152"/>
      <c r="N870" s="152"/>
      <c r="O870" s="152"/>
      <c r="P870" s="152"/>
      <c r="Q870" s="152"/>
      <c r="R870" s="152"/>
      <c r="S870" s="152"/>
      <c r="T870" s="152"/>
      <c r="U870" s="152"/>
      <c r="V870" s="152"/>
      <c r="W870" s="152"/>
      <c r="X870" s="152"/>
      <c r="Y870" s="152"/>
      <c r="Z870" s="152"/>
      <c r="AA870" s="152"/>
      <c r="AB870" s="152"/>
      <c r="AC870" s="152"/>
      <c r="AD870" s="152"/>
      <c r="AE870" s="152"/>
    </row>
    <row r="871" spans="1:31" ht="15.75">
      <c r="A871" s="152"/>
      <c r="B871" s="152"/>
      <c r="C871" s="281"/>
      <c r="D871" s="152"/>
      <c r="E871" s="152"/>
      <c r="F871" s="152"/>
      <c r="G871" s="152"/>
      <c r="H871" s="152"/>
      <c r="I871" s="152"/>
      <c r="J871" s="152"/>
      <c r="K871" s="152"/>
      <c r="L871" s="152"/>
      <c r="M871" s="152"/>
      <c r="N871" s="152"/>
      <c r="O871" s="152"/>
      <c r="P871" s="152"/>
      <c r="Q871" s="152"/>
      <c r="R871" s="152"/>
      <c r="S871" s="152"/>
      <c r="T871" s="152"/>
      <c r="U871" s="152"/>
      <c r="V871" s="152"/>
      <c r="W871" s="152"/>
      <c r="X871" s="152"/>
      <c r="Y871" s="152"/>
      <c r="Z871" s="152"/>
      <c r="AA871" s="152"/>
      <c r="AB871" s="152"/>
      <c r="AC871" s="152"/>
      <c r="AD871" s="152"/>
      <c r="AE871" s="152"/>
    </row>
    <row r="872" spans="1:31" ht="15.75">
      <c r="A872" s="152"/>
      <c r="B872" s="152"/>
      <c r="C872" s="281"/>
      <c r="D872" s="152"/>
      <c r="E872" s="152"/>
      <c r="F872" s="152"/>
      <c r="G872" s="152"/>
      <c r="H872" s="152"/>
      <c r="I872" s="152"/>
      <c r="J872" s="152"/>
      <c r="K872" s="152"/>
      <c r="L872" s="152"/>
      <c r="M872" s="152"/>
      <c r="N872" s="152"/>
      <c r="O872" s="152"/>
      <c r="P872" s="152"/>
      <c r="Q872" s="152"/>
      <c r="R872" s="152"/>
      <c r="S872" s="152"/>
      <c r="T872" s="152"/>
      <c r="U872" s="152"/>
      <c r="V872" s="152"/>
      <c r="W872" s="152"/>
      <c r="X872" s="152"/>
      <c r="Y872" s="152"/>
      <c r="Z872" s="152"/>
      <c r="AA872" s="152"/>
      <c r="AB872" s="152"/>
      <c r="AC872" s="152"/>
      <c r="AD872" s="152"/>
      <c r="AE872" s="152"/>
    </row>
    <row r="873" spans="1:31" ht="15.75">
      <c r="A873" s="152"/>
      <c r="B873" s="152"/>
      <c r="C873" s="281"/>
      <c r="D873" s="152"/>
      <c r="E873" s="152"/>
      <c r="F873" s="152"/>
      <c r="G873" s="152"/>
      <c r="H873" s="152"/>
      <c r="I873" s="152"/>
      <c r="J873" s="152"/>
      <c r="K873" s="152"/>
      <c r="L873" s="152"/>
      <c r="M873" s="152"/>
      <c r="N873" s="152"/>
      <c r="O873" s="152"/>
      <c r="P873" s="152"/>
      <c r="Q873" s="152"/>
      <c r="R873" s="152"/>
      <c r="S873" s="152"/>
      <c r="T873" s="152"/>
      <c r="U873" s="152"/>
      <c r="V873" s="152"/>
      <c r="W873" s="152"/>
      <c r="X873" s="152"/>
      <c r="Y873" s="152"/>
      <c r="Z873" s="152"/>
      <c r="AA873" s="152"/>
      <c r="AB873" s="152"/>
      <c r="AC873" s="152"/>
      <c r="AD873" s="152"/>
      <c r="AE873" s="152"/>
    </row>
    <row r="874" spans="1:31" ht="15.75">
      <c r="A874" s="152"/>
      <c r="B874" s="152"/>
      <c r="C874" s="281"/>
      <c r="D874" s="152"/>
      <c r="E874" s="152"/>
      <c r="F874" s="152"/>
      <c r="G874" s="152"/>
      <c r="H874" s="152"/>
      <c r="I874" s="152"/>
      <c r="J874" s="152"/>
      <c r="K874" s="152"/>
      <c r="L874" s="152"/>
      <c r="M874" s="152"/>
      <c r="N874" s="152"/>
      <c r="O874" s="152"/>
      <c r="P874" s="152"/>
      <c r="Q874" s="152"/>
      <c r="R874" s="152"/>
      <c r="S874" s="152"/>
      <c r="T874" s="152"/>
      <c r="U874" s="152"/>
      <c r="V874" s="152"/>
      <c r="W874" s="152"/>
      <c r="X874" s="152"/>
      <c r="Y874" s="152"/>
      <c r="Z874" s="152"/>
      <c r="AA874" s="152"/>
      <c r="AB874" s="152"/>
      <c r="AC874" s="152"/>
      <c r="AD874" s="152"/>
      <c r="AE874" s="152"/>
    </row>
    <row r="875" spans="1:31" ht="15.75">
      <c r="A875" s="152"/>
      <c r="B875" s="152"/>
      <c r="C875" s="281"/>
      <c r="D875" s="152"/>
      <c r="E875" s="152"/>
      <c r="F875" s="152"/>
      <c r="G875" s="152"/>
      <c r="H875" s="152"/>
      <c r="I875" s="152"/>
      <c r="J875" s="152"/>
      <c r="K875" s="152"/>
      <c r="L875" s="152"/>
      <c r="M875" s="152"/>
      <c r="N875" s="152"/>
      <c r="O875" s="152"/>
      <c r="P875" s="152"/>
      <c r="Q875" s="152"/>
      <c r="R875" s="152"/>
      <c r="S875" s="152"/>
      <c r="T875" s="152"/>
      <c r="U875" s="152"/>
      <c r="V875" s="152"/>
      <c r="W875" s="152"/>
      <c r="X875" s="152"/>
      <c r="Y875" s="152"/>
      <c r="Z875" s="152"/>
      <c r="AA875" s="152"/>
      <c r="AB875" s="152"/>
      <c r="AC875" s="152"/>
      <c r="AD875" s="152"/>
      <c r="AE875" s="152"/>
    </row>
    <row r="876" spans="1:31" ht="15.75">
      <c r="A876" s="152"/>
      <c r="B876" s="152"/>
      <c r="C876" s="281"/>
      <c r="D876" s="152"/>
      <c r="E876" s="152"/>
      <c r="F876" s="152"/>
      <c r="G876" s="152"/>
      <c r="H876" s="152"/>
      <c r="I876" s="152"/>
      <c r="J876" s="152"/>
      <c r="K876" s="152"/>
      <c r="L876" s="152"/>
      <c r="M876" s="152"/>
      <c r="N876" s="152"/>
      <c r="O876" s="152"/>
      <c r="P876" s="152"/>
      <c r="Q876" s="152"/>
      <c r="R876" s="152"/>
      <c r="S876" s="152"/>
      <c r="T876" s="152"/>
      <c r="U876" s="152"/>
      <c r="V876" s="152"/>
      <c r="W876" s="152"/>
      <c r="X876" s="152"/>
      <c r="Y876" s="152"/>
      <c r="Z876" s="152"/>
      <c r="AA876" s="152"/>
      <c r="AB876" s="152"/>
      <c r="AC876" s="152"/>
      <c r="AD876" s="152"/>
      <c r="AE876" s="152"/>
    </row>
    <row r="877" spans="1:31" ht="15.75">
      <c r="A877" s="152"/>
      <c r="B877" s="152"/>
      <c r="C877" s="281"/>
      <c r="D877" s="152"/>
      <c r="E877" s="152"/>
      <c r="F877" s="152"/>
      <c r="G877" s="152"/>
      <c r="H877" s="152"/>
      <c r="I877" s="152"/>
      <c r="J877" s="152"/>
      <c r="K877" s="152"/>
      <c r="L877" s="152"/>
      <c r="M877" s="152"/>
      <c r="N877" s="152"/>
      <c r="O877" s="152"/>
      <c r="P877" s="152"/>
      <c r="Q877" s="152"/>
      <c r="R877" s="152"/>
      <c r="S877" s="152"/>
      <c r="T877" s="152"/>
      <c r="U877" s="152"/>
      <c r="V877" s="152"/>
      <c r="W877" s="152"/>
      <c r="X877" s="152"/>
      <c r="Y877" s="152"/>
      <c r="Z877" s="152"/>
      <c r="AA877" s="152"/>
      <c r="AB877" s="152"/>
      <c r="AC877" s="152"/>
      <c r="AD877" s="152"/>
      <c r="AE877" s="152"/>
    </row>
    <row r="878" spans="1:31" ht="15.75">
      <c r="A878" s="152"/>
      <c r="B878" s="152"/>
      <c r="C878" s="281"/>
      <c r="D878" s="152"/>
      <c r="E878" s="152"/>
      <c r="F878" s="152"/>
      <c r="G878" s="152"/>
      <c r="H878" s="152"/>
      <c r="I878" s="152"/>
      <c r="J878" s="152"/>
      <c r="K878" s="152"/>
      <c r="L878" s="152"/>
      <c r="M878" s="152"/>
      <c r="N878" s="152"/>
      <c r="O878" s="152"/>
      <c r="P878" s="152"/>
      <c r="Q878" s="152"/>
      <c r="R878" s="152"/>
      <c r="S878" s="152"/>
      <c r="T878" s="152"/>
      <c r="U878" s="152"/>
      <c r="V878" s="152"/>
      <c r="W878" s="152"/>
      <c r="X878" s="152"/>
      <c r="Y878" s="152"/>
      <c r="Z878" s="152"/>
      <c r="AA878" s="152"/>
      <c r="AB878" s="152"/>
      <c r="AC878" s="152"/>
      <c r="AD878" s="152"/>
      <c r="AE878" s="152"/>
    </row>
    <row r="879" spans="1:31" ht="15.75">
      <c r="A879" s="152"/>
      <c r="B879" s="152"/>
      <c r="C879" s="281"/>
      <c r="D879" s="152"/>
      <c r="E879" s="152"/>
      <c r="F879" s="152"/>
      <c r="G879" s="152"/>
      <c r="H879" s="152"/>
      <c r="I879" s="152"/>
      <c r="J879" s="152"/>
      <c r="K879" s="152"/>
      <c r="L879" s="152"/>
      <c r="M879" s="152"/>
      <c r="N879" s="152"/>
      <c r="O879" s="152"/>
      <c r="P879" s="152"/>
      <c r="Q879" s="152"/>
      <c r="R879" s="152"/>
      <c r="S879" s="152"/>
      <c r="T879" s="152"/>
      <c r="U879" s="152"/>
      <c r="V879" s="152"/>
      <c r="W879" s="152"/>
      <c r="X879" s="152"/>
      <c r="Y879" s="152"/>
      <c r="Z879" s="152"/>
      <c r="AA879" s="152"/>
      <c r="AB879" s="152"/>
      <c r="AC879" s="152"/>
      <c r="AD879" s="152"/>
      <c r="AE879" s="152"/>
    </row>
    <row r="880" spans="1:31" ht="15.75">
      <c r="A880" s="152"/>
      <c r="B880" s="152"/>
      <c r="C880" s="281"/>
      <c r="D880" s="152"/>
      <c r="E880" s="152"/>
      <c r="F880" s="152"/>
      <c r="G880" s="152"/>
      <c r="H880" s="152"/>
      <c r="I880" s="152"/>
      <c r="J880" s="152"/>
      <c r="K880" s="152"/>
      <c r="L880" s="152"/>
      <c r="M880" s="152"/>
      <c r="N880" s="152"/>
      <c r="O880" s="152"/>
      <c r="P880" s="152"/>
      <c r="Q880" s="152"/>
      <c r="R880" s="152"/>
      <c r="S880" s="152"/>
      <c r="T880" s="152"/>
      <c r="U880" s="152"/>
      <c r="V880" s="152"/>
      <c r="W880" s="152"/>
      <c r="X880" s="152"/>
      <c r="Y880" s="152"/>
      <c r="Z880" s="152"/>
      <c r="AA880" s="152"/>
      <c r="AB880" s="152"/>
      <c r="AC880" s="152"/>
      <c r="AD880" s="152"/>
      <c r="AE880" s="152"/>
    </row>
    <row r="881" spans="1:31" ht="15.75">
      <c r="A881" s="152"/>
      <c r="B881" s="152"/>
      <c r="C881" s="281"/>
      <c r="D881" s="152"/>
      <c r="E881" s="152"/>
      <c r="F881" s="152"/>
      <c r="G881" s="152"/>
      <c r="H881" s="152"/>
      <c r="I881" s="152"/>
      <c r="J881" s="152"/>
      <c r="K881" s="152"/>
      <c r="L881" s="152"/>
      <c r="M881" s="152"/>
      <c r="N881" s="152"/>
      <c r="O881" s="152"/>
      <c r="P881" s="152"/>
      <c r="Q881" s="152"/>
      <c r="R881" s="152"/>
      <c r="S881" s="152"/>
      <c r="T881" s="152"/>
      <c r="U881" s="152"/>
      <c r="V881" s="152"/>
      <c r="W881" s="152"/>
      <c r="X881" s="152"/>
      <c r="Y881" s="152"/>
      <c r="Z881" s="152"/>
      <c r="AA881" s="152"/>
      <c r="AB881" s="152"/>
      <c r="AC881" s="152"/>
      <c r="AD881" s="152"/>
      <c r="AE881" s="152"/>
    </row>
    <row r="882" spans="1:31" ht="15.75">
      <c r="A882" s="152"/>
      <c r="B882" s="152"/>
      <c r="C882" s="281"/>
      <c r="D882" s="152"/>
      <c r="E882" s="152"/>
      <c r="F882" s="152"/>
      <c r="G882" s="152"/>
      <c r="H882" s="152"/>
      <c r="I882" s="152"/>
      <c r="J882" s="152"/>
      <c r="K882" s="152"/>
      <c r="L882" s="152"/>
      <c r="M882" s="152"/>
      <c r="N882" s="152"/>
      <c r="O882" s="152"/>
      <c r="P882" s="152"/>
      <c r="Q882" s="152"/>
      <c r="R882" s="152"/>
      <c r="S882" s="152"/>
      <c r="T882" s="152"/>
      <c r="U882" s="152"/>
      <c r="V882" s="152"/>
      <c r="W882" s="152"/>
      <c r="X882" s="152"/>
      <c r="Y882" s="152"/>
      <c r="Z882" s="152"/>
      <c r="AA882" s="152"/>
      <c r="AB882" s="152"/>
      <c r="AC882" s="152"/>
      <c r="AD882" s="152"/>
      <c r="AE882" s="152"/>
    </row>
    <row r="883" spans="1:31" ht="15.75">
      <c r="A883" s="152"/>
      <c r="B883" s="152"/>
      <c r="C883" s="281"/>
      <c r="D883" s="152"/>
      <c r="E883" s="152"/>
      <c r="F883" s="152"/>
      <c r="G883" s="152"/>
      <c r="H883" s="152"/>
      <c r="I883" s="152"/>
      <c r="J883" s="152"/>
      <c r="K883" s="152"/>
      <c r="L883" s="152"/>
      <c r="M883" s="152"/>
      <c r="N883" s="152"/>
      <c r="O883" s="152"/>
      <c r="P883" s="152"/>
      <c r="Q883" s="152"/>
      <c r="R883" s="152"/>
      <c r="S883" s="152"/>
      <c r="T883" s="152"/>
      <c r="U883" s="152"/>
      <c r="V883" s="152"/>
      <c r="W883" s="152"/>
      <c r="X883" s="152"/>
      <c r="Y883" s="152"/>
      <c r="Z883" s="152"/>
      <c r="AA883" s="152"/>
      <c r="AB883" s="152"/>
      <c r="AC883" s="152"/>
      <c r="AD883" s="152"/>
      <c r="AE883" s="152"/>
    </row>
    <row r="884" spans="1:31" ht="15.75">
      <c r="A884" s="152"/>
      <c r="B884" s="152"/>
      <c r="C884" s="281"/>
      <c r="D884" s="152"/>
      <c r="E884" s="152"/>
      <c r="F884" s="152"/>
      <c r="G884" s="152"/>
      <c r="H884" s="152"/>
      <c r="I884" s="152"/>
      <c r="J884" s="152"/>
      <c r="K884" s="152"/>
      <c r="L884" s="152"/>
      <c r="M884" s="152"/>
      <c r="N884" s="152"/>
      <c r="O884" s="152"/>
      <c r="P884" s="152"/>
      <c r="Q884" s="152"/>
      <c r="R884" s="152"/>
      <c r="S884" s="152"/>
      <c r="T884" s="152"/>
      <c r="U884" s="152"/>
      <c r="V884" s="152"/>
      <c r="W884" s="152"/>
      <c r="X884" s="152"/>
      <c r="Y884" s="152"/>
      <c r="Z884" s="152"/>
      <c r="AA884" s="152"/>
      <c r="AB884" s="152"/>
      <c r="AC884" s="152"/>
      <c r="AD884" s="152"/>
      <c r="AE884" s="152"/>
    </row>
    <row r="885" spans="1:31" ht="15.75">
      <c r="A885" s="152"/>
      <c r="B885" s="152"/>
      <c r="C885" s="281"/>
      <c r="D885" s="152"/>
      <c r="E885" s="152"/>
      <c r="F885" s="152"/>
      <c r="G885" s="152"/>
      <c r="H885" s="152"/>
      <c r="I885" s="152"/>
      <c r="J885" s="152"/>
      <c r="K885" s="152"/>
      <c r="L885" s="152"/>
      <c r="M885" s="152"/>
      <c r="N885" s="152"/>
      <c r="O885" s="152"/>
      <c r="P885" s="152"/>
      <c r="Q885" s="152"/>
      <c r="R885" s="152"/>
      <c r="S885" s="152"/>
      <c r="T885" s="152"/>
      <c r="U885" s="152"/>
      <c r="V885" s="152"/>
      <c r="W885" s="152"/>
      <c r="X885" s="152"/>
      <c r="Y885" s="152"/>
      <c r="Z885" s="152"/>
      <c r="AA885" s="152"/>
      <c r="AB885" s="152"/>
      <c r="AC885" s="152"/>
      <c r="AD885" s="152"/>
      <c r="AE885" s="152"/>
    </row>
    <row r="886" spans="1:31" ht="15.75">
      <c r="A886" s="152"/>
      <c r="B886" s="152"/>
      <c r="C886" s="281"/>
      <c r="D886" s="152"/>
      <c r="E886" s="152"/>
      <c r="F886" s="152"/>
      <c r="G886" s="152"/>
      <c r="H886" s="152"/>
      <c r="I886" s="152"/>
      <c r="J886" s="152"/>
      <c r="K886" s="152"/>
      <c r="L886" s="152"/>
      <c r="M886" s="152"/>
      <c r="N886" s="152"/>
      <c r="O886" s="152"/>
      <c r="P886" s="152"/>
      <c r="Q886" s="152"/>
      <c r="R886" s="152"/>
      <c r="S886" s="152"/>
      <c r="T886" s="152"/>
      <c r="U886" s="152"/>
      <c r="V886" s="152"/>
      <c r="W886" s="152"/>
      <c r="X886" s="152"/>
      <c r="Y886" s="152"/>
      <c r="Z886" s="152"/>
      <c r="AA886" s="152"/>
      <c r="AB886" s="152"/>
      <c r="AC886" s="152"/>
      <c r="AD886" s="152"/>
      <c r="AE886" s="152"/>
    </row>
    <row r="887" spans="1:31" ht="15.75">
      <c r="A887" s="152"/>
      <c r="B887" s="152"/>
      <c r="C887" s="281"/>
      <c r="D887" s="152"/>
      <c r="E887" s="152"/>
      <c r="F887" s="152"/>
      <c r="G887" s="152"/>
      <c r="H887" s="152"/>
      <c r="I887" s="152"/>
      <c r="J887" s="152"/>
      <c r="K887" s="152"/>
      <c r="L887" s="152"/>
      <c r="M887" s="152"/>
      <c r="N887" s="152"/>
      <c r="O887" s="152"/>
      <c r="P887" s="152"/>
      <c r="Q887" s="152"/>
      <c r="R887" s="152"/>
      <c r="S887" s="152"/>
      <c r="T887" s="152"/>
      <c r="U887" s="152"/>
      <c r="V887" s="152"/>
      <c r="W887" s="152"/>
      <c r="X887" s="152"/>
      <c r="Y887" s="152"/>
      <c r="Z887" s="152"/>
      <c r="AA887" s="152"/>
      <c r="AB887" s="152"/>
      <c r="AC887" s="152"/>
      <c r="AD887" s="152"/>
      <c r="AE887" s="152"/>
    </row>
    <row r="888" spans="1:31" ht="15.75">
      <c r="A888" s="152"/>
      <c r="B888" s="152"/>
      <c r="C888" s="281"/>
      <c r="D888" s="152"/>
      <c r="E888" s="152"/>
      <c r="F888" s="152"/>
      <c r="G888" s="152"/>
      <c r="H888" s="152"/>
      <c r="I888" s="152"/>
      <c r="J888" s="152"/>
      <c r="K888" s="152"/>
      <c r="L888" s="152"/>
      <c r="M888" s="152"/>
      <c r="N888" s="152"/>
      <c r="O888" s="152"/>
      <c r="P888" s="152"/>
      <c r="Q888" s="152"/>
      <c r="R888" s="152"/>
      <c r="S888" s="152"/>
      <c r="T888" s="152"/>
      <c r="U888" s="152"/>
      <c r="V888" s="152"/>
      <c r="W888" s="152"/>
      <c r="X888" s="152"/>
      <c r="Y888" s="152"/>
      <c r="Z888" s="152"/>
      <c r="AA888" s="152"/>
      <c r="AB888" s="152"/>
      <c r="AC888" s="152"/>
      <c r="AD888" s="152"/>
      <c r="AE888" s="152"/>
    </row>
    <row r="889" spans="1:31" ht="15.75">
      <c r="A889" s="152"/>
      <c r="B889" s="152"/>
      <c r="C889" s="281"/>
      <c r="D889" s="152"/>
      <c r="E889" s="152"/>
      <c r="F889" s="152"/>
      <c r="G889" s="152"/>
      <c r="H889" s="152"/>
      <c r="I889" s="152"/>
      <c r="J889" s="152"/>
      <c r="K889" s="152"/>
      <c r="L889" s="152"/>
      <c r="M889" s="152"/>
      <c r="N889" s="152"/>
      <c r="O889" s="152"/>
      <c r="P889" s="152"/>
      <c r="Q889" s="152"/>
      <c r="R889" s="152"/>
      <c r="S889" s="152"/>
      <c r="T889" s="152"/>
      <c r="U889" s="152"/>
      <c r="V889" s="152"/>
      <c r="W889" s="152"/>
      <c r="X889" s="152"/>
      <c r="Y889" s="152"/>
      <c r="Z889" s="152"/>
      <c r="AA889" s="152"/>
      <c r="AB889" s="152"/>
      <c r="AC889" s="152"/>
      <c r="AD889" s="152"/>
      <c r="AE889" s="152"/>
    </row>
    <row r="890" spans="1:31" ht="15.75">
      <c r="A890" s="152"/>
      <c r="B890" s="152"/>
      <c r="C890" s="281"/>
      <c r="D890" s="152"/>
      <c r="E890" s="152"/>
      <c r="F890" s="152"/>
      <c r="G890" s="152"/>
      <c r="H890" s="152"/>
      <c r="I890" s="152"/>
      <c r="J890" s="152"/>
      <c r="K890" s="152"/>
      <c r="L890" s="152"/>
      <c r="M890" s="152"/>
      <c r="N890" s="152"/>
      <c r="O890" s="152"/>
      <c r="P890" s="152"/>
      <c r="Q890" s="152"/>
      <c r="R890" s="152"/>
      <c r="S890" s="152"/>
      <c r="T890" s="152"/>
      <c r="U890" s="152"/>
      <c r="V890" s="152"/>
      <c r="W890" s="152"/>
      <c r="X890" s="152"/>
      <c r="Y890" s="152"/>
      <c r="Z890" s="152"/>
      <c r="AA890" s="152"/>
      <c r="AB890" s="152"/>
      <c r="AC890" s="152"/>
      <c r="AD890" s="152"/>
      <c r="AE890" s="152"/>
    </row>
    <row r="891" spans="1:31" ht="15.75">
      <c r="A891" s="152"/>
      <c r="B891" s="152"/>
      <c r="C891" s="281"/>
      <c r="D891" s="152"/>
      <c r="E891" s="152"/>
      <c r="F891" s="152"/>
      <c r="G891" s="152"/>
      <c r="H891" s="152"/>
      <c r="I891" s="152"/>
      <c r="J891" s="152"/>
      <c r="K891" s="152"/>
      <c r="L891" s="152"/>
      <c r="M891" s="152"/>
      <c r="N891" s="152"/>
      <c r="O891" s="152"/>
      <c r="P891" s="152"/>
      <c r="Q891" s="152"/>
      <c r="R891" s="152"/>
      <c r="S891" s="152"/>
      <c r="T891" s="152"/>
      <c r="U891" s="152"/>
      <c r="V891" s="152"/>
      <c r="W891" s="152"/>
      <c r="X891" s="152"/>
      <c r="Y891" s="152"/>
      <c r="Z891" s="152"/>
      <c r="AA891" s="152"/>
      <c r="AB891" s="152"/>
      <c r="AC891" s="152"/>
      <c r="AD891" s="152"/>
      <c r="AE891" s="152"/>
    </row>
    <row r="892" spans="1:31" ht="15.75">
      <c r="A892" s="152"/>
      <c r="B892" s="152"/>
      <c r="C892" s="281"/>
      <c r="D892" s="152"/>
      <c r="E892" s="152"/>
      <c r="F892" s="152"/>
      <c r="G892" s="152"/>
      <c r="H892" s="152"/>
      <c r="I892" s="152"/>
      <c r="J892" s="152"/>
      <c r="K892" s="152"/>
      <c r="L892" s="152"/>
      <c r="M892" s="152"/>
      <c r="N892" s="152"/>
      <c r="O892" s="152"/>
      <c r="P892" s="152"/>
      <c r="Q892" s="152"/>
      <c r="R892" s="152"/>
      <c r="S892" s="152"/>
      <c r="T892" s="152"/>
      <c r="U892" s="152"/>
      <c r="V892" s="152"/>
      <c r="W892" s="152"/>
      <c r="X892" s="152"/>
      <c r="Y892" s="152"/>
      <c r="Z892" s="152"/>
      <c r="AA892" s="152"/>
      <c r="AB892" s="152"/>
      <c r="AC892" s="152"/>
      <c r="AD892" s="152"/>
      <c r="AE892" s="152"/>
    </row>
    <row r="893" spans="1:31" ht="15.75">
      <c r="A893" s="152"/>
      <c r="B893" s="152"/>
      <c r="C893" s="281"/>
      <c r="D893" s="152"/>
      <c r="E893" s="152"/>
      <c r="F893" s="152"/>
      <c r="G893" s="152"/>
      <c r="H893" s="152"/>
      <c r="I893" s="152"/>
      <c r="J893" s="152"/>
      <c r="K893" s="152"/>
      <c r="L893" s="152"/>
      <c r="M893" s="152"/>
      <c r="N893" s="152"/>
      <c r="O893" s="152"/>
      <c r="P893" s="152"/>
      <c r="Q893" s="152"/>
      <c r="R893" s="152"/>
      <c r="S893" s="152"/>
      <c r="T893" s="152"/>
      <c r="U893" s="152"/>
      <c r="V893" s="152"/>
      <c r="W893" s="152"/>
      <c r="X893" s="152"/>
      <c r="Y893" s="152"/>
      <c r="Z893" s="152"/>
      <c r="AA893" s="152"/>
      <c r="AB893" s="152"/>
      <c r="AC893" s="152"/>
      <c r="AD893" s="152"/>
      <c r="AE893" s="152"/>
    </row>
    <row r="894" spans="1:31" ht="15.75">
      <c r="A894" s="152"/>
      <c r="B894" s="152"/>
      <c r="C894" s="281"/>
      <c r="D894" s="152"/>
      <c r="E894" s="152"/>
      <c r="F894" s="152"/>
      <c r="G894" s="152"/>
      <c r="H894" s="152"/>
      <c r="I894" s="152"/>
      <c r="J894" s="152"/>
      <c r="K894" s="152"/>
      <c r="L894" s="152"/>
      <c r="M894" s="152"/>
      <c r="N894" s="152"/>
      <c r="O894" s="152"/>
      <c r="P894" s="152"/>
      <c r="Q894" s="152"/>
      <c r="R894" s="152"/>
      <c r="S894" s="152"/>
      <c r="T894" s="152"/>
      <c r="U894" s="152"/>
      <c r="V894" s="152"/>
      <c r="W894" s="152"/>
      <c r="X894" s="152"/>
      <c r="Y894" s="152"/>
      <c r="Z894" s="152"/>
      <c r="AA894" s="152"/>
      <c r="AB894" s="152"/>
      <c r="AC894" s="152"/>
      <c r="AD894" s="152"/>
      <c r="AE894" s="152"/>
    </row>
    <row r="895" spans="1:31" ht="15.75">
      <c r="A895" s="152"/>
      <c r="B895" s="152"/>
      <c r="C895" s="281"/>
      <c r="D895" s="152"/>
      <c r="E895" s="152"/>
      <c r="F895" s="152"/>
      <c r="G895" s="152"/>
      <c r="H895" s="152"/>
      <c r="I895" s="152"/>
      <c r="J895" s="152"/>
      <c r="K895" s="152"/>
      <c r="L895" s="152"/>
      <c r="M895" s="152"/>
      <c r="N895" s="152"/>
      <c r="O895" s="152"/>
      <c r="P895" s="152"/>
      <c r="Q895" s="152"/>
      <c r="R895" s="152"/>
      <c r="S895" s="152"/>
      <c r="T895" s="152"/>
      <c r="U895" s="152"/>
      <c r="V895" s="152"/>
      <c r="W895" s="152"/>
      <c r="X895" s="152"/>
      <c r="Y895" s="152"/>
      <c r="Z895" s="152"/>
      <c r="AA895" s="152"/>
      <c r="AB895" s="152"/>
      <c r="AC895" s="152"/>
      <c r="AD895" s="152"/>
      <c r="AE895" s="152"/>
    </row>
    <row r="896" spans="1:31" ht="15.75">
      <c r="A896" s="152"/>
      <c r="B896" s="152"/>
      <c r="C896" s="281"/>
      <c r="D896" s="152"/>
      <c r="E896" s="152"/>
      <c r="F896" s="152"/>
      <c r="G896" s="152"/>
      <c r="H896" s="152"/>
      <c r="I896" s="152"/>
      <c r="J896" s="152"/>
      <c r="K896" s="152"/>
      <c r="L896" s="152"/>
      <c r="M896" s="152"/>
      <c r="N896" s="152"/>
      <c r="O896" s="152"/>
      <c r="P896" s="152"/>
      <c r="Q896" s="152"/>
      <c r="R896" s="152"/>
      <c r="S896" s="152"/>
      <c r="T896" s="152"/>
      <c r="U896" s="152"/>
      <c r="V896" s="152"/>
      <c r="W896" s="152"/>
      <c r="X896" s="152"/>
      <c r="Y896" s="152"/>
      <c r="Z896" s="152"/>
      <c r="AA896" s="152"/>
      <c r="AB896" s="152"/>
      <c r="AC896" s="152"/>
      <c r="AD896" s="152"/>
      <c r="AE896" s="152"/>
    </row>
    <row r="897" spans="1:31" ht="15.75">
      <c r="A897" s="152"/>
      <c r="B897" s="152"/>
      <c r="C897" s="281"/>
      <c r="D897" s="152"/>
      <c r="E897" s="152"/>
      <c r="F897" s="152"/>
      <c r="G897" s="152"/>
      <c r="H897" s="152"/>
      <c r="I897" s="152"/>
      <c r="J897" s="152"/>
      <c r="K897" s="152"/>
      <c r="L897" s="152"/>
      <c r="M897" s="152"/>
      <c r="N897" s="152"/>
      <c r="O897" s="152"/>
      <c r="P897" s="152"/>
      <c r="Q897" s="152"/>
      <c r="R897" s="152"/>
      <c r="S897" s="152"/>
      <c r="T897" s="152"/>
      <c r="U897" s="152"/>
      <c r="V897" s="152"/>
      <c r="W897" s="152"/>
      <c r="X897" s="152"/>
      <c r="Y897" s="152"/>
      <c r="Z897" s="152"/>
      <c r="AA897" s="152"/>
      <c r="AB897" s="152"/>
      <c r="AC897" s="152"/>
      <c r="AD897" s="152"/>
      <c r="AE897" s="152"/>
    </row>
    <row r="898" spans="1:31" ht="15.75">
      <c r="A898" s="152"/>
      <c r="B898" s="152"/>
      <c r="C898" s="281"/>
      <c r="D898" s="152"/>
      <c r="E898" s="152"/>
      <c r="F898" s="152"/>
      <c r="G898" s="152"/>
      <c r="H898" s="152"/>
      <c r="I898" s="152"/>
      <c r="J898" s="152"/>
      <c r="K898" s="152"/>
      <c r="L898" s="152"/>
      <c r="M898" s="152"/>
      <c r="N898" s="152"/>
      <c r="O898" s="152"/>
      <c r="P898" s="152"/>
      <c r="Q898" s="152"/>
      <c r="R898" s="152"/>
      <c r="S898" s="152"/>
      <c r="T898" s="152"/>
      <c r="U898" s="152"/>
      <c r="V898" s="152"/>
      <c r="W898" s="152"/>
      <c r="X898" s="152"/>
      <c r="Y898" s="152"/>
      <c r="Z898" s="152"/>
      <c r="AA898" s="152"/>
      <c r="AB898" s="152"/>
      <c r="AC898" s="152"/>
      <c r="AD898" s="152"/>
      <c r="AE898" s="152"/>
    </row>
    <row r="899" spans="1:31" ht="15.75">
      <c r="A899" s="152"/>
      <c r="B899" s="152"/>
      <c r="C899" s="281"/>
      <c r="D899" s="152"/>
      <c r="E899" s="152"/>
      <c r="F899" s="152"/>
      <c r="G899" s="152"/>
      <c r="H899" s="152"/>
      <c r="I899" s="152"/>
      <c r="J899" s="152"/>
      <c r="K899" s="152"/>
      <c r="L899" s="152"/>
      <c r="M899" s="152"/>
      <c r="N899" s="152"/>
      <c r="O899" s="152"/>
      <c r="P899" s="152"/>
      <c r="Q899" s="152"/>
      <c r="R899" s="152"/>
      <c r="S899" s="152"/>
      <c r="T899" s="152"/>
      <c r="U899" s="152"/>
      <c r="V899" s="152"/>
      <c r="W899" s="152"/>
      <c r="X899" s="152"/>
      <c r="Y899" s="152"/>
      <c r="Z899" s="152"/>
      <c r="AA899" s="152"/>
      <c r="AB899" s="152"/>
      <c r="AC899" s="152"/>
      <c r="AD899" s="152"/>
      <c r="AE899" s="152"/>
    </row>
    <row r="900" spans="1:31" ht="15.75">
      <c r="A900" s="152"/>
      <c r="B900" s="152"/>
      <c r="C900" s="281"/>
      <c r="D900" s="152"/>
      <c r="E900" s="152"/>
      <c r="F900" s="152"/>
      <c r="G900" s="152"/>
      <c r="H900" s="152"/>
      <c r="I900" s="152"/>
      <c r="J900" s="152"/>
      <c r="K900" s="152"/>
      <c r="L900" s="152"/>
      <c r="M900" s="152"/>
      <c r="N900" s="152"/>
      <c r="O900" s="152"/>
      <c r="P900" s="152"/>
      <c r="Q900" s="152"/>
      <c r="R900" s="152"/>
      <c r="S900" s="152"/>
      <c r="T900" s="152"/>
      <c r="U900" s="152"/>
      <c r="V900" s="152"/>
      <c r="W900" s="152"/>
      <c r="X900" s="152"/>
      <c r="Y900" s="152"/>
      <c r="Z900" s="152"/>
      <c r="AA900" s="152"/>
      <c r="AB900" s="152"/>
      <c r="AC900" s="152"/>
      <c r="AD900" s="152"/>
      <c r="AE900" s="152"/>
    </row>
    <row r="901" spans="1:31" ht="15.75">
      <c r="A901" s="152"/>
      <c r="B901" s="152"/>
      <c r="C901" s="281"/>
      <c r="D901" s="152"/>
      <c r="E901" s="152"/>
      <c r="F901" s="152"/>
      <c r="G901" s="152"/>
      <c r="H901" s="152"/>
      <c r="I901" s="152"/>
      <c r="J901" s="152"/>
      <c r="K901" s="152"/>
      <c r="L901" s="152"/>
      <c r="M901" s="152"/>
      <c r="N901" s="152"/>
      <c r="O901" s="152"/>
      <c r="P901" s="152"/>
      <c r="Q901" s="152"/>
      <c r="R901" s="152"/>
      <c r="S901" s="152"/>
      <c r="T901" s="152"/>
      <c r="U901" s="152"/>
      <c r="V901" s="152"/>
      <c r="W901" s="152"/>
      <c r="X901" s="152"/>
      <c r="Y901" s="152"/>
      <c r="Z901" s="152"/>
      <c r="AA901" s="152"/>
      <c r="AB901" s="152"/>
      <c r="AC901" s="152"/>
      <c r="AD901" s="152"/>
      <c r="AE901" s="152"/>
    </row>
    <row r="902" spans="1:31" ht="15.75">
      <c r="A902" s="152"/>
      <c r="B902" s="152"/>
      <c r="C902" s="281"/>
      <c r="D902" s="152"/>
      <c r="E902" s="152"/>
      <c r="F902" s="152"/>
      <c r="G902" s="152"/>
      <c r="H902" s="152"/>
      <c r="I902" s="152"/>
      <c r="J902" s="152"/>
      <c r="K902" s="152"/>
      <c r="L902" s="152"/>
      <c r="M902" s="152"/>
      <c r="N902" s="152"/>
      <c r="O902" s="152"/>
      <c r="P902" s="152"/>
      <c r="Q902" s="152"/>
      <c r="R902" s="152"/>
      <c r="S902" s="152"/>
      <c r="T902" s="152"/>
      <c r="U902" s="152"/>
      <c r="V902" s="152"/>
      <c r="W902" s="152"/>
      <c r="X902" s="152"/>
      <c r="Y902" s="152"/>
      <c r="Z902" s="152"/>
      <c r="AA902" s="152"/>
      <c r="AB902" s="152"/>
      <c r="AC902" s="152"/>
      <c r="AD902" s="152"/>
      <c r="AE902" s="152"/>
    </row>
    <row r="903" spans="1:31" ht="15.75">
      <c r="A903" s="152"/>
      <c r="B903" s="152"/>
      <c r="C903" s="281"/>
      <c r="D903" s="152"/>
      <c r="E903" s="152"/>
      <c r="F903" s="152"/>
      <c r="G903" s="152"/>
      <c r="H903" s="152"/>
      <c r="I903" s="152"/>
      <c r="J903" s="152"/>
      <c r="K903" s="152"/>
      <c r="L903" s="152"/>
      <c r="M903" s="152"/>
      <c r="N903" s="152"/>
      <c r="O903" s="152"/>
      <c r="P903" s="152"/>
      <c r="Q903" s="152"/>
      <c r="R903" s="152"/>
      <c r="S903" s="152"/>
      <c r="T903" s="152"/>
      <c r="U903" s="152"/>
      <c r="V903" s="152"/>
      <c r="W903" s="152"/>
      <c r="X903" s="152"/>
      <c r="Y903" s="152"/>
      <c r="Z903" s="152"/>
      <c r="AA903" s="152"/>
      <c r="AB903" s="152"/>
      <c r="AC903" s="152"/>
      <c r="AD903" s="152"/>
      <c r="AE903" s="152"/>
    </row>
    <row r="904" spans="1:31" ht="15.75">
      <c r="A904" s="152"/>
      <c r="B904" s="152"/>
      <c r="C904" s="281"/>
      <c r="D904" s="152"/>
      <c r="E904" s="152"/>
      <c r="F904" s="152"/>
      <c r="G904" s="152"/>
      <c r="H904" s="152"/>
      <c r="I904" s="152"/>
      <c r="J904" s="152"/>
      <c r="K904" s="152"/>
      <c r="L904" s="152"/>
      <c r="M904" s="152"/>
      <c r="N904" s="152"/>
      <c r="O904" s="152"/>
      <c r="P904" s="152"/>
      <c r="Q904" s="152"/>
      <c r="R904" s="152"/>
      <c r="S904" s="152"/>
      <c r="T904" s="152"/>
      <c r="U904" s="152"/>
      <c r="V904" s="152"/>
      <c r="W904" s="152"/>
      <c r="X904" s="152"/>
      <c r="Y904" s="152"/>
      <c r="Z904" s="152"/>
      <c r="AA904" s="152"/>
      <c r="AB904" s="152"/>
      <c r="AC904" s="152"/>
      <c r="AD904" s="152"/>
      <c r="AE904" s="152"/>
    </row>
    <row r="905" spans="1:31" ht="15.75">
      <c r="A905" s="152"/>
      <c r="B905" s="152"/>
      <c r="C905" s="281"/>
      <c r="D905" s="152"/>
      <c r="E905" s="152"/>
      <c r="F905" s="152"/>
      <c r="G905" s="152"/>
      <c r="H905" s="152"/>
      <c r="I905" s="152"/>
      <c r="J905" s="152"/>
      <c r="K905" s="152"/>
      <c r="L905" s="152"/>
      <c r="M905" s="152"/>
      <c r="N905" s="152"/>
      <c r="O905" s="152"/>
      <c r="P905" s="152"/>
      <c r="Q905" s="152"/>
      <c r="R905" s="152"/>
      <c r="S905" s="152"/>
      <c r="T905" s="152"/>
      <c r="U905" s="152"/>
      <c r="V905" s="152"/>
      <c r="W905" s="152"/>
      <c r="X905" s="152"/>
      <c r="Y905" s="152"/>
      <c r="Z905" s="152"/>
      <c r="AA905" s="152"/>
      <c r="AB905" s="152"/>
      <c r="AC905" s="152"/>
      <c r="AD905" s="152"/>
      <c r="AE905" s="152"/>
    </row>
    <row r="906" spans="1:31" ht="15.75">
      <c r="A906" s="152"/>
      <c r="B906" s="152"/>
      <c r="C906" s="281"/>
      <c r="D906" s="152"/>
      <c r="E906" s="152"/>
      <c r="F906" s="152"/>
      <c r="G906" s="152"/>
      <c r="H906" s="152"/>
      <c r="I906" s="152"/>
      <c r="J906" s="152"/>
      <c r="K906" s="152"/>
      <c r="L906" s="152"/>
      <c r="M906" s="152"/>
      <c r="N906" s="152"/>
      <c r="O906" s="152"/>
      <c r="P906" s="152"/>
      <c r="Q906" s="152"/>
      <c r="R906" s="152"/>
      <c r="S906" s="152"/>
      <c r="T906" s="152"/>
      <c r="U906" s="152"/>
      <c r="V906" s="152"/>
      <c r="W906" s="152"/>
      <c r="X906" s="152"/>
      <c r="Y906" s="152"/>
      <c r="Z906" s="152"/>
      <c r="AA906" s="152"/>
      <c r="AB906" s="152"/>
      <c r="AC906" s="152"/>
      <c r="AD906" s="152"/>
      <c r="AE906" s="152"/>
    </row>
    <row r="907" spans="1:31" ht="15.75">
      <c r="A907" s="152"/>
      <c r="B907" s="152"/>
      <c r="C907" s="281"/>
      <c r="D907" s="152"/>
      <c r="E907" s="152"/>
      <c r="F907" s="152"/>
      <c r="G907" s="152"/>
      <c r="H907" s="152"/>
      <c r="I907" s="152"/>
      <c r="J907" s="152"/>
      <c r="K907" s="152"/>
      <c r="L907" s="152"/>
      <c r="M907" s="152"/>
      <c r="N907" s="152"/>
      <c r="O907" s="152"/>
      <c r="P907" s="152"/>
      <c r="Q907" s="152"/>
      <c r="R907" s="152"/>
      <c r="S907" s="152"/>
      <c r="T907" s="152"/>
      <c r="U907" s="152"/>
      <c r="V907" s="152"/>
      <c r="W907" s="152"/>
      <c r="X907" s="152"/>
      <c r="Y907" s="152"/>
      <c r="Z907" s="152"/>
      <c r="AA907" s="152"/>
      <c r="AB907" s="152"/>
      <c r="AC907" s="152"/>
      <c r="AD907" s="152"/>
      <c r="AE907" s="152"/>
    </row>
    <row r="908" spans="1:31" ht="15.75">
      <c r="A908" s="152"/>
      <c r="B908" s="152"/>
      <c r="C908" s="281"/>
      <c r="D908" s="152"/>
      <c r="E908" s="152"/>
      <c r="F908" s="152"/>
      <c r="G908" s="152"/>
      <c r="H908" s="152"/>
      <c r="I908" s="152"/>
      <c r="J908" s="152"/>
      <c r="K908" s="152"/>
      <c r="L908" s="152"/>
      <c r="M908" s="152"/>
      <c r="N908" s="152"/>
      <c r="O908" s="152"/>
      <c r="P908" s="152"/>
      <c r="Q908" s="152"/>
      <c r="R908" s="152"/>
      <c r="S908" s="152"/>
      <c r="T908" s="152"/>
      <c r="U908" s="152"/>
      <c r="V908" s="152"/>
      <c r="W908" s="152"/>
      <c r="X908" s="152"/>
      <c r="Y908" s="152"/>
      <c r="Z908" s="152"/>
      <c r="AA908" s="152"/>
      <c r="AB908" s="152"/>
      <c r="AC908" s="152"/>
      <c r="AD908" s="152"/>
      <c r="AE908" s="152"/>
    </row>
    <row r="909" spans="1:31" ht="15.75">
      <c r="A909" s="152"/>
      <c r="B909" s="152"/>
      <c r="C909" s="281"/>
      <c r="D909" s="152"/>
      <c r="E909" s="152"/>
      <c r="F909" s="152"/>
      <c r="G909" s="152"/>
      <c r="H909" s="152"/>
      <c r="I909" s="152"/>
      <c r="J909" s="152"/>
      <c r="K909" s="152"/>
      <c r="L909" s="152"/>
      <c r="M909" s="152"/>
      <c r="N909" s="152"/>
      <c r="O909" s="152"/>
      <c r="P909" s="152"/>
      <c r="Q909" s="152"/>
      <c r="R909" s="152"/>
      <c r="S909" s="152"/>
      <c r="T909" s="152"/>
      <c r="U909" s="152"/>
      <c r="V909" s="152"/>
      <c r="W909" s="152"/>
      <c r="X909" s="152"/>
      <c r="Y909" s="152"/>
      <c r="Z909" s="152"/>
      <c r="AA909" s="152"/>
      <c r="AB909" s="152"/>
      <c r="AC909" s="152"/>
      <c r="AD909" s="152"/>
      <c r="AE909" s="152"/>
    </row>
    <row r="910" spans="1:31" ht="15.75">
      <c r="A910" s="152"/>
      <c r="B910" s="152"/>
      <c r="C910" s="281"/>
      <c r="D910" s="152"/>
      <c r="E910" s="152"/>
      <c r="F910" s="152"/>
      <c r="G910" s="152"/>
      <c r="H910" s="152"/>
      <c r="I910" s="152"/>
      <c r="J910" s="152"/>
      <c r="K910" s="152"/>
      <c r="L910" s="152"/>
      <c r="M910" s="152"/>
      <c r="N910" s="152"/>
      <c r="O910" s="152"/>
      <c r="P910" s="152"/>
      <c r="Q910" s="152"/>
      <c r="R910" s="152"/>
      <c r="S910" s="152"/>
      <c r="T910" s="152"/>
      <c r="U910" s="152"/>
      <c r="V910" s="152"/>
      <c r="W910" s="152"/>
      <c r="X910" s="152"/>
      <c r="Y910" s="152"/>
      <c r="Z910" s="152"/>
      <c r="AA910" s="152"/>
      <c r="AB910" s="152"/>
      <c r="AC910" s="152"/>
      <c r="AD910" s="152"/>
      <c r="AE910" s="152"/>
    </row>
    <row r="911" spans="1:31" ht="15.75">
      <c r="A911" s="152"/>
      <c r="B911" s="152"/>
      <c r="C911" s="281"/>
      <c r="D911" s="152"/>
      <c r="E911" s="152"/>
      <c r="F911" s="152"/>
      <c r="G911" s="152"/>
      <c r="H911" s="152"/>
      <c r="I911" s="152"/>
      <c r="J911" s="152"/>
      <c r="K911" s="152"/>
      <c r="L911" s="152"/>
      <c r="M911" s="152"/>
      <c r="N911" s="152"/>
      <c r="O911" s="152"/>
      <c r="P911" s="152"/>
      <c r="Q911" s="152"/>
      <c r="R911" s="152"/>
      <c r="S911" s="152"/>
      <c r="T911" s="152"/>
      <c r="U911" s="152"/>
      <c r="V911" s="152"/>
      <c r="W911" s="152"/>
      <c r="X911" s="152"/>
      <c r="Y911" s="152"/>
      <c r="Z911" s="152"/>
      <c r="AA911" s="152"/>
      <c r="AB911" s="152"/>
      <c r="AC911" s="152"/>
      <c r="AD911" s="152"/>
      <c r="AE911" s="152"/>
    </row>
    <row r="912" spans="1:31" ht="15.75">
      <c r="A912" s="152"/>
      <c r="B912" s="152"/>
      <c r="C912" s="281"/>
      <c r="D912" s="152"/>
      <c r="E912" s="152"/>
      <c r="F912" s="152"/>
      <c r="G912" s="152"/>
      <c r="H912" s="152"/>
      <c r="I912" s="152"/>
      <c r="J912" s="152"/>
      <c r="K912" s="152"/>
      <c r="L912" s="152"/>
      <c r="M912" s="152"/>
      <c r="N912" s="152"/>
      <c r="O912" s="152"/>
      <c r="P912" s="152"/>
      <c r="Q912" s="152"/>
      <c r="R912" s="152"/>
      <c r="S912" s="152"/>
      <c r="T912" s="152"/>
      <c r="U912" s="152"/>
      <c r="V912" s="152"/>
      <c r="W912" s="152"/>
      <c r="X912" s="152"/>
      <c r="Y912" s="152"/>
      <c r="Z912" s="152"/>
      <c r="AA912" s="152"/>
      <c r="AB912" s="152"/>
      <c r="AC912" s="152"/>
      <c r="AD912" s="152"/>
      <c r="AE912" s="152"/>
    </row>
    <row r="913" spans="1:31" ht="15.75">
      <c r="A913" s="152"/>
      <c r="B913" s="152"/>
      <c r="C913" s="281"/>
      <c r="D913" s="152"/>
      <c r="E913" s="152"/>
      <c r="F913" s="152"/>
      <c r="G913" s="152"/>
      <c r="H913" s="152"/>
      <c r="I913" s="152"/>
      <c r="J913" s="152"/>
      <c r="K913" s="152"/>
      <c r="L913" s="152"/>
      <c r="M913" s="152"/>
      <c r="N913" s="152"/>
      <c r="O913" s="152"/>
      <c r="P913" s="152"/>
      <c r="Q913" s="152"/>
      <c r="R913" s="152"/>
      <c r="S913" s="152"/>
      <c r="T913" s="152"/>
      <c r="U913" s="152"/>
      <c r="V913" s="152"/>
      <c r="W913" s="152"/>
      <c r="X913" s="152"/>
      <c r="Y913" s="152"/>
      <c r="Z913" s="152"/>
      <c r="AA913" s="152"/>
      <c r="AB913" s="152"/>
      <c r="AC913" s="152"/>
      <c r="AD913" s="152"/>
      <c r="AE913" s="152"/>
    </row>
    <row r="914" spans="1:31" ht="15.75">
      <c r="A914" s="152"/>
      <c r="B914" s="152"/>
      <c r="C914" s="281"/>
      <c r="D914" s="152"/>
      <c r="E914" s="152"/>
      <c r="F914" s="152"/>
      <c r="G914" s="152"/>
      <c r="H914" s="152"/>
      <c r="I914" s="152"/>
      <c r="J914" s="152"/>
      <c r="K914" s="152"/>
      <c r="L914" s="152"/>
      <c r="M914" s="152"/>
      <c r="N914" s="152"/>
      <c r="O914" s="152"/>
      <c r="P914" s="152"/>
      <c r="Q914" s="152"/>
      <c r="R914" s="152"/>
      <c r="S914" s="152"/>
      <c r="T914" s="152"/>
      <c r="U914" s="152"/>
      <c r="V914" s="152"/>
      <c r="W914" s="152"/>
      <c r="X914" s="152"/>
      <c r="Y914" s="152"/>
      <c r="Z914" s="152"/>
      <c r="AA914" s="152"/>
      <c r="AB914" s="152"/>
      <c r="AC914" s="152"/>
      <c r="AD914" s="152"/>
      <c r="AE914" s="152"/>
    </row>
    <row r="915" spans="1:31" ht="15.75">
      <c r="A915" s="152"/>
      <c r="B915" s="152"/>
      <c r="C915" s="281"/>
      <c r="D915" s="152"/>
      <c r="E915" s="152"/>
      <c r="F915" s="152"/>
      <c r="G915" s="152"/>
      <c r="H915" s="152"/>
      <c r="I915" s="152"/>
      <c r="J915" s="152"/>
      <c r="K915" s="152"/>
      <c r="L915" s="152"/>
      <c r="M915" s="152"/>
      <c r="N915" s="152"/>
      <c r="O915" s="152"/>
      <c r="P915" s="152"/>
      <c r="Q915" s="152"/>
      <c r="R915" s="152"/>
      <c r="S915" s="152"/>
      <c r="T915" s="152"/>
      <c r="U915" s="152"/>
      <c r="V915" s="152"/>
      <c r="W915" s="152"/>
      <c r="X915" s="152"/>
      <c r="Y915" s="152"/>
      <c r="Z915" s="152"/>
      <c r="AA915" s="152"/>
      <c r="AB915" s="152"/>
      <c r="AC915" s="152"/>
      <c r="AD915" s="152"/>
      <c r="AE915" s="152"/>
    </row>
    <row r="916" spans="1:31" ht="15.75">
      <c r="A916" s="152"/>
      <c r="B916" s="152"/>
      <c r="C916" s="281"/>
      <c r="D916" s="152"/>
      <c r="E916" s="152"/>
      <c r="F916" s="152"/>
      <c r="G916" s="152"/>
      <c r="H916" s="152"/>
      <c r="I916" s="152"/>
      <c r="J916" s="152"/>
      <c r="K916" s="152"/>
      <c r="L916" s="152"/>
      <c r="M916" s="152"/>
      <c r="N916" s="152"/>
      <c r="O916" s="152"/>
      <c r="P916" s="152"/>
      <c r="Q916" s="152"/>
      <c r="R916" s="152"/>
      <c r="S916" s="152"/>
      <c r="T916" s="152"/>
      <c r="U916" s="152"/>
      <c r="V916" s="152"/>
      <c r="W916" s="152"/>
      <c r="X916" s="152"/>
      <c r="Y916" s="152"/>
      <c r="Z916" s="152"/>
      <c r="AA916" s="152"/>
      <c r="AB916" s="152"/>
      <c r="AC916" s="152"/>
      <c r="AD916" s="152"/>
      <c r="AE916" s="152"/>
    </row>
    <row r="917" spans="1:31" ht="15.75">
      <c r="A917" s="152"/>
      <c r="B917" s="152"/>
      <c r="C917" s="281"/>
      <c r="D917" s="152"/>
      <c r="E917" s="152"/>
      <c r="F917" s="152"/>
      <c r="G917" s="152"/>
      <c r="H917" s="152"/>
      <c r="I917" s="152"/>
      <c r="J917" s="152"/>
      <c r="K917" s="152"/>
      <c r="L917" s="152"/>
      <c r="M917" s="152"/>
      <c r="N917" s="152"/>
      <c r="O917" s="152"/>
      <c r="P917" s="152"/>
      <c r="Q917" s="152"/>
      <c r="R917" s="152"/>
      <c r="S917" s="152"/>
      <c r="T917" s="152"/>
      <c r="U917" s="152"/>
      <c r="V917" s="152"/>
      <c r="W917" s="152"/>
      <c r="X917" s="152"/>
      <c r="Y917" s="152"/>
      <c r="Z917" s="152"/>
      <c r="AA917" s="152"/>
      <c r="AB917" s="152"/>
      <c r="AC917" s="152"/>
      <c r="AD917" s="152"/>
      <c r="AE917" s="152"/>
    </row>
    <row r="918" spans="1:31" ht="15.75">
      <c r="A918" s="152"/>
      <c r="B918" s="152"/>
      <c r="C918" s="281"/>
      <c r="D918" s="152"/>
      <c r="E918" s="152"/>
      <c r="F918" s="152"/>
      <c r="G918" s="152"/>
      <c r="H918" s="152"/>
      <c r="I918" s="152"/>
      <c r="J918" s="152"/>
      <c r="K918" s="152"/>
      <c r="L918" s="152"/>
      <c r="M918" s="152"/>
      <c r="N918" s="152"/>
      <c r="O918" s="152"/>
      <c r="P918" s="152"/>
      <c r="Q918" s="152"/>
      <c r="R918" s="152"/>
      <c r="S918" s="152"/>
      <c r="T918" s="152"/>
      <c r="U918" s="152"/>
      <c r="V918" s="152"/>
      <c r="W918" s="152"/>
      <c r="X918" s="152"/>
      <c r="Y918" s="152"/>
      <c r="Z918" s="152"/>
      <c r="AA918" s="152"/>
      <c r="AB918" s="152"/>
      <c r="AC918" s="152"/>
      <c r="AD918" s="152"/>
      <c r="AE918" s="152"/>
    </row>
    <row r="919" spans="1:31" ht="15.75">
      <c r="A919" s="152"/>
      <c r="B919" s="152"/>
      <c r="C919" s="281"/>
      <c r="D919" s="152"/>
      <c r="E919" s="152"/>
      <c r="F919" s="152"/>
      <c r="G919" s="152"/>
      <c r="H919" s="152"/>
      <c r="I919" s="152"/>
      <c r="J919" s="152"/>
      <c r="K919" s="152"/>
      <c r="L919" s="152"/>
      <c r="M919" s="152"/>
      <c r="N919" s="152"/>
      <c r="O919" s="152"/>
      <c r="P919" s="152"/>
      <c r="Q919" s="152"/>
      <c r="R919" s="152"/>
      <c r="S919" s="152"/>
      <c r="T919" s="152"/>
      <c r="U919" s="152"/>
      <c r="V919" s="152"/>
      <c r="W919" s="152"/>
      <c r="X919" s="152"/>
      <c r="Y919" s="152"/>
      <c r="Z919" s="152"/>
      <c r="AA919" s="152"/>
      <c r="AB919" s="152"/>
      <c r="AC919" s="152"/>
      <c r="AD919" s="152"/>
      <c r="AE919" s="152"/>
    </row>
    <row r="920" spans="1:31" ht="15.75">
      <c r="A920" s="152"/>
      <c r="B920" s="152"/>
      <c r="C920" s="281"/>
      <c r="D920" s="152"/>
      <c r="E920" s="152"/>
      <c r="F920" s="152"/>
      <c r="G920" s="152"/>
      <c r="H920" s="152"/>
      <c r="I920" s="152"/>
      <c r="J920" s="152"/>
      <c r="K920" s="152"/>
      <c r="L920" s="152"/>
      <c r="M920" s="152"/>
      <c r="N920" s="152"/>
      <c r="O920" s="152"/>
      <c r="P920" s="152"/>
      <c r="Q920" s="152"/>
      <c r="R920" s="152"/>
      <c r="S920" s="152"/>
      <c r="T920" s="152"/>
      <c r="U920" s="152"/>
      <c r="V920" s="152"/>
      <c r="W920" s="152"/>
      <c r="X920" s="152"/>
      <c r="Y920" s="152"/>
      <c r="Z920" s="152"/>
      <c r="AA920" s="152"/>
      <c r="AB920" s="152"/>
      <c r="AC920" s="152"/>
      <c r="AD920" s="152"/>
      <c r="AE920" s="152"/>
    </row>
    <row r="921" spans="1:31" ht="15.75">
      <c r="A921" s="152"/>
      <c r="B921" s="152"/>
      <c r="C921" s="281"/>
      <c r="D921" s="152"/>
      <c r="E921" s="152"/>
      <c r="F921" s="152"/>
      <c r="G921" s="152"/>
      <c r="H921" s="152"/>
      <c r="I921" s="152"/>
      <c r="J921" s="152"/>
      <c r="K921" s="152"/>
      <c r="L921" s="152"/>
      <c r="M921" s="152"/>
      <c r="N921" s="152"/>
      <c r="O921" s="152"/>
      <c r="P921" s="152"/>
      <c r="Q921" s="152"/>
      <c r="R921" s="152"/>
      <c r="S921" s="152"/>
      <c r="T921" s="152"/>
      <c r="U921" s="152"/>
      <c r="V921" s="152"/>
      <c r="W921" s="152"/>
      <c r="X921" s="152"/>
      <c r="Y921" s="152"/>
      <c r="Z921" s="152"/>
      <c r="AA921" s="152"/>
      <c r="AB921" s="152"/>
      <c r="AC921" s="152"/>
      <c r="AD921" s="152"/>
      <c r="AE921" s="152"/>
    </row>
    <row r="922" spans="1:31" ht="15.75">
      <c r="A922" s="152"/>
      <c r="B922" s="152"/>
      <c r="C922" s="281"/>
      <c r="D922" s="152"/>
      <c r="E922" s="152"/>
      <c r="F922" s="152"/>
      <c r="G922" s="152"/>
      <c r="H922" s="152"/>
      <c r="I922" s="152"/>
      <c r="J922" s="152"/>
      <c r="K922" s="152"/>
      <c r="L922" s="152"/>
      <c r="M922" s="152"/>
      <c r="N922" s="152"/>
      <c r="O922" s="152"/>
      <c r="P922" s="152"/>
      <c r="Q922" s="152"/>
      <c r="R922" s="152"/>
      <c r="S922" s="152"/>
      <c r="T922" s="152"/>
      <c r="U922" s="152"/>
      <c r="V922" s="152"/>
      <c r="W922" s="152"/>
      <c r="X922" s="152"/>
      <c r="Y922" s="152"/>
      <c r="Z922" s="152"/>
      <c r="AA922" s="152"/>
      <c r="AB922" s="152"/>
      <c r="AC922" s="152"/>
      <c r="AD922" s="152"/>
      <c r="AE922" s="152"/>
    </row>
    <row r="923" spans="1:31" ht="15.75">
      <c r="A923" s="152"/>
      <c r="B923" s="152"/>
      <c r="C923" s="281"/>
      <c r="D923" s="152"/>
      <c r="E923" s="152"/>
      <c r="F923" s="152"/>
      <c r="G923" s="152"/>
      <c r="H923" s="152"/>
      <c r="I923" s="152"/>
      <c r="J923" s="152"/>
      <c r="K923" s="152"/>
      <c r="L923" s="152"/>
      <c r="M923" s="152"/>
      <c r="N923" s="152"/>
      <c r="O923" s="152"/>
      <c r="P923" s="152"/>
      <c r="Q923" s="152"/>
      <c r="R923" s="152"/>
      <c r="S923" s="152"/>
      <c r="T923" s="152"/>
      <c r="U923" s="152"/>
      <c r="V923" s="152"/>
      <c r="W923" s="152"/>
      <c r="X923" s="152"/>
      <c r="Y923" s="152"/>
      <c r="Z923" s="152"/>
      <c r="AA923" s="152"/>
      <c r="AB923" s="152"/>
      <c r="AC923" s="152"/>
      <c r="AD923" s="152"/>
      <c r="AE923" s="152"/>
    </row>
    <row r="924" spans="1:31" ht="15.75">
      <c r="A924" s="152"/>
      <c r="B924" s="152"/>
      <c r="C924" s="281"/>
      <c r="D924" s="152"/>
      <c r="E924" s="152"/>
      <c r="F924" s="152"/>
      <c r="G924" s="152"/>
      <c r="H924" s="152"/>
      <c r="I924" s="152"/>
      <c r="J924" s="152"/>
      <c r="K924" s="152"/>
      <c r="L924" s="152"/>
      <c r="M924" s="152"/>
      <c r="N924" s="152"/>
      <c r="O924" s="152"/>
      <c r="P924" s="152"/>
      <c r="Q924" s="152"/>
      <c r="R924" s="152"/>
      <c r="S924" s="152"/>
      <c r="T924" s="152"/>
      <c r="U924" s="152"/>
      <c r="V924" s="152"/>
      <c r="W924" s="152"/>
      <c r="X924" s="152"/>
      <c r="Y924" s="152"/>
      <c r="Z924" s="152"/>
      <c r="AA924" s="152"/>
      <c r="AB924" s="152"/>
      <c r="AC924" s="152"/>
      <c r="AD924" s="152"/>
      <c r="AE924" s="152"/>
    </row>
    <row r="925" spans="1:31" ht="15.75">
      <c r="A925" s="152"/>
      <c r="B925" s="152"/>
      <c r="C925" s="281"/>
      <c r="D925" s="152"/>
      <c r="E925" s="152"/>
      <c r="F925" s="152"/>
      <c r="G925" s="152"/>
      <c r="H925" s="152"/>
      <c r="I925" s="152"/>
      <c r="J925" s="152"/>
      <c r="K925" s="152"/>
      <c r="L925" s="152"/>
      <c r="M925" s="152"/>
      <c r="N925" s="152"/>
      <c r="O925" s="152"/>
      <c r="P925" s="152"/>
      <c r="Q925" s="152"/>
      <c r="R925" s="152"/>
      <c r="S925" s="152"/>
      <c r="T925" s="152"/>
      <c r="U925" s="152"/>
      <c r="V925" s="152"/>
      <c r="W925" s="152"/>
      <c r="X925" s="152"/>
      <c r="Y925" s="152"/>
      <c r="Z925" s="152"/>
      <c r="AA925" s="152"/>
      <c r="AB925" s="152"/>
      <c r="AC925" s="152"/>
      <c r="AD925" s="152"/>
      <c r="AE925" s="152"/>
    </row>
    <row r="926" spans="1:31" ht="15.75">
      <c r="A926" s="152"/>
      <c r="B926" s="152"/>
      <c r="C926" s="281"/>
      <c r="D926" s="152"/>
      <c r="E926" s="152"/>
      <c r="F926" s="152"/>
      <c r="G926" s="152"/>
      <c r="H926" s="152"/>
      <c r="I926" s="152"/>
      <c r="J926" s="152"/>
      <c r="K926" s="152"/>
      <c r="L926" s="152"/>
      <c r="M926" s="152"/>
      <c r="N926" s="152"/>
      <c r="O926" s="152"/>
      <c r="P926" s="152"/>
      <c r="Q926" s="152"/>
      <c r="R926" s="152"/>
      <c r="S926" s="152"/>
      <c r="T926" s="152"/>
      <c r="U926" s="152"/>
      <c r="V926" s="152"/>
      <c r="W926" s="152"/>
      <c r="X926" s="152"/>
      <c r="Y926" s="152"/>
      <c r="Z926" s="152"/>
      <c r="AA926" s="152"/>
      <c r="AB926" s="152"/>
      <c r="AC926" s="152"/>
      <c r="AD926" s="152"/>
      <c r="AE926" s="152"/>
    </row>
    <row r="927" spans="1:31" ht="15.75">
      <c r="A927" s="152"/>
      <c r="B927" s="152"/>
      <c r="C927" s="281"/>
      <c r="D927" s="152"/>
      <c r="E927" s="152"/>
      <c r="F927" s="152"/>
      <c r="G927" s="152"/>
      <c r="H927" s="152"/>
      <c r="I927" s="152"/>
      <c r="J927" s="152"/>
      <c r="K927" s="152"/>
      <c r="L927" s="152"/>
      <c r="M927" s="152"/>
      <c r="N927" s="152"/>
      <c r="O927" s="152"/>
      <c r="P927" s="152"/>
      <c r="Q927" s="152"/>
      <c r="R927" s="152"/>
      <c r="S927" s="152"/>
      <c r="T927" s="152"/>
      <c r="U927" s="152"/>
      <c r="V927" s="152"/>
      <c r="W927" s="152"/>
      <c r="X927" s="152"/>
      <c r="Y927" s="152"/>
      <c r="Z927" s="152"/>
      <c r="AA927" s="152"/>
      <c r="AB927" s="152"/>
      <c r="AC927" s="152"/>
      <c r="AD927" s="152"/>
      <c r="AE927" s="152"/>
    </row>
    <row r="928" spans="1:31" ht="15.75">
      <c r="A928" s="152"/>
      <c r="B928" s="152"/>
      <c r="C928" s="281"/>
      <c r="D928" s="152"/>
      <c r="E928" s="152"/>
      <c r="F928" s="152"/>
      <c r="G928" s="152"/>
      <c r="H928" s="152"/>
      <c r="I928" s="152"/>
      <c r="J928" s="152"/>
      <c r="K928" s="152"/>
      <c r="L928" s="152"/>
      <c r="M928" s="152"/>
      <c r="N928" s="152"/>
      <c r="O928" s="152"/>
      <c r="P928" s="152"/>
      <c r="Q928" s="152"/>
      <c r="R928" s="152"/>
      <c r="S928" s="152"/>
      <c r="T928" s="152"/>
      <c r="U928" s="152"/>
      <c r="V928" s="152"/>
      <c r="W928" s="152"/>
      <c r="X928" s="152"/>
      <c r="Y928" s="152"/>
      <c r="Z928" s="152"/>
      <c r="AA928" s="152"/>
      <c r="AB928" s="152"/>
      <c r="AC928" s="152"/>
      <c r="AD928" s="152"/>
      <c r="AE928" s="152"/>
    </row>
    <row r="929" spans="1:31" ht="15.75">
      <c r="A929" s="152"/>
      <c r="B929" s="152"/>
      <c r="C929" s="281"/>
      <c r="D929" s="152"/>
      <c r="E929" s="152"/>
      <c r="F929" s="152"/>
      <c r="G929" s="152"/>
      <c r="H929" s="152"/>
      <c r="I929" s="152"/>
      <c r="J929" s="152"/>
      <c r="K929" s="152"/>
      <c r="L929" s="152"/>
      <c r="M929" s="152"/>
      <c r="N929" s="152"/>
      <c r="O929" s="152"/>
      <c r="P929" s="152"/>
      <c r="Q929" s="152"/>
      <c r="R929" s="152"/>
      <c r="S929" s="152"/>
      <c r="T929" s="152"/>
      <c r="U929" s="152"/>
      <c r="V929" s="152"/>
      <c r="W929" s="152"/>
      <c r="X929" s="152"/>
      <c r="Y929" s="152"/>
      <c r="Z929" s="152"/>
      <c r="AA929" s="152"/>
      <c r="AB929" s="152"/>
      <c r="AC929" s="152"/>
      <c r="AD929" s="152"/>
      <c r="AE929" s="152"/>
    </row>
    <row r="930" spans="1:31" ht="15.75">
      <c r="A930" s="152"/>
      <c r="B930" s="152"/>
      <c r="C930" s="281"/>
      <c r="D930" s="152"/>
      <c r="E930" s="152"/>
      <c r="F930" s="152"/>
      <c r="G930" s="152"/>
      <c r="H930" s="152"/>
      <c r="I930" s="152"/>
      <c r="J930" s="152"/>
      <c r="K930" s="152"/>
      <c r="L930" s="152"/>
      <c r="M930" s="152"/>
      <c r="N930" s="152"/>
      <c r="O930" s="152"/>
      <c r="P930" s="152"/>
      <c r="Q930" s="152"/>
      <c r="R930" s="152"/>
      <c r="S930" s="152"/>
      <c r="T930" s="152"/>
      <c r="U930" s="152"/>
      <c r="V930" s="152"/>
      <c r="W930" s="152"/>
      <c r="X930" s="152"/>
      <c r="Y930" s="152"/>
      <c r="Z930" s="152"/>
      <c r="AA930" s="152"/>
      <c r="AB930" s="152"/>
      <c r="AC930" s="152"/>
      <c r="AD930" s="152"/>
      <c r="AE930" s="152"/>
    </row>
    <row r="931" spans="1:31" ht="15.75">
      <c r="A931" s="152"/>
      <c r="B931" s="152"/>
      <c r="C931" s="281"/>
      <c r="D931" s="152"/>
      <c r="E931" s="152"/>
      <c r="F931" s="152"/>
      <c r="G931" s="152"/>
      <c r="H931" s="152"/>
      <c r="I931" s="152"/>
      <c r="J931" s="152"/>
      <c r="K931" s="152"/>
      <c r="L931" s="152"/>
      <c r="M931" s="152"/>
      <c r="N931" s="152"/>
      <c r="O931" s="152"/>
      <c r="P931" s="152"/>
      <c r="Q931" s="152"/>
      <c r="R931" s="152"/>
      <c r="S931" s="152"/>
      <c r="T931" s="152"/>
      <c r="U931" s="152"/>
      <c r="V931" s="152"/>
      <c r="W931" s="152"/>
      <c r="X931" s="152"/>
      <c r="Y931" s="152"/>
      <c r="Z931" s="152"/>
      <c r="AA931" s="152"/>
      <c r="AB931" s="152"/>
      <c r="AC931" s="152"/>
      <c r="AD931" s="152"/>
      <c r="AE931" s="152"/>
    </row>
    <row r="932" spans="1:31" ht="15.75">
      <c r="A932" s="152"/>
      <c r="B932" s="152"/>
      <c r="C932" s="281"/>
      <c r="D932" s="152"/>
      <c r="E932" s="152"/>
      <c r="F932" s="152"/>
      <c r="G932" s="152"/>
      <c r="H932" s="152"/>
      <c r="I932" s="152"/>
      <c r="J932" s="152"/>
      <c r="K932" s="152"/>
      <c r="L932" s="152"/>
      <c r="M932" s="152"/>
      <c r="N932" s="152"/>
      <c r="O932" s="152"/>
      <c r="P932" s="152"/>
      <c r="Q932" s="152"/>
      <c r="R932" s="152"/>
      <c r="S932" s="152"/>
      <c r="T932" s="152"/>
      <c r="U932" s="152"/>
      <c r="V932" s="152"/>
      <c r="W932" s="152"/>
      <c r="X932" s="152"/>
      <c r="Y932" s="152"/>
      <c r="Z932" s="152"/>
      <c r="AA932" s="152"/>
      <c r="AB932" s="152"/>
      <c r="AC932" s="152"/>
      <c r="AD932" s="152"/>
      <c r="AE932" s="152"/>
    </row>
    <row r="933" spans="1:31" ht="15.75">
      <c r="A933" s="152"/>
      <c r="B933" s="152"/>
      <c r="C933" s="281"/>
      <c r="D933" s="152"/>
      <c r="E933" s="152"/>
      <c r="F933" s="152"/>
      <c r="G933" s="152"/>
      <c r="H933" s="152"/>
      <c r="I933" s="152"/>
      <c r="J933" s="152"/>
      <c r="K933" s="152"/>
      <c r="L933" s="152"/>
      <c r="M933" s="152"/>
      <c r="N933" s="152"/>
      <c r="O933" s="152"/>
      <c r="P933" s="152"/>
      <c r="Q933" s="152"/>
      <c r="R933" s="152"/>
      <c r="S933" s="152"/>
      <c r="T933" s="152"/>
      <c r="U933" s="152"/>
      <c r="V933" s="152"/>
      <c r="W933" s="152"/>
      <c r="X933" s="152"/>
      <c r="Y933" s="152"/>
      <c r="Z933" s="152"/>
      <c r="AA933" s="152"/>
      <c r="AB933" s="152"/>
      <c r="AC933" s="152"/>
      <c r="AD933" s="152"/>
      <c r="AE933" s="152"/>
    </row>
    <row r="934" spans="1:31" ht="15.75">
      <c r="A934" s="152"/>
      <c r="B934" s="152"/>
      <c r="C934" s="281"/>
      <c r="D934" s="152"/>
      <c r="E934" s="152"/>
      <c r="F934" s="152"/>
      <c r="G934" s="152"/>
      <c r="H934" s="152"/>
      <c r="I934" s="152"/>
      <c r="J934" s="152"/>
      <c r="K934" s="152"/>
      <c r="L934" s="152"/>
      <c r="M934" s="152"/>
      <c r="N934" s="152"/>
      <c r="O934" s="152"/>
      <c r="P934" s="152"/>
      <c r="Q934" s="152"/>
      <c r="R934" s="152"/>
      <c r="S934" s="152"/>
      <c r="T934" s="152"/>
      <c r="U934" s="152"/>
      <c r="V934" s="152"/>
      <c r="W934" s="152"/>
      <c r="X934" s="152"/>
      <c r="Y934" s="152"/>
      <c r="Z934" s="152"/>
      <c r="AA934" s="152"/>
      <c r="AB934" s="152"/>
      <c r="AC934" s="152"/>
      <c r="AD934" s="152"/>
      <c r="AE934" s="152"/>
    </row>
    <row r="935" spans="1:31" ht="15.75">
      <c r="A935" s="152"/>
      <c r="B935" s="152"/>
      <c r="C935" s="281"/>
      <c r="D935" s="152"/>
      <c r="E935" s="152"/>
      <c r="F935" s="152"/>
      <c r="G935" s="152"/>
      <c r="H935" s="152"/>
      <c r="I935" s="152"/>
      <c r="J935" s="152"/>
      <c r="K935" s="152"/>
      <c r="L935" s="152"/>
      <c r="M935" s="152"/>
      <c r="N935" s="152"/>
      <c r="O935" s="152"/>
      <c r="P935" s="152"/>
      <c r="Q935" s="152"/>
      <c r="R935" s="152"/>
      <c r="S935" s="152"/>
      <c r="T935" s="152"/>
      <c r="U935" s="152"/>
      <c r="V935" s="152"/>
      <c r="W935" s="152"/>
      <c r="X935" s="152"/>
      <c r="Y935" s="152"/>
      <c r="Z935" s="152"/>
      <c r="AA935" s="152"/>
      <c r="AB935" s="152"/>
      <c r="AC935" s="152"/>
      <c r="AD935" s="152"/>
      <c r="AE935" s="152"/>
    </row>
    <row r="936" spans="1:31" ht="15.75">
      <c r="A936" s="152"/>
      <c r="B936" s="152"/>
      <c r="C936" s="281"/>
      <c r="D936" s="152"/>
      <c r="E936" s="152"/>
      <c r="F936" s="152"/>
      <c r="G936" s="152"/>
      <c r="H936" s="152"/>
      <c r="I936" s="152"/>
      <c r="J936" s="152"/>
      <c r="K936" s="152"/>
      <c r="L936" s="152"/>
      <c r="M936" s="152"/>
      <c r="N936" s="152"/>
      <c r="O936" s="152"/>
      <c r="P936" s="152"/>
      <c r="Q936" s="152"/>
      <c r="R936" s="152"/>
      <c r="S936" s="152"/>
      <c r="T936" s="152"/>
      <c r="U936" s="152"/>
      <c r="V936" s="152"/>
      <c r="W936" s="152"/>
      <c r="X936" s="152"/>
      <c r="Y936" s="152"/>
      <c r="Z936" s="152"/>
      <c r="AA936" s="152"/>
      <c r="AB936" s="152"/>
      <c r="AC936" s="152"/>
      <c r="AD936" s="152"/>
      <c r="AE936" s="152"/>
    </row>
    <row r="937" spans="1:31" ht="15.75">
      <c r="A937" s="152"/>
      <c r="B937" s="152"/>
      <c r="C937" s="281"/>
      <c r="D937" s="152"/>
      <c r="E937" s="152"/>
      <c r="F937" s="152"/>
      <c r="G937" s="152"/>
      <c r="H937" s="152"/>
      <c r="I937" s="152"/>
      <c r="J937" s="152"/>
      <c r="K937" s="152"/>
      <c r="L937" s="152"/>
      <c r="M937" s="152"/>
      <c r="N937" s="152"/>
      <c r="O937" s="152"/>
      <c r="P937" s="152"/>
      <c r="Q937" s="152"/>
      <c r="R937" s="152"/>
      <c r="S937" s="152"/>
      <c r="T937" s="152"/>
      <c r="U937" s="152"/>
      <c r="V937" s="152"/>
      <c r="W937" s="152"/>
      <c r="X937" s="152"/>
      <c r="Y937" s="152"/>
      <c r="Z937" s="152"/>
      <c r="AA937" s="152"/>
      <c r="AB937" s="152"/>
      <c r="AC937" s="152"/>
      <c r="AD937" s="152"/>
      <c r="AE937" s="152"/>
    </row>
    <row r="938" spans="1:31" ht="15.75">
      <c r="A938" s="152"/>
      <c r="B938" s="152"/>
      <c r="C938" s="281"/>
      <c r="D938" s="152"/>
      <c r="E938" s="152"/>
      <c r="F938" s="152"/>
      <c r="G938" s="152"/>
      <c r="H938" s="152"/>
      <c r="I938" s="152"/>
      <c r="J938" s="152"/>
      <c r="K938" s="152"/>
      <c r="L938" s="152"/>
      <c r="M938" s="152"/>
      <c r="N938" s="152"/>
      <c r="O938" s="152"/>
      <c r="P938" s="152"/>
      <c r="Q938" s="152"/>
      <c r="R938" s="152"/>
      <c r="S938" s="152"/>
      <c r="T938" s="152"/>
      <c r="U938" s="152"/>
      <c r="V938" s="152"/>
      <c r="W938" s="152"/>
      <c r="X938" s="152"/>
      <c r="Y938" s="152"/>
      <c r="Z938" s="152"/>
      <c r="AA938" s="152"/>
      <c r="AB938" s="152"/>
      <c r="AC938" s="152"/>
      <c r="AD938" s="152"/>
      <c r="AE938" s="152"/>
    </row>
    <row r="939" spans="1:31" ht="15.75">
      <c r="A939" s="152"/>
      <c r="B939" s="152"/>
      <c r="C939" s="281"/>
      <c r="D939" s="152"/>
      <c r="E939" s="152"/>
      <c r="F939" s="152"/>
      <c r="G939" s="152"/>
      <c r="H939" s="152"/>
      <c r="I939" s="152"/>
      <c r="J939" s="152"/>
      <c r="K939" s="152"/>
      <c r="L939" s="152"/>
      <c r="M939" s="152"/>
      <c r="N939" s="152"/>
      <c r="O939" s="152"/>
      <c r="P939" s="152"/>
      <c r="Q939" s="152"/>
      <c r="R939" s="152"/>
      <c r="S939" s="152"/>
      <c r="T939" s="152"/>
      <c r="U939" s="152"/>
      <c r="V939" s="152"/>
      <c r="W939" s="152"/>
      <c r="X939" s="152"/>
      <c r="Y939" s="152"/>
      <c r="Z939" s="152"/>
      <c r="AA939" s="152"/>
      <c r="AB939" s="152"/>
      <c r="AC939" s="152"/>
      <c r="AD939" s="152"/>
      <c r="AE939" s="152"/>
    </row>
    <row r="940" spans="1:31" ht="15.75">
      <c r="A940" s="152"/>
      <c r="B940" s="152"/>
      <c r="C940" s="281"/>
      <c r="D940" s="152"/>
      <c r="E940" s="152"/>
      <c r="F940" s="152"/>
      <c r="G940" s="152"/>
      <c r="H940" s="152"/>
      <c r="I940" s="152"/>
      <c r="J940" s="152"/>
      <c r="K940" s="152"/>
      <c r="L940" s="152"/>
      <c r="M940" s="152"/>
      <c r="N940" s="152"/>
      <c r="O940" s="152"/>
      <c r="P940" s="152"/>
      <c r="Q940" s="152"/>
      <c r="R940" s="152"/>
      <c r="S940" s="152"/>
      <c r="T940" s="152"/>
      <c r="U940" s="152"/>
      <c r="V940" s="152"/>
      <c r="W940" s="152"/>
      <c r="X940" s="152"/>
      <c r="Y940" s="152"/>
      <c r="Z940" s="152"/>
      <c r="AA940" s="152"/>
      <c r="AB940" s="152"/>
      <c r="AC940" s="152"/>
      <c r="AD940" s="152"/>
      <c r="AE940" s="152"/>
    </row>
    <row r="941" spans="1:31" ht="15.75">
      <c r="A941" s="152"/>
      <c r="B941" s="152"/>
      <c r="C941" s="281"/>
      <c r="D941" s="152"/>
      <c r="E941" s="152"/>
      <c r="F941" s="152"/>
      <c r="G941" s="152"/>
      <c r="H941" s="152"/>
      <c r="I941" s="152"/>
      <c r="J941" s="152"/>
      <c r="K941" s="152"/>
      <c r="L941" s="152"/>
      <c r="M941" s="152"/>
      <c r="N941" s="152"/>
      <c r="O941" s="152"/>
      <c r="P941" s="152"/>
      <c r="Q941" s="152"/>
      <c r="R941" s="152"/>
      <c r="S941" s="152"/>
      <c r="T941" s="152"/>
      <c r="U941" s="152"/>
      <c r="V941" s="152"/>
      <c r="W941" s="152"/>
      <c r="X941" s="152"/>
      <c r="Y941" s="152"/>
      <c r="Z941" s="152"/>
      <c r="AA941" s="152"/>
      <c r="AB941" s="152"/>
      <c r="AC941" s="152"/>
      <c r="AD941" s="152"/>
      <c r="AE941" s="152"/>
    </row>
    <row r="942" spans="1:31" ht="15.75">
      <c r="A942" s="152"/>
      <c r="B942" s="152"/>
      <c r="C942" s="281"/>
      <c r="D942" s="152"/>
      <c r="E942" s="152"/>
      <c r="F942" s="152"/>
      <c r="G942" s="152"/>
      <c r="H942" s="152"/>
      <c r="I942" s="152"/>
      <c r="J942" s="152"/>
      <c r="K942" s="152"/>
      <c r="L942" s="152"/>
      <c r="M942" s="152"/>
      <c r="N942" s="152"/>
      <c r="O942" s="152"/>
      <c r="P942" s="152"/>
      <c r="Q942" s="152"/>
      <c r="R942" s="152"/>
      <c r="S942" s="152"/>
      <c r="T942" s="152"/>
      <c r="U942" s="152"/>
      <c r="V942" s="152"/>
      <c r="W942" s="152"/>
      <c r="X942" s="152"/>
      <c r="Y942" s="152"/>
      <c r="Z942" s="152"/>
      <c r="AA942" s="152"/>
      <c r="AB942" s="152"/>
      <c r="AC942" s="152"/>
      <c r="AD942" s="152"/>
      <c r="AE942" s="152"/>
    </row>
    <row r="943" spans="1:31" ht="15.75">
      <c r="A943" s="152"/>
      <c r="B943" s="152"/>
      <c r="C943" s="281"/>
      <c r="D943" s="152"/>
      <c r="E943" s="152"/>
      <c r="F943" s="152"/>
      <c r="G943" s="152"/>
      <c r="H943" s="152"/>
      <c r="I943" s="152"/>
      <c r="J943" s="152"/>
      <c r="K943" s="152"/>
      <c r="L943" s="152"/>
      <c r="M943" s="152"/>
      <c r="N943" s="152"/>
      <c r="O943" s="152"/>
      <c r="P943" s="152"/>
      <c r="Q943" s="152"/>
      <c r="R943" s="152"/>
      <c r="S943" s="152"/>
      <c r="T943" s="152"/>
      <c r="U943" s="152"/>
      <c r="V943" s="152"/>
      <c r="W943" s="152"/>
      <c r="X943" s="152"/>
      <c r="Y943" s="152"/>
      <c r="Z943" s="152"/>
      <c r="AA943" s="152"/>
      <c r="AB943" s="152"/>
      <c r="AC943" s="152"/>
      <c r="AD943" s="152"/>
      <c r="AE943" s="152"/>
    </row>
    <row r="944" spans="1:31" ht="15.75">
      <c r="A944" s="152"/>
      <c r="B944" s="152"/>
      <c r="C944" s="281"/>
      <c r="D944" s="152"/>
      <c r="E944" s="152"/>
      <c r="F944" s="152"/>
      <c r="G944" s="152"/>
      <c r="H944" s="152"/>
      <c r="I944" s="152"/>
      <c r="J944" s="152"/>
      <c r="K944" s="152"/>
      <c r="L944" s="152"/>
      <c r="M944" s="152"/>
      <c r="N944" s="152"/>
      <c r="O944" s="152"/>
      <c r="P944" s="152"/>
      <c r="Q944" s="152"/>
      <c r="R944" s="152"/>
      <c r="S944" s="152"/>
      <c r="T944" s="152"/>
      <c r="U944" s="152"/>
      <c r="V944" s="152"/>
      <c r="W944" s="152"/>
      <c r="X944" s="152"/>
      <c r="Y944" s="152"/>
      <c r="Z944" s="152"/>
      <c r="AA944" s="152"/>
      <c r="AB944" s="152"/>
      <c r="AC944" s="152"/>
      <c r="AD944" s="152"/>
      <c r="AE944" s="152"/>
    </row>
    <row r="945" spans="1:31" ht="15.75">
      <c r="A945" s="152"/>
      <c r="B945" s="152"/>
      <c r="C945" s="281"/>
      <c r="D945" s="152"/>
      <c r="E945" s="152"/>
      <c r="F945" s="152"/>
      <c r="G945" s="152"/>
      <c r="H945" s="152"/>
      <c r="I945" s="152"/>
      <c r="J945" s="152"/>
      <c r="K945" s="152"/>
      <c r="L945" s="152"/>
      <c r="M945" s="152"/>
      <c r="N945" s="152"/>
      <c r="O945" s="152"/>
      <c r="P945" s="152"/>
      <c r="Q945" s="152"/>
      <c r="R945" s="152"/>
      <c r="S945" s="152"/>
      <c r="T945" s="152"/>
      <c r="U945" s="152"/>
      <c r="V945" s="152"/>
      <c r="W945" s="152"/>
      <c r="X945" s="152"/>
      <c r="Y945" s="152"/>
      <c r="Z945" s="152"/>
      <c r="AA945" s="152"/>
      <c r="AB945" s="152"/>
      <c r="AC945" s="152"/>
      <c r="AD945" s="152"/>
      <c r="AE945" s="152"/>
    </row>
    <row r="946" spans="1:31" ht="15.75">
      <c r="A946" s="152"/>
      <c r="B946" s="152"/>
      <c r="C946" s="281"/>
      <c r="D946" s="152"/>
      <c r="E946" s="152"/>
      <c r="F946" s="152"/>
      <c r="G946" s="152"/>
      <c r="H946" s="152"/>
      <c r="I946" s="152"/>
      <c r="J946" s="152"/>
      <c r="K946" s="152"/>
      <c r="L946" s="152"/>
      <c r="M946" s="152"/>
      <c r="N946" s="152"/>
      <c r="O946" s="152"/>
      <c r="P946" s="152"/>
      <c r="Q946" s="152"/>
      <c r="R946" s="152"/>
      <c r="S946" s="152"/>
      <c r="T946" s="152"/>
      <c r="U946" s="152"/>
      <c r="V946" s="152"/>
      <c r="W946" s="152"/>
      <c r="X946" s="152"/>
      <c r="Y946" s="152"/>
      <c r="Z946" s="152"/>
      <c r="AA946" s="152"/>
      <c r="AB946" s="152"/>
      <c r="AC946" s="152"/>
      <c r="AD946" s="152"/>
      <c r="AE946" s="152"/>
    </row>
    <row r="947" spans="1:31" ht="15.75">
      <c r="A947" s="152"/>
      <c r="B947" s="152"/>
      <c r="C947" s="281"/>
      <c r="D947" s="152"/>
      <c r="E947" s="152"/>
      <c r="F947" s="152"/>
      <c r="G947" s="152"/>
      <c r="H947" s="152"/>
      <c r="I947" s="152"/>
      <c r="J947" s="152"/>
      <c r="K947" s="152"/>
      <c r="L947" s="152"/>
      <c r="M947" s="152"/>
      <c r="N947" s="152"/>
      <c r="O947" s="152"/>
      <c r="P947" s="152"/>
      <c r="Q947" s="152"/>
      <c r="R947" s="152"/>
      <c r="S947" s="152"/>
      <c r="T947" s="152"/>
      <c r="U947" s="152"/>
      <c r="V947" s="152"/>
      <c r="W947" s="152"/>
      <c r="X947" s="152"/>
      <c r="Y947" s="152"/>
      <c r="Z947" s="152"/>
      <c r="AA947" s="152"/>
      <c r="AB947" s="152"/>
      <c r="AC947" s="152"/>
      <c r="AD947" s="152"/>
      <c r="AE947" s="152"/>
    </row>
    <row r="948" spans="1:31" ht="15.75">
      <c r="A948" s="152"/>
      <c r="B948" s="152"/>
      <c r="C948" s="281"/>
      <c r="D948" s="152"/>
      <c r="E948" s="152"/>
      <c r="F948" s="152"/>
      <c r="G948" s="152"/>
      <c r="H948" s="152"/>
      <c r="I948" s="152"/>
      <c r="J948" s="152"/>
      <c r="K948" s="152"/>
      <c r="L948" s="152"/>
      <c r="M948" s="152"/>
      <c r="N948" s="152"/>
      <c r="O948" s="152"/>
      <c r="P948" s="152"/>
      <c r="Q948" s="152"/>
      <c r="R948" s="152"/>
      <c r="S948" s="152"/>
      <c r="T948" s="152"/>
      <c r="U948" s="152"/>
      <c r="V948" s="152"/>
      <c r="W948" s="152"/>
      <c r="X948" s="152"/>
      <c r="Y948" s="152"/>
      <c r="Z948" s="152"/>
      <c r="AA948" s="152"/>
      <c r="AB948" s="152"/>
      <c r="AC948" s="152"/>
      <c r="AD948" s="152"/>
      <c r="AE948" s="152"/>
    </row>
    <row r="949" spans="1:31" ht="15.75">
      <c r="A949" s="152"/>
      <c r="B949" s="152"/>
      <c r="C949" s="281"/>
      <c r="D949" s="152"/>
      <c r="E949" s="152"/>
      <c r="F949" s="152"/>
      <c r="G949" s="152"/>
      <c r="H949" s="152"/>
      <c r="I949" s="152"/>
      <c r="J949" s="152"/>
      <c r="K949" s="152"/>
      <c r="L949" s="152"/>
      <c r="M949" s="152"/>
      <c r="N949" s="152"/>
      <c r="O949" s="152"/>
      <c r="P949" s="152"/>
      <c r="Q949" s="152"/>
      <c r="R949" s="152"/>
      <c r="S949" s="152"/>
      <c r="T949" s="152"/>
      <c r="U949" s="152"/>
      <c r="V949" s="152"/>
      <c r="W949" s="152"/>
      <c r="X949" s="152"/>
      <c r="Y949" s="152"/>
      <c r="Z949" s="152"/>
      <c r="AA949" s="152"/>
      <c r="AB949" s="152"/>
      <c r="AC949" s="152"/>
      <c r="AD949" s="152"/>
      <c r="AE949" s="152"/>
    </row>
    <row r="950" spans="1:31" ht="15.75">
      <c r="A950" s="152"/>
      <c r="B950" s="152"/>
      <c r="C950" s="281"/>
      <c r="D950" s="152"/>
      <c r="E950" s="152"/>
      <c r="F950" s="152"/>
      <c r="G950" s="152"/>
      <c r="H950" s="152"/>
      <c r="I950" s="152"/>
      <c r="J950" s="152"/>
      <c r="K950" s="152"/>
      <c r="L950" s="152"/>
      <c r="M950" s="152"/>
      <c r="N950" s="152"/>
      <c r="O950" s="152"/>
      <c r="P950" s="152"/>
      <c r="Q950" s="152"/>
      <c r="R950" s="152"/>
      <c r="S950" s="152"/>
      <c r="T950" s="152"/>
      <c r="U950" s="152"/>
      <c r="V950" s="152"/>
      <c r="W950" s="152"/>
      <c r="X950" s="152"/>
      <c r="Y950" s="152"/>
      <c r="Z950" s="152"/>
      <c r="AA950" s="152"/>
      <c r="AB950" s="152"/>
      <c r="AC950" s="152"/>
      <c r="AD950" s="152"/>
      <c r="AE950" s="152"/>
    </row>
    <row r="951" spans="1:31" ht="15.75">
      <c r="A951" s="152"/>
      <c r="B951" s="152"/>
      <c r="C951" s="281"/>
      <c r="D951" s="152"/>
      <c r="E951" s="152"/>
      <c r="F951" s="152"/>
      <c r="G951" s="152"/>
      <c r="H951" s="152"/>
      <c r="I951" s="152"/>
      <c r="J951" s="152"/>
      <c r="K951" s="152"/>
      <c r="L951" s="152"/>
      <c r="M951" s="152"/>
      <c r="N951" s="152"/>
      <c r="O951" s="152"/>
      <c r="P951" s="152"/>
      <c r="Q951" s="152"/>
      <c r="R951" s="152"/>
      <c r="S951" s="152"/>
      <c r="T951" s="152"/>
      <c r="U951" s="152"/>
      <c r="V951" s="152"/>
      <c r="W951" s="152"/>
      <c r="X951" s="152"/>
      <c r="Y951" s="152"/>
      <c r="Z951" s="152"/>
      <c r="AA951" s="152"/>
      <c r="AB951" s="152"/>
      <c r="AC951" s="152"/>
      <c r="AD951" s="152"/>
      <c r="AE951" s="152"/>
    </row>
    <row r="952" spans="1:31" ht="15.75">
      <c r="A952" s="152"/>
      <c r="B952" s="152"/>
      <c r="C952" s="281"/>
      <c r="D952" s="152"/>
      <c r="E952" s="152"/>
      <c r="F952" s="152"/>
      <c r="G952" s="152"/>
      <c r="H952" s="152"/>
      <c r="I952" s="152"/>
      <c r="J952" s="152"/>
      <c r="K952" s="152"/>
      <c r="L952" s="152"/>
      <c r="M952" s="152"/>
      <c r="N952" s="152"/>
      <c r="O952" s="152"/>
      <c r="P952" s="152"/>
      <c r="Q952" s="152"/>
      <c r="R952" s="152"/>
      <c r="S952" s="152"/>
      <c r="T952" s="152"/>
      <c r="U952" s="152"/>
      <c r="V952" s="152"/>
      <c r="W952" s="152"/>
      <c r="X952" s="152"/>
      <c r="Y952" s="152"/>
      <c r="Z952" s="152"/>
      <c r="AA952" s="152"/>
      <c r="AB952" s="152"/>
      <c r="AC952" s="152"/>
      <c r="AD952" s="152"/>
      <c r="AE952" s="152"/>
    </row>
    <row r="953" spans="1:31" ht="15.75">
      <c r="A953" s="152"/>
      <c r="B953" s="152"/>
      <c r="C953" s="281"/>
      <c r="D953" s="152"/>
      <c r="E953" s="152"/>
      <c r="F953" s="152"/>
      <c r="G953" s="152"/>
      <c r="H953" s="152"/>
      <c r="I953" s="152"/>
      <c r="J953" s="152"/>
      <c r="K953" s="152"/>
      <c r="L953" s="152"/>
      <c r="M953" s="152"/>
      <c r="N953" s="152"/>
      <c r="O953" s="152"/>
      <c r="P953" s="152"/>
      <c r="Q953" s="152"/>
      <c r="R953" s="152"/>
      <c r="S953" s="152"/>
      <c r="T953" s="152"/>
      <c r="U953" s="152"/>
      <c r="V953" s="152"/>
      <c r="W953" s="152"/>
      <c r="X953" s="152"/>
      <c r="Y953" s="152"/>
      <c r="Z953" s="152"/>
      <c r="AA953" s="152"/>
      <c r="AB953" s="152"/>
      <c r="AC953" s="152"/>
      <c r="AD953" s="152"/>
      <c r="AE953" s="152"/>
    </row>
    <row r="954" spans="1:31" ht="15.75">
      <c r="A954" s="152"/>
      <c r="B954" s="152"/>
      <c r="C954" s="281"/>
      <c r="D954" s="152"/>
      <c r="E954" s="152"/>
      <c r="F954" s="152"/>
      <c r="G954" s="152"/>
      <c r="H954" s="152"/>
      <c r="I954" s="152"/>
      <c r="J954" s="152"/>
      <c r="K954" s="152"/>
      <c r="L954" s="152"/>
      <c r="M954" s="152"/>
      <c r="N954" s="152"/>
      <c r="O954" s="152"/>
      <c r="P954" s="152"/>
      <c r="Q954" s="152"/>
      <c r="R954" s="152"/>
      <c r="S954" s="152"/>
      <c r="T954" s="152"/>
      <c r="U954" s="152"/>
      <c r="V954" s="152"/>
      <c r="W954" s="152"/>
      <c r="X954" s="152"/>
      <c r="Y954" s="152"/>
      <c r="Z954" s="152"/>
      <c r="AA954" s="152"/>
      <c r="AB954" s="152"/>
      <c r="AC954" s="152"/>
      <c r="AD954" s="152"/>
      <c r="AE954" s="152"/>
    </row>
    <row r="955" spans="1:31" ht="15.75">
      <c r="A955" s="152"/>
      <c r="B955" s="152"/>
      <c r="C955" s="281"/>
      <c r="D955" s="152"/>
      <c r="E955" s="152"/>
      <c r="F955" s="152"/>
      <c r="G955" s="152"/>
      <c r="H955" s="152"/>
      <c r="I955" s="152"/>
      <c r="J955" s="152"/>
      <c r="K955" s="152"/>
      <c r="L955" s="152"/>
      <c r="M955" s="152"/>
      <c r="N955" s="152"/>
      <c r="O955" s="152"/>
      <c r="P955" s="152"/>
      <c r="Q955" s="152"/>
      <c r="R955" s="152"/>
      <c r="S955" s="152"/>
      <c r="T955" s="152"/>
      <c r="U955" s="152"/>
      <c r="V955" s="152"/>
      <c r="W955" s="152"/>
      <c r="X955" s="152"/>
      <c r="Y955" s="152"/>
      <c r="Z955" s="152"/>
      <c r="AA955" s="152"/>
      <c r="AB955" s="152"/>
      <c r="AC955" s="152"/>
      <c r="AD955" s="152"/>
      <c r="AE955" s="152"/>
    </row>
    <row r="956" spans="1:31" ht="15.75">
      <c r="A956" s="152"/>
      <c r="B956" s="152"/>
      <c r="C956" s="281"/>
      <c r="D956" s="152"/>
      <c r="E956" s="152"/>
      <c r="F956" s="152"/>
      <c r="G956" s="152"/>
      <c r="H956" s="152"/>
      <c r="I956" s="152"/>
      <c r="J956" s="152"/>
      <c r="K956" s="152"/>
      <c r="L956" s="152"/>
      <c r="M956" s="152"/>
      <c r="N956" s="152"/>
      <c r="O956" s="152"/>
      <c r="P956" s="152"/>
      <c r="Q956" s="152"/>
      <c r="R956" s="152"/>
      <c r="S956" s="152"/>
      <c r="T956" s="152"/>
      <c r="U956" s="152"/>
      <c r="V956" s="152"/>
      <c r="W956" s="152"/>
      <c r="X956" s="152"/>
      <c r="Y956" s="152"/>
      <c r="Z956" s="152"/>
      <c r="AA956" s="152"/>
      <c r="AB956" s="152"/>
      <c r="AC956" s="152"/>
      <c r="AD956" s="152"/>
      <c r="AE956" s="152"/>
    </row>
    <row r="957" spans="1:31" ht="15.75">
      <c r="A957" s="152"/>
      <c r="B957" s="152"/>
      <c r="C957" s="281"/>
      <c r="D957" s="152"/>
      <c r="E957" s="152"/>
      <c r="F957" s="152"/>
      <c r="G957" s="152"/>
      <c r="H957" s="152"/>
      <c r="I957" s="152"/>
      <c r="J957" s="152"/>
      <c r="K957" s="152"/>
      <c r="L957" s="152"/>
      <c r="M957" s="152"/>
      <c r="N957" s="152"/>
      <c r="O957" s="152"/>
      <c r="P957" s="152"/>
      <c r="Q957" s="152"/>
      <c r="R957" s="152"/>
      <c r="S957" s="152"/>
      <c r="T957" s="152"/>
      <c r="U957" s="152"/>
      <c r="V957" s="152"/>
      <c r="W957" s="152"/>
      <c r="X957" s="152"/>
      <c r="Y957" s="152"/>
      <c r="Z957" s="152"/>
      <c r="AA957" s="152"/>
      <c r="AB957" s="152"/>
      <c r="AC957" s="152"/>
      <c r="AD957" s="152"/>
      <c r="AE957" s="152"/>
    </row>
    <row r="958" spans="1:31" ht="15.75">
      <c r="A958" s="152"/>
      <c r="B958" s="152"/>
      <c r="C958" s="281"/>
      <c r="D958" s="152"/>
      <c r="E958" s="152"/>
      <c r="F958" s="152"/>
      <c r="G958" s="152"/>
      <c r="H958" s="152"/>
      <c r="I958" s="152"/>
      <c r="J958" s="152"/>
      <c r="K958" s="152"/>
      <c r="L958" s="152"/>
      <c r="M958" s="152"/>
      <c r="N958" s="152"/>
      <c r="O958" s="152"/>
      <c r="P958" s="152"/>
      <c r="Q958" s="152"/>
      <c r="R958" s="152"/>
      <c r="S958" s="152"/>
      <c r="T958" s="152"/>
      <c r="U958" s="152"/>
      <c r="V958" s="152"/>
      <c r="W958" s="152"/>
      <c r="X958" s="152"/>
      <c r="Y958" s="152"/>
      <c r="Z958" s="152"/>
      <c r="AA958" s="152"/>
      <c r="AB958" s="152"/>
      <c r="AC958" s="152"/>
      <c r="AD958" s="152"/>
      <c r="AE958" s="152"/>
    </row>
    <row r="959" spans="1:31" ht="15.75">
      <c r="A959" s="152"/>
      <c r="B959" s="152"/>
      <c r="C959" s="281"/>
      <c r="D959" s="152"/>
      <c r="E959" s="152"/>
      <c r="F959" s="152"/>
      <c r="G959" s="152"/>
      <c r="H959" s="152"/>
      <c r="I959" s="152"/>
      <c r="J959" s="152"/>
      <c r="K959" s="152"/>
      <c r="L959" s="152"/>
      <c r="M959" s="152"/>
      <c r="N959" s="152"/>
      <c r="O959" s="152"/>
      <c r="P959" s="152"/>
      <c r="Q959" s="152"/>
      <c r="R959" s="152"/>
      <c r="S959" s="152"/>
      <c r="T959" s="152"/>
      <c r="U959" s="152"/>
      <c r="V959" s="152"/>
      <c r="W959" s="152"/>
      <c r="X959" s="152"/>
      <c r="Y959" s="152"/>
      <c r="Z959" s="152"/>
      <c r="AA959" s="152"/>
      <c r="AB959" s="152"/>
      <c r="AC959" s="152"/>
      <c r="AD959" s="152"/>
      <c r="AE959" s="152"/>
    </row>
    <row r="960" spans="1:31" ht="15.75">
      <c r="A960" s="152"/>
      <c r="B960" s="152"/>
      <c r="C960" s="281"/>
      <c r="D960" s="152"/>
      <c r="E960" s="152"/>
      <c r="F960" s="152"/>
      <c r="G960" s="152"/>
      <c r="H960" s="152"/>
      <c r="I960" s="152"/>
      <c r="J960" s="152"/>
      <c r="K960" s="152"/>
      <c r="L960" s="152"/>
      <c r="M960" s="152"/>
      <c r="N960" s="152"/>
      <c r="O960" s="152"/>
      <c r="P960" s="152"/>
      <c r="Q960" s="152"/>
      <c r="R960" s="152"/>
      <c r="S960" s="152"/>
      <c r="T960" s="152"/>
      <c r="U960" s="152"/>
      <c r="V960" s="152"/>
      <c r="W960" s="152"/>
      <c r="X960" s="152"/>
      <c r="Y960" s="152"/>
      <c r="Z960" s="152"/>
      <c r="AA960" s="152"/>
      <c r="AB960" s="152"/>
      <c r="AC960" s="152"/>
      <c r="AD960" s="152"/>
      <c r="AE960" s="152"/>
    </row>
    <row r="961" spans="1:31" ht="15.75">
      <c r="A961" s="152"/>
      <c r="B961" s="152"/>
      <c r="C961" s="281"/>
      <c r="D961" s="152"/>
      <c r="E961" s="152"/>
      <c r="F961" s="152"/>
      <c r="G961" s="152"/>
      <c r="H961" s="152"/>
      <c r="I961" s="152"/>
      <c r="J961" s="152"/>
      <c r="K961" s="152"/>
      <c r="L961" s="152"/>
      <c r="M961" s="152"/>
      <c r="N961" s="152"/>
      <c r="O961" s="152"/>
      <c r="P961" s="152"/>
      <c r="Q961" s="152"/>
      <c r="R961" s="152"/>
      <c r="S961" s="152"/>
      <c r="T961" s="152"/>
      <c r="U961" s="152"/>
      <c r="V961" s="152"/>
      <c r="W961" s="152"/>
      <c r="X961" s="152"/>
      <c r="Y961" s="152"/>
      <c r="Z961" s="152"/>
      <c r="AA961" s="152"/>
      <c r="AB961" s="152"/>
      <c r="AC961" s="152"/>
      <c r="AD961" s="152"/>
      <c r="AE961" s="152"/>
    </row>
    <row r="962" spans="1:31" ht="15.75">
      <c r="A962" s="152"/>
      <c r="B962" s="152"/>
      <c r="C962" s="281"/>
      <c r="D962" s="152"/>
      <c r="E962" s="152"/>
      <c r="F962" s="152"/>
      <c r="G962" s="152"/>
      <c r="H962" s="152"/>
      <c r="I962" s="152"/>
      <c r="J962" s="152"/>
      <c r="K962" s="152"/>
      <c r="L962" s="152"/>
      <c r="M962" s="152"/>
      <c r="N962" s="152"/>
      <c r="O962" s="152"/>
      <c r="P962" s="152"/>
      <c r="Q962" s="152"/>
      <c r="R962" s="152"/>
      <c r="S962" s="152"/>
      <c r="T962" s="152"/>
      <c r="U962" s="152"/>
      <c r="V962" s="152"/>
      <c r="W962" s="152"/>
      <c r="X962" s="152"/>
      <c r="Y962" s="152"/>
      <c r="Z962" s="152"/>
      <c r="AA962" s="152"/>
      <c r="AB962" s="152"/>
      <c r="AC962" s="152"/>
      <c r="AD962" s="152"/>
      <c r="AE962" s="152"/>
    </row>
    <row r="963" spans="1:31" ht="15.75">
      <c r="A963" s="152"/>
      <c r="B963" s="152"/>
      <c r="C963" s="281"/>
      <c r="D963" s="152"/>
      <c r="E963" s="152"/>
      <c r="F963" s="152"/>
      <c r="G963" s="152"/>
      <c r="H963" s="152"/>
      <c r="I963" s="152"/>
      <c r="J963" s="152"/>
      <c r="K963" s="152"/>
      <c r="L963" s="152"/>
      <c r="M963" s="152"/>
      <c r="N963" s="152"/>
      <c r="O963" s="152"/>
      <c r="P963" s="152"/>
      <c r="Q963" s="152"/>
      <c r="R963" s="152"/>
      <c r="S963" s="152"/>
      <c r="T963" s="152"/>
      <c r="U963" s="152"/>
      <c r="V963" s="152"/>
      <c r="W963" s="152"/>
      <c r="X963" s="152"/>
      <c r="Y963" s="152"/>
      <c r="Z963" s="152"/>
      <c r="AA963" s="152"/>
      <c r="AB963" s="152"/>
      <c r="AC963" s="152"/>
      <c r="AD963" s="152"/>
      <c r="AE963" s="152"/>
    </row>
    <row r="964" spans="1:31" ht="15.75">
      <c r="A964" s="152"/>
      <c r="B964" s="152"/>
      <c r="C964" s="281"/>
      <c r="D964" s="152"/>
      <c r="E964" s="152"/>
      <c r="F964" s="152"/>
      <c r="G964" s="152"/>
      <c r="H964" s="152"/>
      <c r="I964" s="152"/>
      <c r="J964" s="152"/>
      <c r="K964" s="152"/>
      <c r="L964" s="152"/>
      <c r="M964" s="152"/>
      <c r="N964" s="152"/>
      <c r="O964" s="152"/>
      <c r="P964" s="152"/>
      <c r="Q964" s="152"/>
      <c r="R964" s="152"/>
      <c r="S964" s="152"/>
      <c r="T964" s="152"/>
      <c r="U964" s="152"/>
      <c r="V964" s="152"/>
      <c r="W964" s="152"/>
      <c r="X964" s="152"/>
      <c r="Y964" s="152"/>
      <c r="Z964" s="152"/>
      <c r="AA964" s="152"/>
      <c r="AB964" s="152"/>
      <c r="AC964" s="152"/>
      <c r="AD964" s="152"/>
      <c r="AE964" s="152"/>
    </row>
    <row r="965" spans="1:31" ht="15.75">
      <c r="A965" s="152"/>
      <c r="B965" s="152"/>
      <c r="C965" s="281"/>
      <c r="D965" s="152"/>
      <c r="E965" s="152"/>
      <c r="F965" s="152"/>
      <c r="G965" s="152"/>
      <c r="H965" s="152"/>
      <c r="I965" s="152"/>
      <c r="J965" s="152"/>
      <c r="K965" s="152"/>
      <c r="L965" s="152"/>
      <c r="M965" s="152"/>
      <c r="N965" s="152"/>
      <c r="O965" s="152"/>
      <c r="P965" s="152"/>
      <c r="Q965" s="152"/>
      <c r="R965" s="152"/>
      <c r="S965" s="152"/>
      <c r="T965" s="152"/>
      <c r="U965" s="152"/>
      <c r="V965" s="152"/>
      <c r="W965" s="152"/>
      <c r="X965" s="152"/>
      <c r="Y965" s="152"/>
      <c r="Z965" s="152"/>
      <c r="AA965" s="152"/>
      <c r="AB965" s="152"/>
      <c r="AC965" s="152"/>
      <c r="AD965" s="152"/>
      <c r="AE965" s="152"/>
    </row>
    <row r="966" spans="1:31" ht="15.75">
      <c r="A966" s="152"/>
      <c r="B966" s="152"/>
      <c r="C966" s="281"/>
      <c r="D966" s="152"/>
      <c r="E966" s="152"/>
      <c r="F966" s="152"/>
      <c r="G966" s="152"/>
      <c r="H966" s="152"/>
      <c r="I966" s="152"/>
      <c r="J966" s="152"/>
      <c r="K966" s="152"/>
      <c r="L966" s="152"/>
      <c r="M966" s="152"/>
      <c r="N966" s="152"/>
      <c r="O966" s="152"/>
      <c r="P966" s="152"/>
      <c r="Q966" s="152"/>
      <c r="R966" s="152"/>
      <c r="S966" s="152"/>
      <c r="T966" s="152"/>
      <c r="U966" s="152"/>
      <c r="V966" s="152"/>
      <c r="W966" s="152"/>
      <c r="X966" s="152"/>
      <c r="Y966" s="152"/>
      <c r="Z966" s="152"/>
      <c r="AA966" s="152"/>
      <c r="AB966" s="152"/>
      <c r="AC966" s="152"/>
      <c r="AD966" s="152"/>
      <c r="AE966" s="152"/>
    </row>
    <row r="967" spans="1:31" ht="15.75">
      <c r="A967" s="152"/>
      <c r="B967" s="152"/>
      <c r="C967" s="281"/>
      <c r="D967" s="152"/>
      <c r="E967" s="152"/>
      <c r="F967" s="152"/>
      <c r="G967" s="152"/>
      <c r="H967" s="152"/>
      <c r="I967" s="152"/>
      <c r="J967" s="152"/>
      <c r="K967" s="152"/>
      <c r="L967" s="152"/>
      <c r="M967" s="152"/>
      <c r="N967" s="152"/>
      <c r="O967" s="152"/>
      <c r="P967" s="152"/>
      <c r="Q967" s="152"/>
      <c r="R967" s="152"/>
      <c r="S967" s="152"/>
      <c r="T967" s="152"/>
      <c r="U967" s="152"/>
      <c r="V967" s="152"/>
      <c r="W967" s="152"/>
      <c r="X967" s="152"/>
      <c r="Y967" s="152"/>
      <c r="Z967" s="152"/>
      <c r="AA967" s="152"/>
      <c r="AB967" s="152"/>
      <c r="AC967" s="152"/>
      <c r="AD967" s="152"/>
      <c r="AE967" s="152"/>
    </row>
    <row r="968" spans="1:31" ht="15.75">
      <c r="A968" s="152"/>
      <c r="B968" s="152"/>
      <c r="C968" s="281"/>
      <c r="D968" s="152"/>
      <c r="E968" s="152"/>
      <c r="F968" s="152"/>
      <c r="G968" s="152"/>
      <c r="H968" s="152"/>
      <c r="I968" s="152"/>
      <c r="J968" s="152"/>
      <c r="K968" s="152"/>
      <c r="L968" s="152"/>
      <c r="M968" s="152"/>
      <c r="N968" s="152"/>
      <c r="O968" s="152"/>
      <c r="P968" s="152"/>
      <c r="Q968" s="152"/>
      <c r="R968" s="152"/>
      <c r="S968" s="152"/>
      <c r="T968" s="152"/>
      <c r="U968" s="152"/>
      <c r="V968" s="152"/>
      <c r="W968" s="152"/>
      <c r="X968" s="152"/>
      <c r="Y968" s="152"/>
      <c r="Z968" s="152"/>
      <c r="AA968" s="152"/>
      <c r="AB968" s="152"/>
      <c r="AC968" s="152"/>
      <c r="AD968" s="152"/>
      <c r="AE968" s="152"/>
    </row>
    <row r="969" spans="1:31" ht="15.75">
      <c r="A969" s="152"/>
      <c r="B969" s="152"/>
      <c r="C969" s="281"/>
      <c r="D969" s="152"/>
      <c r="E969" s="152"/>
      <c r="F969" s="152"/>
      <c r="G969" s="152"/>
      <c r="H969" s="152"/>
      <c r="I969" s="152"/>
      <c r="J969" s="152"/>
      <c r="K969" s="152"/>
      <c r="L969" s="152"/>
      <c r="M969" s="152"/>
      <c r="N969" s="152"/>
      <c r="O969" s="152"/>
      <c r="P969" s="152"/>
      <c r="Q969" s="152"/>
      <c r="R969" s="152"/>
      <c r="S969" s="152"/>
      <c r="T969" s="152"/>
      <c r="U969" s="152"/>
      <c r="V969" s="152"/>
      <c r="W969" s="152"/>
      <c r="X969" s="152"/>
      <c r="Y969" s="152"/>
      <c r="Z969" s="152"/>
      <c r="AA969" s="152"/>
      <c r="AB969" s="152"/>
      <c r="AC969" s="152"/>
      <c r="AD969" s="152"/>
      <c r="AE969" s="152"/>
    </row>
    <row r="970" spans="1:31" ht="15.75">
      <c r="A970" s="152"/>
      <c r="B970" s="152"/>
      <c r="C970" s="281"/>
      <c r="D970" s="152"/>
      <c r="E970" s="152"/>
      <c r="F970" s="152"/>
      <c r="G970" s="152"/>
      <c r="H970" s="152"/>
      <c r="I970" s="152"/>
      <c r="J970" s="152"/>
      <c r="K970" s="152"/>
      <c r="L970" s="152"/>
      <c r="M970" s="152"/>
      <c r="N970" s="152"/>
      <c r="O970" s="152"/>
      <c r="P970" s="152"/>
      <c r="Q970" s="152"/>
      <c r="R970" s="152"/>
      <c r="S970" s="152"/>
      <c r="T970" s="152"/>
      <c r="U970" s="152"/>
      <c r="V970" s="152"/>
      <c r="W970" s="152"/>
      <c r="X970" s="152"/>
      <c r="Y970" s="152"/>
      <c r="Z970" s="152"/>
      <c r="AA970" s="152"/>
      <c r="AB970" s="152"/>
      <c r="AC970" s="152"/>
      <c r="AD970" s="152"/>
      <c r="AE970" s="152"/>
    </row>
    <row r="971" spans="1:31" ht="15.75">
      <c r="A971" s="152"/>
      <c r="B971" s="152"/>
      <c r="C971" s="281"/>
      <c r="D971" s="152"/>
      <c r="E971" s="152"/>
      <c r="F971" s="152"/>
      <c r="G971" s="152"/>
      <c r="H971" s="152"/>
      <c r="I971" s="152"/>
      <c r="J971" s="152"/>
      <c r="K971" s="152"/>
      <c r="L971" s="152"/>
      <c r="M971" s="152"/>
      <c r="N971" s="152"/>
      <c r="O971" s="152"/>
      <c r="P971" s="152"/>
      <c r="Q971" s="152"/>
      <c r="R971" s="152"/>
      <c r="S971" s="152"/>
      <c r="T971" s="152"/>
      <c r="U971" s="152"/>
      <c r="V971" s="152"/>
      <c r="W971" s="152"/>
      <c r="X971" s="152"/>
      <c r="Y971" s="152"/>
      <c r="Z971" s="152"/>
      <c r="AA971" s="152"/>
      <c r="AB971" s="152"/>
      <c r="AC971" s="152"/>
      <c r="AD971" s="152"/>
      <c r="AE971" s="152"/>
    </row>
    <row r="972" spans="1:31" ht="15.75">
      <c r="A972" s="152"/>
      <c r="B972" s="152"/>
      <c r="C972" s="281"/>
      <c r="D972" s="152"/>
      <c r="E972" s="152"/>
      <c r="F972" s="152"/>
      <c r="G972" s="152"/>
      <c r="H972" s="152"/>
      <c r="I972" s="152"/>
      <c r="J972" s="152"/>
      <c r="K972" s="152"/>
      <c r="L972" s="152"/>
      <c r="M972" s="152"/>
      <c r="N972" s="152"/>
      <c r="O972" s="152"/>
      <c r="P972" s="152"/>
      <c r="Q972" s="152"/>
      <c r="R972" s="152"/>
      <c r="S972" s="152"/>
      <c r="T972" s="152"/>
      <c r="U972" s="152"/>
      <c r="V972" s="152"/>
      <c r="W972" s="152"/>
      <c r="X972" s="152"/>
      <c r="Y972" s="152"/>
      <c r="Z972" s="152"/>
      <c r="AA972" s="152"/>
      <c r="AB972" s="152"/>
      <c r="AC972" s="152"/>
      <c r="AD972" s="152"/>
      <c r="AE972" s="152"/>
    </row>
    <row r="973" spans="1:31" ht="15.75">
      <c r="A973" s="152"/>
      <c r="B973" s="152"/>
      <c r="C973" s="281"/>
      <c r="D973" s="152"/>
      <c r="E973" s="152"/>
      <c r="F973" s="152"/>
      <c r="G973" s="152"/>
      <c r="H973" s="152"/>
      <c r="I973" s="152"/>
      <c r="J973" s="152"/>
      <c r="K973" s="152"/>
      <c r="L973" s="152"/>
      <c r="M973" s="152"/>
      <c r="N973" s="152"/>
      <c r="O973" s="152"/>
      <c r="P973" s="152"/>
      <c r="X973" s="152"/>
      <c r="Y973" s="152"/>
      <c r="Z973" s="152"/>
      <c r="AA973" s="152"/>
      <c r="AB973" s="152"/>
      <c r="AC973" s="152"/>
      <c r="AD973" s="152"/>
      <c r="AE973" s="152"/>
    </row>
  </sheetData>
  <mergeCells count="2">
    <mergeCell ref="Y5:AE5"/>
    <mergeCell ref="M2:N2"/>
  </mergeCells>
  <hyperlinks>
    <hyperlink ref="A1" location="Index!A1" display="Index!A1"/>
  </hyperlinks>
  <pageMargins left="0.7" right="0.7" top="0.75" bottom="0.75" header="0.3" footer="0.3"/>
  <ignoredErrors>
    <ignoredError sqref="C20 B23:B24" formulaRange="1"/>
    <ignoredError sqref="O30" formula="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A9999"/>
  </sheetPr>
  <dimension ref="A1:Z1000"/>
  <sheetViews>
    <sheetView workbookViewId="0"/>
  </sheetViews>
  <sheetFormatPr defaultColWidth="14.33203125" defaultRowHeight="15" customHeight="1"/>
  <cols>
    <col min="6" max="6" width="17.796875" customWidth="1"/>
    <col min="7" max="7" width="22.1328125" customWidth="1"/>
  </cols>
  <sheetData>
    <row r="1" spans="1:26" ht="15" customHeight="1">
      <c r="A1" s="765" t="s">
        <v>0</v>
      </c>
      <c r="B1" s="2"/>
      <c r="C1" s="2"/>
      <c r="D1" s="2"/>
      <c r="E1" s="2"/>
      <c r="F1" s="2"/>
      <c r="G1" s="2"/>
      <c r="H1" s="2"/>
      <c r="I1" s="2"/>
      <c r="J1" s="2"/>
      <c r="K1" s="2"/>
      <c r="L1" s="2"/>
      <c r="M1" s="2"/>
      <c r="N1" s="2"/>
      <c r="O1" s="2"/>
      <c r="P1" s="2"/>
      <c r="Q1" s="2"/>
      <c r="R1" s="2"/>
      <c r="S1" s="2"/>
      <c r="T1" s="2"/>
      <c r="U1" s="2"/>
      <c r="V1" s="2"/>
      <c r="W1" s="2"/>
      <c r="X1" s="2"/>
      <c r="Y1" s="2"/>
      <c r="Z1" s="2"/>
    </row>
    <row r="2" spans="1:26" ht="15" customHeight="1">
      <c r="A2" s="2"/>
      <c r="B2" s="2"/>
      <c r="C2" s="2"/>
      <c r="D2" s="2"/>
      <c r="E2" s="2"/>
      <c r="F2" s="2"/>
      <c r="G2" s="2"/>
      <c r="H2" s="2"/>
      <c r="I2" s="2"/>
      <c r="J2" s="2"/>
      <c r="K2" s="2"/>
      <c r="L2" s="2"/>
      <c r="M2" s="2"/>
      <c r="N2" s="2"/>
      <c r="O2" s="2"/>
      <c r="P2" s="2"/>
      <c r="Q2" s="2"/>
      <c r="R2" s="2"/>
      <c r="S2" s="2"/>
      <c r="T2" s="2"/>
      <c r="U2" s="2"/>
      <c r="V2" s="2"/>
      <c r="W2" s="2"/>
      <c r="X2" s="2"/>
      <c r="Y2" s="2"/>
      <c r="Z2" s="2"/>
    </row>
    <row r="3" spans="1:26" ht="15" customHeight="1">
      <c r="A3" s="2"/>
      <c r="B3" s="2"/>
      <c r="C3" s="2"/>
      <c r="D3" s="2"/>
      <c r="E3" s="2"/>
      <c r="F3" s="2"/>
      <c r="G3" s="2"/>
      <c r="H3" s="2"/>
      <c r="I3" s="2"/>
      <c r="J3" s="2"/>
      <c r="K3" s="2"/>
      <c r="L3" s="2"/>
      <c r="M3" s="2"/>
      <c r="N3" s="2"/>
      <c r="O3" s="2"/>
      <c r="P3" s="2"/>
      <c r="Q3" s="2"/>
      <c r="R3" s="2"/>
      <c r="S3" s="2"/>
      <c r="T3" s="2"/>
      <c r="U3" s="2"/>
      <c r="V3" s="2"/>
      <c r="W3" s="2"/>
      <c r="X3" s="2"/>
      <c r="Y3" s="2"/>
      <c r="Z3" s="2"/>
    </row>
    <row r="4" spans="1:26" ht="15" customHeight="1">
      <c r="A4" s="2"/>
      <c r="B4" s="2"/>
      <c r="C4" s="2"/>
      <c r="D4" s="2"/>
      <c r="E4" s="2"/>
      <c r="F4" s="2"/>
      <c r="G4" s="2"/>
      <c r="H4" s="2"/>
      <c r="I4" s="2"/>
      <c r="J4" s="2"/>
      <c r="K4" s="2"/>
      <c r="L4" s="2"/>
      <c r="M4" s="2"/>
      <c r="N4" s="2"/>
      <c r="O4" s="2"/>
      <c r="P4" s="2"/>
      <c r="Q4" s="2"/>
      <c r="R4" s="2"/>
      <c r="S4" s="2"/>
      <c r="T4" s="2"/>
      <c r="U4" s="2"/>
      <c r="V4" s="2"/>
      <c r="W4" s="2"/>
      <c r="X4" s="2"/>
      <c r="Y4" s="2"/>
      <c r="Z4" s="2"/>
    </row>
    <row r="5" spans="1:26" ht="15" customHeight="1">
      <c r="A5" s="2"/>
      <c r="B5" s="2"/>
      <c r="C5" s="2"/>
      <c r="D5" s="2"/>
      <c r="E5" s="2"/>
      <c r="F5" s="2"/>
      <c r="G5" s="2"/>
      <c r="H5" s="2"/>
      <c r="I5" s="2"/>
      <c r="J5" s="2"/>
      <c r="K5" s="2"/>
      <c r="L5" s="2"/>
      <c r="M5" s="2"/>
      <c r="N5" s="2"/>
      <c r="O5" s="2"/>
      <c r="P5" s="2"/>
      <c r="Q5" s="2"/>
      <c r="R5" s="2"/>
      <c r="S5" s="2"/>
      <c r="T5" s="2"/>
      <c r="U5" s="2"/>
      <c r="V5" s="2"/>
      <c r="W5" s="2"/>
      <c r="X5" s="2"/>
      <c r="Y5" s="2"/>
      <c r="Z5" s="2"/>
    </row>
    <row r="6" spans="1:26" ht="15" customHeight="1">
      <c r="A6" s="2"/>
      <c r="B6" s="2"/>
      <c r="C6" s="2"/>
      <c r="D6" s="2"/>
      <c r="E6" s="2"/>
      <c r="F6" s="2"/>
      <c r="G6" s="2"/>
      <c r="H6" s="2"/>
      <c r="I6" s="2"/>
      <c r="J6" s="2"/>
      <c r="K6" s="2"/>
      <c r="L6" s="2"/>
      <c r="M6" s="2"/>
      <c r="N6" s="2"/>
      <c r="O6" s="2"/>
      <c r="P6" s="2"/>
      <c r="Q6" s="2"/>
      <c r="R6" s="2"/>
      <c r="S6" s="2"/>
      <c r="T6" s="2"/>
      <c r="U6" s="2"/>
      <c r="V6" s="2"/>
      <c r="W6" s="2"/>
      <c r="X6" s="2"/>
      <c r="Y6" s="2"/>
      <c r="Z6" s="2"/>
    </row>
    <row r="7" spans="1:26" ht="15" customHeight="1">
      <c r="A7" s="2"/>
      <c r="B7" s="2"/>
      <c r="C7" s="2"/>
      <c r="D7" s="2"/>
      <c r="E7" s="2"/>
      <c r="F7" s="2"/>
      <c r="G7" s="2"/>
      <c r="H7" s="2"/>
      <c r="I7" s="2"/>
      <c r="J7" s="2"/>
      <c r="K7" s="2"/>
      <c r="L7" s="2"/>
      <c r="M7" s="2"/>
      <c r="N7" s="2"/>
      <c r="O7" s="2"/>
      <c r="P7" s="2"/>
      <c r="Q7" s="2"/>
      <c r="R7" s="2"/>
      <c r="S7" s="2"/>
      <c r="T7" s="2"/>
      <c r="U7" s="2"/>
      <c r="V7" s="2"/>
      <c r="W7" s="2"/>
      <c r="X7" s="2"/>
      <c r="Y7" s="2"/>
      <c r="Z7" s="2"/>
    </row>
    <row r="8" spans="1:26" ht="15" customHeight="1">
      <c r="A8" s="2"/>
      <c r="B8" s="2"/>
      <c r="C8" s="2"/>
      <c r="D8" s="2"/>
      <c r="E8" s="2"/>
      <c r="F8" s="2"/>
      <c r="G8" s="2"/>
      <c r="H8" s="2"/>
      <c r="I8" s="2"/>
      <c r="J8" s="2"/>
      <c r="K8" s="2"/>
      <c r="L8" s="2"/>
      <c r="M8" s="2"/>
      <c r="N8" s="2"/>
      <c r="O8" s="2"/>
      <c r="P8" s="2"/>
      <c r="Q8" s="2"/>
      <c r="R8" s="2"/>
      <c r="S8" s="2"/>
      <c r="T8" s="2"/>
      <c r="U8" s="2"/>
      <c r="V8" s="2"/>
      <c r="W8" s="2"/>
      <c r="X8" s="2"/>
      <c r="Y8" s="2"/>
      <c r="Z8" s="2"/>
    </row>
    <row r="9" spans="1:26" ht="15" customHeight="1">
      <c r="A9" s="2"/>
      <c r="B9" s="2"/>
      <c r="C9" s="2"/>
      <c r="D9" s="2"/>
      <c r="E9" s="2"/>
      <c r="F9" s="2"/>
      <c r="G9" s="2"/>
      <c r="H9" s="2"/>
      <c r="I9" s="2"/>
      <c r="J9" s="2"/>
      <c r="K9" s="2"/>
      <c r="L9" s="2"/>
      <c r="M9" s="2"/>
      <c r="N9" s="2"/>
      <c r="O9" s="2"/>
      <c r="P9" s="2"/>
      <c r="Q9" s="2"/>
      <c r="R9" s="2"/>
      <c r="S9" s="2"/>
      <c r="T9" s="2"/>
      <c r="U9" s="2"/>
      <c r="V9" s="2"/>
      <c r="W9" s="2"/>
      <c r="X9" s="2"/>
      <c r="Y9" s="2"/>
      <c r="Z9" s="2"/>
    </row>
    <row r="10" spans="1:26" ht="1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8">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8">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8">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8">
      <c r="A27" s="2"/>
      <c r="B27" s="348" t="s">
        <v>1</v>
      </c>
      <c r="C27" s="349">
        <v>2438453</v>
      </c>
      <c r="D27" s="350"/>
      <c r="E27" s="350"/>
      <c r="F27" s="348" t="s">
        <v>71</v>
      </c>
      <c r="G27" s="349">
        <v>6759463</v>
      </c>
      <c r="H27" s="350"/>
      <c r="I27" s="350"/>
      <c r="J27" s="350"/>
      <c r="K27" s="348" t="s">
        <v>78</v>
      </c>
      <c r="L27" s="351">
        <v>28131584</v>
      </c>
      <c r="M27" s="2"/>
      <c r="N27" s="2"/>
      <c r="O27" s="2"/>
      <c r="P27" s="2"/>
      <c r="Q27" s="2"/>
      <c r="R27" s="2"/>
      <c r="S27" s="2"/>
      <c r="T27" s="2"/>
      <c r="U27" s="2"/>
      <c r="V27" s="2"/>
      <c r="W27" s="2"/>
      <c r="X27" s="2"/>
      <c r="Y27" s="2"/>
      <c r="Z27" s="2"/>
    </row>
    <row r="28" spans="1:26" ht="18">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8">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8">
      <c r="A30" s="2"/>
      <c r="B30" s="2"/>
      <c r="C30" s="2"/>
      <c r="D30" s="2"/>
      <c r="E30" s="2"/>
      <c r="F30" s="352" t="s">
        <v>324</v>
      </c>
      <c r="G30" s="353">
        <f>C27+G27+L27</f>
        <v>37329500</v>
      </c>
      <c r="H30" s="2"/>
      <c r="I30" s="2"/>
      <c r="J30" s="2"/>
      <c r="K30" s="2"/>
      <c r="L30" s="2"/>
      <c r="M30" s="2"/>
      <c r="N30" s="2"/>
      <c r="O30" s="2"/>
      <c r="P30" s="2"/>
      <c r="Q30" s="2"/>
      <c r="R30" s="2"/>
      <c r="S30" s="2"/>
      <c r="T30" s="2"/>
      <c r="U30" s="2"/>
      <c r="V30" s="2"/>
      <c r="W30" s="2"/>
      <c r="X30" s="2"/>
      <c r="Y30" s="2"/>
      <c r="Z30" s="2"/>
    </row>
    <row r="31" spans="1:26" ht="18">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8">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8">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8">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8">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8">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8">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8">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8">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8">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8">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8">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8">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8">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8">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8">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8">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8">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8">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8">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8">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8">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8">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8">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8">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8">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8">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8">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8">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8">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8">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8">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8">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8">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8">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8">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8">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8">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8">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8">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8">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8">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8">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8">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8">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8">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8">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8">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8">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8">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8">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8">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8">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8">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8">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8">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8">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8">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8">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8">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8">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8">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8">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8">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8">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8">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8">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8">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8">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8">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8">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8">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8">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8">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8">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8">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8">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8">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8">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8">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8">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8">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8">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8">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8">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8">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8">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8">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8">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8">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8">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8">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8">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8">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8">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8">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8">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8">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8">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8">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8">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8">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8">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8">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8">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8">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8">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8">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8">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8">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8">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8">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8">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8">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8">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8">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8">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8">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8">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8">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8">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8">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8">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8">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8">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8">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8">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8">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8">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8">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8">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8">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8">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8">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8">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8">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8">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8">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8">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8">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8">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8">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8">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8">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8">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8">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8">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8">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8">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8">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8">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8">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8">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8">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8">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8">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8">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8">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8">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8">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8">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8">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8">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8">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8">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8">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8">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8">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8">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8">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8">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8">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8">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8">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8">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8">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8">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8">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8">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8">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8">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8">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8">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8">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8">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8">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8">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8">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8">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8">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8">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8">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8">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8">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8">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8">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8">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8">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8">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8">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8">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8">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8">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8">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8">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8">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8">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8">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8">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8">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8">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8">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8">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8">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8">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8">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8">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8">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8">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8">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8">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8">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8">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8">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8">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8">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8">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8">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8">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8">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8">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8">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8">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8">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8">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8">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8">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8">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8">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8">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8">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8">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8">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8">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8">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8">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8">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8">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8">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8">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8">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8">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8">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8">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8">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8">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8">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8">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8">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8">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8">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8">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8">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8">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8">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8">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8">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8">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8">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8">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8">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8">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8">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8">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8">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8">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8">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8">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8">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8">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8">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8">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8">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8">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8">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8">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8">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8">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8">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8">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8">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8">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8">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8">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8">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8">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8">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8">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8">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8">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8">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8">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8">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8">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8">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8">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8">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8">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8">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8">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8">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8">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8">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8">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8">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8">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8">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8">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8">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8">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8">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8">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8">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8">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8">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8">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8">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8">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8">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8">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8">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8">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8">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8">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8">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8">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8">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8">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8">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8">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8">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8">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8">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8">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8">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8">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8">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8">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8">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8">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8">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8">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8">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8">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8">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8">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8">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8">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8">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8">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8">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8">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8">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8">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8">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8">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8">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8">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8">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8">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8">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8">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8">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8">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8">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8">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8">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8">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8">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8">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8">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8">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8">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8">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8">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8">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8">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8">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8">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8">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8">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8">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8">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8">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8">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8">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8">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8">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8">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8">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8">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8">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8">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8">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8">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8">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8">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8">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8">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8">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8">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8">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8">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8">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8">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8">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8">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8">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8">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8">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8">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8">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8">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8">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8">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8">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8">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8">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8">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8">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8">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8">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8">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8">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8">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8">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8">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8">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8">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8">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8">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8">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8">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8">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8">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8">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8">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8">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8">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8">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8">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8">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8">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8">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8">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8">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8">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8">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8">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8">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8">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8">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8">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8">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8">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8">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8">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8">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8">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8">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8">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8">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8">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8">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8">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8">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8">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8">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8">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8">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8">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8">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8">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8">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8">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8">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8">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8">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8">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8">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8">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8">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8">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8">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8">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8">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8">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8">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8">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8">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8">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8">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8">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8">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8">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8">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8">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8">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8">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8">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8">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8">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8">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8">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8">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8">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8">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8">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8">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8">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8">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8">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8">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8">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8">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8">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8">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8">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8">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8">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8">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8">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8">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8">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8">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8">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8">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8">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8">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8">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8">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8">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8">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8">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8">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8">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8">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8">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8">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8">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8">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8">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8">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8">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8">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8">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8">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8">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8">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8">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8">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8">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8">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8">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8">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8">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8">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8">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8">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8">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8">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8">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8">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8">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8">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8">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8">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8">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8">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8">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8">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8">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8">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8">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8">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8">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8">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8">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8">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8">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8">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8">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8">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8">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8">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8">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8">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8">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8">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8">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8">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8">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8">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8">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8">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8">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8">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8">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8">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8">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8">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8">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8">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8">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8">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8">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8">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8">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8">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8">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8">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8">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8">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8">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8">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8">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8">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8">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8">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8">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8">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8">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8">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8">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8">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8">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8">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8">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8">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8">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8">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8">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8">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8">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8">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8">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8">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8">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8">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8">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8">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8">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8">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8">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8">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8">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8">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8">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8">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8">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8">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8">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8">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8">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8">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8">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8">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8">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8">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8">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8">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8">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8">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8">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8">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8">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8">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8">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8">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8">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8">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8">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8">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8">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8">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8">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8">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8">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8">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8">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8">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8">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8">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8">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8">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8">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8">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8">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8">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8">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8">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8">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8">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8">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8">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8">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8">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8">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8">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8">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8">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8">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8">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8">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8">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8">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8">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8">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8">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8">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8">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8">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8">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8">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8">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8">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8">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8">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8">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8">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8">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8">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8">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8">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8">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8">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8">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8">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8">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8">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8">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8">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8">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8">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8">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8">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8">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8">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8">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8">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8">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8">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8">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8">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8">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8">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8">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8">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8">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8">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8">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8">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8">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8">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8">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8">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8">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8">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8">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8">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8">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8">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8">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8">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8">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8">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8">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8">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8">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8">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8">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8">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8">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8">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8">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8">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8">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8">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8">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8">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8">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8">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8">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8">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8">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8">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8">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8">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8">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8">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8">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8">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8">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8">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8">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8">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8">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8">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8">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8">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8">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8">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8">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8">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8">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8">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8">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8">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8">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8">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8">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8">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8">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8">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8">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8">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8">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8">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8">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8">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8">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8">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8">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8">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8">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8">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8">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8">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8">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8">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8">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8">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8">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8">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8">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8">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8">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8">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8">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8">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8">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8">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8">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8">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8">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8">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8">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8">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8">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8">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8">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8">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8">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8">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8">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8">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8">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8">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8">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8">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8">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8">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8">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ef="A1" location="Index!A1" display="Index!A1"/>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6D7A8"/>
  </sheetPr>
  <dimension ref="A1:Y1005"/>
  <sheetViews>
    <sheetView showGridLines="0" zoomScale="70" zoomScaleNormal="70" workbookViewId="0">
      <pane ySplit="2" topLeftCell="A3" activePane="bottomLeft" state="frozen"/>
      <selection pane="bottomLeft" activeCell="A4" sqref="A4"/>
    </sheetView>
  </sheetViews>
  <sheetFormatPr defaultColWidth="14.33203125" defaultRowHeight="14.25"/>
  <cols>
    <col min="1" max="1" width="79.33203125" bestFit="1" customWidth="1"/>
    <col min="2" max="2" width="15.6640625" bestFit="1" customWidth="1"/>
    <col min="3" max="7" width="18.33203125" bestFit="1" customWidth="1"/>
    <col min="8" max="8" width="15.6640625" customWidth="1"/>
    <col min="9" max="25" width="8.796875" customWidth="1"/>
  </cols>
  <sheetData>
    <row r="1" spans="1:25" ht="18.399999999999999" thickBot="1">
      <c r="A1" s="1210" t="s">
        <v>0</v>
      </c>
      <c r="B1" s="1323" t="s">
        <v>922</v>
      </c>
      <c r="C1" s="1324"/>
      <c r="D1" s="1324"/>
      <c r="E1" s="1324"/>
      <c r="F1" s="1324"/>
      <c r="G1" s="1324"/>
      <c r="H1" s="2"/>
      <c r="I1" s="2"/>
      <c r="J1" s="2"/>
      <c r="K1" s="2"/>
      <c r="L1" s="2"/>
      <c r="M1" s="2"/>
      <c r="N1" s="2"/>
      <c r="O1" s="2"/>
      <c r="P1" s="2"/>
      <c r="Q1" s="2"/>
      <c r="R1" s="2"/>
      <c r="S1" s="2"/>
      <c r="T1" s="2"/>
      <c r="U1" s="2"/>
      <c r="V1" s="2"/>
      <c r="W1" s="2"/>
      <c r="X1" s="2"/>
      <c r="Y1" s="2"/>
    </row>
    <row r="2" spans="1:25" ht="18.399999999999999" thickBot="1">
      <c r="A2" s="1149" t="s">
        <v>329</v>
      </c>
      <c r="B2" s="1150" t="s">
        <v>330</v>
      </c>
      <c r="C2" s="1151" t="s">
        <v>4</v>
      </c>
      <c r="D2" s="1150" t="s">
        <v>61</v>
      </c>
      <c r="E2" s="1150" t="s">
        <v>63</v>
      </c>
      <c r="F2" s="1150" t="s">
        <v>65</v>
      </c>
      <c r="G2" s="1152" t="s">
        <v>67</v>
      </c>
      <c r="H2" s="31"/>
      <c r="I2" s="2"/>
      <c r="J2" s="2"/>
      <c r="K2" s="2"/>
      <c r="L2" s="2"/>
      <c r="M2" s="2"/>
      <c r="N2" s="2"/>
      <c r="O2" s="2"/>
      <c r="P2" s="2"/>
      <c r="Q2" s="2"/>
      <c r="R2" s="2"/>
      <c r="S2" s="2"/>
      <c r="T2" s="2"/>
      <c r="U2" s="2"/>
      <c r="V2" s="2"/>
      <c r="W2" s="2"/>
      <c r="X2" s="2"/>
      <c r="Y2" s="2"/>
    </row>
    <row r="3" spans="1:25" ht="18">
      <c r="A3" s="1325" t="s">
        <v>331</v>
      </c>
      <c r="B3" s="1326"/>
      <c r="C3" s="1326"/>
      <c r="D3" s="1326"/>
      <c r="E3" s="1326"/>
      <c r="F3" s="1326"/>
      <c r="G3" s="1327"/>
      <c r="H3" s="359"/>
      <c r="I3" s="2"/>
      <c r="J3" s="2"/>
      <c r="K3" s="2"/>
      <c r="L3" s="2"/>
      <c r="M3" s="2"/>
      <c r="N3" s="2"/>
      <c r="O3" s="2"/>
      <c r="P3" s="2"/>
      <c r="Q3" s="2"/>
      <c r="R3" s="2"/>
      <c r="S3" s="2"/>
      <c r="T3" s="2"/>
      <c r="U3" s="2"/>
      <c r="V3" s="2"/>
      <c r="W3" s="2"/>
      <c r="X3" s="2"/>
      <c r="Y3" s="2"/>
    </row>
    <row r="4" spans="1:25" ht="18">
      <c r="A4" s="1023" t="s">
        <v>923</v>
      </c>
      <c r="B4" s="1145"/>
      <c r="C4" s="1146"/>
      <c r="D4" s="1147"/>
      <c r="E4" s="1147"/>
      <c r="F4" s="1147"/>
      <c r="G4" s="1148"/>
      <c r="H4" s="2"/>
      <c r="I4" s="2"/>
      <c r="J4" s="2"/>
      <c r="K4" s="2"/>
      <c r="L4" s="2"/>
      <c r="M4" s="2"/>
      <c r="N4" s="2"/>
      <c r="O4" s="2"/>
      <c r="P4" s="2"/>
      <c r="Q4" s="2"/>
      <c r="R4" s="2"/>
      <c r="S4" s="2"/>
      <c r="T4" s="2"/>
      <c r="U4" s="2"/>
      <c r="V4" s="2"/>
      <c r="W4" s="2"/>
      <c r="X4" s="2"/>
      <c r="Y4" s="2"/>
    </row>
    <row r="5" spans="1:25" ht="18">
      <c r="A5" s="1022" t="s">
        <v>332</v>
      </c>
      <c r="B5" s="914">
        <f>'PPE &amp; Amortization Schedule'!B4</f>
        <v>78978.997999999992</v>
      </c>
      <c r="C5" s="915"/>
      <c r="D5" s="915"/>
      <c r="E5" s="915"/>
      <c r="F5" s="915"/>
      <c r="G5" s="1019"/>
      <c r="H5" s="2"/>
      <c r="I5" s="2"/>
      <c r="J5" s="2"/>
      <c r="K5" s="2"/>
      <c r="L5" s="2"/>
      <c r="M5" s="2"/>
      <c r="N5" s="2"/>
      <c r="O5" s="2"/>
      <c r="P5" s="2"/>
      <c r="Q5" s="2"/>
      <c r="R5" s="2"/>
      <c r="S5" s="2"/>
      <c r="T5" s="2"/>
      <c r="U5" s="2"/>
      <c r="V5" s="2"/>
      <c r="W5" s="2"/>
      <c r="X5" s="2"/>
      <c r="Y5" s="2"/>
    </row>
    <row r="6" spans="1:25" ht="18">
      <c r="A6" s="1023" t="s">
        <v>333</v>
      </c>
      <c r="B6" s="930">
        <f>'IT Costs'!L18</f>
        <v>240000</v>
      </c>
      <c r="C6" s="1153"/>
      <c r="D6" s="902"/>
      <c r="E6" s="902"/>
      <c r="F6" s="902"/>
      <c r="G6" s="1154"/>
      <c r="H6" s="2"/>
      <c r="I6" s="2"/>
      <c r="J6" s="2"/>
      <c r="K6" s="2"/>
      <c r="L6" s="2"/>
      <c r="M6" s="2"/>
      <c r="N6" s="2"/>
      <c r="O6" s="2"/>
      <c r="P6" s="2"/>
      <c r="Q6" s="2"/>
      <c r="R6" s="2"/>
      <c r="S6" s="2"/>
      <c r="T6" s="2"/>
      <c r="U6" s="2"/>
      <c r="V6" s="2"/>
      <c r="W6" s="2"/>
      <c r="X6" s="2"/>
      <c r="Y6" s="2"/>
    </row>
    <row r="7" spans="1:25" ht="18">
      <c r="A7" s="1022" t="s">
        <v>334</v>
      </c>
      <c r="B7" s="914">
        <f>SUM(B5:B6)</f>
        <v>318978.99800000002</v>
      </c>
      <c r="C7" s="915"/>
      <c r="D7" s="915"/>
      <c r="E7" s="915"/>
      <c r="F7" s="915"/>
      <c r="G7" s="1019"/>
      <c r="H7" s="2"/>
      <c r="I7" s="2"/>
      <c r="J7" s="2"/>
      <c r="K7" s="2"/>
      <c r="L7" s="2"/>
      <c r="M7" s="2"/>
      <c r="N7" s="2"/>
      <c r="O7" s="2"/>
      <c r="P7" s="2"/>
      <c r="Q7" s="2"/>
      <c r="R7" s="2"/>
      <c r="S7" s="2"/>
      <c r="T7" s="2"/>
      <c r="U7" s="2"/>
      <c r="V7" s="2"/>
      <c r="W7" s="2"/>
      <c r="X7" s="2"/>
      <c r="Y7" s="2"/>
    </row>
    <row r="8" spans="1:25" ht="18">
      <c r="A8" s="1023"/>
      <c r="B8" s="930"/>
      <c r="C8" s="1153"/>
      <c r="D8" s="902"/>
      <c r="E8" s="902"/>
      <c r="F8" s="902"/>
      <c r="G8" s="1154"/>
      <c r="H8" s="2"/>
      <c r="I8" s="2"/>
      <c r="J8" s="2"/>
      <c r="K8" s="2"/>
      <c r="L8" s="2"/>
      <c r="M8" s="2"/>
      <c r="N8" s="2"/>
      <c r="O8" s="2"/>
      <c r="P8" s="2"/>
      <c r="Q8" s="2"/>
      <c r="R8" s="2"/>
      <c r="S8" s="2"/>
      <c r="T8" s="2"/>
      <c r="U8" s="2"/>
      <c r="V8" s="2"/>
      <c r="W8" s="2"/>
      <c r="X8" s="2"/>
      <c r="Y8" s="2"/>
    </row>
    <row r="9" spans="1:25" ht="18">
      <c r="A9" s="1022" t="s">
        <v>335</v>
      </c>
      <c r="B9" s="914"/>
      <c r="C9" s="915"/>
      <c r="D9" s="915"/>
      <c r="E9" s="915"/>
      <c r="F9" s="915"/>
      <c r="G9" s="1019"/>
      <c r="H9" s="2"/>
      <c r="I9" s="2"/>
      <c r="J9" s="2"/>
      <c r="K9" s="2"/>
      <c r="L9" s="2"/>
      <c r="M9" s="2"/>
      <c r="N9" s="2"/>
      <c r="O9" s="2"/>
      <c r="P9" s="2"/>
      <c r="Q9" s="2"/>
      <c r="R9" s="2"/>
      <c r="S9" s="2"/>
      <c r="T9" s="2"/>
      <c r="U9" s="2"/>
      <c r="V9" s="2"/>
      <c r="W9" s="2"/>
      <c r="X9" s="2"/>
      <c r="Y9" s="2"/>
    </row>
    <row r="10" spans="1:25" ht="18">
      <c r="A10" s="1023" t="s">
        <v>336</v>
      </c>
      <c r="B10" s="930">
        <f>(B16/4)+B59+B60</f>
        <v>161984.17953037069</v>
      </c>
      <c r="C10" s="1153"/>
      <c r="D10" s="902"/>
      <c r="E10" s="902"/>
      <c r="F10" s="902"/>
      <c r="G10" s="1154"/>
      <c r="H10" s="2"/>
      <c r="I10" s="2"/>
      <c r="J10" s="2"/>
      <c r="K10" s="2"/>
      <c r="L10" s="2"/>
      <c r="M10" s="2"/>
      <c r="N10" s="2"/>
      <c r="O10" s="2"/>
      <c r="P10" s="2"/>
      <c r="Q10" s="2"/>
      <c r="R10" s="2"/>
      <c r="S10" s="2"/>
      <c r="T10" s="2"/>
      <c r="U10" s="2"/>
      <c r="V10" s="2"/>
      <c r="W10" s="2"/>
      <c r="X10" s="2"/>
      <c r="Y10" s="2"/>
    </row>
    <row r="11" spans="1:25" ht="18">
      <c r="A11" s="1022"/>
      <c r="B11" s="914"/>
      <c r="C11" s="915"/>
      <c r="D11" s="915"/>
      <c r="E11" s="915"/>
      <c r="F11" s="915"/>
      <c r="G11" s="1019"/>
      <c r="H11" s="2"/>
      <c r="I11" s="2"/>
      <c r="J11" s="2"/>
      <c r="K11" s="2"/>
      <c r="L11" s="2"/>
      <c r="M11" s="2"/>
      <c r="N11" s="2"/>
      <c r="O11" s="2"/>
      <c r="P11" s="2"/>
      <c r="Q11" s="2"/>
      <c r="R11" s="2"/>
      <c r="S11" s="2"/>
      <c r="T11" s="2"/>
      <c r="U11" s="2"/>
      <c r="V11" s="2"/>
      <c r="W11" s="2"/>
      <c r="X11" s="2"/>
      <c r="Y11" s="2"/>
    </row>
    <row r="12" spans="1:25" ht="18">
      <c r="A12" s="1023" t="s">
        <v>337</v>
      </c>
      <c r="B12" s="930"/>
      <c r="C12" s="1153"/>
      <c r="D12" s="902"/>
      <c r="E12" s="902"/>
      <c r="F12" s="902"/>
      <c r="G12" s="1154"/>
      <c r="H12" s="2"/>
      <c r="I12" s="2"/>
      <c r="J12" s="2"/>
      <c r="K12" s="2"/>
      <c r="L12" s="2"/>
      <c r="M12" s="2"/>
      <c r="N12" s="2"/>
      <c r="O12" s="2"/>
      <c r="P12" s="2"/>
      <c r="Q12" s="2"/>
      <c r="R12" s="2"/>
      <c r="S12" s="2"/>
      <c r="T12" s="2"/>
      <c r="U12" s="2"/>
      <c r="V12" s="2"/>
      <c r="W12" s="2"/>
      <c r="X12" s="2"/>
      <c r="Y12" s="2"/>
    </row>
    <row r="13" spans="1:25" ht="18">
      <c r="A13" s="1022" t="s">
        <v>338</v>
      </c>
      <c r="B13" s="914">
        <f>COGS!B13</f>
        <v>103813.32</v>
      </c>
      <c r="C13" s="915"/>
      <c r="D13" s="915"/>
      <c r="E13" s="915"/>
      <c r="F13" s="915"/>
      <c r="G13" s="1019"/>
      <c r="H13" s="2"/>
      <c r="I13" s="2"/>
      <c r="J13" s="2"/>
      <c r="K13" s="2"/>
      <c r="L13" s="2"/>
      <c r="M13" s="2"/>
      <c r="N13" s="2"/>
      <c r="O13" s="2"/>
      <c r="P13" s="2"/>
      <c r="Q13" s="2"/>
      <c r="R13" s="2"/>
      <c r="S13" s="2"/>
      <c r="T13" s="2"/>
      <c r="U13" s="2"/>
      <c r="V13" s="2"/>
      <c r="W13" s="2"/>
      <c r="X13" s="2"/>
      <c r="Y13" s="2"/>
    </row>
    <row r="14" spans="1:25" ht="18">
      <c r="A14" s="1023" t="s">
        <v>339</v>
      </c>
      <c r="B14" s="930">
        <f>'IMC Schedule'!N48/4</f>
        <v>41900.035125000002</v>
      </c>
      <c r="C14" s="1153"/>
      <c r="D14" s="902"/>
      <c r="E14" s="902"/>
      <c r="F14" s="902"/>
      <c r="G14" s="1154"/>
      <c r="H14" s="2"/>
      <c r="I14" s="2"/>
      <c r="J14" s="2"/>
      <c r="K14" s="2"/>
      <c r="L14" s="2"/>
      <c r="M14" s="2"/>
      <c r="N14" s="2"/>
      <c r="O14" s="2"/>
      <c r="P14" s="2"/>
      <c r="Q14" s="2"/>
      <c r="R14" s="2"/>
      <c r="S14" s="2"/>
      <c r="T14" s="2"/>
      <c r="U14" s="2"/>
      <c r="V14" s="2"/>
      <c r="W14" s="2"/>
      <c r="X14" s="2"/>
      <c r="Y14" s="2"/>
    </row>
    <row r="15" spans="1:25" ht="18">
      <c r="A15" s="1022" t="s">
        <v>340</v>
      </c>
      <c r="B15" s="914">
        <f>((C47+C50)*0.25)</f>
        <v>141063.75</v>
      </c>
      <c r="C15" s="915"/>
      <c r="D15" s="915"/>
      <c r="E15" s="915"/>
      <c r="F15" s="915"/>
      <c r="G15" s="1019"/>
      <c r="H15" s="2"/>
      <c r="I15" s="2"/>
      <c r="J15" s="2"/>
      <c r="K15" s="2"/>
      <c r="L15" s="2"/>
      <c r="M15" s="2"/>
      <c r="N15" s="2"/>
      <c r="O15" s="2"/>
      <c r="P15" s="2"/>
      <c r="Q15" s="2"/>
      <c r="R15" s="2"/>
      <c r="S15" s="2"/>
      <c r="T15" s="2"/>
      <c r="U15" s="2"/>
      <c r="V15" s="2"/>
      <c r="W15" s="2"/>
      <c r="X15" s="2"/>
      <c r="Y15" s="2"/>
    </row>
    <row r="16" spans="1:25" ht="18.399999999999999" thickBot="1">
      <c r="A16" s="1155" t="s">
        <v>341</v>
      </c>
      <c r="B16" s="1027">
        <f>SUM(B13:B15)</f>
        <v>286777.105125</v>
      </c>
      <c r="C16" s="1156"/>
      <c r="D16" s="905"/>
      <c r="E16" s="905"/>
      <c r="F16" s="905"/>
      <c r="G16" s="1157"/>
      <c r="H16" s="2"/>
      <c r="I16" s="2"/>
      <c r="J16" s="2"/>
      <c r="K16" s="2"/>
      <c r="L16" s="2"/>
      <c r="M16" s="2"/>
      <c r="N16" s="2"/>
      <c r="O16" s="2"/>
      <c r="P16" s="2"/>
      <c r="Q16" s="2"/>
      <c r="R16" s="2"/>
      <c r="S16" s="2"/>
      <c r="T16" s="2"/>
      <c r="U16" s="2"/>
      <c r="V16" s="2"/>
      <c r="W16" s="2"/>
      <c r="X16" s="2"/>
      <c r="Y16" s="2"/>
    </row>
    <row r="17" spans="1:25" ht="18.399999999999999" thickBot="1">
      <c r="A17" s="1167"/>
      <c r="B17" s="1168"/>
      <c r="C17" s="1168"/>
      <c r="D17" s="1168"/>
      <c r="E17" s="1168"/>
      <c r="F17" s="1168"/>
      <c r="G17" s="1168"/>
      <c r="H17" s="2"/>
      <c r="I17" s="2"/>
      <c r="J17" s="2"/>
      <c r="K17" s="2"/>
      <c r="L17" s="2"/>
      <c r="M17" s="2"/>
      <c r="N17" s="2"/>
      <c r="O17" s="2"/>
      <c r="P17" s="2"/>
      <c r="Q17" s="2"/>
      <c r="R17" s="2"/>
      <c r="S17" s="2"/>
      <c r="T17" s="2"/>
      <c r="U17" s="2"/>
      <c r="V17" s="2"/>
      <c r="W17" s="2"/>
      <c r="X17" s="2"/>
      <c r="Y17" s="2"/>
    </row>
    <row r="18" spans="1:25" ht="18">
      <c r="A18" s="1325" t="s">
        <v>342</v>
      </c>
      <c r="B18" s="1326"/>
      <c r="C18" s="1326"/>
      <c r="D18" s="1326"/>
      <c r="E18" s="1326"/>
      <c r="F18" s="1326"/>
      <c r="G18" s="1327"/>
      <c r="H18" s="2"/>
      <c r="I18" s="2"/>
      <c r="J18" s="2"/>
      <c r="K18" s="2"/>
      <c r="L18" s="2"/>
      <c r="M18" s="2"/>
      <c r="N18" s="2"/>
      <c r="O18" s="2"/>
      <c r="P18" s="2"/>
      <c r="Q18" s="2"/>
      <c r="R18" s="2"/>
      <c r="S18" s="2"/>
      <c r="T18" s="2"/>
      <c r="U18" s="2"/>
      <c r="V18" s="2"/>
      <c r="W18" s="2"/>
      <c r="X18" s="2"/>
      <c r="Y18" s="2"/>
    </row>
    <row r="19" spans="1:25" ht="18">
      <c r="A19" s="1023" t="s">
        <v>343</v>
      </c>
      <c r="B19" s="1145"/>
      <c r="C19" s="1146"/>
      <c r="D19" s="1147"/>
      <c r="E19" s="1147"/>
      <c r="F19" s="1147"/>
      <c r="G19" s="1148"/>
      <c r="H19" s="2"/>
      <c r="I19" s="2"/>
      <c r="J19" s="2"/>
      <c r="K19" s="2"/>
      <c r="L19" s="2"/>
      <c r="M19" s="2"/>
      <c r="N19" s="2"/>
      <c r="O19" s="2"/>
      <c r="P19" s="2"/>
      <c r="Q19" s="2"/>
      <c r="R19" s="2"/>
      <c r="S19" s="2"/>
      <c r="T19" s="2"/>
      <c r="U19" s="2"/>
      <c r="V19" s="2"/>
      <c r="W19" s="2"/>
      <c r="X19" s="2"/>
      <c r="Y19" s="2"/>
    </row>
    <row r="20" spans="1:25" ht="18">
      <c r="A20" s="1022"/>
      <c r="B20" s="1159" t="s">
        <v>330</v>
      </c>
      <c r="C20" s="1160" t="s">
        <v>4</v>
      </c>
      <c r="D20" s="1160" t="s">
        <v>61</v>
      </c>
      <c r="E20" s="1160" t="s">
        <v>63</v>
      </c>
      <c r="F20" s="1160" t="s">
        <v>65</v>
      </c>
      <c r="G20" s="1161" t="s">
        <v>67</v>
      </c>
      <c r="H20" s="2"/>
      <c r="I20" s="2"/>
      <c r="J20" s="2"/>
      <c r="K20" s="2"/>
      <c r="L20" s="2"/>
      <c r="M20" s="2"/>
      <c r="N20" s="2"/>
      <c r="O20" s="2"/>
      <c r="P20" s="2"/>
      <c r="Q20" s="2"/>
      <c r="R20" s="2"/>
      <c r="S20" s="2"/>
      <c r="T20" s="2"/>
      <c r="U20" s="2"/>
      <c r="V20" s="2"/>
      <c r="W20" s="2"/>
      <c r="X20" s="2"/>
      <c r="Y20" s="2"/>
    </row>
    <row r="21" spans="1:25" ht="18">
      <c r="A21" s="1023" t="s">
        <v>345</v>
      </c>
      <c r="B21" s="928">
        <v>0</v>
      </c>
      <c r="C21" s="919">
        <f>ROUND('BASES Model'!I11*'Avg. Weighted Manufacturer''s Pr'!B3,0)</f>
        <v>6239</v>
      </c>
      <c r="D21" s="903">
        <f>ROUND('BASES Model'!J11*'Avg. Weighted Manufacturer''s Pr'!B12,0)</f>
        <v>13718</v>
      </c>
      <c r="E21" s="903">
        <f>ROUND('BASES Model'!K11*'Avg. Weighted Manufacturer''s Pr'!B21,0)</f>
        <v>27917</v>
      </c>
      <c r="F21" s="903">
        <f>ROUND('BASES Model'!L11*'Avg. Weighted Manufacturer''s Pr'!B30,0)</f>
        <v>29028</v>
      </c>
      <c r="G21" s="1021">
        <f>ROUND('BASES Model'!M11*'Avg. Weighted Manufacturer''s Pr'!B39,0)</f>
        <v>32401</v>
      </c>
      <c r="H21" s="2"/>
      <c r="I21" s="2"/>
      <c r="J21" s="2"/>
      <c r="K21" s="2"/>
      <c r="L21" s="2"/>
      <c r="M21" s="2"/>
      <c r="N21" s="2"/>
      <c r="O21" s="2"/>
      <c r="P21" s="2"/>
      <c r="Q21" s="2"/>
      <c r="R21" s="2"/>
      <c r="S21" s="2"/>
      <c r="T21" s="2"/>
      <c r="U21" s="2"/>
      <c r="V21" s="2"/>
      <c r="W21" s="2"/>
      <c r="X21" s="2"/>
      <c r="Y21" s="2"/>
    </row>
    <row r="22" spans="1:25" ht="18">
      <c r="A22" s="1022" t="s">
        <v>346</v>
      </c>
      <c r="B22" s="914">
        <v>0</v>
      </c>
      <c r="C22" s="915">
        <f>ROUND('BASES Model'!I11*'Avg. Weighted Manufacturer''s Pr'!B4,0)</f>
        <v>61973</v>
      </c>
      <c r="D22" s="915">
        <f>ROUND('BASES Model'!J11*'Avg. Weighted Manufacturer''s Pr'!B13,0)</f>
        <v>77505</v>
      </c>
      <c r="E22" s="915">
        <f>ROUND('BASES Model'!K11*'Avg. Weighted Manufacturer''s Pr'!B22,0)</f>
        <v>118620</v>
      </c>
      <c r="F22" s="915">
        <f>ROUND('BASES Model'!L11*'Avg. Weighted Manufacturer''s Pr'!B31,0)</f>
        <v>121068</v>
      </c>
      <c r="G22" s="1019">
        <f>ROUND('BASES Model'!M11*'Avg. Weighted Manufacturer''s Pr'!B40,0)</f>
        <v>131584</v>
      </c>
      <c r="H22" s="2"/>
      <c r="I22" s="2"/>
      <c r="J22" s="2"/>
      <c r="K22" s="2"/>
      <c r="L22" s="2"/>
      <c r="M22" s="2"/>
      <c r="N22" s="2"/>
      <c r="O22" s="2"/>
      <c r="P22" s="2"/>
      <c r="Q22" s="2"/>
      <c r="R22" s="2"/>
      <c r="S22" s="2"/>
      <c r="T22" s="2"/>
      <c r="U22" s="2"/>
      <c r="V22" s="2"/>
      <c r="W22" s="2"/>
      <c r="X22" s="2"/>
      <c r="Y22" s="2"/>
    </row>
    <row r="23" spans="1:25" ht="18">
      <c r="A23" s="1023" t="s">
        <v>347</v>
      </c>
      <c r="B23" s="928">
        <v>0</v>
      </c>
      <c r="C23" s="919">
        <f>ROUND('BASES Model'!I11*'Avg. Weighted Manufacturer''s Pr'!B5,0)</f>
        <v>0</v>
      </c>
      <c r="D23" s="903">
        <f>ROUND('BASES Model'!J11*'Avg. Weighted Manufacturer''s Pr'!B14,0)</f>
        <v>0</v>
      </c>
      <c r="E23" s="903">
        <f>ROUND('BASES Model'!K11*'Avg. Weighted Manufacturer''s Pr'!B23,0)</f>
        <v>15069</v>
      </c>
      <c r="F23" s="903">
        <f>ROUND('BASES Model'!L11*'Avg. Weighted Manufacturer''s Pr'!B32,0)</f>
        <v>15380</v>
      </c>
      <c r="G23" s="1021">
        <f>ROUND('BASES Model'!M11*'Avg. Weighted Manufacturer''s Pr'!B41,0)</f>
        <v>16716</v>
      </c>
      <c r="H23" s="2"/>
      <c r="I23" s="2"/>
      <c r="J23" s="2"/>
      <c r="K23" s="2"/>
      <c r="L23" s="2"/>
      <c r="M23" s="2"/>
      <c r="N23" s="2"/>
      <c r="O23" s="2"/>
      <c r="P23" s="2"/>
      <c r="Q23" s="2"/>
      <c r="R23" s="2"/>
      <c r="S23" s="2"/>
      <c r="T23" s="2"/>
      <c r="U23" s="2"/>
      <c r="V23" s="2"/>
      <c r="W23" s="2"/>
      <c r="X23" s="2"/>
      <c r="Y23" s="2"/>
    </row>
    <row r="24" spans="1:25" ht="18">
      <c r="A24" s="1022" t="s">
        <v>349</v>
      </c>
      <c r="B24" s="914">
        <v>0</v>
      </c>
      <c r="C24" s="915">
        <f>ROUND('BASES Model'!I11*'Avg. Weighted Manufacturer''s Pr'!B6,0)</f>
        <v>0</v>
      </c>
      <c r="D24" s="915">
        <f>ROUND('BASES Model'!J11*'Avg. Weighted Manufacturer''s Pr'!B15,0)</f>
        <v>0</v>
      </c>
      <c r="E24" s="915">
        <f>ROUND('BASES Model'!K11*'Avg. Weighted Manufacturer''s Pr'!B24,0)</f>
        <v>0</v>
      </c>
      <c r="F24" s="915">
        <f>ROUND('BASES Model'!L11*'Avg. Weighted Manufacturer''s Pr'!B33,0)</f>
        <v>80281</v>
      </c>
      <c r="G24" s="1019">
        <f>ROUND('BASES Model'!M11*'Avg. Weighted Manufacturer''s Pr'!B42,0)</f>
        <v>116357</v>
      </c>
      <c r="H24" s="2"/>
      <c r="I24" s="2"/>
      <c r="J24" s="2"/>
      <c r="K24" s="2"/>
      <c r="L24" s="2"/>
      <c r="M24" s="2"/>
      <c r="N24" s="2"/>
      <c r="O24" s="2"/>
      <c r="P24" s="2"/>
      <c r="Q24" s="2"/>
      <c r="R24" s="2"/>
      <c r="S24" s="2"/>
      <c r="T24" s="2"/>
      <c r="U24" s="2"/>
      <c r="V24" s="2"/>
      <c r="W24" s="2"/>
      <c r="X24" s="2"/>
      <c r="Y24" s="2"/>
    </row>
    <row r="25" spans="1:25" ht="18">
      <c r="A25" s="1158" t="s">
        <v>351</v>
      </c>
      <c r="B25" s="928" t="s">
        <v>353</v>
      </c>
      <c r="C25" s="919">
        <f t="shared" ref="C25:G25" si="0">ROUND(SUM(C21:C24),0)</f>
        <v>68212</v>
      </c>
      <c r="D25" s="903">
        <f t="shared" si="0"/>
        <v>91223</v>
      </c>
      <c r="E25" s="903">
        <f t="shared" si="0"/>
        <v>161606</v>
      </c>
      <c r="F25" s="903">
        <f t="shared" si="0"/>
        <v>245757</v>
      </c>
      <c r="G25" s="1021">
        <f t="shared" si="0"/>
        <v>297058</v>
      </c>
      <c r="H25" s="2"/>
      <c r="I25" s="2"/>
      <c r="J25" s="2"/>
      <c r="K25" s="2"/>
      <c r="L25" s="2"/>
      <c r="M25" s="2"/>
      <c r="N25" s="2"/>
      <c r="O25" s="2"/>
      <c r="P25" s="2"/>
      <c r="Q25" s="2"/>
      <c r="R25" s="2"/>
      <c r="S25" s="2"/>
      <c r="T25" s="2"/>
      <c r="U25" s="2"/>
      <c r="V25" s="2"/>
      <c r="W25" s="2"/>
      <c r="X25" s="2"/>
      <c r="Y25" s="2"/>
    </row>
    <row r="26" spans="1:25" ht="18">
      <c r="A26" s="1022"/>
      <c r="B26" s="914"/>
      <c r="C26" s="915"/>
      <c r="D26" s="915"/>
      <c r="E26" s="915"/>
      <c r="F26" s="915"/>
      <c r="G26" s="1019"/>
      <c r="H26" s="2"/>
      <c r="I26" s="2"/>
      <c r="J26" s="2"/>
      <c r="K26" s="2"/>
      <c r="L26" s="2"/>
      <c r="M26" s="2"/>
      <c r="N26" s="2"/>
      <c r="O26" s="2"/>
      <c r="P26" s="2"/>
      <c r="Q26" s="2"/>
      <c r="R26" s="2"/>
      <c r="S26" s="2"/>
      <c r="T26" s="2"/>
      <c r="U26" s="2"/>
      <c r="V26" s="2"/>
      <c r="W26" s="2"/>
      <c r="X26" s="2"/>
      <c r="Y26" s="2"/>
    </row>
    <row r="27" spans="1:25" ht="18">
      <c r="A27" s="1023" t="s">
        <v>358</v>
      </c>
      <c r="B27" s="928"/>
      <c r="C27" s="919"/>
      <c r="D27" s="903"/>
      <c r="E27" s="903"/>
      <c r="F27" s="903"/>
      <c r="G27" s="1021"/>
      <c r="H27" s="2"/>
      <c r="I27" s="2"/>
      <c r="J27" s="2"/>
      <c r="K27" s="2"/>
      <c r="L27" s="2"/>
      <c r="M27" s="2"/>
      <c r="N27" s="2"/>
      <c r="O27" s="2"/>
      <c r="P27" s="2"/>
      <c r="Q27" s="2"/>
      <c r="R27" s="2"/>
      <c r="S27" s="2"/>
      <c r="T27" s="2"/>
      <c r="U27" s="2"/>
      <c r="V27" s="2"/>
      <c r="W27" s="2"/>
      <c r="X27" s="2"/>
      <c r="Y27" s="2"/>
    </row>
    <row r="28" spans="1:25" ht="18">
      <c r="A28" s="1022" t="s">
        <v>360</v>
      </c>
      <c r="B28" s="917">
        <v>0</v>
      </c>
      <c r="C28" s="1178">
        <f>'Avg. Weighted Manufacturer''s Pr'!C3</f>
        <v>50</v>
      </c>
      <c r="D28" s="1178">
        <f>'Avg. Weighted Manufacturer''s Pr'!C12</f>
        <v>50</v>
      </c>
      <c r="E28" s="1178">
        <f>'Avg. Weighted Manufacturer''s Pr'!C21</f>
        <v>50</v>
      </c>
      <c r="F28" s="1178">
        <f>'Avg. Weighted Manufacturer''s Pr'!C30</f>
        <v>50</v>
      </c>
      <c r="G28" s="1179">
        <f>'Avg. Weighted Manufacturer''s Pr'!C39</f>
        <v>50</v>
      </c>
      <c r="H28" s="2"/>
      <c r="I28" s="2"/>
      <c r="J28" s="2"/>
      <c r="K28" s="2"/>
      <c r="L28" s="2"/>
      <c r="M28" s="2"/>
      <c r="N28" s="2"/>
      <c r="O28" s="2"/>
      <c r="P28" s="2"/>
      <c r="Q28" s="2"/>
      <c r="R28" s="2"/>
      <c r="S28" s="2"/>
      <c r="T28" s="2"/>
      <c r="U28" s="2"/>
      <c r="V28" s="2"/>
      <c r="W28" s="2"/>
      <c r="X28" s="2"/>
      <c r="Y28" s="2"/>
    </row>
    <row r="29" spans="1:25" ht="18">
      <c r="A29" s="1023" t="s">
        <v>364</v>
      </c>
      <c r="B29" s="1162">
        <v>0</v>
      </c>
      <c r="C29" s="1180">
        <f>'Avg. Weighted Manufacturer''s Pr'!C4</f>
        <v>65</v>
      </c>
      <c r="D29" s="1181">
        <f>'Avg. Weighted Manufacturer''s Pr'!C13</f>
        <v>65</v>
      </c>
      <c r="E29" s="1181">
        <f>'Avg. Weighted Manufacturer''s Pr'!C22</f>
        <v>65</v>
      </c>
      <c r="F29" s="1181">
        <f>'Avg. Weighted Manufacturer''s Pr'!C31</f>
        <v>65</v>
      </c>
      <c r="G29" s="1182">
        <f>'Avg. Weighted Manufacturer''s Pr'!C40</f>
        <v>65</v>
      </c>
      <c r="H29" s="2"/>
      <c r="I29" s="2"/>
      <c r="J29" s="2"/>
      <c r="K29" s="2"/>
      <c r="L29" s="2"/>
      <c r="M29" s="2"/>
      <c r="N29" s="2"/>
      <c r="O29" s="2"/>
      <c r="P29" s="2"/>
      <c r="Q29" s="2"/>
      <c r="R29" s="2"/>
      <c r="S29" s="2"/>
      <c r="T29" s="2"/>
      <c r="U29" s="2"/>
      <c r="V29" s="2"/>
      <c r="W29" s="2"/>
      <c r="X29" s="2"/>
      <c r="Y29" s="2"/>
    </row>
    <row r="30" spans="1:25" ht="18">
      <c r="A30" s="1022" t="s">
        <v>367</v>
      </c>
      <c r="B30" s="917">
        <v>0</v>
      </c>
      <c r="C30" s="1178">
        <f>'Avg. Weighted Manufacturer''s Pr'!C5</f>
        <v>0</v>
      </c>
      <c r="D30" s="1178">
        <f>'Avg. Weighted Manufacturer''s Pr'!C14</f>
        <v>0</v>
      </c>
      <c r="E30" s="1178">
        <f>'Avg. Weighted Manufacturer''s Pr'!C23</f>
        <v>52.250000000000007</v>
      </c>
      <c r="F30" s="1178">
        <f>'Avg. Weighted Manufacturer''s Pr'!C32</f>
        <v>52.250000000000007</v>
      </c>
      <c r="G30" s="1179">
        <f>'Avg. Weighted Manufacturer''s Pr'!C41</f>
        <v>52.250000000000007</v>
      </c>
      <c r="H30" s="2"/>
      <c r="I30" s="2"/>
      <c r="J30" s="2"/>
      <c r="K30" s="2"/>
      <c r="L30" s="2"/>
      <c r="M30" s="2"/>
      <c r="N30" s="2"/>
      <c r="O30" s="2"/>
      <c r="P30" s="2"/>
      <c r="Q30" s="2"/>
      <c r="R30" s="2"/>
      <c r="S30" s="2"/>
      <c r="T30" s="2"/>
      <c r="U30" s="2"/>
      <c r="V30" s="2"/>
      <c r="W30" s="2"/>
      <c r="X30" s="2"/>
      <c r="Y30" s="2"/>
    </row>
    <row r="31" spans="1:25" ht="18">
      <c r="A31" s="1023" t="s">
        <v>369</v>
      </c>
      <c r="B31" s="1162">
        <v>0</v>
      </c>
      <c r="C31" s="1180">
        <f>'Avg. Weighted Manufacturer''s Pr'!C6</f>
        <v>0</v>
      </c>
      <c r="D31" s="1181">
        <f>'Avg. Weighted Manufacturer''s Pr'!C15</f>
        <v>0</v>
      </c>
      <c r="E31" s="1181">
        <f>'Avg. Weighted Manufacturer''s Pr'!D15</f>
        <v>0</v>
      </c>
      <c r="F31" s="1181">
        <f>'Avg. Weighted Manufacturer''s Pr'!C33</f>
        <v>54</v>
      </c>
      <c r="G31" s="1182">
        <f>'Avg. Weighted Manufacturer''s Pr'!C42</f>
        <v>54</v>
      </c>
      <c r="H31" s="2"/>
      <c r="I31" s="2"/>
      <c r="J31" s="2"/>
      <c r="K31" s="2"/>
      <c r="L31" s="2"/>
      <c r="M31" s="2"/>
      <c r="N31" s="2"/>
      <c r="O31" s="2"/>
      <c r="P31" s="2"/>
      <c r="Q31" s="2"/>
      <c r="R31" s="2"/>
      <c r="S31" s="2"/>
      <c r="T31" s="2"/>
      <c r="U31" s="2"/>
      <c r="V31" s="2"/>
      <c r="W31" s="2"/>
      <c r="X31" s="2"/>
      <c r="Y31" s="2"/>
    </row>
    <row r="32" spans="1:25" ht="18">
      <c r="A32" s="1022" t="s">
        <v>371</v>
      </c>
      <c r="B32" s="917"/>
      <c r="C32" s="1178">
        <f>'BASES Model'!B13</f>
        <v>63.628136435413609</v>
      </c>
      <c r="D32" s="1178">
        <f>'BASES Model'!C13</f>
        <v>62.744312241706147</v>
      </c>
      <c r="E32" s="1178">
        <f>'BASES Model'!D13</f>
        <v>61.219915669504694</v>
      </c>
      <c r="F32" s="1178">
        <f>'BASES Model'!E13</f>
        <v>58.836976151587656</v>
      </c>
      <c r="G32" s="1179">
        <f>'BASES Model'!F13</f>
        <v>58.337773288245586</v>
      </c>
      <c r="H32" s="2"/>
      <c r="I32" s="2"/>
      <c r="J32" s="2"/>
      <c r="K32" s="2"/>
      <c r="L32" s="2"/>
      <c r="M32" s="2"/>
      <c r="N32" s="2"/>
      <c r="O32" s="2"/>
      <c r="P32" s="2"/>
      <c r="Q32" s="2"/>
      <c r="R32" s="2"/>
      <c r="S32" s="2"/>
      <c r="T32" s="2"/>
      <c r="U32" s="2"/>
      <c r="V32" s="2"/>
      <c r="W32" s="2"/>
      <c r="X32" s="2"/>
      <c r="Y32" s="2"/>
    </row>
    <row r="33" spans="1:25" ht="18">
      <c r="A33" s="1023"/>
      <c r="B33" s="928"/>
      <c r="C33" s="919"/>
      <c r="D33" s="903"/>
      <c r="E33" s="903"/>
      <c r="F33" s="903"/>
      <c r="G33" s="1021"/>
      <c r="H33" s="2"/>
      <c r="I33" s="2"/>
      <c r="J33" s="2"/>
      <c r="K33" s="2"/>
      <c r="L33" s="2"/>
      <c r="M33" s="2"/>
      <c r="N33" s="2"/>
      <c r="O33" s="2"/>
      <c r="P33" s="2"/>
      <c r="Q33" s="2"/>
      <c r="R33" s="2"/>
      <c r="S33" s="2"/>
      <c r="T33" s="2"/>
      <c r="U33" s="2"/>
      <c r="V33" s="2"/>
      <c r="W33" s="2"/>
      <c r="X33" s="2"/>
      <c r="Y33" s="2"/>
    </row>
    <row r="34" spans="1:25" ht="18">
      <c r="A34" s="1022" t="s">
        <v>374</v>
      </c>
      <c r="B34" s="914"/>
      <c r="C34" s="915"/>
      <c r="D34" s="915"/>
      <c r="E34" s="915"/>
      <c r="F34" s="915"/>
      <c r="G34" s="1019"/>
      <c r="H34" s="2"/>
      <c r="I34" s="2"/>
      <c r="J34" s="2"/>
      <c r="K34" s="2"/>
      <c r="L34" s="2"/>
      <c r="M34" s="2"/>
      <c r="N34" s="2"/>
      <c r="O34" s="2"/>
      <c r="P34" s="2"/>
      <c r="Q34" s="2"/>
      <c r="R34" s="2"/>
      <c r="S34" s="2"/>
      <c r="T34" s="2"/>
      <c r="U34" s="2"/>
      <c r="V34" s="2"/>
      <c r="W34" s="2"/>
      <c r="X34" s="2"/>
      <c r="Y34" s="2"/>
    </row>
    <row r="35" spans="1:25" ht="18">
      <c r="A35" s="1023" t="s">
        <v>375</v>
      </c>
      <c r="B35" s="928">
        <v>0</v>
      </c>
      <c r="C35" s="919">
        <f>'Service Subscription Model'!D8</f>
        <v>4092720</v>
      </c>
      <c r="D35" s="903">
        <f>'Service Subscription Model'!E8</f>
        <v>5473380</v>
      </c>
      <c r="E35" s="903">
        <f>'Service Subscription Model'!F8</f>
        <v>9696360</v>
      </c>
      <c r="F35" s="903">
        <f>'Service Subscription Model'!G8</f>
        <v>14745420</v>
      </c>
      <c r="G35" s="1021">
        <f>'Service Subscription Model'!H8</f>
        <v>17823480</v>
      </c>
      <c r="H35" s="2"/>
      <c r="I35" s="2"/>
      <c r="J35" s="2"/>
      <c r="K35" s="2"/>
      <c r="L35" s="2"/>
      <c r="M35" s="2"/>
      <c r="N35" s="2"/>
      <c r="O35" s="2"/>
      <c r="P35" s="2"/>
      <c r="Q35" s="2"/>
      <c r="R35" s="2"/>
      <c r="S35" s="2"/>
      <c r="T35" s="2"/>
      <c r="U35" s="2"/>
      <c r="V35" s="2"/>
      <c r="W35" s="2"/>
      <c r="X35" s="2"/>
      <c r="Y35" s="2"/>
    </row>
    <row r="36" spans="1:25" ht="18">
      <c r="A36" s="1022" t="s">
        <v>378</v>
      </c>
      <c r="B36" s="914">
        <v>0</v>
      </c>
      <c r="C36" s="915">
        <f>'Service Subscription Model'!D14</f>
        <v>5721622.5600000005</v>
      </c>
      <c r="D36" s="915">
        <f>'Service Subscription Model'!E14</f>
        <v>7651785.2400000012</v>
      </c>
      <c r="E36" s="915">
        <f>'Service Subscription Model'!F14</f>
        <v>13555511.280000001</v>
      </c>
      <c r="F36" s="915">
        <f>'Service Subscription Model'!G14</f>
        <v>20614097.160000004</v>
      </c>
      <c r="G36" s="1019">
        <f>'Service Subscription Model'!H14</f>
        <v>24917225.040000003</v>
      </c>
      <c r="H36" s="2"/>
      <c r="I36" s="2"/>
      <c r="J36" s="2"/>
      <c r="K36" s="2"/>
      <c r="L36" s="2"/>
      <c r="M36" s="2"/>
      <c r="N36" s="2"/>
      <c r="O36" s="2"/>
      <c r="P36" s="2"/>
      <c r="Q36" s="2"/>
      <c r="R36" s="2"/>
      <c r="S36" s="2"/>
      <c r="T36" s="2"/>
      <c r="U36" s="2"/>
      <c r="V36" s="2"/>
      <c r="W36" s="2"/>
      <c r="X36" s="2"/>
      <c r="Y36" s="2"/>
    </row>
    <row r="37" spans="1:25" ht="18">
      <c r="A37" s="1023"/>
      <c r="B37" s="928"/>
      <c r="C37" s="919"/>
      <c r="D37" s="903"/>
      <c r="E37" s="903"/>
      <c r="F37" s="903"/>
      <c r="G37" s="1021"/>
      <c r="H37" s="2"/>
      <c r="I37" s="2"/>
      <c r="J37" s="2"/>
      <c r="K37" s="2"/>
      <c r="L37" s="2"/>
      <c r="M37" s="2"/>
      <c r="N37" s="2"/>
      <c r="O37" s="2"/>
      <c r="P37" s="2"/>
      <c r="Q37" s="2"/>
      <c r="R37" s="2"/>
      <c r="S37" s="2"/>
      <c r="T37" s="2"/>
      <c r="U37" s="2"/>
      <c r="V37" s="2"/>
      <c r="W37" s="2"/>
      <c r="X37" s="2"/>
      <c r="Y37" s="2"/>
    </row>
    <row r="38" spans="1:25" ht="18">
      <c r="A38" s="1022"/>
      <c r="B38" s="914"/>
      <c r="C38" s="915"/>
      <c r="D38" s="915"/>
      <c r="E38" s="915"/>
      <c r="F38" s="915"/>
      <c r="G38" s="1019"/>
      <c r="H38" s="2"/>
      <c r="I38" s="2"/>
      <c r="J38" s="2"/>
      <c r="K38" s="2"/>
      <c r="L38" s="2"/>
      <c r="M38" s="2"/>
      <c r="N38" s="2"/>
      <c r="O38" s="2"/>
      <c r="P38" s="2"/>
      <c r="Q38" s="2"/>
      <c r="R38" s="2"/>
      <c r="S38" s="2"/>
      <c r="T38" s="2"/>
      <c r="U38" s="2"/>
      <c r="V38" s="2"/>
      <c r="W38" s="2"/>
      <c r="X38" s="2"/>
      <c r="Y38" s="2"/>
    </row>
    <row r="39" spans="1:25" ht="18">
      <c r="A39" s="1023" t="s">
        <v>383</v>
      </c>
      <c r="B39" s="928"/>
      <c r="C39" s="919"/>
      <c r="D39" s="903"/>
      <c r="E39" s="903"/>
      <c r="F39" s="903"/>
      <c r="G39" s="1021"/>
      <c r="H39" s="2"/>
      <c r="I39" s="2"/>
      <c r="J39" s="2"/>
      <c r="K39" s="2"/>
      <c r="L39" s="2"/>
      <c r="M39" s="2"/>
      <c r="N39" s="2"/>
      <c r="O39" s="2"/>
      <c r="P39" s="2"/>
      <c r="Q39" s="2"/>
      <c r="R39" s="2"/>
      <c r="S39" s="2"/>
      <c r="T39" s="2"/>
      <c r="U39" s="2"/>
      <c r="V39" s="2"/>
      <c r="W39" s="2"/>
      <c r="X39" s="2"/>
      <c r="Y39" s="2"/>
    </row>
    <row r="40" spans="1:25" ht="18">
      <c r="A40" s="1022" t="s">
        <v>384</v>
      </c>
      <c r="B40" s="914">
        <v>0</v>
      </c>
      <c r="C40" s="1041">
        <f>COGS!B$10+COGS!B$11</f>
        <v>14.951983203014015</v>
      </c>
      <c r="D40" s="1041">
        <f>COGS!C$10+COGS!C$11</f>
        <v>15.247411124771066</v>
      </c>
      <c r="E40" s="1041">
        <f>COGS!D$10+COGS!D$11</f>
        <v>14.293959617685235</v>
      </c>
      <c r="F40" s="1041">
        <f>COGS!E$10+COGS!E$11</f>
        <v>14.607967171620418</v>
      </c>
      <c r="G40" s="1047">
        <f>COGS!F$10+COGS!F$11</f>
        <v>15.527616490493159</v>
      </c>
      <c r="H40" s="2"/>
      <c r="I40" s="2"/>
      <c r="J40" s="2"/>
      <c r="K40" s="2"/>
      <c r="L40" s="2"/>
      <c r="M40" s="2"/>
      <c r="N40" s="2"/>
      <c r="O40" s="2"/>
      <c r="P40" s="2"/>
      <c r="Q40" s="2"/>
      <c r="R40" s="2"/>
      <c r="S40" s="2"/>
      <c r="T40" s="2"/>
      <c r="U40" s="2"/>
      <c r="V40" s="2"/>
      <c r="W40" s="2"/>
      <c r="X40" s="2"/>
      <c r="Y40" s="2"/>
    </row>
    <row r="41" spans="1:25" ht="18">
      <c r="A41" s="1158" t="s">
        <v>387</v>
      </c>
      <c r="B41" s="928">
        <v>0</v>
      </c>
      <c r="C41" s="919">
        <f t="shared" ref="C41:G41" si="1">C40*C25</f>
        <v>1019904.6782439919</v>
      </c>
      <c r="D41" s="903">
        <f t="shared" si="1"/>
        <v>1390914.5850349909</v>
      </c>
      <c r="E41" s="903">
        <f t="shared" si="1"/>
        <v>2309989.6379756401</v>
      </c>
      <c r="F41" s="903">
        <f t="shared" si="1"/>
        <v>3590010.1881959192</v>
      </c>
      <c r="G41" s="1021">
        <f t="shared" si="1"/>
        <v>4612602.6994329169</v>
      </c>
      <c r="H41" s="2"/>
      <c r="I41" s="2"/>
      <c r="J41" s="2"/>
      <c r="K41" s="2"/>
      <c r="L41" s="2"/>
      <c r="M41" s="2"/>
      <c r="N41" s="2"/>
      <c r="O41" s="2"/>
      <c r="P41" s="2"/>
      <c r="Q41" s="2"/>
      <c r="R41" s="2"/>
      <c r="S41" s="2"/>
      <c r="T41" s="2"/>
      <c r="U41" s="2"/>
      <c r="V41" s="2"/>
      <c r="W41" s="2"/>
      <c r="X41" s="2"/>
      <c r="Y41" s="2"/>
    </row>
    <row r="42" spans="1:25" ht="18">
      <c r="A42" s="1022" t="s">
        <v>388</v>
      </c>
      <c r="B42" s="914">
        <v>0</v>
      </c>
      <c r="C42" s="915">
        <f>COGS!B$18-COGS!B13</f>
        <v>201061.63258879998</v>
      </c>
      <c r="D42" s="915">
        <f>COGS!C$18</f>
        <v>339225.04300136166</v>
      </c>
      <c r="E42" s="915">
        <f>COGS!D$18</f>
        <v>415462.57089489466</v>
      </c>
      <c r="F42" s="915">
        <f>COGS!E$18</f>
        <v>559869.06173243478</v>
      </c>
      <c r="G42" s="1019">
        <f>COGS!F$18</f>
        <v>607003.5096917703</v>
      </c>
      <c r="H42" s="2"/>
      <c r="I42" s="2"/>
      <c r="J42" s="2"/>
      <c r="K42" s="2"/>
      <c r="L42" s="2"/>
      <c r="M42" s="2"/>
      <c r="N42" s="2"/>
      <c r="O42" s="2"/>
      <c r="P42" s="2"/>
      <c r="Q42" s="2"/>
      <c r="R42" s="2"/>
      <c r="S42" s="2"/>
      <c r="T42" s="2"/>
      <c r="U42" s="2"/>
      <c r="V42" s="2"/>
      <c r="W42" s="2"/>
      <c r="X42" s="2"/>
      <c r="Y42" s="2"/>
    </row>
    <row r="43" spans="1:25" ht="18">
      <c r="A43" s="1158" t="s">
        <v>355</v>
      </c>
      <c r="B43" s="928">
        <v>0</v>
      </c>
      <c r="C43" s="919">
        <f t="shared" ref="C43:G43" si="2">C41+C42</f>
        <v>1220966.310832792</v>
      </c>
      <c r="D43" s="903">
        <f t="shared" si="2"/>
        <v>1730139.6280363526</v>
      </c>
      <c r="E43" s="903">
        <f t="shared" si="2"/>
        <v>2725452.2088705348</v>
      </c>
      <c r="F43" s="903">
        <f t="shared" si="2"/>
        <v>4149879.2499283538</v>
      </c>
      <c r="G43" s="1021">
        <f t="shared" si="2"/>
        <v>5219606.2091246871</v>
      </c>
      <c r="H43" s="368"/>
      <c r="I43" s="2"/>
      <c r="J43" s="2"/>
      <c r="K43" s="2"/>
      <c r="L43" s="2"/>
      <c r="M43" s="2"/>
      <c r="N43" s="2"/>
      <c r="O43" s="2"/>
      <c r="P43" s="2"/>
      <c r="Q43" s="2"/>
      <c r="R43" s="2"/>
      <c r="S43" s="2"/>
      <c r="T43" s="2"/>
      <c r="U43" s="2"/>
      <c r="V43" s="2"/>
      <c r="W43" s="2"/>
      <c r="X43" s="2"/>
      <c r="Y43" s="2"/>
    </row>
    <row r="44" spans="1:25" ht="18">
      <c r="A44" s="1022"/>
      <c r="B44" s="914"/>
      <c r="C44" s="915"/>
      <c r="D44" s="915"/>
      <c r="E44" s="915"/>
      <c r="F44" s="915"/>
      <c r="G44" s="1019"/>
      <c r="H44" s="368"/>
      <c r="I44" s="2"/>
      <c r="J44" s="2"/>
      <c r="K44" s="2"/>
      <c r="L44" s="2"/>
      <c r="M44" s="2"/>
      <c r="N44" s="2"/>
      <c r="O44" s="2"/>
      <c r="P44" s="2"/>
      <c r="Q44" s="2"/>
      <c r="R44" s="2"/>
      <c r="S44" s="2"/>
      <c r="T44" s="2"/>
      <c r="U44" s="2"/>
      <c r="V44" s="2"/>
      <c r="W44" s="2"/>
      <c r="X44" s="2"/>
      <c r="Y44" s="2"/>
    </row>
    <row r="45" spans="1:25" ht="18">
      <c r="A45" s="1023" t="s">
        <v>392</v>
      </c>
      <c r="B45" s="928"/>
      <c r="C45" s="919"/>
      <c r="D45" s="903"/>
      <c r="E45" s="903"/>
      <c r="F45" s="903"/>
      <c r="G45" s="1021"/>
      <c r="H45" s="2"/>
      <c r="I45" s="2"/>
      <c r="J45" s="2"/>
      <c r="K45" s="2"/>
      <c r="L45" s="2"/>
      <c r="M45" s="2"/>
      <c r="N45" s="2"/>
      <c r="O45" s="2"/>
      <c r="P45" s="2"/>
      <c r="Q45" s="2"/>
      <c r="R45" s="2"/>
      <c r="S45" s="2"/>
      <c r="T45" s="2"/>
      <c r="U45" s="2"/>
      <c r="V45" s="2"/>
      <c r="W45" s="2"/>
      <c r="X45" s="2"/>
      <c r="Y45" s="2"/>
    </row>
    <row r="46" spans="1:25" ht="18">
      <c r="A46" s="1022"/>
      <c r="B46" s="914"/>
      <c r="C46" s="915"/>
      <c r="D46" s="915"/>
      <c r="E46" s="915"/>
      <c r="F46" s="915"/>
      <c r="G46" s="1019"/>
      <c r="H46" s="2"/>
      <c r="I46" s="2"/>
      <c r="J46" s="2"/>
      <c r="K46" s="2"/>
      <c r="L46" s="2"/>
      <c r="M46" s="2"/>
      <c r="N46" s="2"/>
      <c r="O46" s="2"/>
      <c r="P46" s="2"/>
      <c r="Q46" s="2"/>
      <c r="R46" s="2"/>
      <c r="S46" s="2"/>
      <c r="T46" s="2"/>
      <c r="U46" s="2"/>
      <c r="V46" s="2"/>
      <c r="W46" s="2"/>
      <c r="X46" s="2"/>
      <c r="Y46" s="2"/>
    </row>
    <row r="47" spans="1:25" ht="18">
      <c r="A47" s="1023" t="s">
        <v>395</v>
      </c>
      <c r="B47" s="928">
        <v>0</v>
      </c>
      <c r="C47" s="919">
        <f>SUM(ACV!O4:O9)</f>
        <v>533060</v>
      </c>
      <c r="D47" s="903">
        <f>SUM(ACV!O14:O19)</f>
        <v>549051.80000000005</v>
      </c>
      <c r="E47" s="903">
        <f>SUM(ACV!O24:O31)</f>
        <v>907533.75400000007</v>
      </c>
      <c r="F47" s="903">
        <f>SUM(ACV!O36:O43)</f>
        <v>1080298.7666199999</v>
      </c>
      <c r="G47" s="1021">
        <f>SUM(ACV!O48:O56)</f>
        <v>1184707.7296185999</v>
      </c>
      <c r="H47" s="2"/>
      <c r="I47" s="2"/>
      <c r="J47" s="2"/>
      <c r="K47" s="2"/>
      <c r="L47" s="2"/>
      <c r="M47" s="2"/>
      <c r="N47" s="2"/>
      <c r="O47" s="2"/>
      <c r="P47" s="2"/>
      <c r="Q47" s="2"/>
      <c r="R47" s="2"/>
      <c r="S47" s="2"/>
      <c r="T47" s="2"/>
      <c r="U47" s="2"/>
      <c r="V47" s="2"/>
      <c r="W47" s="2"/>
      <c r="X47" s="2"/>
      <c r="Y47" s="2"/>
    </row>
    <row r="48" spans="1:25" ht="18">
      <c r="A48" s="1022" t="s">
        <v>396</v>
      </c>
      <c r="B48" s="914">
        <v>0</v>
      </c>
      <c r="C48" s="915">
        <f>'IMC Schedule'!N48</f>
        <v>167600.14050000001</v>
      </c>
      <c r="D48" s="915">
        <f>'IMC Schedule'!N92</f>
        <v>125582.72750000001</v>
      </c>
      <c r="E48" s="915">
        <f>'IMC Schedule'!N137</f>
        <v>244646.6275</v>
      </c>
      <c r="F48" s="915">
        <f>'IMC Schedule'!N182</f>
        <v>249430.07749999998</v>
      </c>
      <c r="G48" s="1019">
        <f>'IMC Schedule'!N227</f>
        <v>249589.32499999998</v>
      </c>
      <c r="H48" s="2"/>
      <c r="I48" s="2"/>
      <c r="J48" s="2"/>
      <c r="K48" s="2"/>
      <c r="L48" s="2"/>
      <c r="M48" s="2"/>
      <c r="N48" s="2"/>
      <c r="O48" s="2"/>
      <c r="P48" s="2"/>
      <c r="Q48" s="2"/>
      <c r="R48" s="2"/>
      <c r="S48" s="2"/>
      <c r="T48" s="2"/>
      <c r="U48" s="2"/>
      <c r="V48" s="2"/>
      <c r="W48" s="2"/>
      <c r="X48" s="2"/>
      <c r="Y48" s="2"/>
    </row>
    <row r="49" spans="1:25" ht="18">
      <c r="A49" s="1023" t="s">
        <v>398</v>
      </c>
      <c r="B49" s="928">
        <v>0</v>
      </c>
      <c r="C49" s="919">
        <v>0</v>
      </c>
      <c r="D49" s="903">
        <v>0</v>
      </c>
      <c r="E49" s="903">
        <f>ACV!O32</f>
        <v>100000</v>
      </c>
      <c r="F49" s="903">
        <f>ACV!O44</f>
        <v>103000</v>
      </c>
      <c r="G49" s="1021">
        <f>ACV!O57</f>
        <v>106090</v>
      </c>
      <c r="H49" s="2"/>
      <c r="I49" s="2"/>
      <c r="J49" s="2"/>
      <c r="K49" s="2"/>
      <c r="L49" s="2"/>
      <c r="M49" s="2"/>
      <c r="N49" s="2"/>
      <c r="O49" s="2"/>
      <c r="P49" s="2"/>
      <c r="Q49" s="2"/>
      <c r="R49" s="2"/>
      <c r="S49" s="2"/>
      <c r="T49" s="2"/>
      <c r="U49" s="2"/>
      <c r="V49" s="2"/>
      <c r="W49" s="2"/>
      <c r="X49" s="2"/>
      <c r="Y49" s="2"/>
    </row>
    <row r="50" spans="1:25" ht="18">
      <c r="A50" s="1022" t="s">
        <v>401</v>
      </c>
      <c r="B50" s="914">
        <v>0</v>
      </c>
      <c r="C50" s="915">
        <f>ACV!O10</f>
        <v>31195</v>
      </c>
      <c r="D50" s="915">
        <f>ACV!O20</f>
        <v>68590</v>
      </c>
      <c r="E50" s="915">
        <v>0</v>
      </c>
      <c r="F50" s="915">
        <v>0</v>
      </c>
      <c r="G50" s="1019">
        <v>0</v>
      </c>
      <c r="H50" s="2"/>
      <c r="I50" s="2"/>
      <c r="J50" s="2"/>
      <c r="K50" s="2"/>
      <c r="L50" s="2"/>
      <c r="M50" s="2"/>
      <c r="N50" s="2"/>
      <c r="O50" s="2"/>
      <c r="P50" s="2"/>
      <c r="Q50" s="2"/>
      <c r="R50" s="2"/>
      <c r="S50" s="2"/>
      <c r="T50" s="2"/>
      <c r="U50" s="2"/>
      <c r="V50" s="2"/>
      <c r="W50" s="2"/>
      <c r="X50" s="2"/>
      <c r="Y50" s="2"/>
    </row>
    <row r="51" spans="1:25" ht="18">
      <c r="A51" s="1023" t="s">
        <v>870</v>
      </c>
      <c r="B51" s="928">
        <v>0</v>
      </c>
      <c r="C51" s="919">
        <f>'IT Costs'!I61</f>
        <v>210521.87400000001</v>
      </c>
      <c r="D51" s="903">
        <f>'IT Costs'!I91</f>
        <v>250781.87400000001</v>
      </c>
      <c r="E51" s="903">
        <f>'IT Costs'!I121</f>
        <v>300024.87400000001</v>
      </c>
      <c r="F51" s="903">
        <f>'IT Costs'!I151</f>
        <v>445710.87400000001</v>
      </c>
      <c r="G51" s="1021">
        <f>'IT Costs'!I181</f>
        <v>465190.87400000001</v>
      </c>
      <c r="H51" s="8"/>
      <c r="I51" s="2"/>
      <c r="J51" s="2"/>
      <c r="K51" s="2"/>
      <c r="L51" s="2"/>
      <c r="M51" s="2"/>
      <c r="N51" s="2"/>
      <c r="O51" s="2"/>
      <c r="P51" s="2"/>
      <c r="Q51" s="2"/>
      <c r="R51" s="2"/>
      <c r="S51" s="2"/>
      <c r="T51" s="2"/>
      <c r="U51" s="2"/>
      <c r="V51" s="2"/>
      <c r="W51" s="2"/>
      <c r="X51" s="2"/>
      <c r="Y51" s="2"/>
    </row>
    <row r="52" spans="1:25" ht="18.399999999999999" thickBot="1">
      <c r="A52" s="1163" t="s">
        <v>405</v>
      </c>
      <c r="B52" s="1164">
        <v>0</v>
      </c>
      <c r="C52" s="1165">
        <f t="shared" ref="C52:G52" si="3">SUM(C47:C51)</f>
        <v>942377.01450000005</v>
      </c>
      <c r="D52" s="1165">
        <f t="shared" si="3"/>
        <v>994006.40150000015</v>
      </c>
      <c r="E52" s="1165">
        <f t="shared" si="3"/>
        <v>1552205.2555000002</v>
      </c>
      <c r="F52" s="1165">
        <f t="shared" si="3"/>
        <v>1878439.7181199999</v>
      </c>
      <c r="G52" s="1166">
        <f t="shared" si="3"/>
        <v>2005577.9286185999</v>
      </c>
      <c r="H52" s="2"/>
      <c r="I52" s="2"/>
      <c r="J52" s="2"/>
      <c r="K52" s="2"/>
      <c r="L52" s="2"/>
      <c r="M52" s="2"/>
      <c r="N52" s="2"/>
      <c r="O52" s="2"/>
      <c r="P52" s="2"/>
      <c r="Q52" s="2"/>
      <c r="R52" s="2"/>
      <c r="S52" s="2"/>
      <c r="T52" s="2"/>
      <c r="U52" s="2"/>
      <c r="V52" s="2"/>
      <c r="W52" s="2"/>
      <c r="X52" s="2"/>
      <c r="Y52" s="2"/>
    </row>
    <row r="53" spans="1:25" ht="18.399999999999999" thickBot="1">
      <c r="A53" s="1169"/>
      <c r="B53" s="1168"/>
      <c r="C53" s="1168"/>
      <c r="D53" s="1168"/>
      <c r="E53" s="1168"/>
      <c r="F53" s="1168"/>
      <c r="G53" s="1168"/>
      <c r="H53" s="2"/>
      <c r="I53" s="2"/>
      <c r="J53" s="2"/>
      <c r="K53" s="2"/>
      <c r="L53" s="2"/>
      <c r="M53" s="2"/>
      <c r="N53" s="2"/>
      <c r="O53" s="2"/>
      <c r="P53" s="2"/>
      <c r="Q53" s="2"/>
      <c r="R53" s="2"/>
      <c r="S53" s="2"/>
      <c r="T53" s="2"/>
      <c r="U53" s="2"/>
      <c r="V53" s="2"/>
      <c r="W53" s="2"/>
      <c r="X53" s="2"/>
      <c r="Y53" s="2"/>
    </row>
    <row r="54" spans="1:25" ht="18">
      <c r="A54" s="1325" t="s">
        <v>407</v>
      </c>
      <c r="B54" s="1326"/>
      <c r="C54" s="1326"/>
      <c r="D54" s="1326"/>
      <c r="E54" s="1326"/>
      <c r="F54" s="1326"/>
      <c r="G54" s="1327"/>
      <c r="H54" s="2"/>
      <c r="I54" s="2"/>
      <c r="J54" s="2"/>
      <c r="K54" s="2"/>
      <c r="L54" s="2"/>
      <c r="M54" s="2"/>
      <c r="N54" s="2"/>
      <c r="O54" s="2"/>
      <c r="P54" s="2"/>
      <c r="Q54" s="2"/>
      <c r="R54" s="2"/>
      <c r="S54" s="2"/>
      <c r="T54" s="2"/>
      <c r="U54" s="2"/>
      <c r="V54" s="2"/>
      <c r="W54" s="2"/>
      <c r="X54" s="2"/>
      <c r="Y54" s="2"/>
    </row>
    <row r="55" spans="1:25" ht="18">
      <c r="A55" s="1023"/>
      <c r="B55" s="1183" t="s">
        <v>409</v>
      </c>
      <c r="C55" s="919"/>
      <c r="D55" s="903"/>
      <c r="E55" s="903"/>
      <c r="F55" s="903"/>
      <c r="G55" s="1021"/>
      <c r="H55" s="2"/>
      <c r="I55" s="2"/>
      <c r="J55" s="2"/>
      <c r="K55" s="2"/>
      <c r="L55" s="2"/>
      <c r="M55" s="2"/>
      <c r="N55" s="2"/>
      <c r="O55" s="2"/>
      <c r="P55" s="2"/>
      <c r="Q55" s="2"/>
      <c r="R55" s="2"/>
      <c r="S55" s="2"/>
      <c r="T55" s="2"/>
      <c r="U55" s="2"/>
      <c r="V55" s="2"/>
      <c r="W55" s="2"/>
      <c r="X55" s="2"/>
      <c r="Y55" s="2"/>
    </row>
    <row r="56" spans="1:25" ht="18">
      <c r="A56" s="1022" t="s">
        <v>415</v>
      </c>
      <c r="B56" s="1040">
        <f>(Ratios!H56*0.7)+(Ratios!H86*0.3)</f>
        <v>0.23266530273565322</v>
      </c>
      <c r="C56" s="1040"/>
      <c r="D56" s="915"/>
      <c r="E56" s="915"/>
      <c r="F56" s="915"/>
      <c r="G56" s="1019"/>
      <c r="H56" s="2"/>
      <c r="I56" s="2"/>
      <c r="J56" s="2"/>
      <c r="K56" s="2"/>
      <c r="L56" s="2"/>
      <c r="M56" s="2"/>
      <c r="N56" s="2"/>
      <c r="O56" s="2"/>
      <c r="P56" s="2"/>
      <c r="Q56" s="2"/>
      <c r="R56" s="2"/>
      <c r="S56" s="2"/>
      <c r="T56" s="2"/>
      <c r="U56" s="2"/>
      <c r="V56" s="2"/>
      <c r="W56" s="2"/>
      <c r="X56" s="2"/>
      <c r="Y56" s="2"/>
    </row>
    <row r="57" spans="1:25" ht="18">
      <c r="A57" s="1023" t="s">
        <v>418</v>
      </c>
      <c r="B57" s="1170">
        <f>(Ratios!H57*0.7)+(Ratios!H87*0.3)</f>
        <v>0.25070457414902148</v>
      </c>
      <c r="C57" s="919"/>
      <c r="D57" s="903"/>
      <c r="E57" s="903"/>
      <c r="F57" s="903"/>
      <c r="G57" s="1021"/>
      <c r="H57" s="2"/>
      <c r="I57" s="2"/>
      <c r="J57" s="2"/>
      <c r="K57" s="2"/>
      <c r="L57" s="2"/>
      <c r="M57" s="2"/>
      <c r="N57" s="2"/>
      <c r="O57" s="2"/>
      <c r="P57" s="2"/>
      <c r="Q57" s="2"/>
      <c r="R57" s="2"/>
      <c r="S57" s="2"/>
      <c r="T57" s="2"/>
      <c r="U57" s="2"/>
      <c r="V57" s="2"/>
      <c r="W57" s="2"/>
      <c r="X57" s="2"/>
      <c r="Y57" s="2"/>
    </row>
    <row r="58" spans="1:25" ht="18">
      <c r="A58" s="1022"/>
      <c r="B58" s="914"/>
      <c r="C58" s="915"/>
      <c r="D58" s="915"/>
      <c r="E58" s="915"/>
      <c r="F58" s="915"/>
      <c r="G58" s="1019"/>
      <c r="H58" s="2"/>
      <c r="I58" s="2"/>
      <c r="J58" s="2"/>
      <c r="K58" s="2"/>
      <c r="L58" s="2"/>
      <c r="M58" s="2"/>
      <c r="N58" s="2"/>
      <c r="O58" s="2"/>
      <c r="P58" s="2"/>
      <c r="Q58" s="2"/>
      <c r="R58" s="2"/>
      <c r="S58" s="2"/>
      <c r="T58" s="2"/>
      <c r="U58" s="2"/>
      <c r="V58" s="2"/>
      <c r="W58" s="2"/>
      <c r="X58" s="2"/>
      <c r="Y58" s="2"/>
    </row>
    <row r="59" spans="1:25" ht="18">
      <c r="A59" s="1023" t="s">
        <v>421</v>
      </c>
      <c r="B59" s="928">
        <f>SUM(Inventory!B4:B5)*0.25</f>
        <v>64133.730087997901</v>
      </c>
      <c r="C59" s="919">
        <f>SUM(Inventory!B4:B5)*0.75</f>
        <v>192401.19026399369</v>
      </c>
      <c r="D59" s="903">
        <f>SUM(Inventory!C$4:C$5)</f>
        <v>346012.0948514113</v>
      </c>
      <c r="E59" s="903">
        <f>SUM(Inventory!D$4:D$5)</f>
        <v>625366.06892242236</v>
      </c>
      <c r="F59" s="903">
        <f>SUM(Inventory!E$4:E$5)</f>
        <v>948158.39338014519</v>
      </c>
      <c r="G59" s="1021">
        <f>SUM(Inventory!F$4:F$5)</f>
        <v>1149893.8106572214</v>
      </c>
      <c r="H59" s="2"/>
      <c r="I59" s="2"/>
      <c r="J59" s="2"/>
      <c r="K59" s="2"/>
      <c r="L59" s="2"/>
      <c r="M59" s="2"/>
      <c r="N59" s="2"/>
      <c r="O59" s="2"/>
      <c r="P59" s="2"/>
      <c r="Q59" s="2"/>
      <c r="R59" s="2"/>
      <c r="S59" s="2"/>
      <c r="T59" s="2"/>
      <c r="U59" s="2"/>
      <c r="V59" s="2"/>
      <c r="W59" s="2"/>
      <c r="X59" s="2"/>
      <c r="Y59" s="2"/>
    </row>
    <row r="60" spans="1:25" ht="18">
      <c r="A60" s="1022" t="s">
        <v>423</v>
      </c>
      <c r="B60" s="914">
        <f>Inventory!B6*0.25</f>
        <v>26156.173161122777</v>
      </c>
      <c r="C60" s="915">
        <f>Inventory!B6*0.75</f>
        <v>78468.519483368334</v>
      </c>
      <c r="D60" s="915">
        <f>Inventory!C$6</f>
        <v>137294.74600144842</v>
      </c>
      <c r="E60" s="915">
        <f>Inventory!D$6</f>
        <v>225289.06866185713</v>
      </c>
      <c r="F60" s="915">
        <f>Inventory!E$6</f>
        <v>337242.55357639649</v>
      </c>
      <c r="G60" s="1019">
        <f>Inventory!F$6</f>
        <v>414937.64199109434</v>
      </c>
      <c r="H60" s="2"/>
      <c r="I60" s="2"/>
      <c r="J60" s="2"/>
      <c r="K60" s="2"/>
      <c r="L60" s="2"/>
      <c r="M60" s="2"/>
      <c r="N60" s="2"/>
      <c r="O60" s="2"/>
      <c r="P60" s="2"/>
      <c r="Q60" s="2"/>
      <c r="R60" s="2"/>
      <c r="S60" s="2"/>
      <c r="T60" s="2"/>
      <c r="U60" s="2"/>
      <c r="V60" s="2"/>
      <c r="W60" s="2"/>
      <c r="X60" s="2"/>
      <c r="Y60" s="2"/>
    </row>
    <row r="61" spans="1:25" ht="18.399999999999999" thickBot="1">
      <c r="A61" s="1155" t="s">
        <v>426</v>
      </c>
      <c r="B61" s="1177">
        <f>'PPE &amp; Amortization Schedule'!C26</f>
        <v>8500</v>
      </c>
      <c r="C61" s="1028">
        <f>'PPE &amp; Amortization Schedule'!C14</f>
        <v>0</v>
      </c>
      <c r="D61" s="906">
        <f>'PPE &amp; Amortization Schedule'!D14</f>
        <v>0</v>
      </c>
      <c r="E61" s="906">
        <f>'PPE &amp; Amortization Schedule'!G26</f>
        <v>9139.2640647040025</v>
      </c>
      <c r="F61" s="906">
        <f>'PPE &amp; Amortization Schedule'!F14</f>
        <v>0</v>
      </c>
      <c r="G61" s="1029">
        <f>'PPE &amp; Amortization Schedule'!G14</f>
        <v>0</v>
      </c>
      <c r="H61" s="8"/>
      <c r="I61" s="8"/>
      <c r="J61" s="2"/>
      <c r="K61" s="2"/>
      <c r="L61" s="2"/>
      <c r="M61" s="2"/>
      <c r="N61" s="2"/>
      <c r="O61" s="2"/>
      <c r="P61" s="2"/>
      <c r="Q61" s="2"/>
      <c r="R61" s="2"/>
      <c r="S61" s="2"/>
      <c r="T61" s="2"/>
      <c r="U61" s="2"/>
      <c r="V61" s="2"/>
      <c r="W61" s="2"/>
      <c r="X61" s="2"/>
      <c r="Y61" s="2"/>
    </row>
    <row r="62" spans="1:25" ht="18.399999999999999" thickBot="1">
      <c r="A62" s="1176"/>
      <c r="B62" s="1168"/>
      <c r="C62" s="1168"/>
      <c r="D62" s="1168"/>
      <c r="E62" s="1168"/>
      <c r="F62" s="1168"/>
      <c r="G62" s="1168"/>
      <c r="H62" s="8"/>
      <c r="I62" s="2"/>
      <c r="J62" s="2"/>
      <c r="K62" s="2"/>
      <c r="L62" s="2"/>
      <c r="M62" s="2"/>
      <c r="N62" s="2"/>
      <c r="O62" s="2"/>
      <c r="P62" s="2"/>
      <c r="Q62" s="2"/>
      <c r="R62" s="2"/>
      <c r="S62" s="2"/>
      <c r="T62" s="2"/>
      <c r="U62" s="2"/>
      <c r="V62" s="2"/>
      <c r="W62" s="2"/>
      <c r="X62" s="2"/>
      <c r="Y62" s="2"/>
    </row>
    <row r="63" spans="1:25" ht="18">
      <c r="A63" s="1325" t="s">
        <v>431</v>
      </c>
      <c r="B63" s="1326"/>
      <c r="C63" s="1326"/>
      <c r="D63" s="1326"/>
      <c r="E63" s="1326"/>
      <c r="F63" s="1326"/>
      <c r="G63" s="1327"/>
      <c r="H63" s="2"/>
      <c r="I63" s="2"/>
      <c r="J63" s="2"/>
      <c r="K63" s="2"/>
      <c r="L63" s="2"/>
      <c r="M63" s="2"/>
      <c r="N63" s="2"/>
      <c r="O63" s="2"/>
      <c r="P63" s="2"/>
      <c r="Q63" s="2"/>
      <c r="R63" s="2"/>
      <c r="S63" s="2"/>
      <c r="T63" s="2"/>
      <c r="U63" s="2"/>
      <c r="V63" s="2"/>
      <c r="W63" s="2"/>
      <c r="X63" s="2"/>
      <c r="Y63" s="2"/>
    </row>
    <row r="64" spans="1:25" ht="18">
      <c r="A64" s="1023" t="s">
        <v>432</v>
      </c>
      <c r="B64" s="1170">
        <f>'FE Cash Flow'!C35</f>
        <v>0.26816999999999996</v>
      </c>
      <c r="C64" s="919"/>
      <c r="D64" s="903"/>
      <c r="E64" s="903"/>
      <c r="F64" s="903"/>
      <c r="G64" s="1021"/>
      <c r="H64" s="2"/>
      <c r="I64" s="2"/>
      <c r="J64" s="2"/>
      <c r="K64" s="2"/>
      <c r="L64" s="2"/>
      <c r="M64" s="2"/>
      <c r="N64" s="2"/>
      <c r="O64" s="2"/>
      <c r="P64" s="2"/>
      <c r="Q64" s="2"/>
      <c r="R64" s="2"/>
      <c r="S64" s="2"/>
      <c r="T64" s="2"/>
      <c r="U64" s="2"/>
      <c r="V64" s="2"/>
      <c r="W64" s="2"/>
      <c r="X64" s="2"/>
      <c r="Y64" s="2"/>
    </row>
    <row r="65" spans="1:25" ht="18">
      <c r="A65" s="1022" t="s">
        <v>433</v>
      </c>
      <c r="B65" s="1040">
        <v>0.1</v>
      </c>
      <c r="C65" s="1040"/>
      <c r="D65" s="915"/>
      <c r="E65" s="915"/>
      <c r="F65" s="915"/>
      <c r="G65" s="1019"/>
      <c r="H65" s="2"/>
      <c r="I65" s="2"/>
      <c r="J65" s="2"/>
      <c r="K65" s="2"/>
      <c r="L65" s="2"/>
      <c r="M65" s="2"/>
      <c r="N65" s="2"/>
      <c r="O65" s="2"/>
      <c r="P65" s="2"/>
      <c r="Q65" s="2"/>
      <c r="R65" s="2"/>
      <c r="S65" s="2"/>
      <c r="T65" s="2"/>
      <c r="U65" s="2"/>
      <c r="V65" s="2"/>
      <c r="W65" s="2"/>
      <c r="X65" s="2"/>
      <c r="Y65" s="2"/>
    </row>
    <row r="66" spans="1:25" ht="18">
      <c r="A66" s="1023" t="s">
        <v>434</v>
      </c>
      <c r="B66" s="1170">
        <v>0.35</v>
      </c>
      <c r="C66" s="919"/>
      <c r="D66" s="903"/>
      <c r="E66" s="903"/>
      <c r="F66" s="903"/>
      <c r="G66" s="1021"/>
      <c r="H66" s="2"/>
      <c r="I66" s="2"/>
      <c r="J66" s="2"/>
      <c r="K66" s="2"/>
      <c r="L66" s="2"/>
      <c r="M66" s="2"/>
      <c r="N66" s="2"/>
      <c r="O66" s="2"/>
      <c r="P66" s="2"/>
      <c r="Q66" s="2"/>
      <c r="R66" s="2"/>
      <c r="S66" s="2"/>
      <c r="T66" s="2"/>
      <c r="U66" s="2"/>
      <c r="V66" s="2"/>
      <c r="W66" s="2"/>
      <c r="X66" s="2"/>
      <c r="Y66" s="2"/>
    </row>
    <row r="67" spans="1:25" ht="18">
      <c r="A67" s="1022" t="s">
        <v>436</v>
      </c>
      <c r="B67" s="1040">
        <v>0.05</v>
      </c>
      <c r="C67" s="1040"/>
      <c r="D67" s="915"/>
      <c r="E67" s="915"/>
      <c r="F67" s="915"/>
      <c r="G67" s="1019"/>
      <c r="H67" s="2"/>
      <c r="I67" s="2"/>
      <c r="J67" s="2"/>
      <c r="K67" s="2"/>
      <c r="L67" s="2"/>
      <c r="M67" s="2"/>
      <c r="N67" s="2"/>
      <c r="O67" s="2"/>
      <c r="P67" s="2"/>
      <c r="Q67" s="2"/>
      <c r="R67" s="2"/>
      <c r="S67" s="2"/>
      <c r="T67" s="2"/>
      <c r="U67" s="2"/>
      <c r="V67" s="2"/>
      <c r="W67" s="2"/>
      <c r="X67" s="2"/>
      <c r="Y67" s="2"/>
    </row>
    <row r="68" spans="1:25" ht="18">
      <c r="A68" s="1023" t="s">
        <v>437</v>
      </c>
      <c r="B68" s="919">
        <v>5</v>
      </c>
      <c r="C68" s="1171" t="s">
        <v>438</v>
      </c>
      <c r="D68" s="903"/>
      <c r="E68" s="903"/>
      <c r="F68" s="903"/>
      <c r="G68" s="1021"/>
      <c r="H68" s="2"/>
      <c r="I68" s="2"/>
      <c r="J68" s="2"/>
      <c r="K68" s="2"/>
      <c r="L68" s="2"/>
      <c r="M68" s="2"/>
      <c r="N68" s="2"/>
      <c r="O68" s="2"/>
      <c r="P68" s="2"/>
      <c r="Q68" s="2"/>
      <c r="R68" s="2"/>
      <c r="S68" s="2"/>
      <c r="T68" s="2"/>
      <c r="U68" s="2"/>
      <c r="V68" s="2"/>
      <c r="W68" s="2"/>
      <c r="X68" s="2"/>
      <c r="Y68" s="2"/>
    </row>
    <row r="69" spans="1:25" ht="18">
      <c r="A69" s="1022" t="s">
        <v>439</v>
      </c>
      <c r="B69" s="920">
        <v>10</v>
      </c>
      <c r="C69" s="1172" t="s">
        <v>438</v>
      </c>
      <c r="D69" s="915"/>
      <c r="E69" s="915"/>
      <c r="F69" s="915"/>
      <c r="G69" s="1019"/>
      <c r="H69" s="2"/>
      <c r="I69" s="2"/>
      <c r="J69" s="2"/>
      <c r="K69" s="2"/>
      <c r="L69" s="2"/>
      <c r="M69" s="2"/>
      <c r="N69" s="2"/>
      <c r="O69" s="2"/>
      <c r="P69" s="2"/>
      <c r="Q69" s="2"/>
      <c r="R69" s="2"/>
      <c r="S69" s="2"/>
      <c r="T69" s="2"/>
      <c r="U69" s="2"/>
      <c r="V69" s="2"/>
      <c r="W69" s="2"/>
      <c r="X69" s="2"/>
      <c r="Y69" s="2"/>
    </row>
    <row r="70" spans="1:25" ht="18">
      <c r="A70" s="1023" t="s">
        <v>440</v>
      </c>
      <c r="B70" s="1170">
        <v>0.03</v>
      </c>
      <c r="C70" s="919"/>
      <c r="D70" s="903"/>
      <c r="E70" s="903"/>
      <c r="F70" s="903"/>
      <c r="G70" s="1021"/>
      <c r="H70" s="2"/>
      <c r="I70" s="2"/>
      <c r="J70" s="2"/>
      <c r="K70" s="2"/>
      <c r="L70" s="2"/>
      <c r="M70" s="2"/>
      <c r="N70" s="2"/>
      <c r="O70" s="2"/>
      <c r="P70" s="2"/>
      <c r="Q70" s="2"/>
      <c r="R70" s="2"/>
      <c r="S70" s="2"/>
      <c r="T70" s="2"/>
      <c r="U70" s="2"/>
      <c r="V70" s="2"/>
      <c r="W70" s="2"/>
      <c r="X70" s="2"/>
      <c r="Y70" s="2"/>
    </row>
    <row r="71" spans="1:25" ht="18">
      <c r="A71" s="1022" t="s">
        <v>442</v>
      </c>
      <c r="B71" s="920">
        <v>3</v>
      </c>
      <c r="C71" s="1172" t="s">
        <v>443</v>
      </c>
      <c r="D71" s="915"/>
      <c r="E71" s="915"/>
      <c r="F71" s="915"/>
      <c r="G71" s="1019"/>
      <c r="H71" s="2"/>
      <c r="I71" s="2"/>
      <c r="J71" s="2"/>
      <c r="K71" s="2"/>
      <c r="L71" s="2"/>
      <c r="M71" s="2"/>
      <c r="N71" s="2"/>
      <c r="O71" s="2"/>
      <c r="P71" s="2"/>
      <c r="Q71" s="2"/>
      <c r="R71" s="2"/>
      <c r="S71" s="2"/>
      <c r="T71" s="2"/>
      <c r="U71" s="2"/>
      <c r="V71" s="2"/>
      <c r="W71" s="2"/>
      <c r="X71" s="2"/>
      <c r="Y71" s="2"/>
    </row>
    <row r="72" spans="1:25" ht="18">
      <c r="A72" s="1023" t="s">
        <v>444</v>
      </c>
      <c r="B72" s="1170">
        <v>0</v>
      </c>
      <c r="C72" s="1173">
        <f>'Avg. Weighted Manufacturer''s Pr'!B4</f>
        <v>0.90854242902757432</v>
      </c>
      <c r="D72" s="1174">
        <f>'Avg. Weighted Manufacturer''s Pr'!B13</f>
        <v>0.84962081611374307</v>
      </c>
      <c r="E72" s="1174">
        <f>'Avg. Weighted Manufacturer''s Pr'!B22</f>
        <v>0.73400781321076036</v>
      </c>
      <c r="F72" s="1174">
        <f>'Avg. Weighted Manufacturer''s Pr'!B31</f>
        <v>0.49263328217445063</v>
      </c>
      <c r="G72" s="1175">
        <f>'Avg. Weighted Manufacturer''s Pr'!B40</f>
        <v>0.44295839522778213</v>
      </c>
      <c r="H72" s="8"/>
      <c r="I72" s="2"/>
      <c r="J72" s="2"/>
      <c r="K72" s="2"/>
      <c r="L72" s="2"/>
      <c r="M72" s="2"/>
      <c r="N72" s="2"/>
      <c r="O72" s="2"/>
      <c r="P72" s="2"/>
      <c r="Q72" s="2"/>
      <c r="R72" s="2"/>
      <c r="S72" s="2"/>
      <c r="T72" s="2"/>
      <c r="U72" s="2"/>
      <c r="V72" s="2"/>
      <c r="W72" s="2"/>
      <c r="X72" s="2"/>
      <c r="Y72" s="2"/>
    </row>
    <row r="73" spans="1:25" ht="18">
      <c r="A73" s="1022" t="s">
        <v>445</v>
      </c>
      <c r="B73" s="920">
        <v>365</v>
      </c>
      <c r="C73" s="1172" t="s">
        <v>443</v>
      </c>
      <c r="D73" s="915"/>
      <c r="E73" s="915"/>
      <c r="F73" s="915"/>
      <c r="G73" s="1019"/>
      <c r="H73" s="2"/>
      <c r="I73" s="2"/>
      <c r="J73" s="2"/>
      <c r="K73" s="2"/>
      <c r="L73" s="2"/>
      <c r="M73" s="2"/>
      <c r="N73" s="2"/>
      <c r="O73" s="2"/>
      <c r="P73" s="2"/>
      <c r="Q73" s="2"/>
      <c r="R73" s="2"/>
      <c r="S73" s="2"/>
      <c r="T73" s="2"/>
      <c r="U73" s="2"/>
      <c r="V73" s="2"/>
      <c r="W73" s="2"/>
      <c r="X73" s="2"/>
      <c r="Y73" s="2"/>
    </row>
    <row r="74" spans="1:25" ht="18.399999999999999" thickBot="1">
      <c r="A74" s="1155" t="s">
        <v>869</v>
      </c>
      <c r="B74" s="1027">
        <v>250000</v>
      </c>
      <c r="C74" s="1028"/>
      <c r="D74" s="906"/>
      <c r="E74" s="906"/>
      <c r="F74" s="906"/>
      <c r="G74" s="1029"/>
      <c r="H74" s="2"/>
      <c r="I74" s="2"/>
      <c r="J74" s="2"/>
      <c r="K74" s="2"/>
      <c r="L74" s="2"/>
      <c r="M74" s="2"/>
      <c r="N74" s="2"/>
      <c r="O74" s="2"/>
      <c r="P74" s="2"/>
      <c r="Q74" s="2"/>
      <c r="R74" s="2"/>
      <c r="S74" s="2"/>
      <c r="T74" s="2"/>
      <c r="U74" s="2"/>
      <c r="V74" s="2"/>
      <c r="W74" s="2"/>
      <c r="X74" s="2"/>
      <c r="Y74" s="2"/>
    </row>
    <row r="75" spans="1:25" ht="18">
      <c r="A75" s="2"/>
      <c r="B75" s="2"/>
      <c r="C75" s="2"/>
      <c r="D75" s="2"/>
      <c r="E75" s="2"/>
      <c r="F75" s="2"/>
      <c r="G75" s="2"/>
      <c r="H75" s="2"/>
      <c r="I75" s="2"/>
      <c r="J75" s="2"/>
      <c r="K75" s="2"/>
      <c r="L75" s="2"/>
      <c r="M75" s="2"/>
      <c r="N75" s="2"/>
      <c r="O75" s="2"/>
      <c r="P75" s="2"/>
    </row>
    <row r="76" spans="1:25" ht="18">
      <c r="A76" s="2"/>
      <c r="B76" s="2"/>
      <c r="C76" s="2"/>
      <c r="D76" s="2"/>
      <c r="E76" s="2"/>
      <c r="F76" s="2"/>
      <c r="G76" s="2"/>
      <c r="H76" s="2"/>
      <c r="I76" s="2"/>
      <c r="J76" s="2"/>
      <c r="K76" s="2"/>
      <c r="L76" s="2"/>
      <c r="M76" s="2"/>
      <c r="N76" s="2"/>
      <c r="O76" s="2"/>
      <c r="P76" s="2"/>
    </row>
    <row r="77" spans="1:25" ht="18">
      <c r="A77" s="2"/>
      <c r="B77" s="2"/>
      <c r="C77" s="2"/>
      <c r="D77" s="2"/>
      <c r="E77" s="2"/>
      <c r="F77" s="2"/>
      <c r="G77" s="2"/>
      <c r="H77" s="2"/>
      <c r="I77" s="2"/>
      <c r="J77" s="2"/>
      <c r="K77" s="2"/>
      <c r="L77" s="2"/>
      <c r="M77" s="2"/>
      <c r="N77" s="2"/>
      <c r="O77" s="2"/>
      <c r="P77" s="2"/>
    </row>
    <row r="78" spans="1:25" ht="18">
      <c r="A78" s="2"/>
      <c r="B78" s="2"/>
      <c r="C78" s="2"/>
      <c r="D78" s="2"/>
      <c r="E78" s="2"/>
      <c r="F78" s="2"/>
      <c r="G78" s="2"/>
      <c r="H78" s="2"/>
      <c r="I78" s="2"/>
      <c r="J78" s="2"/>
      <c r="K78" s="2"/>
      <c r="L78" s="2"/>
      <c r="M78" s="2"/>
      <c r="N78" s="2"/>
      <c r="O78" s="2"/>
      <c r="P78" s="2"/>
    </row>
    <row r="79" spans="1:25" ht="18">
      <c r="A79" s="2"/>
      <c r="B79" s="2"/>
      <c r="C79" s="2"/>
      <c r="D79" s="2"/>
      <c r="E79" s="2"/>
      <c r="F79" s="2"/>
      <c r="G79" s="2"/>
      <c r="H79" s="2"/>
      <c r="I79" s="2"/>
      <c r="J79" s="2"/>
      <c r="K79" s="2"/>
      <c r="L79" s="2"/>
      <c r="M79" s="2"/>
      <c r="N79" s="2"/>
      <c r="O79" s="2"/>
      <c r="P79" s="2"/>
    </row>
    <row r="80" spans="1:25" ht="18">
      <c r="A80" s="2"/>
      <c r="B80" s="2"/>
      <c r="C80" s="2"/>
      <c r="D80" s="2"/>
      <c r="E80" s="2"/>
      <c r="F80" s="2"/>
      <c r="G80" s="2"/>
      <c r="H80" s="2"/>
      <c r="I80" s="2"/>
      <c r="J80" s="2"/>
      <c r="K80" s="2"/>
      <c r="L80" s="2"/>
      <c r="M80" s="2"/>
      <c r="N80" s="2"/>
      <c r="O80" s="2"/>
      <c r="P80" s="2"/>
    </row>
    <row r="81" spans="1:25" ht="18">
      <c r="A81" s="2"/>
      <c r="B81" s="2"/>
      <c r="C81" s="2"/>
      <c r="D81" s="2"/>
      <c r="E81" s="2"/>
      <c r="F81" s="2"/>
      <c r="G81" s="2"/>
      <c r="H81" s="2"/>
      <c r="I81" s="2"/>
      <c r="J81" s="2"/>
      <c r="K81" s="2"/>
      <c r="L81" s="2"/>
      <c r="M81" s="2"/>
      <c r="N81" s="2"/>
      <c r="O81" s="2"/>
      <c r="P81" s="2"/>
    </row>
    <row r="82" spans="1:25" ht="18">
      <c r="A82" s="2"/>
      <c r="B82" s="2"/>
      <c r="C82" s="2"/>
      <c r="D82" s="2"/>
      <c r="E82" s="2"/>
      <c r="F82" s="2"/>
      <c r="G82" s="2"/>
      <c r="H82" s="2"/>
      <c r="I82" s="2"/>
      <c r="J82" s="2"/>
      <c r="K82" s="2"/>
      <c r="L82" s="2"/>
      <c r="M82" s="2"/>
      <c r="N82" s="2"/>
      <c r="O82" s="2"/>
      <c r="P82" s="2"/>
    </row>
    <row r="83" spans="1:25" ht="18">
      <c r="A83" s="2"/>
      <c r="B83" s="2"/>
      <c r="C83" s="2"/>
      <c r="D83" s="2"/>
      <c r="E83" s="2"/>
      <c r="F83" s="2"/>
      <c r="G83" s="2"/>
      <c r="H83" s="2"/>
      <c r="I83" s="2"/>
      <c r="J83" s="2"/>
      <c r="K83" s="2"/>
      <c r="L83" s="2"/>
      <c r="M83" s="2"/>
      <c r="N83" s="2"/>
      <c r="O83" s="2"/>
      <c r="P83" s="2"/>
    </row>
    <row r="84" spans="1:25" ht="18">
      <c r="A84" s="2"/>
      <c r="B84" s="2"/>
      <c r="C84" s="2"/>
      <c r="D84" s="2"/>
      <c r="E84" s="2"/>
      <c r="F84" s="2"/>
      <c r="G84" s="2"/>
      <c r="H84" s="2"/>
      <c r="I84" s="2"/>
      <c r="J84" s="2"/>
      <c r="K84" s="2"/>
      <c r="L84" s="2"/>
      <c r="M84" s="2"/>
      <c r="N84" s="2"/>
      <c r="O84" s="2"/>
      <c r="P84" s="2"/>
    </row>
    <row r="85" spans="1:25" ht="18">
      <c r="A85" s="2"/>
      <c r="B85" s="2"/>
      <c r="C85" s="2"/>
      <c r="D85" s="2"/>
      <c r="E85" s="2"/>
      <c r="F85" s="2"/>
      <c r="G85" s="2"/>
      <c r="H85" s="2"/>
      <c r="I85" s="2"/>
      <c r="J85" s="2"/>
      <c r="K85" s="2"/>
      <c r="L85" s="2"/>
      <c r="M85" s="2"/>
      <c r="N85" s="2"/>
      <c r="O85" s="2"/>
      <c r="P85" s="2"/>
    </row>
    <row r="86" spans="1:25" ht="18">
      <c r="A86" s="2"/>
      <c r="B86" s="2"/>
      <c r="C86" s="2"/>
      <c r="D86" s="2"/>
      <c r="E86" s="2"/>
      <c r="F86" s="2"/>
      <c r="G86" s="2"/>
      <c r="H86" s="2"/>
      <c r="I86" s="2"/>
      <c r="J86" s="2"/>
      <c r="K86" s="2"/>
      <c r="L86" s="2"/>
      <c r="M86" s="2"/>
      <c r="N86" s="2"/>
      <c r="O86" s="2"/>
      <c r="P86" s="2"/>
    </row>
    <row r="87" spans="1:25" ht="18">
      <c r="A87" s="2"/>
      <c r="B87" s="2"/>
      <c r="C87" s="2"/>
      <c r="D87" s="2"/>
      <c r="E87" s="2"/>
      <c r="F87" s="2"/>
      <c r="G87" s="2"/>
      <c r="H87" s="2"/>
      <c r="I87" s="2"/>
      <c r="J87" s="2"/>
      <c r="K87" s="2"/>
      <c r="L87" s="2"/>
      <c r="M87" s="2"/>
      <c r="N87" s="2"/>
      <c r="O87" s="2"/>
      <c r="P87" s="2"/>
    </row>
    <row r="88" spans="1:25" ht="18">
      <c r="A88" s="2"/>
      <c r="B88" s="2"/>
      <c r="C88" s="2"/>
      <c r="D88" s="2"/>
      <c r="E88" s="2"/>
      <c r="F88" s="2"/>
      <c r="G88" s="2"/>
      <c r="H88" s="2"/>
      <c r="I88" s="2"/>
      <c r="J88" s="2"/>
      <c r="K88" s="2"/>
      <c r="L88" s="2"/>
      <c r="M88" s="2"/>
      <c r="N88" s="2"/>
      <c r="O88" s="2"/>
      <c r="P88" s="2"/>
    </row>
    <row r="89" spans="1:25" ht="18">
      <c r="A89" s="2"/>
      <c r="B89" s="2"/>
      <c r="C89" s="2"/>
      <c r="D89" s="2"/>
      <c r="E89" s="2"/>
      <c r="F89" s="2"/>
      <c r="G89" s="2"/>
      <c r="H89" s="2"/>
      <c r="I89" s="2"/>
      <c r="J89" s="2"/>
      <c r="K89" s="2"/>
      <c r="L89" s="2"/>
      <c r="M89" s="2"/>
      <c r="N89" s="2"/>
      <c r="O89" s="2"/>
      <c r="P89" s="2"/>
    </row>
    <row r="90" spans="1:25" ht="18">
      <c r="A90" s="377"/>
      <c r="B90" s="2"/>
      <c r="C90" s="2"/>
      <c r="D90" s="2"/>
      <c r="E90" s="2"/>
      <c r="F90" s="2"/>
      <c r="G90" s="2"/>
      <c r="H90" s="2"/>
      <c r="I90" s="2"/>
      <c r="J90" s="2"/>
      <c r="K90" s="2"/>
      <c r="L90" s="2"/>
      <c r="M90" s="2"/>
      <c r="N90" s="2"/>
      <c r="O90" s="2"/>
      <c r="P90" s="2"/>
      <c r="Q90" s="2"/>
      <c r="R90" s="2"/>
      <c r="S90" s="2"/>
      <c r="T90" s="2"/>
      <c r="U90" s="2"/>
      <c r="V90" s="2"/>
      <c r="W90" s="2"/>
      <c r="X90" s="2"/>
      <c r="Y90" s="2"/>
    </row>
    <row r="91" spans="1:25" ht="18">
      <c r="A91" s="377"/>
      <c r="B91" s="2"/>
      <c r="C91" s="2"/>
      <c r="D91" s="2"/>
      <c r="E91" s="2"/>
      <c r="F91" s="2"/>
      <c r="G91" s="2"/>
      <c r="H91" s="2"/>
      <c r="I91" s="2"/>
      <c r="J91" s="2"/>
      <c r="K91" s="2"/>
      <c r="L91" s="2"/>
      <c r="M91" s="2"/>
      <c r="N91" s="2"/>
      <c r="O91" s="2"/>
      <c r="P91" s="2"/>
      <c r="Q91" s="2"/>
      <c r="R91" s="2"/>
      <c r="S91" s="2"/>
      <c r="T91" s="2"/>
      <c r="U91" s="2"/>
      <c r="V91" s="2"/>
      <c r="W91" s="2"/>
      <c r="X91" s="2"/>
      <c r="Y91" s="2"/>
    </row>
    <row r="92" spans="1:25" ht="18">
      <c r="A92" s="377"/>
      <c r="B92" s="2"/>
      <c r="C92" s="2"/>
      <c r="D92" s="2"/>
      <c r="E92" s="2"/>
      <c r="F92" s="2"/>
      <c r="G92" s="2"/>
      <c r="H92" s="2"/>
      <c r="I92" s="2"/>
      <c r="J92" s="2"/>
      <c r="K92" s="2"/>
      <c r="L92" s="2"/>
      <c r="M92" s="2"/>
      <c r="N92" s="2"/>
      <c r="O92" s="2"/>
      <c r="P92" s="2"/>
      <c r="Q92" s="2"/>
      <c r="R92" s="2"/>
      <c r="S92" s="2"/>
      <c r="T92" s="2"/>
      <c r="U92" s="2"/>
      <c r="V92" s="2"/>
      <c r="W92" s="2"/>
      <c r="X92" s="2"/>
      <c r="Y92" s="2"/>
    </row>
    <row r="93" spans="1:25" ht="18">
      <c r="A93" s="377"/>
      <c r="B93" s="2"/>
      <c r="C93" s="2"/>
      <c r="D93" s="2"/>
      <c r="E93" s="2"/>
      <c r="F93" s="2"/>
      <c r="G93" s="2"/>
      <c r="H93" s="2"/>
      <c r="I93" s="2"/>
      <c r="J93" s="2"/>
      <c r="K93" s="2"/>
      <c r="L93" s="2"/>
      <c r="M93" s="2"/>
      <c r="N93" s="2"/>
      <c r="O93" s="2"/>
      <c r="P93" s="2"/>
      <c r="Q93" s="2"/>
      <c r="R93" s="2"/>
      <c r="S93" s="2"/>
      <c r="T93" s="2"/>
      <c r="U93" s="2"/>
      <c r="V93" s="2"/>
      <c r="W93" s="2"/>
      <c r="X93" s="2"/>
      <c r="Y93" s="2"/>
    </row>
    <row r="94" spans="1:25" ht="18">
      <c r="A94" s="377"/>
      <c r="B94" s="2"/>
      <c r="C94" s="2"/>
      <c r="D94" s="2"/>
      <c r="E94" s="2"/>
      <c r="F94" s="2"/>
      <c r="G94" s="2"/>
      <c r="H94" s="2"/>
      <c r="I94" s="2"/>
      <c r="J94" s="2"/>
      <c r="K94" s="2"/>
      <c r="L94" s="2"/>
      <c r="M94" s="2"/>
      <c r="N94" s="2"/>
      <c r="O94" s="2"/>
      <c r="P94" s="2"/>
      <c r="Q94" s="2"/>
      <c r="R94" s="2"/>
      <c r="S94" s="2"/>
      <c r="T94" s="2"/>
      <c r="U94" s="2"/>
      <c r="V94" s="2"/>
      <c r="W94" s="2"/>
      <c r="X94" s="2"/>
      <c r="Y94" s="2"/>
    </row>
    <row r="95" spans="1:25" ht="18">
      <c r="A95" s="377"/>
      <c r="B95" s="2"/>
      <c r="C95" s="2"/>
      <c r="D95" s="2"/>
      <c r="E95" s="2"/>
      <c r="F95" s="2"/>
      <c r="G95" s="2"/>
      <c r="H95" s="2"/>
      <c r="I95" s="2"/>
      <c r="J95" s="2"/>
      <c r="K95" s="2"/>
      <c r="L95" s="2"/>
      <c r="M95" s="2"/>
      <c r="N95" s="2"/>
      <c r="O95" s="2"/>
      <c r="P95" s="2"/>
      <c r="Q95" s="2"/>
      <c r="R95" s="2"/>
      <c r="S95" s="2"/>
      <c r="T95" s="2"/>
      <c r="U95" s="2"/>
      <c r="V95" s="2"/>
      <c r="W95" s="2"/>
      <c r="X95" s="2"/>
      <c r="Y95" s="2"/>
    </row>
    <row r="96" spans="1:25" ht="18">
      <c r="A96" s="377"/>
      <c r="B96" s="2"/>
      <c r="C96" s="2"/>
      <c r="D96" s="2"/>
      <c r="E96" s="2"/>
      <c r="F96" s="2"/>
      <c r="G96" s="2"/>
      <c r="H96" s="2"/>
      <c r="I96" s="2"/>
      <c r="J96" s="2"/>
      <c r="K96" s="2"/>
      <c r="L96" s="2"/>
      <c r="M96" s="2"/>
      <c r="N96" s="2"/>
      <c r="O96" s="2"/>
      <c r="P96" s="2"/>
      <c r="Q96" s="2"/>
      <c r="R96" s="2"/>
      <c r="S96" s="2"/>
      <c r="T96" s="2"/>
      <c r="U96" s="2"/>
      <c r="V96" s="2"/>
      <c r="W96" s="2"/>
      <c r="X96" s="2"/>
      <c r="Y96" s="2"/>
    </row>
    <row r="97" spans="1:25" ht="18">
      <c r="A97" s="377"/>
      <c r="B97" s="2"/>
      <c r="C97" s="2"/>
      <c r="D97" s="2"/>
      <c r="E97" s="2"/>
      <c r="F97" s="2"/>
      <c r="G97" s="2"/>
      <c r="H97" s="2"/>
      <c r="I97" s="2"/>
      <c r="J97" s="2"/>
      <c r="K97" s="2"/>
      <c r="L97" s="2"/>
      <c r="M97" s="2"/>
      <c r="N97" s="2"/>
      <c r="O97" s="2"/>
      <c r="P97" s="2"/>
      <c r="Q97" s="2"/>
      <c r="R97" s="2"/>
      <c r="S97" s="2"/>
      <c r="T97" s="2"/>
      <c r="U97" s="2"/>
      <c r="V97" s="2"/>
      <c r="W97" s="2"/>
      <c r="X97" s="2"/>
      <c r="Y97" s="2"/>
    </row>
    <row r="98" spans="1:25" ht="18">
      <c r="A98" s="377"/>
      <c r="B98" s="2"/>
      <c r="C98" s="2"/>
      <c r="D98" s="2"/>
      <c r="E98" s="2"/>
      <c r="F98" s="2"/>
      <c r="G98" s="2"/>
      <c r="H98" s="2"/>
      <c r="I98" s="2"/>
      <c r="J98" s="2"/>
      <c r="K98" s="2"/>
      <c r="L98" s="2"/>
      <c r="M98" s="2"/>
      <c r="N98" s="2"/>
      <c r="O98" s="2"/>
      <c r="P98" s="2"/>
      <c r="Q98" s="2"/>
      <c r="R98" s="2"/>
      <c r="S98" s="2"/>
      <c r="T98" s="2"/>
      <c r="U98" s="2"/>
      <c r="V98" s="2"/>
      <c r="W98" s="2"/>
      <c r="X98" s="2"/>
      <c r="Y98" s="2"/>
    </row>
    <row r="99" spans="1:25" ht="18">
      <c r="A99" s="377"/>
      <c r="B99" s="2"/>
      <c r="C99" s="2"/>
      <c r="D99" s="2"/>
      <c r="E99" s="2"/>
      <c r="F99" s="2"/>
      <c r="G99" s="2"/>
      <c r="H99" s="2"/>
      <c r="I99" s="2"/>
      <c r="J99" s="2"/>
      <c r="K99" s="2"/>
      <c r="L99" s="2"/>
      <c r="M99" s="2"/>
      <c r="N99" s="2"/>
      <c r="O99" s="2"/>
      <c r="P99" s="2"/>
      <c r="Q99" s="2"/>
      <c r="R99" s="2"/>
      <c r="S99" s="2"/>
      <c r="T99" s="2"/>
      <c r="U99" s="2"/>
      <c r="V99" s="2"/>
      <c r="W99" s="2"/>
      <c r="X99" s="2"/>
      <c r="Y99" s="2"/>
    </row>
    <row r="100" spans="1:25" ht="18">
      <c r="A100" s="377"/>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8">
      <c r="A101" s="377"/>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8">
      <c r="A102" s="377"/>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8">
      <c r="A103" s="377"/>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8">
      <c r="A104" s="377"/>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8">
      <c r="A105" s="377"/>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8">
      <c r="A106" s="377"/>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8">
      <c r="A107" s="377"/>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8">
      <c r="A108" s="377"/>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8">
      <c r="A109" s="377"/>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8">
      <c r="A110" s="377"/>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8">
      <c r="A111" s="377"/>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8">
      <c r="A112" s="377"/>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8">
      <c r="A113" s="377"/>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8">
      <c r="A114" s="377"/>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8">
      <c r="A115" s="377"/>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8">
      <c r="A116" s="377"/>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8">
      <c r="A117" s="377"/>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8">
      <c r="A118" s="377"/>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8">
      <c r="A119" s="377"/>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8">
      <c r="A120" s="377"/>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8">
      <c r="A121" s="377"/>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8">
      <c r="A122" s="377"/>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8">
      <c r="A123" s="377"/>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8">
      <c r="A124" s="377"/>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8">
      <c r="A125" s="377"/>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8">
      <c r="A126" s="377"/>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8">
      <c r="A127" s="377"/>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8">
      <c r="A128" s="377"/>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8">
      <c r="A129" s="377"/>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8">
      <c r="A130" s="377"/>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8">
      <c r="A131" s="377"/>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8">
      <c r="A132" s="377"/>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8">
      <c r="A133" s="377"/>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8">
      <c r="A134" s="377"/>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8">
      <c r="A135" s="377"/>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8">
      <c r="A136" s="377"/>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8">
      <c r="A137" s="377"/>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8">
      <c r="A138" s="377"/>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8">
      <c r="A139" s="377"/>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8">
      <c r="A140" s="377"/>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8">
      <c r="A141" s="377"/>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8">
      <c r="A142" s="377"/>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8">
      <c r="A143" s="377"/>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8">
      <c r="A144" s="377"/>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8">
      <c r="A145" s="377"/>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8">
      <c r="A146" s="377"/>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8">
      <c r="A147" s="377"/>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8">
      <c r="A148" s="377"/>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8">
      <c r="A149" s="377"/>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8">
      <c r="A150" s="377"/>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8">
      <c r="A151" s="377"/>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8">
      <c r="A152" s="377"/>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8">
      <c r="A153" s="377"/>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8">
      <c r="A154" s="377"/>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8">
      <c r="A155" s="377"/>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8">
      <c r="A156" s="377"/>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8">
      <c r="A157" s="377"/>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8">
      <c r="A158" s="377"/>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8">
      <c r="A159" s="377"/>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8">
      <c r="A160" s="377"/>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8">
      <c r="A161" s="377"/>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8">
      <c r="A162" s="377"/>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8">
      <c r="A163" s="377"/>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8">
      <c r="A164" s="377"/>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8">
      <c r="A165" s="377"/>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8">
      <c r="A166" s="377"/>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8">
      <c r="A167" s="377"/>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8">
      <c r="A168" s="377"/>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8">
      <c r="A169" s="377"/>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8">
      <c r="A170" s="377"/>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8">
      <c r="A171" s="377"/>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8">
      <c r="A172" s="377"/>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8">
      <c r="A173" s="377"/>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8">
      <c r="A174" s="377"/>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8">
      <c r="A175" s="377"/>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8">
      <c r="A176" s="377"/>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8">
      <c r="A177" s="377"/>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8">
      <c r="A178" s="377"/>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8">
      <c r="A179" s="377"/>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8">
      <c r="A180" s="377"/>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8">
      <c r="A181" s="377"/>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8">
      <c r="A182" s="377"/>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8">
      <c r="A183" s="377"/>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8">
      <c r="A184" s="377"/>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8">
      <c r="A185" s="377"/>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8">
      <c r="A186" s="377"/>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8">
      <c r="A187" s="377"/>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8">
      <c r="A188" s="377"/>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8">
      <c r="A189" s="377"/>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8">
      <c r="A190" s="377"/>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8">
      <c r="A191" s="377"/>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8">
      <c r="A192" s="377"/>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8">
      <c r="A193" s="377"/>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8">
      <c r="A194" s="377"/>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8">
      <c r="A195" s="377"/>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8">
      <c r="A196" s="377"/>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8">
      <c r="A197" s="377"/>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8">
      <c r="A198" s="377"/>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8">
      <c r="A199" s="377"/>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8">
      <c r="A200" s="377"/>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8">
      <c r="A201" s="377"/>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8">
      <c r="A202" s="377"/>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8">
      <c r="A203" s="377"/>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8">
      <c r="A204" s="377"/>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8">
      <c r="A205" s="377"/>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8">
      <c r="A206" s="377"/>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8">
      <c r="A207" s="377"/>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8">
      <c r="A208" s="377"/>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8">
      <c r="A209" s="377"/>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8">
      <c r="A210" s="377"/>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8">
      <c r="A211" s="377"/>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8">
      <c r="A212" s="377"/>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8">
      <c r="A213" s="377"/>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8">
      <c r="A214" s="377"/>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8">
      <c r="A215" s="377"/>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8">
      <c r="A216" s="377"/>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8">
      <c r="A217" s="377"/>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8">
      <c r="A218" s="377"/>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8">
      <c r="A219" s="377"/>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8">
      <c r="A220" s="377"/>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8">
      <c r="A221" s="377"/>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8">
      <c r="A222" s="377"/>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8">
      <c r="A223" s="377"/>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8">
      <c r="A224" s="377"/>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8">
      <c r="A225" s="377"/>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8">
      <c r="A226" s="377"/>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8">
      <c r="A227" s="377"/>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8">
      <c r="A228" s="377"/>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8">
      <c r="A229" s="377"/>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8">
      <c r="A230" s="377"/>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8">
      <c r="A231" s="377"/>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8">
      <c r="A232" s="377"/>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8">
      <c r="A233" s="377"/>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8">
      <c r="A234" s="377"/>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8">
      <c r="A235" s="377"/>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8">
      <c r="A236" s="377"/>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8">
      <c r="A237" s="377"/>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8">
      <c r="A238" s="377"/>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8">
      <c r="A239" s="377"/>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8">
      <c r="A240" s="377"/>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8">
      <c r="A241" s="377"/>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8">
      <c r="A242" s="377"/>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8">
      <c r="A243" s="377"/>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8">
      <c r="A244" s="377"/>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8">
      <c r="A245" s="377"/>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8">
      <c r="A246" s="377"/>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8">
      <c r="A247" s="377"/>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8">
      <c r="A248" s="377"/>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8">
      <c r="A249" s="377"/>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8">
      <c r="A250" s="377"/>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8">
      <c r="A251" s="377"/>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8">
      <c r="A252" s="377"/>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8">
      <c r="A253" s="377"/>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8">
      <c r="A254" s="377"/>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8">
      <c r="A255" s="377"/>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8">
      <c r="A256" s="377"/>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8">
      <c r="A257" s="377"/>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8">
      <c r="A258" s="377"/>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8">
      <c r="A259" s="377"/>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8">
      <c r="A260" s="377"/>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8">
      <c r="A261" s="377"/>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8">
      <c r="A262" s="377"/>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8">
      <c r="A263" s="377"/>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8">
      <c r="A264" s="377"/>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8">
      <c r="A265" s="377"/>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8">
      <c r="A266" s="377"/>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8">
      <c r="A267" s="377"/>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8">
      <c r="A268" s="377"/>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8">
      <c r="A269" s="377"/>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8">
      <c r="A270" s="377"/>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8">
      <c r="A271" s="377"/>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8">
      <c r="A272" s="377"/>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8">
      <c r="A273" s="377"/>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8">
      <c r="A274" s="377"/>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8">
      <c r="A275" s="377"/>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8">
      <c r="A276" s="377"/>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8">
      <c r="A277" s="377"/>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8">
      <c r="A278" s="377"/>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8">
      <c r="A279" s="377"/>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8">
      <c r="A280" s="377"/>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8">
      <c r="A281" s="377"/>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8">
      <c r="A282" s="377"/>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8">
      <c r="A283" s="377"/>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8">
      <c r="A284" s="377"/>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8">
      <c r="A285" s="377"/>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8">
      <c r="A286" s="377"/>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8">
      <c r="A287" s="377"/>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8">
      <c r="A288" s="377"/>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8">
      <c r="A289" s="377"/>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8">
      <c r="A290" s="377"/>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8">
      <c r="A291" s="377"/>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8">
      <c r="A292" s="377"/>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8">
      <c r="A293" s="377"/>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8">
      <c r="A294" s="377"/>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8">
      <c r="A295" s="377"/>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8">
      <c r="A296" s="377"/>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8">
      <c r="A297" s="377"/>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8">
      <c r="A298" s="377"/>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8">
      <c r="A299" s="377"/>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8">
      <c r="A300" s="377"/>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8">
      <c r="A301" s="377"/>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8">
      <c r="A302" s="377"/>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8">
      <c r="A303" s="377"/>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8">
      <c r="A304" s="377"/>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8">
      <c r="A305" s="377"/>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8">
      <c r="A306" s="377"/>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8">
      <c r="A307" s="377"/>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8">
      <c r="A308" s="377"/>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8">
      <c r="A309" s="377"/>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8">
      <c r="A310" s="377"/>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8">
      <c r="A311" s="377"/>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8">
      <c r="A312" s="377"/>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8">
      <c r="A313" s="377"/>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8">
      <c r="A314" s="377"/>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8">
      <c r="A315" s="377"/>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8">
      <c r="A316" s="377"/>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8">
      <c r="A317" s="377"/>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8">
      <c r="A318" s="377"/>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8">
      <c r="A319" s="377"/>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8">
      <c r="A320" s="377"/>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8">
      <c r="A321" s="377"/>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8">
      <c r="A322" s="377"/>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8">
      <c r="A323" s="377"/>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8">
      <c r="A324" s="377"/>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8">
      <c r="A325" s="377"/>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8">
      <c r="A326" s="377"/>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8">
      <c r="A327" s="377"/>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8">
      <c r="A328" s="377"/>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8">
      <c r="A329" s="377"/>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8">
      <c r="A330" s="377"/>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8">
      <c r="A331" s="377"/>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8">
      <c r="A332" s="377"/>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8">
      <c r="A333" s="377"/>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8">
      <c r="A334" s="377"/>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8">
      <c r="A335" s="377"/>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8">
      <c r="A336" s="377"/>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8">
      <c r="A337" s="377"/>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8">
      <c r="A338" s="377"/>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8">
      <c r="A339" s="377"/>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8">
      <c r="A340" s="377"/>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8">
      <c r="A341" s="377"/>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8">
      <c r="A342" s="377"/>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8">
      <c r="A343" s="377"/>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8">
      <c r="A344" s="377"/>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8">
      <c r="A345" s="377"/>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8">
      <c r="A346" s="377"/>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8">
      <c r="A347" s="377"/>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8">
      <c r="A348" s="377"/>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8">
      <c r="A349" s="377"/>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8">
      <c r="A350" s="377"/>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8">
      <c r="A351" s="377"/>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8">
      <c r="A352" s="377"/>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8">
      <c r="A353" s="377"/>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8">
      <c r="A354" s="377"/>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8">
      <c r="A355" s="377"/>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8">
      <c r="A356" s="377"/>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8">
      <c r="A357" s="377"/>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8">
      <c r="A358" s="377"/>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8">
      <c r="A359" s="377"/>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8">
      <c r="A360" s="377"/>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8">
      <c r="A361" s="377"/>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8">
      <c r="A362" s="377"/>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8">
      <c r="A363" s="377"/>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8">
      <c r="A364" s="377"/>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8">
      <c r="A365" s="377"/>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8">
      <c r="A366" s="377"/>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8">
      <c r="A367" s="377"/>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8">
      <c r="A368" s="377"/>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8">
      <c r="A369" s="377"/>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8">
      <c r="A370" s="377"/>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8">
      <c r="A371" s="377"/>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8">
      <c r="A372" s="377"/>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8">
      <c r="A373" s="377"/>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8">
      <c r="A374" s="377"/>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8">
      <c r="A375" s="377"/>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8">
      <c r="A376" s="377"/>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8">
      <c r="A377" s="377"/>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8">
      <c r="A378" s="377"/>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8">
      <c r="A379" s="377"/>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8">
      <c r="A380" s="377"/>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8">
      <c r="A381" s="377"/>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8">
      <c r="A382" s="377"/>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8">
      <c r="A383" s="377"/>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8">
      <c r="A384" s="377"/>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8">
      <c r="A385" s="377"/>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8">
      <c r="A386" s="377"/>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8">
      <c r="A387" s="377"/>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8">
      <c r="A388" s="377"/>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8">
      <c r="A389" s="377"/>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8">
      <c r="A390" s="377"/>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8">
      <c r="A391" s="377"/>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8">
      <c r="A392" s="377"/>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8">
      <c r="A393" s="377"/>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8">
      <c r="A394" s="377"/>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8">
      <c r="A395" s="377"/>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8">
      <c r="A396" s="377"/>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8">
      <c r="A397" s="377"/>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8">
      <c r="A398" s="377"/>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8">
      <c r="A399" s="377"/>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8">
      <c r="A400" s="377"/>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8">
      <c r="A401" s="377"/>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8">
      <c r="A402" s="377"/>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8">
      <c r="A403" s="377"/>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8">
      <c r="A404" s="377"/>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8">
      <c r="A405" s="377"/>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8">
      <c r="A406" s="377"/>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8">
      <c r="A407" s="377"/>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8">
      <c r="A408" s="377"/>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8">
      <c r="A409" s="377"/>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8">
      <c r="A410" s="377"/>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8">
      <c r="A411" s="377"/>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8">
      <c r="A412" s="377"/>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8">
      <c r="A413" s="377"/>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8">
      <c r="A414" s="377"/>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8">
      <c r="A415" s="377"/>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8">
      <c r="A416" s="377"/>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8">
      <c r="A417" s="377"/>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8">
      <c r="A418" s="377"/>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8">
      <c r="A419" s="377"/>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8">
      <c r="A420" s="377"/>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8">
      <c r="A421" s="377"/>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8">
      <c r="A422" s="377"/>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8">
      <c r="A423" s="377"/>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8">
      <c r="A424" s="377"/>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8">
      <c r="A425" s="377"/>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8">
      <c r="A426" s="377"/>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8">
      <c r="A427" s="377"/>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8">
      <c r="A428" s="377"/>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8">
      <c r="A429" s="377"/>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8">
      <c r="A430" s="377"/>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8">
      <c r="A431" s="377"/>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8">
      <c r="A432" s="377"/>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8">
      <c r="A433" s="377"/>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8">
      <c r="A434" s="377"/>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8">
      <c r="A435" s="377"/>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8">
      <c r="A436" s="377"/>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8">
      <c r="A437" s="377"/>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8">
      <c r="A438" s="377"/>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8">
      <c r="A439" s="377"/>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8">
      <c r="A440" s="377"/>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8">
      <c r="A441" s="377"/>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8">
      <c r="A442" s="377"/>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8">
      <c r="A443" s="377"/>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8">
      <c r="A444" s="377"/>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8">
      <c r="A445" s="377"/>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8">
      <c r="A446" s="377"/>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8">
      <c r="A447" s="377"/>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8">
      <c r="A448" s="377"/>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8">
      <c r="A449" s="377"/>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8">
      <c r="A450" s="377"/>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8">
      <c r="A451" s="377"/>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8">
      <c r="A452" s="377"/>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8">
      <c r="A453" s="377"/>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8">
      <c r="A454" s="377"/>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8">
      <c r="A455" s="377"/>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8">
      <c r="A456" s="377"/>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8">
      <c r="A457" s="377"/>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8">
      <c r="A458" s="377"/>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8">
      <c r="A459" s="377"/>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8">
      <c r="A460" s="377"/>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8">
      <c r="A461" s="377"/>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8">
      <c r="A462" s="377"/>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8">
      <c r="A463" s="377"/>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8">
      <c r="A464" s="377"/>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8">
      <c r="A465" s="377"/>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8">
      <c r="A466" s="377"/>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8">
      <c r="A467" s="377"/>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8">
      <c r="A468" s="377"/>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8">
      <c r="A469" s="377"/>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8">
      <c r="A470" s="377"/>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8">
      <c r="A471" s="377"/>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8">
      <c r="A472" s="377"/>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8">
      <c r="A473" s="377"/>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8">
      <c r="A474" s="377"/>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8">
      <c r="A475" s="377"/>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8">
      <c r="A476" s="377"/>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8">
      <c r="A477" s="377"/>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8">
      <c r="A478" s="377"/>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8">
      <c r="A479" s="377"/>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8">
      <c r="A480" s="377"/>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8">
      <c r="A481" s="377"/>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8">
      <c r="A482" s="377"/>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8">
      <c r="A483" s="377"/>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8">
      <c r="A484" s="377"/>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8">
      <c r="A485" s="377"/>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8">
      <c r="A486" s="377"/>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8">
      <c r="A487" s="377"/>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8">
      <c r="A488" s="377"/>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8">
      <c r="A489" s="377"/>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8">
      <c r="A490" s="377"/>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8">
      <c r="A491" s="377"/>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8">
      <c r="A492" s="377"/>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8">
      <c r="A493" s="377"/>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8">
      <c r="A494" s="377"/>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8">
      <c r="A495" s="377"/>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8">
      <c r="A496" s="377"/>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8">
      <c r="A497" s="377"/>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8">
      <c r="A498" s="377"/>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8">
      <c r="A499" s="377"/>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8">
      <c r="A500" s="377"/>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8">
      <c r="A501" s="377"/>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8">
      <c r="A502" s="377"/>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8">
      <c r="A503" s="377"/>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8">
      <c r="A504" s="377"/>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8">
      <c r="A505" s="377"/>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8">
      <c r="A506" s="377"/>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8">
      <c r="A507" s="377"/>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8">
      <c r="A508" s="377"/>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8">
      <c r="A509" s="377"/>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8">
      <c r="A510" s="377"/>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8">
      <c r="A511" s="377"/>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8">
      <c r="A512" s="377"/>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8">
      <c r="A513" s="377"/>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8">
      <c r="A514" s="377"/>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8">
      <c r="A515" s="377"/>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8">
      <c r="A516" s="377"/>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8">
      <c r="A517" s="377"/>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8">
      <c r="A518" s="377"/>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8">
      <c r="A519" s="377"/>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8">
      <c r="A520" s="377"/>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8">
      <c r="A521" s="377"/>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8">
      <c r="A522" s="377"/>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8">
      <c r="A523" s="377"/>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8">
      <c r="A524" s="377"/>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8">
      <c r="A525" s="377"/>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8">
      <c r="A526" s="377"/>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8">
      <c r="A527" s="377"/>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8">
      <c r="A528" s="377"/>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8">
      <c r="A529" s="377"/>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8">
      <c r="A530" s="377"/>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8">
      <c r="A531" s="377"/>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8">
      <c r="A532" s="377"/>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8">
      <c r="A533" s="377"/>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8">
      <c r="A534" s="377"/>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8">
      <c r="A535" s="377"/>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8">
      <c r="A536" s="377"/>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8">
      <c r="A537" s="377"/>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8">
      <c r="A538" s="377"/>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8">
      <c r="A539" s="377"/>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8">
      <c r="A540" s="377"/>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8">
      <c r="A541" s="377"/>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8">
      <c r="A542" s="377"/>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8">
      <c r="A543" s="377"/>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8">
      <c r="A544" s="377"/>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8">
      <c r="A545" s="377"/>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8">
      <c r="A546" s="377"/>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8">
      <c r="A547" s="377"/>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8">
      <c r="A548" s="377"/>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8">
      <c r="A549" s="377"/>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8">
      <c r="A550" s="377"/>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8">
      <c r="A551" s="377"/>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8">
      <c r="A552" s="377"/>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8">
      <c r="A553" s="377"/>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8">
      <c r="A554" s="377"/>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8">
      <c r="A555" s="377"/>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8">
      <c r="A556" s="377"/>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8">
      <c r="A557" s="377"/>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8">
      <c r="A558" s="377"/>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8">
      <c r="A559" s="377"/>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8">
      <c r="A560" s="377"/>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8">
      <c r="A561" s="377"/>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8">
      <c r="A562" s="377"/>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8">
      <c r="A563" s="377"/>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8">
      <c r="A564" s="377"/>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8">
      <c r="A565" s="377"/>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8">
      <c r="A566" s="377"/>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8">
      <c r="A567" s="377"/>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8">
      <c r="A568" s="377"/>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8">
      <c r="A569" s="377"/>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8">
      <c r="A570" s="377"/>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8">
      <c r="A571" s="377"/>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8">
      <c r="A572" s="377"/>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8">
      <c r="A573" s="377"/>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8">
      <c r="A574" s="377"/>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8">
      <c r="A575" s="377"/>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8">
      <c r="A576" s="377"/>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8">
      <c r="A577" s="377"/>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8">
      <c r="A578" s="377"/>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8">
      <c r="A579" s="377"/>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8">
      <c r="A580" s="377"/>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8">
      <c r="A581" s="377"/>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8">
      <c r="A582" s="377"/>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8">
      <c r="A583" s="377"/>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8">
      <c r="A584" s="377"/>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8">
      <c r="A585" s="377"/>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8">
      <c r="A586" s="377"/>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8">
      <c r="A587" s="377"/>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8">
      <c r="A588" s="377"/>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8">
      <c r="A589" s="377"/>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8">
      <c r="A590" s="377"/>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8">
      <c r="A591" s="377"/>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8">
      <c r="A592" s="377"/>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8">
      <c r="A593" s="377"/>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8">
      <c r="A594" s="377"/>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8">
      <c r="A595" s="377"/>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8">
      <c r="A596" s="377"/>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8">
      <c r="A597" s="377"/>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8">
      <c r="A598" s="377"/>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8">
      <c r="A599" s="377"/>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8">
      <c r="A600" s="377"/>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8">
      <c r="A601" s="377"/>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8">
      <c r="A602" s="377"/>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8">
      <c r="A603" s="377"/>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8">
      <c r="A604" s="377"/>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8">
      <c r="A605" s="377"/>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8">
      <c r="A606" s="377"/>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8">
      <c r="A607" s="377"/>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8">
      <c r="A608" s="377"/>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8">
      <c r="A609" s="377"/>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8">
      <c r="A610" s="377"/>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8">
      <c r="A611" s="377"/>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8">
      <c r="A612" s="377"/>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8">
      <c r="A613" s="377"/>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8">
      <c r="A614" s="377"/>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8">
      <c r="A615" s="377"/>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8">
      <c r="A616" s="377"/>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8">
      <c r="A617" s="377"/>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8">
      <c r="A618" s="377"/>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8">
      <c r="A619" s="377"/>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8">
      <c r="A620" s="377"/>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8">
      <c r="A621" s="377"/>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8">
      <c r="A622" s="377"/>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8">
      <c r="A623" s="377"/>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8">
      <c r="A624" s="377"/>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8">
      <c r="A625" s="377"/>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8">
      <c r="A626" s="377"/>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8">
      <c r="A627" s="377"/>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8">
      <c r="A628" s="377"/>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8">
      <c r="A629" s="377"/>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8">
      <c r="A630" s="377"/>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8">
      <c r="A631" s="377"/>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8">
      <c r="A632" s="377"/>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8">
      <c r="A633" s="377"/>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8">
      <c r="A634" s="377"/>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8">
      <c r="A635" s="377"/>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8">
      <c r="A636" s="377"/>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8">
      <c r="A637" s="377"/>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8">
      <c r="A638" s="377"/>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8">
      <c r="A639" s="377"/>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8">
      <c r="A640" s="377"/>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8">
      <c r="A641" s="377"/>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8">
      <c r="A642" s="377"/>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8">
      <c r="A643" s="377"/>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8">
      <c r="A644" s="377"/>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8">
      <c r="A645" s="377"/>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8">
      <c r="A646" s="377"/>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8">
      <c r="A647" s="377"/>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8">
      <c r="A648" s="377"/>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8">
      <c r="A649" s="377"/>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8">
      <c r="A650" s="377"/>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8">
      <c r="A651" s="377"/>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8">
      <c r="A652" s="377"/>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8">
      <c r="A653" s="377"/>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8">
      <c r="A654" s="377"/>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8">
      <c r="A655" s="377"/>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8">
      <c r="A656" s="377"/>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8">
      <c r="A657" s="377"/>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8">
      <c r="A658" s="377"/>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8">
      <c r="A659" s="377"/>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8">
      <c r="A660" s="377"/>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8">
      <c r="A661" s="377"/>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8">
      <c r="A662" s="377"/>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8">
      <c r="A663" s="377"/>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8">
      <c r="A664" s="377"/>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8">
      <c r="A665" s="377"/>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8">
      <c r="A666" s="377"/>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8">
      <c r="A667" s="377"/>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8">
      <c r="A668" s="377"/>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8">
      <c r="A669" s="377"/>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8">
      <c r="A670" s="377"/>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8">
      <c r="A671" s="377"/>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8">
      <c r="A672" s="377"/>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8">
      <c r="A673" s="377"/>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8">
      <c r="A674" s="377"/>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8">
      <c r="A675" s="377"/>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8">
      <c r="A676" s="377"/>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8">
      <c r="A677" s="377"/>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8">
      <c r="A678" s="377"/>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8">
      <c r="A679" s="377"/>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8">
      <c r="A680" s="377"/>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8">
      <c r="A681" s="377"/>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8">
      <c r="A682" s="377"/>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8">
      <c r="A683" s="377"/>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8">
      <c r="A684" s="377"/>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8">
      <c r="A685" s="377"/>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8">
      <c r="A686" s="377"/>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8">
      <c r="A687" s="377"/>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8">
      <c r="A688" s="377"/>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8">
      <c r="A689" s="377"/>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8">
      <c r="A690" s="377"/>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8">
      <c r="A691" s="377"/>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8">
      <c r="A692" s="377"/>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8">
      <c r="A693" s="377"/>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8">
      <c r="A694" s="377"/>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8">
      <c r="A695" s="377"/>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8">
      <c r="A696" s="377"/>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8">
      <c r="A697" s="377"/>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8">
      <c r="A698" s="377"/>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8">
      <c r="A699" s="377"/>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8">
      <c r="A700" s="377"/>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8">
      <c r="A701" s="377"/>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8">
      <c r="A702" s="377"/>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8">
      <c r="A703" s="377"/>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8">
      <c r="A704" s="377"/>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8">
      <c r="A705" s="377"/>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8">
      <c r="A706" s="377"/>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8">
      <c r="A707" s="377"/>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8">
      <c r="A708" s="377"/>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8">
      <c r="A709" s="377"/>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8">
      <c r="A710" s="377"/>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8">
      <c r="A711" s="377"/>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8">
      <c r="A712" s="377"/>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8">
      <c r="A713" s="377"/>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8">
      <c r="A714" s="377"/>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8">
      <c r="A715" s="377"/>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8">
      <c r="A716" s="377"/>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8">
      <c r="A717" s="377"/>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8">
      <c r="A718" s="377"/>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8">
      <c r="A719" s="377"/>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8">
      <c r="A720" s="377"/>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8">
      <c r="A721" s="377"/>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8">
      <c r="A722" s="377"/>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8">
      <c r="A723" s="377"/>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8">
      <c r="A724" s="377"/>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8">
      <c r="A725" s="377"/>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8">
      <c r="A726" s="377"/>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8">
      <c r="A727" s="377"/>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8">
      <c r="A728" s="377"/>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8">
      <c r="A729" s="377"/>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8">
      <c r="A730" s="377"/>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8">
      <c r="A731" s="377"/>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8">
      <c r="A732" s="377"/>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8">
      <c r="A733" s="377"/>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8">
      <c r="A734" s="377"/>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8">
      <c r="A735" s="377"/>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8">
      <c r="A736" s="377"/>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8">
      <c r="A737" s="377"/>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8">
      <c r="A738" s="377"/>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8">
      <c r="A739" s="377"/>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8">
      <c r="A740" s="377"/>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8">
      <c r="A741" s="377"/>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8">
      <c r="A742" s="377"/>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8">
      <c r="A743" s="377"/>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8">
      <c r="A744" s="377"/>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8">
      <c r="A745" s="377"/>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8">
      <c r="A746" s="377"/>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8">
      <c r="A747" s="377"/>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8">
      <c r="A748" s="377"/>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8">
      <c r="A749" s="377"/>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8">
      <c r="A750" s="377"/>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8">
      <c r="A751" s="377"/>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8">
      <c r="A752" s="377"/>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8">
      <c r="A753" s="377"/>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8">
      <c r="A754" s="377"/>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8">
      <c r="A755" s="377"/>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8">
      <c r="A756" s="377"/>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8">
      <c r="A757" s="377"/>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8">
      <c r="A758" s="377"/>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8">
      <c r="A759" s="377"/>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8">
      <c r="A760" s="377"/>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8">
      <c r="A761" s="377"/>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8">
      <c r="A762" s="377"/>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8">
      <c r="A763" s="377"/>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8">
      <c r="A764" s="377"/>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8">
      <c r="A765" s="377"/>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8">
      <c r="A766" s="377"/>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8">
      <c r="A767" s="377"/>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8">
      <c r="A768" s="377"/>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8">
      <c r="A769" s="377"/>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8">
      <c r="A770" s="377"/>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8">
      <c r="A771" s="377"/>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8">
      <c r="A772" s="377"/>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8">
      <c r="A773" s="377"/>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8">
      <c r="A774" s="377"/>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8">
      <c r="A775" s="377"/>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8">
      <c r="A776" s="377"/>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8">
      <c r="A777" s="377"/>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8">
      <c r="A778" s="377"/>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8">
      <c r="A779" s="377"/>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8">
      <c r="A780" s="377"/>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8">
      <c r="A781" s="377"/>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8">
      <c r="A782" s="377"/>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8">
      <c r="A783" s="377"/>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8">
      <c r="A784" s="377"/>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8">
      <c r="A785" s="377"/>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8">
      <c r="A786" s="377"/>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8">
      <c r="A787" s="377"/>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8">
      <c r="A788" s="377"/>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8">
      <c r="A789" s="377"/>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8">
      <c r="A790" s="377"/>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8">
      <c r="A791" s="377"/>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8">
      <c r="A792" s="377"/>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8">
      <c r="A793" s="377"/>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8">
      <c r="A794" s="377"/>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8">
      <c r="A795" s="377"/>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8">
      <c r="A796" s="377"/>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8">
      <c r="A797" s="377"/>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8">
      <c r="A798" s="377"/>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8">
      <c r="A799" s="377"/>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8">
      <c r="A800" s="377"/>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8">
      <c r="A801" s="377"/>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8">
      <c r="A802" s="377"/>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8">
      <c r="A803" s="377"/>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8">
      <c r="A804" s="377"/>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8">
      <c r="A805" s="377"/>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8">
      <c r="A806" s="377"/>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8">
      <c r="A807" s="377"/>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8">
      <c r="A808" s="377"/>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8">
      <c r="A809" s="377"/>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8">
      <c r="A810" s="377"/>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8">
      <c r="A811" s="377"/>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8">
      <c r="A812" s="377"/>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8">
      <c r="A813" s="377"/>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8">
      <c r="A814" s="377"/>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8">
      <c r="A815" s="377"/>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8">
      <c r="A816" s="377"/>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8">
      <c r="A817" s="377"/>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8">
      <c r="A818" s="377"/>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8">
      <c r="A819" s="377"/>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8">
      <c r="A820" s="377"/>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8">
      <c r="A821" s="377"/>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8">
      <c r="A822" s="377"/>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8">
      <c r="A823" s="377"/>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8">
      <c r="A824" s="377"/>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8">
      <c r="A825" s="377"/>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8">
      <c r="A826" s="377"/>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8">
      <c r="A827" s="377"/>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8">
      <c r="A828" s="377"/>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8">
      <c r="A829" s="377"/>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8">
      <c r="A830" s="377"/>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8">
      <c r="A831" s="377"/>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8">
      <c r="A832" s="377"/>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8">
      <c r="A833" s="377"/>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8">
      <c r="A834" s="377"/>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8">
      <c r="A835" s="377"/>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8">
      <c r="A836" s="377"/>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8">
      <c r="A837" s="377"/>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8">
      <c r="A838" s="377"/>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8">
      <c r="A839" s="377"/>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8">
      <c r="A840" s="377"/>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8">
      <c r="A841" s="377"/>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8">
      <c r="A842" s="377"/>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8">
      <c r="A843" s="377"/>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8">
      <c r="A844" s="377"/>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8">
      <c r="A845" s="377"/>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8">
      <c r="A846" s="377"/>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8">
      <c r="A847" s="377"/>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8">
      <c r="A848" s="377"/>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8">
      <c r="A849" s="377"/>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8">
      <c r="A850" s="377"/>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8">
      <c r="A851" s="377"/>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8">
      <c r="A852" s="377"/>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8">
      <c r="A853" s="377"/>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8">
      <c r="A854" s="377"/>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8">
      <c r="A855" s="377"/>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8">
      <c r="A856" s="377"/>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8">
      <c r="A857" s="377"/>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8">
      <c r="A858" s="377"/>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8">
      <c r="A859" s="377"/>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8">
      <c r="A860" s="377"/>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8">
      <c r="A861" s="377"/>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8">
      <c r="A862" s="377"/>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8">
      <c r="A863" s="377"/>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8">
      <c r="A864" s="377"/>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8">
      <c r="A865" s="377"/>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8">
      <c r="A866" s="377"/>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8">
      <c r="A867" s="377"/>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8">
      <c r="A868" s="377"/>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8">
      <c r="A869" s="377"/>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8">
      <c r="A870" s="377"/>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8">
      <c r="A871" s="377"/>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8">
      <c r="A872" s="377"/>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8">
      <c r="A873" s="377"/>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8">
      <c r="A874" s="377"/>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8">
      <c r="A875" s="377"/>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8">
      <c r="A876" s="377"/>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8">
      <c r="A877" s="377"/>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8">
      <c r="A878" s="377"/>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8">
      <c r="A879" s="377"/>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8">
      <c r="A880" s="377"/>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8">
      <c r="A881" s="377"/>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8">
      <c r="A882" s="377"/>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8">
      <c r="A883" s="377"/>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8">
      <c r="A884" s="377"/>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8">
      <c r="A885" s="377"/>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8">
      <c r="A886" s="377"/>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8">
      <c r="A887" s="377"/>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8">
      <c r="A888" s="377"/>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8">
      <c r="A889" s="377"/>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8">
      <c r="A890" s="377"/>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8">
      <c r="A891" s="377"/>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8">
      <c r="A892" s="377"/>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8">
      <c r="A893" s="377"/>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8">
      <c r="A894" s="377"/>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8">
      <c r="A895" s="377"/>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8">
      <c r="A896" s="377"/>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8">
      <c r="A897" s="377"/>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8">
      <c r="A898" s="377"/>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8">
      <c r="A899" s="377"/>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8">
      <c r="A900" s="377"/>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8">
      <c r="A901" s="377"/>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8">
      <c r="A902" s="377"/>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8">
      <c r="A903" s="377"/>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8">
      <c r="A904" s="377"/>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8">
      <c r="A905" s="377"/>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8">
      <c r="A906" s="377"/>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8">
      <c r="A907" s="377"/>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8">
      <c r="A908" s="377"/>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8">
      <c r="A909" s="377"/>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8">
      <c r="A910" s="377"/>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8">
      <c r="A911" s="377"/>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8">
      <c r="A912" s="377"/>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8">
      <c r="A913" s="377"/>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8">
      <c r="A914" s="377"/>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8">
      <c r="A915" s="377"/>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8">
      <c r="A916" s="377"/>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8">
      <c r="A917" s="377"/>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8">
      <c r="A918" s="377"/>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8">
      <c r="A919" s="377"/>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8">
      <c r="A920" s="377"/>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8">
      <c r="A921" s="377"/>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8">
      <c r="A922" s="377"/>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8">
      <c r="A923" s="377"/>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8">
      <c r="A924" s="377"/>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8">
      <c r="A925" s="377"/>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8">
      <c r="A926" s="377"/>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8">
      <c r="A927" s="377"/>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8">
      <c r="A928" s="377"/>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8">
      <c r="A929" s="377"/>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8">
      <c r="A930" s="377"/>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8">
      <c r="A931" s="377"/>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8">
      <c r="A932" s="377"/>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8">
      <c r="A933" s="377"/>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8">
      <c r="A934" s="377"/>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8">
      <c r="A935" s="377"/>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8">
      <c r="A936" s="377"/>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8">
      <c r="A937" s="377"/>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8">
      <c r="A938" s="377"/>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8">
      <c r="A939" s="377"/>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8">
      <c r="A940" s="377"/>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8">
      <c r="A941" s="377"/>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8">
      <c r="A942" s="377"/>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8">
      <c r="A943" s="377"/>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8">
      <c r="A944" s="377"/>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8">
      <c r="A945" s="377"/>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8">
      <c r="A946" s="377"/>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8">
      <c r="A947" s="377"/>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8">
      <c r="A948" s="377"/>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8">
      <c r="A949" s="377"/>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8">
      <c r="A950" s="377"/>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8">
      <c r="A951" s="377"/>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8">
      <c r="A952" s="377"/>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8">
      <c r="A953" s="377"/>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8">
      <c r="A954" s="377"/>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8">
      <c r="A955" s="377"/>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8">
      <c r="A956" s="377"/>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8">
      <c r="A957" s="377"/>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8">
      <c r="A958" s="377"/>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8">
      <c r="A959" s="377"/>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8">
      <c r="A960" s="377"/>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8">
      <c r="A961" s="377"/>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8">
      <c r="A962" s="377"/>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8">
      <c r="A963" s="377"/>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8">
      <c r="A964" s="377"/>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8">
      <c r="A965" s="377"/>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8">
      <c r="A966" s="377"/>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8">
      <c r="A967" s="377"/>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8">
      <c r="A968" s="377"/>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8">
      <c r="A969" s="377"/>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8">
      <c r="A970" s="377"/>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8">
      <c r="A971" s="377"/>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8">
      <c r="A972" s="377"/>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8">
      <c r="A973" s="377"/>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8">
      <c r="A974" s="377"/>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8">
      <c r="A975" s="377"/>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8">
      <c r="A976" s="377"/>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8">
      <c r="A977" s="377"/>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8">
      <c r="A978" s="377"/>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8">
      <c r="A979" s="377"/>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8">
      <c r="A980" s="377"/>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8">
      <c r="A981" s="377"/>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8">
      <c r="A982" s="377"/>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8">
      <c r="A983" s="377"/>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8">
      <c r="H984" s="2"/>
      <c r="I984" s="2"/>
      <c r="J984" s="2"/>
      <c r="K984" s="2"/>
      <c r="L984" s="2"/>
      <c r="M984" s="2"/>
      <c r="N984" s="2"/>
      <c r="O984" s="2"/>
      <c r="P984" s="2"/>
      <c r="Q984" s="2"/>
      <c r="R984" s="2"/>
      <c r="S984" s="2"/>
      <c r="T984" s="2"/>
      <c r="U984" s="2"/>
      <c r="V984" s="2"/>
      <c r="W984" s="2"/>
      <c r="X984" s="2"/>
      <c r="Y984" s="2"/>
    </row>
    <row r="985" spans="1:25" ht="18">
      <c r="H985" s="2"/>
      <c r="I985" s="2"/>
      <c r="J985" s="2"/>
      <c r="K985" s="2"/>
      <c r="L985" s="2"/>
      <c r="M985" s="2"/>
      <c r="N985" s="2"/>
      <c r="O985" s="2"/>
      <c r="P985" s="2"/>
      <c r="Q985" s="2"/>
      <c r="R985" s="2"/>
      <c r="S985" s="2"/>
      <c r="T985" s="2"/>
      <c r="U985" s="2"/>
      <c r="V985" s="2"/>
      <c r="W985" s="2"/>
      <c r="X985" s="2"/>
      <c r="Y985" s="2"/>
    </row>
    <row r="986" spans="1:25" ht="18">
      <c r="H986" s="2"/>
      <c r="I986" s="2"/>
      <c r="J986" s="2"/>
      <c r="K986" s="2"/>
      <c r="L986" s="2"/>
      <c r="M986" s="2"/>
      <c r="N986" s="2"/>
      <c r="O986" s="2"/>
      <c r="P986" s="2"/>
      <c r="Q986" s="2"/>
      <c r="R986" s="2"/>
      <c r="S986" s="2"/>
      <c r="T986" s="2"/>
      <c r="U986" s="2"/>
      <c r="V986" s="2"/>
      <c r="W986" s="2"/>
      <c r="X986" s="2"/>
      <c r="Y986" s="2"/>
    </row>
    <row r="987" spans="1:25" ht="18">
      <c r="H987" s="2"/>
      <c r="I987" s="2"/>
      <c r="J987" s="2"/>
      <c r="K987" s="2"/>
      <c r="L987" s="2"/>
      <c r="M987" s="2"/>
      <c r="N987" s="2"/>
      <c r="O987" s="2"/>
      <c r="P987" s="2"/>
      <c r="Q987" s="2"/>
      <c r="R987" s="2"/>
      <c r="S987" s="2"/>
      <c r="T987" s="2"/>
      <c r="U987" s="2"/>
      <c r="V987" s="2"/>
      <c r="W987" s="2"/>
      <c r="X987" s="2"/>
      <c r="Y987" s="2"/>
    </row>
    <row r="988" spans="1:25" ht="18">
      <c r="H988" s="2"/>
      <c r="I988" s="2"/>
      <c r="J988" s="2"/>
      <c r="K988" s="2"/>
      <c r="L988" s="2"/>
      <c r="M988" s="2"/>
      <c r="N988" s="2"/>
      <c r="O988" s="2"/>
      <c r="P988" s="2"/>
      <c r="Q988" s="2"/>
      <c r="R988" s="2"/>
      <c r="S988" s="2"/>
      <c r="T988" s="2"/>
      <c r="U988" s="2"/>
      <c r="V988" s="2"/>
      <c r="W988" s="2"/>
      <c r="X988" s="2"/>
      <c r="Y988" s="2"/>
    </row>
    <row r="989" spans="1:25" ht="18">
      <c r="H989" s="2"/>
      <c r="I989" s="2"/>
      <c r="J989" s="2"/>
      <c r="K989" s="2"/>
      <c r="L989" s="2"/>
      <c r="M989" s="2"/>
      <c r="N989" s="2"/>
      <c r="O989" s="2"/>
      <c r="P989" s="2"/>
      <c r="Q989" s="2"/>
      <c r="R989" s="2"/>
      <c r="S989" s="2"/>
      <c r="T989" s="2"/>
      <c r="U989" s="2"/>
      <c r="V989" s="2"/>
      <c r="W989" s="2"/>
      <c r="X989" s="2"/>
      <c r="Y989" s="2"/>
    </row>
    <row r="990" spans="1:25" ht="18">
      <c r="H990" s="2"/>
      <c r="I990" s="2"/>
      <c r="J990" s="2"/>
      <c r="K990" s="2"/>
      <c r="L990" s="2"/>
      <c r="M990" s="2"/>
      <c r="N990" s="2"/>
      <c r="O990" s="2"/>
      <c r="P990" s="2"/>
      <c r="Q990" s="2"/>
      <c r="R990" s="2"/>
      <c r="S990" s="2"/>
      <c r="T990" s="2"/>
      <c r="U990" s="2"/>
      <c r="V990" s="2"/>
      <c r="W990" s="2"/>
      <c r="X990" s="2"/>
      <c r="Y990" s="2"/>
    </row>
    <row r="991" spans="1:25" ht="18">
      <c r="H991" s="2"/>
      <c r="I991" s="2"/>
      <c r="J991" s="2"/>
      <c r="K991" s="2"/>
      <c r="L991" s="2"/>
      <c r="M991" s="2"/>
      <c r="N991" s="2"/>
      <c r="O991" s="2"/>
      <c r="P991" s="2"/>
      <c r="Q991" s="2"/>
      <c r="R991" s="2"/>
      <c r="S991" s="2"/>
      <c r="T991" s="2"/>
      <c r="U991" s="2"/>
      <c r="V991" s="2"/>
      <c r="W991" s="2"/>
      <c r="X991" s="2"/>
      <c r="Y991" s="2"/>
    </row>
    <row r="992" spans="1:25" ht="18">
      <c r="H992" s="2"/>
      <c r="I992" s="2"/>
      <c r="J992" s="2"/>
      <c r="K992" s="2"/>
      <c r="L992" s="2"/>
      <c r="M992" s="2"/>
      <c r="N992" s="2"/>
      <c r="O992" s="2"/>
      <c r="P992" s="2"/>
      <c r="Q992" s="2"/>
      <c r="R992" s="2"/>
      <c r="S992" s="2"/>
      <c r="T992" s="2"/>
      <c r="U992" s="2"/>
      <c r="V992" s="2"/>
      <c r="W992" s="2"/>
      <c r="X992" s="2"/>
      <c r="Y992" s="2"/>
    </row>
    <row r="993" spans="8:25" ht="18">
      <c r="H993" s="2"/>
      <c r="I993" s="2"/>
      <c r="J993" s="2"/>
      <c r="K993" s="2"/>
      <c r="L993" s="2"/>
      <c r="M993" s="2"/>
      <c r="N993" s="2"/>
      <c r="O993" s="2"/>
      <c r="P993" s="2"/>
      <c r="Q993" s="2"/>
      <c r="R993" s="2"/>
      <c r="S993" s="2"/>
      <c r="T993" s="2"/>
      <c r="U993" s="2"/>
      <c r="V993" s="2"/>
      <c r="W993" s="2"/>
      <c r="X993" s="2"/>
      <c r="Y993" s="2"/>
    </row>
    <row r="994" spans="8:25" ht="18">
      <c r="H994" s="2"/>
      <c r="I994" s="2"/>
      <c r="J994" s="2"/>
      <c r="K994" s="2"/>
      <c r="L994" s="2"/>
      <c r="M994" s="2"/>
      <c r="N994" s="2"/>
      <c r="O994" s="2"/>
      <c r="P994" s="2"/>
      <c r="Q994" s="2"/>
      <c r="R994" s="2"/>
      <c r="S994" s="2"/>
      <c r="T994" s="2"/>
      <c r="U994" s="2"/>
      <c r="V994" s="2"/>
      <c r="W994" s="2"/>
      <c r="X994" s="2"/>
      <c r="Y994" s="2"/>
    </row>
    <row r="995" spans="8:25" ht="18">
      <c r="H995" s="2"/>
      <c r="I995" s="2"/>
      <c r="J995" s="2"/>
      <c r="K995" s="2"/>
      <c r="L995" s="2"/>
      <c r="M995" s="2"/>
      <c r="N995" s="2"/>
      <c r="O995" s="2"/>
      <c r="P995" s="2"/>
      <c r="Q995" s="2"/>
      <c r="R995" s="2"/>
      <c r="S995" s="2"/>
      <c r="T995" s="2"/>
      <c r="U995" s="2"/>
      <c r="V995" s="2"/>
      <c r="W995" s="2"/>
      <c r="X995" s="2"/>
      <c r="Y995" s="2"/>
    </row>
    <row r="996" spans="8:25" ht="18">
      <c r="H996" s="2"/>
      <c r="I996" s="2"/>
      <c r="J996" s="2"/>
      <c r="K996" s="2"/>
      <c r="L996" s="2"/>
      <c r="M996" s="2"/>
      <c r="N996" s="2"/>
      <c r="O996" s="2"/>
      <c r="P996" s="2"/>
      <c r="Q996" s="2"/>
      <c r="R996" s="2"/>
      <c r="S996" s="2"/>
      <c r="T996" s="2"/>
      <c r="U996" s="2"/>
      <c r="V996" s="2"/>
      <c r="W996" s="2"/>
      <c r="X996" s="2"/>
      <c r="Y996" s="2"/>
    </row>
    <row r="997" spans="8:25" ht="18">
      <c r="H997" s="2"/>
      <c r="I997" s="2"/>
      <c r="J997" s="2"/>
      <c r="K997" s="2"/>
      <c r="L997" s="2"/>
      <c r="M997" s="2"/>
      <c r="N997" s="2"/>
      <c r="O997" s="2"/>
      <c r="P997" s="2"/>
      <c r="Q997" s="2"/>
      <c r="R997" s="2"/>
      <c r="S997" s="2"/>
      <c r="T997" s="2"/>
      <c r="U997" s="2"/>
      <c r="V997" s="2"/>
      <c r="W997" s="2"/>
      <c r="X997" s="2"/>
      <c r="Y997" s="2"/>
    </row>
    <row r="998" spans="8:25" ht="18">
      <c r="H998" s="2"/>
      <c r="I998" s="2"/>
      <c r="J998" s="2"/>
      <c r="K998" s="2"/>
      <c r="L998" s="2"/>
      <c r="M998" s="2"/>
      <c r="N998" s="2"/>
      <c r="O998" s="2"/>
      <c r="P998" s="2"/>
      <c r="Q998" s="2"/>
      <c r="R998" s="2"/>
      <c r="S998" s="2"/>
      <c r="T998" s="2"/>
      <c r="U998" s="2"/>
      <c r="V998" s="2"/>
      <c r="W998" s="2"/>
      <c r="X998" s="2"/>
      <c r="Y998" s="2"/>
    </row>
    <row r="999" spans="8:25" ht="18">
      <c r="I999" s="2"/>
      <c r="J999" s="2"/>
      <c r="K999" s="2"/>
      <c r="L999" s="2"/>
      <c r="M999" s="2"/>
      <c r="N999" s="2"/>
      <c r="O999" s="2"/>
      <c r="P999" s="2"/>
      <c r="Q999" s="2"/>
      <c r="R999" s="2"/>
      <c r="S999" s="2"/>
      <c r="T999" s="2"/>
      <c r="U999" s="2"/>
      <c r="V999" s="2"/>
      <c r="W999" s="2"/>
      <c r="X999" s="2"/>
      <c r="Y999" s="2"/>
    </row>
    <row r="1000" spans="8:25" ht="18">
      <c r="I1000" s="2"/>
      <c r="J1000" s="2"/>
      <c r="K1000" s="2"/>
      <c r="L1000" s="2"/>
      <c r="M1000" s="2"/>
      <c r="N1000" s="2"/>
      <c r="O1000" s="2"/>
      <c r="P1000" s="2"/>
      <c r="Q1000" s="2"/>
      <c r="R1000" s="2"/>
      <c r="S1000" s="2"/>
      <c r="T1000" s="2"/>
      <c r="U1000" s="2"/>
      <c r="V1000" s="2"/>
      <c r="W1000" s="2"/>
      <c r="X1000" s="2"/>
      <c r="Y1000" s="2"/>
    </row>
    <row r="1001" spans="8:25" ht="18">
      <c r="I1001" s="2"/>
      <c r="J1001" s="2"/>
      <c r="K1001" s="2"/>
      <c r="L1001" s="2"/>
      <c r="M1001" s="2"/>
      <c r="N1001" s="2"/>
      <c r="O1001" s="2"/>
      <c r="P1001" s="2"/>
      <c r="Q1001" s="2"/>
      <c r="R1001" s="2"/>
      <c r="S1001" s="2"/>
      <c r="T1001" s="2"/>
      <c r="U1001" s="2"/>
      <c r="V1001" s="2"/>
      <c r="W1001" s="2"/>
      <c r="X1001" s="2"/>
      <c r="Y1001" s="2"/>
    </row>
    <row r="1002" spans="8:25" ht="18">
      <c r="I1002" s="2"/>
      <c r="J1002" s="2"/>
      <c r="K1002" s="2"/>
      <c r="L1002" s="2"/>
      <c r="M1002" s="2"/>
      <c r="N1002" s="2"/>
      <c r="O1002" s="2"/>
      <c r="P1002" s="2"/>
      <c r="Q1002" s="2"/>
      <c r="R1002" s="2"/>
      <c r="S1002" s="2"/>
      <c r="T1002" s="2"/>
      <c r="U1002" s="2"/>
      <c r="V1002" s="2"/>
      <c r="W1002" s="2"/>
      <c r="X1002" s="2"/>
      <c r="Y1002" s="2"/>
    </row>
    <row r="1003" spans="8:25" ht="18">
      <c r="I1003" s="2"/>
      <c r="J1003" s="2"/>
      <c r="K1003" s="2"/>
      <c r="L1003" s="2"/>
      <c r="M1003" s="2"/>
      <c r="N1003" s="2"/>
      <c r="O1003" s="2"/>
      <c r="P1003" s="2"/>
      <c r="Q1003" s="2"/>
      <c r="R1003" s="2"/>
      <c r="S1003" s="2"/>
      <c r="T1003" s="2"/>
      <c r="U1003" s="2"/>
      <c r="V1003" s="2"/>
      <c r="W1003" s="2"/>
      <c r="X1003" s="2"/>
      <c r="Y1003" s="2"/>
    </row>
    <row r="1004" spans="8:25" ht="18">
      <c r="I1004" s="2"/>
      <c r="J1004" s="2"/>
      <c r="K1004" s="2"/>
      <c r="L1004" s="2"/>
      <c r="M1004" s="2"/>
      <c r="N1004" s="2"/>
      <c r="O1004" s="2"/>
      <c r="P1004" s="2"/>
      <c r="Q1004" s="2"/>
      <c r="R1004" s="2"/>
      <c r="S1004" s="2"/>
      <c r="T1004" s="2"/>
      <c r="U1004" s="2"/>
      <c r="V1004" s="2"/>
      <c r="W1004" s="2"/>
      <c r="X1004" s="2"/>
      <c r="Y1004" s="2"/>
    </row>
    <row r="1005" spans="8:25" ht="18">
      <c r="I1005" s="2"/>
      <c r="J1005" s="2"/>
      <c r="K1005" s="2"/>
      <c r="L1005" s="2"/>
      <c r="M1005" s="2"/>
      <c r="N1005" s="2"/>
      <c r="O1005" s="2"/>
      <c r="P1005" s="2"/>
      <c r="Q1005" s="2"/>
      <c r="R1005" s="2"/>
      <c r="S1005" s="2"/>
      <c r="T1005" s="2"/>
      <c r="U1005" s="2"/>
      <c r="V1005" s="2"/>
      <c r="W1005" s="2"/>
      <c r="X1005" s="2"/>
      <c r="Y1005" s="2"/>
    </row>
  </sheetData>
  <mergeCells count="5">
    <mergeCell ref="B1:G1"/>
    <mergeCell ref="A63:G63"/>
    <mergeCell ref="A54:G54"/>
    <mergeCell ref="A3:G3"/>
    <mergeCell ref="A18:G18"/>
  </mergeCells>
  <hyperlinks>
    <hyperlink ref="A1" location="Index!A1" display="Index!A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6D7A8"/>
  </sheetPr>
  <dimension ref="A1:Y1003"/>
  <sheetViews>
    <sheetView showGridLines="0" zoomScale="90" zoomScaleNormal="90" workbookViewId="0">
      <pane ySplit="2" topLeftCell="A3" activePane="bottomLeft" state="frozen"/>
      <selection pane="bottomLeft" activeCell="B3" sqref="B3"/>
    </sheetView>
  </sheetViews>
  <sheetFormatPr defaultColWidth="14.33203125" defaultRowHeight="14.25"/>
  <cols>
    <col min="1" max="1" width="9.1328125" customWidth="1"/>
    <col min="2" max="2" width="55" bestFit="1" customWidth="1"/>
    <col min="3" max="3" width="12.6640625" bestFit="1" customWidth="1"/>
    <col min="4" max="5" width="12.46484375" bestFit="1" customWidth="1"/>
    <col min="6" max="8" width="13.796875" bestFit="1" customWidth="1"/>
    <col min="9" max="9" width="9.6640625" customWidth="1"/>
    <col min="10" max="12" width="8.796875" customWidth="1"/>
    <col min="13" max="13" width="15" bestFit="1" customWidth="1"/>
    <col min="14" max="18" width="13.796875" bestFit="1" customWidth="1"/>
    <col min="19" max="19" width="12.1328125" customWidth="1"/>
    <col min="20" max="25" width="8.796875" customWidth="1"/>
  </cols>
  <sheetData>
    <row r="1" spans="1:25" ht="16.149999999999999" customHeight="1" thickBot="1">
      <c r="B1" s="1210" t="s">
        <v>0</v>
      </c>
      <c r="C1" s="1323" t="s">
        <v>917</v>
      </c>
      <c r="D1" s="1324"/>
      <c r="E1" s="1324"/>
      <c r="F1" s="1324"/>
      <c r="G1" s="1324"/>
      <c r="H1" s="1324"/>
      <c r="I1" s="80"/>
      <c r="J1" s="80"/>
      <c r="K1" s="80"/>
      <c r="L1" s="80"/>
      <c r="M1" s="80"/>
      <c r="N1" s="80"/>
      <c r="O1" s="80"/>
      <c r="P1" s="80"/>
      <c r="Q1" s="80"/>
      <c r="R1" s="80"/>
      <c r="S1" s="80"/>
      <c r="T1" s="80"/>
      <c r="U1" s="80"/>
      <c r="V1" s="80"/>
      <c r="W1" s="80"/>
      <c r="X1" s="80"/>
      <c r="Y1" s="80"/>
    </row>
    <row r="2" spans="1:25" ht="18">
      <c r="A2" s="80"/>
      <c r="B2" s="1149" t="s">
        <v>329</v>
      </c>
      <c r="C2" s="1207" t="s">
        <v>330</v>
      </c>
      <c r="D2" s="1151" t="s">
        <v>4</v>
      </c>
      <c r="E2" s="1207" t="s">
        <v>61</v>
      </c>
      <c r="F2" s="1207" t="s">
        <v>63</v>
      </c>
      <c r="G2" s="1207" t="s">
        <v>65</v>
      </c>
      <c r="H2" s="1208" t="s">
        <v>67</v>
      </c>
      <c r="I2" s="357"/>
      <c r="J2" s="80"/>
      <c r="K2" s="80"/>
      <c r="L2" s="80"/>
      <c r="M2" s="80"/>
      <c r="N2" s="80"/>
      <c r="O2" s="80"/>
      <c r="P2" s="80"/>
      <c r="Q2" s="80"/>
      <c r="R2" s="80"/>
      <c r="S2" s="80"/>
      <c r="T2" s="80"/>
      <c r="U2" s="80"/>
      <c r="V2" s="80"/>
      <c r="W2" s="80"/>
      <c r="X2" s="80"/>
      <c r="Y2" s="80"/>
    </row>
    <row r="3" spans="1:25" ht="18">
      <c r="A3" s="80"/>
      <c r="B3" s="1025" t="s">
        <v>107</v>
      </c>
      <c r="C3" s="928">
        <v>0</v>
      </c>
      <c r="D3" s="919">
        <f>'FE Assumptions'!C25*'FE Assumptions'!C32</f>
        <v>4340202.4425324332</v>
      </c>
      <c r="E3" s="903">
        <f>'FE Assumptions'!D25*'FE Assumptions'!D32</f>
        <v>5723724.3956251601</v>
      </c>
      <c r="F3" s="903">
        <f>'FE Assumptions'!E25*'FE Assumptions'!E32</f>
        <v>9893505.6916859765</v>
      </c>
      <c r="G3" s="903">
        <f>'FE Assumptions'!F25*'FE Assumptions'!F32</f>
        <v>14459598.748085728</v>
      </c>
      <c r="H3" s="1021">
        <f>'FE Assumptions'!G25*'FE Assumptions'!G32</f>
        <v>17329702.257459659</v>
      </c>
      <c r="I3" s="361"/>
      <c r="J3" s="362"/>
      <c r="K3" s="80"/>
      <c r="L3" s="80"/>
      <c r="M3" s="80"/>
      <c r="N3" s="80"/>
      <c r="O3" s="80"/>
      <c r="P3" s="80"/>
      <c r="Q3" s="80"/>
      <c r="R3" s="80"/>
      <c r="S3" s="80"/>
      <c r="T3" s="80"/>
      <c r="U3" s="80"/>
      <c r="V3" s="80"/>
      <c r="W3" s="80"/>
      <c r="X3" s="80"/>
      <c r="Y3" s="80"/>
    </row>
    <row r="4" spans="1:25" ht="18">
      <c r="A4" s="80"/>
      <c r="B4" s="1046" t="s">
        <v>344</v>
      </c>
      <c r="C4" s="914">
        <v>0</v>
      </c>
      <c r="D4" s="915">
        <f>'FE Assumptions'!C35</f>
        <v>4092720</v>
      </c>
      <c r="E4" s="915">
        <f>'FE Assumptions'!D35</f>
        <v>5473380</v>
      </c>
      <c r="F4" s="915">
        <f>'FE Assumptions'!E35</f>
        <v>9696360</v>
      </c>
      <c r="G4" s="915">
        <f>'FE Assumptions'!F35</f>
        <v>14745420</v>
      </c>
      <c r="H4" s="1019">
        <f>'FE Assumptions'!G35</f>
        <v>17823480</v>
      </c>
      <c r="I4" s="361"/>
      <c r="J4" s="362"/>
      <c r="K4" s="80"/>
      <c r="L4" s="80"/>
      <c r="M4" s="80"/>
      <c r="N4" s="80"/>
      <c r="O4" s="80"/>
      <c r="P4" s="80"/>
      <c r="Q4" s="80"/>
      <c r="R4" s="80"/>
      <c r="S4" s="80"/>
      <c r="T4" s="80"/>
      <c r="U4" s="80"/>
      <c r="V4" s="80"/>
      <c r="W4" s="80"/>
      <c r="X4" s="80"/>
      <c r="Y4" s="80"/>
    </row>
    <row r="5" spans="1:25" ht="18">
      <c r="A5" s="80"/>
      <c r="B5" s="1025" t="s">
        <v>348</v>
      </c>
      <c r="C5" s="928">
        <v>0</v>
      </c>
      <c r="D5" s="919">
        <f>'FE Assumptions'!C40*'FE Assumptions'!C25</f>
        <v>1019904.6782439919</v>
      </c>
      <c r="E5" s="903">
        <f>'FE Assumptions'!D40*'FE Assumptions'!D25</f>
        <v>1390914.5850349909</v>
      </c>
      <c r="F5" s="903">
        <f>'FE Assumptions'!E40*'FE Assumptions'!E25</f>
        <v>2309989.6379756401</v>
      </c>
      <c r="G5" s="903">
        <f>'FE Assumptions'!F40*'FE Assumptions'!F25</f>
        <v>3590010.1881959192</v>
      </c>
      <c r="H5" s="1021">
        <f>'FE Assumptions'!G40*'FE Assumptions'!G25</f>
        <v>4612602.6994329169</v>
      </c>
      <c r="I5" s="361"/>
      <c r="J5" s="362"/>
      <c r="K5" s="80"/>
      <c r="L5" s="80"/>
      <c r="M5" s="80"/>
      <c r="N5" s="80"/>
      <c r="O5" s="80"/>
      <c r="P5" s="80"/>
      <c r="Q5" s="80"/>
      <c r="R5" s="80"/>
      <c r="S5" s="80"/>
      <c r="T5" s="80"/>
      <c r="U5" s="80"/>
      <c r="V5" s="80"/>
      <c r="W5" s="80"/>
      <c r="X5" s="80"/>
      <c r="Y5" s="80"/>
    </row>
    <row r="6" spans="1:25" ht="18">
      <c r="A6" s="80"/>
      <c r="B6" s="1046" t="s">
        <v>350</v>
      </c>
      <c r="C6" s="914">
        <v>0</v>
      </c>
      <c r="D6" s="915">
        <f>'FE Assumptions'!C42</f>
        <v>201061.63258879998</v>
      </c>
      <c r="E6" s="915">
        <f>'FE Assumptions'!D42</f>
        <v>339225.04300136166</v>
      </c>
      <c r="F6" s="915">
        <f>'FE Assumptions'!E42</f>
        <v>415462.57089489466</v>
      </c>
      <c r="G6" s="915">
        <f>'FE Assumptions'!F42</f>
        <v>559869.06173243478</v>
      </c>
      <c r="H6" s="1019">
        <f>'FE Assumptions'!G42</f>
        <v>607003.5096917703</v>
      </c>
      <c r="I6" s="361"/>
      <c r="J6" s="364"/>
      <c r="K6" s="80"/>
      <c r="L6" s="80"/>
      <c r="M6" s="80"/>
      <c r="N6" s="80"/>
      <c r="O6" s="80"/>
      <c r="P6" s="80"/>
      <c r="Q6" s="80"/>
      <c r="R6" s="80"/>
      <c r="S6" s="80"/>
      <c r="T6" s="80"/>
      <c r="U6" s="80"/>
      <c r="V6" s="80"/>
      <c r="W6" s="80"/>
      <c r="X6" s="80"/>
      <c r="Y6" s="80"/>
    </row>
    <row r="7" spans="1:25" ht="18">
      <c r="A7" s="80"/>
      <c r="B7" s="1025" t="s">
        <v>352</v>
      </c>
      <c r="C7" s="928">
        <v>0</v>
      </c>
      <c r="D7" s="919">
        <f>'FE Assumptions'!C36</f>
        <v>5721622.5600000005</v>
      </c>
      <c r="E7" s="903">
        <f>'FE Assumptions'!D36</f>
        <v>7651785.2400000012</v>
      </c>
      <c r="F7" s="903">
        <f>'FE Assumptions'!E36</f>
        <v>13555511.280000001</v>
      </c>
      <c r="G7" s="903">
        <f>'FE Assumptions'!F36</f>
        <v>20614097.160000004</v>
      </c>
      <c r="H7" s="1021">
        <f>'FE Assumptions'!G36</f>
        <v>24917225.040000003</v>
      </c>
      <c r="I7" s="80"/>
      <c r="J7" s="80"/>
      <c r="K7" s="80"/>
      <c r="L7" s="80"/>
      <c r="M7" s="80"/>
      <c r="N7" s="80"/>
      <c r="O7" s="80"/>
      <c r="P7" s="80"/>
      <c r="Q7" s="80"/>
      <c r="R7" s="80"/>
      <c r="S7" s="80"/>
      <c r="T7" s="80"/>
      <c r="U7" s="80"/>
      <c r="V7" s="80"/>
      <c r="W7" s="80"/>
      <c r="X7" s="80"/>
      <c r="Y7" s="80"/>
    </row>
    <row r="8" spans="1:25" ht="18">
      <c r="A8" s="80"/>
      <c r="B8" s="1046" t="s">
        <v>355</v>
      </c>
      <c r="C8" s="914">
        <v>0</v>
      </c>
      <c r="D8" s="915">
        <f>SUM(D5:D7)</f>
        <v>6942588.8708327925</v>
      </c>
      <c r="E8" s="915">
        <f>SUM(E5:E7)</f>
        <v>9381924.868036354</v>
      </c>
      <c r="F8" s="915">
        <f>SUM(F5:F7)</f>
        <v>16280963.488870535</v>
      </c>
      <c r="G8" s="915">
        <f>SUM(G5:G7)</f>
        <v>24763976.409928359</v>
      </c>
      <c r="H8" s="1019">
        <f>SUM(H5:H7)</f>
        <v>30136831.249124691</v>
      </c>
      <c r="I8" s="80"/>
      <c r="J8" s="80"/>
      <c r="K8" s="80"/>
      <c r="L8" s="80"/>
      <c r="M8" s="80"/>
      <c r="N8" s="80"/>
      <c r="O8" s="80"/>
      <c r="P8" s="80"/>
      <c r="Q8" s="80"/>
      <c r="R8" s="80"/>
      <c r="S8" s="80"/>
      <c r="T8" s="80"/>
      <c r="U8" s="80"/>
      <c r="V8" s="80"/>
      <c r="W8" s="80"/>
      <c r="X8" s="80"/>
      <c r="Y8" s="80"/>
    </row>
    <row r="9" spans="1:25" ht="18">
      <c r="A9" s="80"/>
      <c r="B9" s="1025" t="s">
        <v>357</v>
      </c>
      <c r="C9" s="928">
        <v>0</v>
      </c>
      <c r="D9" s="919">
        <f>D4+D3-D8</f>
        <v>1490333.5716996407</v>
      </c>
      <c r="E9" s="903">
        <f>E4+E3-E8</f>
        <v>1815179.5275888052</v>
      </c>
      <c r="F9" s="903">
        <f>F4+F3-F8</f>
        <v>3308902.2028154396</v>
      </c>
      <c r="G9" s="903">
        <f>G4+G3-G8</f>
        <v>4441042.3381573707</v>
      </c>
      <c r="H9" s="1021">
        <f>H4+H3-H8</f>
        <v>5016351.0083349645</v>
      </c>
      <c r="I9" s="80"/>
      <c r="J9" s="80"/>
      <c r="K9" s="80"/>
      <c r="L9" s="80"/>
      <c r="M9" s="80"/>
      <c r="N9" s="80"/>
      <c r="O9" s="80"/>
      <c r="P9" s="80"/>
      <c r="Q9" s="80"/>
      <c r="R9" s="80"/>
      <c r="S9" s="80"/>
      <c r="T9" s="80"/>
      <c r="U9" s="80"/>
      <c r="V9" s="80"/>
      <c r="W9" s="80"/>
      <c r="X9" s="80"/>
      <c r="Y9" s="80"/>
    </row>
    <row r="10" spans="1:25" ht="18">
      <c r="A10" s="80"/>
      <c r="B10" s="1046" t="s">
        <v>362</v>
      </c>
      <c r="C10" s="914">
        <f>'FE Assumptions'!B16</f>
        <v>286777.105125</v>
      </c>
      <c r="D10" s="915">
        <v>0</v>
      </c>
      <c r="E10" s="915">
        <v>0</v>
      </c>
      <c r="F10" s="915">
        <v>0</v>
      </c>
      <c r="G10" s="915">
        <v>0</v>
      </c>
      <c r="H10" s="1019">
        <v>0</v>
      </c>
      <c r="I10" s="80"/>
      <c r="J10" s="80"/>
      <c r="K10" s="80"/>
      <c r="L10" s="80"/>
      <c r="M10" s="80"/>
      <c r="N10" s="80"/>
      <c r="O10" s="80"/>
      <c r="P10" s="80"/>
      <c r="Q10" s="80"/>
      <c r="R10" s="80"/>
      <c r="S10" s="80"/>
      <c r="T10" s="80"/>
      <c r="U10" s="80"/>
      <c r="V10" s="80"/>
      <c r="W10" s="80"/>
      <c r="X10" s="80"/>
      <c r="Y10" s="80"/>
    </row>
    <row r="11" spans="1:25" ht="18">
      <c r="A11" s="365"/>
      <c r="B11" s="1025" t="s">
        <v>363</v>
      </c>
      <c r="C11" s="928">
        <v>0</v>
      </c>
      <c r="D11" s="919">
        <f>'FE Assumptions'!C47</f>
        <v>533060</v>
      </c>
      <c r="E11" s="903">
        <f>'FE Assumptions'!D47</f>
        <v>549051.80000000005</v>
      </c>
      <c r="F11" s="903">
        <f>'FE Assumptions'!E47</f>
        <v>907533.75400000007</v>
      </c>
      <c r="G11" s="903">
        <f>'FE Assumptions'!F47</f>
        <v>1080298.7666199999</v>
      </c>
      <c r="H11" s="1021">
        <f>'FE Assumptions'!G47</f>
        <v>1184707.7296185999</v>
      </c>
      <c r="I11" s="365"/>
      <c r="J11" s="365"/>
      <c r="K11" s="365"/>
      <c r="L11" s="365"/>
      <c r="M11" s="365"/>
      <c r="N11" s="365"/>
      <c r="O11" s="365"/>
      <c r="P11" s="365"/>
      <c r="Q11" s="365"/>
      <c r="R11" s="365"/>
      <c r="S11" s="365"/>
      <c r="T11" s="365"/>
      <c r="U11" s="365"/>
      <c r="V11" s="365"/>
      <c r="W11" s="365"/>
      <c r="X11" s="365"/>
      <c r="Y11" s="365"/>
    </row>
    <row r="12" spans="1:25" ht="18">
      <c r="A12" s="365"/>
      <c r="B12" s="1046" t="s">
        <v>365</v>
      </c>
      <c r="C12" s="914">
        <v>0</v>
      </c>
      <c r="D12" s="915">
        <f>'FE Assumptions'!C48</f>
        <v>167600.14050000001</v>
      </c>
      <c r="E12" s="915">
        <f>'FE Assumptions'!D48</f>
        <v>125582.72750000001</v>
      </c>
      <c r="F12" s="915">
        <f>'FE Assumptions'!E48</f>
        <v>244646.6275</v>
      </c>
      <c r="G12" s="915">
        <f>'FE Assumptions'!F48</f>
        <v>249430.07749999998</v>
      </c>
      <c r="H12" s="1019">
        <f>'FE Assumptions'!G48</f>
        <v>249589.32499999998</v>
      </c>
      <c r="I12" s="365"/>
      <c r="J12" s="365"/>
      <c r="K12" s="365"/>
      <c r="L12" s="365"/>
      <c r="M12" s="365"/>
      <c r="N12" s="365"/>
      <c r="O12" s="365"/>
      <c r="P12" s="365"/>
      <c r="Q12" s="365"/>
      <c r="R12" s="365"/>
      <c r="S12" s="365"/>
      <c r="T12" s="365"/>
      <c r="U12" s="365"/>
      <c r="V12" s="365"/>
      <c r="W12" s="365"/>
      <c r="X12" s="365"/>
      <c r="Y12" s="365"/>
    </row>
    <row r="13" spans="1:25" ht="18">
      <c r="A13" s="365"/>
      <c r="B13" s="1025" t="s">
        <v>368</v>
      </c>
      <c r="C13" s="928">
        <v>0</v>
      </c>
      <c r="D13" s="919">
        <f>'FE Assumptions'!C49</f>
        <v>0</v>
      </c>
      <c r="E13" s="903">
        <f>'FE Assumptions'!D49</f>
        <v>0</v>
      </c>
      <c r="F13" s="903">
        <f>'FE Assumptions'!E49</f>
        <v>100000</v>
      </c>
      <c r="G13" s="903">
        <f>'FE Assumptions'!F49</f>
        <v>103000</v>
      </c>
      <c r="H13" s="1021">
        <f>'FE Assumptions'!G49</f>
        <v>106090</v>
      </c>
      <c r="I13" s="365"/>
      <c r="J13" s="365"/>
      <c r="K13" s="365"/>
      <c r="L13" s="365"/>
      <c r="M13" s="365"/>
      <c r="N13" s="365"/>
      <c r="O13" s="365"/>
      <c r="P13" s="365"/>
      <c r="Q13" s="365"/>
      <c r="R13" s="365"/>
      <c r="S13" s="365"/>
      <c r="T13" s="365"/>
      <c r="U13" s="365"/>
      <c r="V13" s="365"/>
      <c r="W13" s="365"/>
      <c r="X13" s="365"/>
      <c r="Y13" s="365"/>
    </row>
    <row r="14" spans="1:25" ht="18">
      <c r="A14" s="365"/>
      <c r="B14" s="1046" t="s">
        <v>370</v>
      </c>
      <c r="C14" s="914">
        <v>0</v>
      </c>
      <c r="D14" s="915">
        <f>'FE Assumptions'!C50</f>
        <v>31195</v>
      </c>
      <c r="E14" s="915">
        <f>'FE Assumptions'!D50</f>
        <v>68590</v>
      </c>
      <c r="F14" s="915">
        <f>'FE Assumptions'!E50</f>
        <v>0</v>
      </c>
      <c r="G14" s="915">
        <f>'FE Assumptions'!F50</f>
        <v>0</v>
      </c>
      <c r="H14" s="1019">
        <f>'FE Assumptions'!G50</f>
        <v>0</v>
      </c>
      <c r="I14" s="365"/>
      <c r="J14" s="365"/>
      <c r="K14" s="365"/>
      <c r="L14" s="365"/>
      <c r="M14" s="365"/>
      <c r="N14" s="365"/>
      <c r="O14" s="365"/>
      <c r="P14" s="365"/>
      <c r="Q14" s="365"/>
      <c r="R14" s="365"/>
      <c r="S14" s="365"/>
      <c r="T14" s="365"/>
      <c r="U14" s="365"/>
      <c r="V14" s="365"/>
      <c r="W14" s="365"/>
      <c r="X14" s="365"/>
      <c r="Y14" s="365"/>
    </row>
    <row r="15" spans="1:25" ht="18">
      <c r="A15" s="365"/>
      <c r="B15" s="1025" t="s">
        <v>372</v>
      </c>
      <c r="C15" s="928">
        <f>'FE Assumptions'!B51</f>
        <v>0</v>
      </c>
      <c r="D15" s="919">
        <f>'FE Assumptions'!C51</f>
        <v>210521.87400000001</v>
      </c>
      <c r="E15" s="903">
        <f>'FE Assumptions'!D51</f>
        <v>250781.87400000001</v>
      </c>
      <c r="F15" s="903">
        <f>'FE Assumptions'!E51</f>
        <v>300024.87400000001</v>
      </c>
      <c r="G15" s="903">
        <f>'FE Assumptions'!F51</f>
        <v>445710.87400000001</v>
      </c>
      <c r="H15" s="1021">
        <f>'FE Assumptions'!G51</f>
        <v>465190.87400000001</v>
      </c>
      <c r="I15" s="365"/>
      <c r="J15" s="365"/>
      <c r="K15" s="365"/>
      <c r="L15" s="365"/>
      <c r="M15" s="365"/>
      <c r="N15" s="365"/>
      <c r="O15" s="365"/>
      <c r="P15" s="365"/>
      <c r="Q15" s="365"/>
      <c r="R15" s="365"/>
      <c r="S15" s="365"/>
      <c r="T15" s="365"/>
      <c r="U15" s="365"/>
      <c r="V15" s="365"/>
      <c r="W15" s="365"/>
      <c r="X15" s="365"/>
      <c r="Y15" s="365"/>
    </row>
    <row r="16" spans="1:25" ht="18">
      <c r="A16" s="80"/>
      <c r="B16" s="1018" t="s">
        <v>373</v>
      </c>
      <c r="C16" s="914">
        <v>0</v>
      </c>
      <c r="D16" s="915">
        <f>ROUND(('FE Assumptions'!$B$5/'FE Assumptions'!$B$68),1)</f>
        <v>15795.8</v>
      </c>
      <c r="E16" s="915">
        <f>'FE Assumptions'!$B$5/'FE Assumptions'!$B$68</f>
        <v>15795.799599999998</v>
      </c>
      <c r="F16" s="915">
        <f>'FE Assumptions'!$B$5/'FE Assumptions'!$B$68</f>
        <v>15795.799599999998</v>
      </c>
      <c r="G16" s="915">
        <f>'FE Assumptions'!$B$5/'FE Assumptions'!$B$68</f>
        <v>15795.799599999998</v>
      </c>
      <c r="H16" s="1019">
        <f>'FE Assumptions'!$B$5/'FE Assumptions'!$B$68</f>
        <v>15795.799599999998</v>
      </c>
      <c r="I16" s="366"/>
      <c r="J16" s="80"/>
      <c r="K16" s="80"/>
      <c r="L16" s="80"/>
      <c r="M16" s="80"/>
      <c r="N16" s="80"/>
      <c r="O16" s="80"/>
      <c r="P16" s="80"/>
      <c r="Q16" s="80"/>
      <c r="R16" s="80"/>
      <c r="S16" s="80"/>
      <c r="T16" s="80"/>
      <c r="U16" s="80"/>
      <c r="V16" s="80"/>
      <c r="W16" s="80"/>
      <c r="X16" s="80"/>
      <c r="Y16" s="80"/>
    </row>
    <row r="17" spans="1:25" ht="18">
      <c r="A17" s="80"/>
      <c r="B17" s="1020" t="s">
        <v>377</v>
      </c>
      <c r="C17" s="928">
        <v>0</v>
      </c>
      <c r="D17" s="919">
        <f>'FE Assumptions'!C61/'FE Assumptions'!$B$68</f>
        <v>0</v>
      </c>
      <c r="E17" s="903">
        <f>('FE Assumptions'!D61/'FE Assumptions'!$B$68)+D17</f>
        <v>0</v>
      </c>
      <c r="F17" s="903">
        <f>('FE Assumptions'!E61/'FE Assumptions'!$B$68)+E17</f>
        <v>1827.8528129408005</v>
      </c>
      <c r="G17" s="903">
        <f>('FE Assumptions'!F61/'FE Assumptions'!$B$68)+F17</f>
        <v>1827.8528129408005</v>
      </c>
      <c r="H17" s="1021">
        <f>('FE Assumptions'!G61/'FE Assumptions'!$B$68)+G17</f>
        <v>1827.8528129408005</v>
      </c>
      <c r="I17" s="367"/>
      <c r="J17" s="80"/>
      <c r="K17" s="80"/>
      <c r="L17" s="80"/>
      <c r="M17" s="80"/>
      <c r="N17" s="80"/>
      <c r="O17" s="80"/>
      <c r="P17" s="80"/>
      <c r="Q17" s="80"/>
      <c r="R17" s="80"/>
      <c r="S17" s="80"/>
      <c r="T17" s="80"/>
      <c r="U17" s="80"/>
      <c r="V17" s="80"/>
      <c r="W17" s="80"/>
      <c r="X17" s="80"/>
      <c r="Y17" s="80"/>
    </row>
    <row r="18" spans="1:25" ht="18">
      <c r="A18" s="80"/>
      <c r="B18" s="1018" t="s">
        <v>379</v>
      </c>
      <c r="C18" s="914">
        <v>0</v>
      </c>
      <c r="D18" s="915">
        <f>'PPE &amp; Amortization Schedule'!C31</f>
        <v>24000</v>
      </c>
      <c r="E18" s="915">
        <f>'PPE &amp; Amortization Schedule'!D31</f>
        <v>24000</v>
      </c>
      <c r="F18" s="915">
        <f>'PPE &amp; Amortization Schedule'!E31</f>
        <v>24000</v>
      </c>
      <c r="G18" s="915">
        <f>'PPE &amp; Amortization Schedule'!F31</f>
        <v>24000</v>
      </c>
      <c r="H18" s="1019">
        <f>'PPE &amp; Amortization Schedule'!G31</f>
        <v>24000</v>
      </c>
      <c r="I18" s="80"/>
      <c r="J18" s="80"/>
      <c r="K18" s="80"/>
      <c r="L18" s="80"/>
      <c r="M18" s="80"/>
      <c r="N18" s="80"/>
      <c r="O18" s="80"/>
      <c r="P18" s="80"/>
      <c r="Q18" s="80"/>
      <c r="R18" s="80"/>
      <c r="S18" s="80"/>
      <c r="T18" s="80"/>
      <c r="U18" s="80"/>
      <c r="V18" s="80"/>
      <c r="W18" s="80"/>
      <c r="X18" s="80"/>
      <c r="Y18" s="80"/>
    </row>
    <row r="19" spans="1:25" ht="18">
      <c r="A19" s="80"/>
      <c r="B19" s="1025"/>
      <c r="C19" s="928"/>
      <c r="D19" s="919"/>
      <c r="E19" s="903"/>
      <c r="F19" s="903"/>
      <c r="G19" s="903"/>
      <c r="H19" s="1021"/>
      <c r="I19" s="80"/>
      <c r="J19" s="80"/>
      <c r="K19" s="80"/>
      <c r="L19" s="80"/>
      <c r="M19" s="80"/>
      <c r="N19" s="80"/>
      <c r="O19" s="80"/>
      <c r="P19" s="80"/>
      <c r="Q19" s="80"/>
      <c r="R19" s="80"/>
      <c r="S19" s="80"/>
      <c r="T19" s="80"/>
      <c r="U19" s="80"/>
      <c r="V19" s="80"/>
      <c r="W19" s="80"/>
      <c r="X19" s="80"/>
      <c r="Y19" s="80"/>
    </row>
    <row r="20" spans="1:25" ht="18">
      <c r="A20" s="80"/>
      <c r="B20" s="1046" t="s">
        <v>381</v>
      </c>
      <c r="C20" s="914">
        <f t="shared" ref="C20:H20" si="0">C9-C10-SUM(C11:C18)</f>
        <v>-286777.105125</v>
      </c>
      <c r="D20" s="915">
        <f t="shared" si="0"/>
        <v>508160.75719964062</v>
      </c>
      <c r="E20" s="915">
        <f t="shared" si="0"/>
        <v>781377.326488805</v>
      </c>
      <c r="F20" s="915">
        <f t="shared" si="0"/>
        <v>1715073.2949024986</v>
      </c>
      <c r="G20" s="915">
        <f t="shared" si="0"/>
        <v>2520978.9676244301</v>
      </c>
      <c r="H20" s="1019">
        <f t="shared" si="0"/>
        <v>2969149.4273034241</v>
      </c>
      <c r="I20" s="80"/>
      <c r="J20" s="80"/>
      <c r="K20" s="80"/>
      <c r="L20" s="80"/>
      <c r="M20" s="80"/>
      <c r="N20" s="80"/>
      <c r="O20" s="80"/>
      <c r="P20" s="80"/>
      <c r="Q20" s="80"/>
      <c r="R20" s="80"/>
      <c r="S20" s="80"/>
      <c r="T20" s="80"/>
      <c r="U20" s="80"/>
      <c r="V20" s="80"/>
      <c r="W20" s="80"/>
      <c r="X20" s="80"/>
      <c r="Y20" s="80"/>
    </row>
    <row r="21" spans="1:25" ht="18">
      <c r="A21" s="80"/>
      <c r="B21" s="1025" t="s">
        <v>382</v>
      </c>
      <c r="C21" s="928">
        <f>IF(C20&gt;0,C20*'FE Assumptions'!$B$66,0)</f>
        <v>0</v>
      </c>
      <c r="D21" s="919">
        <f>IF(D20&gt;0,D20*'FE Assumptions'!$B$66,0)</f>
        <v>177856.2650198742</v>
      </c>
      <c r="E21" s="903">
        <f>IF(E20&gt;0,E20*'FE Assumptions'!$B$66,0)</f>
        <v>273482.06427108176</v>
      </c>
      <c r="F21" s="903">
        <f>IF(F20&gt;0,F20*'FE Assumptions'!$B$66,0)</f>
        <v>600275.65321587445</v>
      </c>
      <c r="G21" s="903">
        <f>IF(G20&gt;0,G20*'FE Assumptions'!$B$66,0)</f>
        <v>882342.63866855053</v>
      </c>
      <c r="H21" s="1021">
        <f>IF(H20&gt;0,H20*'FE Assumptions'!$B$66,0)</f>
        <v>1039202.2995561984</v>
      </c>
      <c r="I21" s="80"/>
      <c r="J21" s="80"/>
      <c r="K21" s="80"/>
      <c r="L21" s="80"/>
      <c r="M21" s="80"/>
      <c r="N21" s="80"/>
      <c r="O21" s="80"/>
      <c r="P21" s="80"/>
      <c r="Q21" s="80"/>
      <c r="R21" s="80"/>
      <c r="S21" s="80"/>
      <c r="T21" s="80"/>
      <c r="U21" s="80"/>
      <c r="V21" s="80"/>
      <c r="W21" s="80"/>
      <c r="X21" s="80"/>
      <c r="Y21" s="80"/>
    </row>
    <row r="22" spans="1:25" ht="18">
      <c r="A22" s="80"/>
      <c r="B22" s="1022" t="s">
        <v>386</v>
      </c>
      <c r="C22" s="914">
        <f t="shared" ref="C22:H22" si="1">C20-C21</f>
        <v>-286777.105125</v>
      </c>
      <c r="D22" s="915">
        <f t="shared" si="1"/>
        <v>330304.49217976641</v>
      </c>
      <c r="E22" s="915">
        <f t="shared" si="1"/>
        <v>507895.26221772324</v>
      </c>
      <c r="F22" s="915">
        <f t="shared" si="1"/>
        <v>1114797.6416866241</v>
      </c>
      <c r="G22" s="915">
        <f t="shared" si="1"/>
        <v>1638636.3289558794</v>
      </c>
      <c r="H22" s="1019">
        <f t="shared" si="1"/>
        <v>1929947.1277472256</v>
      </c>
      <c r="I22" s="80"/>
      <c r="J22" s="80"/>
      <c r="K22" s="80"/>
      <c r="L22" s="80"/>
      <c r="M22" s="80"/>
      <c r="N22" s="80"/>
      <c r="O22" s="80"/>
      <c r="P22" s="80"/>
      <c r="Q22" s="80"/>
      <c r="R22" s="80"/>
      <c r="S22" s="80"/>
      <c r="T22" s="80"/>
      <c r="U22" s="80"/>
      <c r="V22" s="80"/>
      <c r="W22" s="80"/>
      <c r="X22" s="80"/>
      <c r="Y22" s="80"/>
    </row>
    <row r="23" spans="1:25" ht="18.399999999999999" thickBot="1">
      <c r="A23" s="80"/>
      <c r="B23" s="1025" t="s">
        <v>389</v>
      </c>
      <c r="C23" s="928">
        <f>IF(C22&gt;0,C22*'FE Assumptions'!$B$70,0)</f>
        <v>0</v>
      </c>
      <c r="D23" s="919">
        <f>IF(D22&gt;0,D22*'FE Assumptions'!$B$70,0)</f>
        <v>9909.1347653929915</v>
      </c>
      <c r="E23" s="903">
        <f>IF(E22&gt;0,E22*'FE Assumptions'!$B$70,0)</f>
        <v>15236.857866531696</v>
      </c>
      <c r="F23" s="903">
        <f>IF(F22&gt;0,F22*'FE Assumptions'!$B$70,0)</f>
        <v>33443.929250598725</v>
      </c>
      <c r="G23" s="903">
        <f>IF(G22&gt;0,G22*'FE Assumptions'!$B$70,0)</f>
        <v>49159.089868676383</v>
      </c>
      <c r="H23" s="1021">
        <f>IF(H22&gt;0,H22*'FE Assumptions'!$B$70,0)</f>
        <v>57898.413832416765</v>
      </c>
      <c r="I23" s="80"/>
      <c r="J23" s="80"/>
      <c r="K23" s="80"/>
      <c r="L23" s="80"/>
      <c r="S23" s="369"/>
      <c r="T23" s="369"/>
      <c r="U23" s="80"/>
      <c r="V23" s="80"/>
      <c r="W23" s="80"/>
      <c r="X23" s="80"/>
      <c r="Y23" s="80"/>
    </row>
    <row r="24" spans="1:25" ht="18.399999999999999" thickBot="1">
      <c r="A24" s="80"/>
      <c r="B24" s="1275" t="s">
        <v>393</v>
      </c>
      <c r="C24" s="1164">
        <f t="shared" ref="C24:H24" si="2">C22-C23</f>
        <v>-286777.105125</v>
      </c>
      <c r="D24" s="1165">
        <f t="shared" si="2"/>
        <v>320395.35741437343</v>
      </c>
      <c r="E24" s="1165">
        <f t="shared" si="2"/>
        <v>492658.40435119154</v>
      </c>
      <c r="F24" s="1165">
        <f t="shared" si="2"/>
        <v>1081353.7124360255</v>
      </c>
      <c r="G24" s="1165">
        <f t="shared" si="2"/>
        <v>1589477.2390872031</v>
      </c>
      <c r="H24" s="1166">
        <f t="shared" si="2"/>
        <v>1872048.7139148088</v>
      </c>
      <c r="I24" s="80"/>
      <c r="J24" s="80"/>
      <c r="K24" s="80"/>
      <c r="L24" s="80"/>
      <c r="M24" s="1285" t="s">
        <v>17</v>
      </c>
      <c r="N24" s="1286">
        <v>1</v>
      </c>
      <c r="O24" s="1286">
        <v>2</v>
      </c>
      <c r="P24" s="1286">
        <v>3</v>
      </c>
      <c r="Q24" s="1286">
        <v>4</v>
      </c>
      <c r="R24" s="1287">
        <v>5</v>
      </c>
      <c r="S24" s="80"/>
      <c r="T24" s="80"/>
      <c r="U24" s="80"/>
      <c r="V24" s="80"/>
      <c r="W24" s="80"/>
      <c r="X24" s="80"/>
      <c r="Y24" s="80"/>
    </row>
    <row r="25" spans="1:25" ht="18.399999999999999" thickBot="1">
      <c r="A25" s="80"/>
      <c r="B25" s="1276"/>
      <c r="C25" s="1277"/>
      <c r="D25" s="1278"/>
      <c r="E25" s="1278"/>
      <c r="F25" s="1278"/>
      <c r="G25" s="1278"/>
      <c r="H25" s="1279"/>
      <c r="I25" s="80"/>
      <c r="J25" s="80"/>
      <c r="K25" s="80"/>
      <c r="L25" s="80"/>
      <c r="M25" s="1025" t="s">
        <v>107</v>
      </c>
      <c r="N25" s="930">
        <f>D$4+D$3</f>
        <v>8432922.4425324332</v>
      </c>
      <c r="O25" s="919">
        <f>E$4+E$3</f>
        <v>11197104.395625159</v>
      </c>
      <c r="P25" s="903">
        <f>F$4+F$3</f>
        <v>19589865.691685975</v>
      </c>
      <c r="Q25" s="903">
        <f>G$4+G$3</f>
        <v>29205018.74808573</v>
      </c>
      <c r="R25" s="1021">
        <f>H$4+H$3</f>
        <v>35153182.257459655</v>
      </c>
      <c r="T25" s="80"/>
      <c r="U25" s="80"/>
      <c r="V25" s="80"/>
      <c r="W25" s="80"/>
      <c r="X25" s="80"/>
      <c r="Y25" s="80"/>
    </row>
    <row r="26" spans="1:25" ht="18">
      <c r="A26" s="80"/>
      <c r="B26" s="1328" t="s">
        <v>400</v>
      </c>
      <c r="C26" s="1329"/>
      <c r="D26" s="1329"/>
      <c r="E26" s="1329"/>
      <c r="F26" s="1329"/>
      <c r="G26" s="1329"/>
      <c r="H26" s="1330"/>
      <c r="I26" s="80"/>
      <c r="J26" s="80"/>
      <c r="K26" s="80"/>
      <c r="L26" s="80"/>
      <c r="M26" s="1288" t="s">
        <v>393</v>
      </c>
      <c r="N26" s="1289">
        <f>C$24</f>
        <v>-286777.105125</v>
      </c>
      <c r="O26" s="1290">
        <f>D$24</f>
        <v>320395.35741437343</v>
      </c>
      <c r="P26" s="1290">
        <f>E$24</f>
        <v>492658.40435119154</v>
      </c>
      <c r="Q26" s="1290">
        <f>F$24</f>
        <v>1081353.7124360255</v>
      </c>
      <c r="R26" s="1291">
        <f>G$24</f>
        <v>1589477.2390872031</v>
      </c>
      <c r="S26" s="80"/>
      <c r="T26" s="80"/>
      <c r="U26" s="80"/>
      <c r="V26" s="80"/>
      <c r="W26" s="80"/>
      <c r="X26" s="80"/>
      <c r="Y26" s="80"/>
    </row>
    <row r="27" spans="1:25" ht="18">
      <c r="A27" s="80"/>
      <c r="B27" s="1025" t="s">
        <v>403</v>
      </c>
      <c r="C27" s="930">
        <f t="shared" ref="C27:H27" si="3">C24</f>
        <v>-286777.105125</v>
      </c>
      <c r="D27" s="919">
        <f t="shared" si="3"/>
        <v>320395.35741437343</v>
      </c>
      <c r="E27" s="903">
        <f t="shared" si="3"/>
        <v>492658.40435119154</v>
      </c>
      <c r="F27" s="903">
        <f t="shared" si="3"/>
        <v>1081353.7124360255</v>
      </c>
      <c r="G27" s="903">
        <f t="shared" si="3"/>
        <v>1589477.2390872031</v>
      </c>
      <c r="H27" s="1021">
        <f t="shared" si="3"/>
        <v>1872048.7139148088</v>
      </c>
      <c r="I27" s="361"/>
      <c r="J27" s="80"/>
      <c r="K27" s="80"/>
      <c r="L27" s="80"/>
      <c r="M27" s="1025" t="s">
        <v>865</v>
      </c>
      <c r="N27" s="1282"/>
      <c r="O27" s="1283">
        <f>ABS((O26-N26)/N26)</f>
        <v>2.1172278110371465</v>
      </c>
      <c r="P27" s="1283">
        <f t="shared" ref="P27:R27" si="4">(P26-O26)/O26</f>
        <v>0.53765774987190906</v>
      </c>
      <c r="Q27" s="1283">
        <f t="shared" si="4"/>
        <v>1.1949360913879437</v>
      </c>
      <c r="R27" s="1284">
        <f t="shared" si="4"/>
        <v>0.46989576195794391</v>
      </c>
      <c r="S27" s="80"/>
      <c r="T27" s="80"/>
      <c r="U27" s="80"/>
      <c r="V27" s="80"/>
      <c r="W27" s="80"/>
      <c r="X27" s="80"/>
      <c r="Y27" s="80"/>
    </row>
    <row r="28" spans="1:25" ht="18.399999999999999" thickBot="1">
      <c r="A28" s="80"/>
      <c r="B28" s="1018" t="s">
        <v>404</v>
      </c>
      <c r="C28" s="914">
        <f>IF('FE Cash Flow'!D10&gt;0,(-'FE Cash Flow'!D10),0)</f>
        <v>0</v>
      </c>
      <c r="D28" s="915">
        <f>IF('FE Cash Flow'!E10&gt;0,(-'FE Cash Flow'!E10),0)</f>
        <v>0</v>
      </c>
      <c r="E28" s="915">
        <f>IF('FE Cash Flow'!F10&gt;0,(-'FE Cash Flow'!F10),0)</f>
        <v>-150230.89395119151</v>
      </c>
      <c r="F28" s="915">
        <f>IF('FE Cash Flow'!G10&gt;0,(-'FE Cash Flow'!G10),0)</f>
        <v>-103768.64484896627</v>
      </c>
      <c r="G28" s="915">
        <f>IF('FE Cash Flow'!H10&gt;0,(-'FE Cash Flow'!H10),0)</f>
        <v>-605215.03150014381</v>
      </c>
      <c r="H28" s="1019">
        <f>IF('FE Cash Flow'!I10&gt;0,(-'FE Cash Flow'!I10),0)</f>
        <v>-1299901.6463277496</v>
      </c>
      <c r="I28" s="369"/>
      <c r="J28" s="80"/>
      <c r="K28" s="80"/>
      <c r="L28" s="80"/>
      <c r="M28" s="1292" t="s">
        <v>391</v>
      </c>
      <c r="N28" s="1293">
        <f>N26/N25</f>
        <v>-3.4006847220437605E-2</v>
      </c>
      <c r="O28" s="1293">
        <f>O26/O25</f>
        <v>2.8614126125282503E-2</v>
      </c>
      <c r="P28" s="1293">
        <f>P26/P25</f>
        <v>2.5148636142016938E-2</v>
      </c>
      <c r="Q28" s="1293">
        <f>Q26/Q25</f>
        <v>3.7026297492341237E-2</v>
      </c>
      <c r="R28" s="1294">
        <f>R26/R25</f>
        <v>4.5215742559122342E-2</v>
      </c>
      <c r="S28" s="80"/>
      <c r="T28" s="80"/>
      <c r="U28" s="80"/>
      <c r="V28" s="80"/>
      <c r="W28" s="80"/>
      <c r="X28" s="80"/>
      <c r="Y28" s="80"/>
    </row>
    <row r="29" spans="1:25" ht="18">
      <c r="A29" s="80"/>
      <c r="B29" s="1025" t="s">
        <v>408</v>
      </c>
      <c r="C29" s="930">
        <f t="shared" ref="C29:H29" si="5">C27+C28</f>
        <v>-286777.105125</v>
      </c>
      <c r="D29" s="919">
        <f t="shared" si="5"/>
        <v>320395.35741437343</v>
      </c>
      <c r="E29" s="903">
        <f t="shared" si="5"/>
        <v>342427.51040000003</v>
      </c>
      <c r="F29" s="903">
        <f t="shared" si="5"/>
        <v>977585.06758705922</v>
      </c>
      <c r="G29" s="903">
        <f t="shared" si="5"/>
        <v>984262.20758705924</v>
      </c>
      <c r="H29" s="1021">
        <f t="shared" si="5"/>
        <v>572147.06758705922</v>
      </c>
      <c r="I29" s="369"/>
      <c r="J29" s="80"/>
      <c r="K29" s="80"/>
      <c r="L29" s="80"/>
      <c r="M29" s="80"/>
      <c r="N29" s="80"/>
      <c r="O29" s="80"/>
      <c r="P29" s="80"/>
      <c r="Q29" s="80"/>
      <c r="R29" s="80"/>
      <c r="S29" s="80"/>
      <c r="T29" s="80"/>
      <c r="U29" s="80"/>
      <c r="V29" s="80"/>
      <c r="W29" s="80"/>
      <c r="X29" s="80"/>
      <c r="Y29" s="80"/>
    </row>
    <row r="30" spans="1:25" ht="18.399999999999999" thickBot="1">
      <c r="A30" s="80"/>
      <c r="B30" s="1036" t="s">
        <v>410</v>
      </c>
      <c r="C30" s="1164">
        <f t="shared" ref="C30:H30" si="6">SUM(C27:C28)-SUM(B27:B28)</f>
        <v>-286777.105125</v>
      </c>
      <c r="D30" s="1165">
        <f t="shared" si="6"/>
        <v>607172.46253937343</v>
      </c>
      <c r="E30" s="1165">
        <f t="shared" si="6"/>
        <v>22032.152985626599</v>
      </c>
      <c r="F30" s="1165">
        <f t="shared" si="6"/>
        <v>635157.5571870592</v>
      </c>
      <c r="G30" s="1165">
        <f t="shared" si="6"/>
        <v>6677.140000000014</v>
      </c>
      <c r="H30" s="1166">
        <f t="shared" si="6"/>
        <v>-412115.14</v>
      </c>
      <c r="I30" s="361"/>
      <c r="J30" s="80"/>
      <c r="K30" s="80"/>
      <c r="L30" s="80"/>
      <c r="M30" s="80"/>
      <c r="N30" s="80"/>
      <c r="O30" s="80"/>
      <c r="P30" s="80"/>
      <c r="Q30" s="80"/>
      <c r="R30" s="80"/>
      <c r="S30" s="80"/>
      <c r="T30" s="80"/>
      <c r="U30" s="80"/>
      <c r="V30" s="80"/>
      <c r="W30" s="80"/>
      <c r="X30" s="80"/>
      <c r="Y30" s="80"/>
    </row>
    <row r="31" spans="1:25" ht="18.399999999999999" thickBot="1">
      <c r="A31" s="80"/>
      <c r="B31" s="1280"/>
      <c r="C31" s="1281"/>
      <c r="D31" s="1281"/>
      <c r="E31" s="1281"/>
      <c r="F31" s="1281"/>
      <c r="G31" s="1281"/>
      <c r="H31" s="1281"/>
      <c r="I31" s="80"/>
      <c r="J31" s="80"/>
      <c r="K31" s="80"/>
      <c r="L31" s="80"/>
      <c r="M31" s="80"/>
      <c r="N31" s="80"/>
      <c r="O31" s="80"/>
      <c r="P31" s="80"/>
      <c r="Q31" s="80"/>
      <c r="R31" s="80"/>
      <c r="S31" s="80"/>
      <c r="T31" s="80"/>
      <c r="U31" s="80"/>
      <c r="V31" s="80"/>
      <c r="W31" s="80"/>
      <c r="X31" s="80"/>
      <c r="Y31" s="80"/>
    </row>
    <row r="32" spans="1:25" ht="18">
      <c r="A32" s="80"/>
      <c r="B32" s="1328" t="s">
        <v>412</v>
      </c>
      <c r="C32" s="1329"/>
      <c r="D32" s="1329"/>
      <c r="E32" s="1329"/>
      <c r="F32" s="1329"/>
      <c r="G32" s="1329"/>
      <c r="H32" s="1330"/>
      <c r="I32" s="80"/>
      <c r="J32" s="80"/>
      <c r="K32" s="80"/>
      <c r="L32" s="80"/>
      <c r="M32" s="80"/>
      <c r="N32" s="80"/>
      <c r="O32" s="80"/>
      <c r="P32" s="80"/>
      <c r="Q32" s="80"/>
      <c r="R32" s="80"/>
      <c r="S32" s="80"/>
      <c r="T32" s="80"/>
      <c r="U32" s="80"/>
      <c r="V32" s="80"/>
      <c r="W32" s="80"/>
      <c r="X32" s="80"/>
      <c r="Y32" s="80"/>
    </row>
    <row r="33" spans="1:25" ht="18">
      <c r="A33" s="80"/>
      <c r="B33" s="1025" t="s">
        <v>413</v>
      </c>
      <c r="C33" s="1282"/>
      <c r="D33" s="1283">
        <f>D8/(D3+D4)</f>
        <v>0.82327199356382452</v>
      </c>
      <c r="E33" s="1283">
        <f>E8/(E3+E4)</f>
        <v>0.83788848764346457</v>
      </c>
      <c r="F33" s="1283">
        <f>F8/(F3+F4)</f>
        <v>0.83109112359970128</v>
      </c>
      <c r="G33" s="1283">
        <f>G8/(G3+G4)</f>
        <v>0.84793564501825691</v>
      </c>
      <c r="H33" s="1284">
        <f>H8/(H3+H4)</f>
        <v>0.85730023041454595</v>
      </c>
      <c r="I33" s="80"/>
      <c r="J33" s="80"/>
      <c r="K33" s="80"/>
      <c r="L33" s="80"/>
      <c r="M33" s="80"/>
      <c r="N33" s="80"/>
      <c r="O33" s="80"/>
      <c r="P33" s="80"/>
      <c r="Q33" s="80"/>
      <c r="R33" s="80"/>
      <c r="S33" s="80"/>
      <c r="T33" s="80"/>
      <c r="U33" s="80"/>
      <c r="V33" s="80"/>
      <c r="W33" s="80"/>
      <c r="X33" s="80"/>
      <c r="Y33" s="80"/>
    </row>
    <row r="34" spans="1:25" ht="18">
      <c r="A34" s="80"/>
      <c r="B34" s="1046" t="s">
        <v>416</v>
      </c>
      <c r="C34" s="1040"/>
      <c r="D34" s="1040">
        <f>D9/(D3+D4)</f>
        <v>0.17672800643617551</v>
      </c>
      <c r="E34" s="1040">
        <f>E9/(E3+E4)</f>
        <v>0.16211151235653543</v>
      </c>
      <c r="F34" s="1040">
        <f>F9/(F3+F4)</f>
        <v>0.16890887640029875</v>
      </c>
      <c r="G34" s="1040">
        <f>G9/(G3+G4)</f>
        <v>0.15206435498174309</v>
      </c>
      <c r="H34" s="1198">
        <f>H9/(H3+H4)</f>
        <v>0.14269976958545405</v>
      </c>
      <c r="I34" s="80"/>
      <c r="J34" s="80"/>
      <c r="K34" s="80"/>
      <c r="L34" s="80"/>
      <c r="M34" s="80"/>
      <c r="N34" s="80"/>
      <c r="O34" s="80"/>
      <c r="P34" s="80"/>
      <c r="Q34" s="80"/>
      <c r="R34" s="80"/>
      <c r="S34" s="80"/>
      <c r="T34" s="80"/>
      <c r="U34" s="80"/>
      <c r="V34" s="80"/>
      <c r="W34" s="80"/>
      <c r="X34" s="80"/>
      <c r="Y34" s="80"/>
    </row>
    <row r="35" spans="1:25" ht="18">
      <c r="A35" s="80"/>
      <c r="B35" s="1025" t="s">
        <v>417</v>
      </c>
      <c r="C35" s="1282"/>
      <c r="D35" s="1283">
        <f>D22/(D3+D4)</f>
        <v>3.9168448948829052E-2</v>
      </c>
      <c r="E35" s="1283">
        <f>E22/(E3+E4)</f>
        <v>4.5359518342631862E-2</v>
      </c>
      <c r="F35" s="1283">
        <f>F22/(F3+F4)</f>
        <v>5.6906854760099206E-2</v>
      </c>
      <c r="G35" s="1283">
        <f>G22/(G3+G4)</f>
        <v>5.6108038932975703E-2</v>
      </c>
      <c r="H35" s="1284">
        <f>H22/(H3+H4)</f>
        <v>5.4901064535563704E-2</v>
      </c>
      <c r="I35" s="80"/>
      <c r="J35" s="80"/>
      <c r="K35" s="80"/>
      <c r="L35" s="80"/>
      <c r="M35" s="80"/>
      <c r="N35" s="80"/>
      <c r="O35" s="80"/>
      <c r="P35" s="80"/>
      <c r="Q35" s="80"/>
      <c r="R35" s="80"/>
      <c r="S35" s="80"/>
      <c r="T35" s="80"/>
      <c r="U35" s="80"/>
      <c r="V35" s="80"/>
      <c r="W35" s="80"/>
      <c r="X35" s="80"/>
      <c r="Y35" s="80"/>
    </row>
    <row r="36" spans="1:25" ht="18">
      <c r="A36" s="80"/>
      <c r="B36" s="1046" t="s">
        <v>419</v>
      </c>
      <c r="C36" s="1040"/>
      <c r="D36" s="1040">
        <f>SUM(D11:D18)/(D3+D4)</f>
        <v>0.11646885420720773</v>
      </c>
      <c r="E36" s="1040">
        <f>SUM(E11:E18)/(E3+E4)</f>
        <v>9.2327637983255648E-2</v>
      </c>
      <c r="F36" s="1040">
        <f>SUM(F11:F18)/(F3+F4)</f>
        <v>8.1359869077069213E-2</v>
      </c>
      <c r="G36" s="1040">
        <f>SUM(G11:G18)/(G3+G4)</f>
        <v>6.5744295084857393E-2</v>
      </c>
      <c r="H36" s="1198">
        <f>SUM(H11:H18)/(H3+H4)</f>
        <v>5.8236593376894512E-2</v>
      </c>
      <c r="I36" s="80"/>
      <c r="J36" s="80"/>
      <c r="K36" s="80"/>
      <c r="L36" s="80"/>
      <c r="M36" s="80"/>
      <c r="N36" s="80"/>
      <c r="O36" s="80"/>
      <c r="P36" s="80"/>
      <c r="Q36" s="80"/>
      <c r="R36" s="80"/>
      <c r="S36" s="80"/>
      <c r="T36" s="80"/>
      <c r="U36" s="80"/>
      <c r="V36" s="80"/>
      <c r="W36" s="80"/>
      <c r="X36" s="80"/>
      <c r="Y36" s="80"/>
    </row>
    <row r="37" spans="1:25" ht="18">
      <c r="A37" s="80"/>
      <c r="B37" s="1025" t="s">
        <v>422</v>
      </c>
      <c r="C37" s="1282"/>
      <c r="D37" s="1283">
        <f>SUM(D12:D14)/(D3+D4)</f>
        <v>2.3573694867315916E-2</v>
      </c>
      <c r="E37" s="1283">
        <f>SUM(E12:E14)/(E3+E4)</f>
        <v>1.7341334030596837E-2</v>
      </c>
      <c r="F37" s="1283">
        <f>SUM(F12:F14)/(F3+F4)</f>
        <v>1.7593108238933439E-2</v>
      </c>
      <c r="G37" s="1283">
        <f>SUM(G12:G14)/(G3+G4)</f>
        <v>1.2067449110030116E-2</v>
      </c>
      <c r="H37" s="1284">
        <f>SUM(H12:H14)/(H3+H4)</f>
        <v>1.0117983697607441E-2</v>
      </c>
      <c r="I37" s="80"/>
      <c r="J37" s="80"/>
      <c r="K37" s="80"/>
      <c r="L37" s="80"/>
      <c r="M37" s="80"/>
      <c r="N37" s="80"/>
      <c r="O37" s="80"/>
      <c r="P37" s="80"/>
      <c r="Q37" s="80"/>
      <c r="R37" s="80"/>
      <c r="S37" s="80"/>
      <c r="T37" s="80"/>
      <c r="U37" s="80"/>
      <c r="V37" s="80"/>
      <c r="W37" s="80"/>
      <c r="X37" s="80"/>
      <c r="Y37" s="80"/>
    </row>
    <row r="38" spans="1:25" ht="18">
      <c r="A38" s="80"/>
      <c r="B38" s="1046" t="s">
        <v>425</v>
      </c>
      <c r="C38" s="1040"/>
      <c r="D38" s="1040">
        <f>D$24/'FE Balance Sheet'!D$26</f>
        <v>0.26851583953502733</v>
      </c>
      <c r="E38" s="1040">
        <f>E$24/'FE Balance Sheet'!E$26</f>
        <v>0.32081719270053216</v>
      </c>
      <c r="F38" s="1040">
        <f>F$24/'FE Balance Sheet'!F$26</f>
        <v>0.43026606831047426</v>
      </c>
      <c r="G38" s="1040">
        <f>G$24/'FE Balance Sheet'!G$26</f>
        <v>0.45446315282015637</v>
      </c>
      <c r="H38" s="1198">
        <f>H$24/'FE Balance Sheet'!H$26</f>
        <v>0.46000461805605453</v>
      </c>
      <c r="I38" s="80"/>
      <c r="J38" s="80"/>
      <c r="K38" s="80"/>
      <c r="L38" s="80"/>
      <c r="M38" s="80"/>
      <c r="N38" s="80"/>
      <c r="O38" s="80"/>
      <c r="P38" s="80"/>
      <c r="Q38" s="80"/>
      <c r="R38" s="80"/>
      <c r="S38" s="80"/>
      <c r="T38" s="80"/>
      <c r="U38" s="80"/>
      <c r="V38" s="80"/>
      <c r="W38" s="80"/>
      <c r="X38" s="80"/>
      <c r="Y38" s="80"/>
    </row>
    <row r="39" spans="1:25" ht="18">
      <c r="A39" s="80"/>
      <c r="B39" s="1025" t="s">
        <v>428</v>
      </c>
      <c r="C39" s="1282"/>
      <c r="D39" s="1283">
        <f>D$24/'FE Balance Sheet'!D$18</f>
        <v>0.10921028889484111</v>
      </c>
      <c r="E39" s="1283">
        <f>E$24/'FE Balance Sheet'!E$18</f>
        <v>0.12672145043908473</v>
      </c>
      <c r="F39" s="1283">
        <f>F$24/'FE Balance Sheet'!F$18</f>
        <v>0.16396735379055791</v>
      </c>
      <c r="G39" s="1283">
        <f>G$24/'FE Balance Sheet'!G$18</f>
        <v>0.16376360203558168</v>
      </c>
      <c r="H39" s="1284">
        <f>H$24/'FE Balance Sheet'!H$18</f>
        <v>0.16103545112794215</v>
      </c>
      <c r="I39" s="80"/>
      <c r="J39" s="80"/>
      <c r="K39" s="80"/>
      <c r="L39" s="80"/>
      <c r="M39" s="80"/>
      <c r="N39" s="80"/>
      <c r="O39" s="80"/>
      <c r="P39" s="80"/>
      <c r="Q39" s="80"/>
      <c r="R39" s="80"/>
      <c r="S39" s="80"/>
      <c r="T39" s="80"/>
      <c r="U39" s="80"/>
      <c r="V39" s="80"/>
      <c r="W39" s="80"/>
      <c r="X39" s="80"/>
      <c r="Y39" s="80"/>
    </row>
    <row r="40" spans="1:25" ht="18">
      <c r="A40" s="80"/>
      <c r="B40" s="1046" t="s">
        <v>430</v>
      </c>
      <c r="C40" s="1040"/>
      <c r="D40" s="1040">
        <f>D20/(D3+D4)</f>
        <v>6.0259152228967772E-2</v>
      </c>
      <c r="E40" s="1040">
        <f>E20/(E3+E4)</f>
        <v>6.9783874373279792E-2</v>
      </c>
      <c r="F40" s="1040">
        <f>F20/(F3+F4)</f>
        <v>8.7549007323229538E-2</v>
      </c>
      <c r="G40" s="1040">
        <f>G20/(G3+G4)</f>
        <v>8.6320059896885709E-2</v>
      </c>
      <c r="H40" s="1198">
        <f>H20/(H3+H4)</f>
        <v>8.4463176208559546E-2</v>
      </c>
      <c r="I40" s="80"/>
      <c r="J40" s="80"/>
      <c r="K40" s="80"/>
      <c r="L40" s="80"/>
      <c r="M40" s="80"/>
      <c r="N40" s="80"/>
      <c r="O40" s="80"/>
      <c r="P40" s="80"/>
      <c r="Q40" s="80"/>
      <c r="R40" s="80"/>
      <c r="S40" s="80"/>
      <c r="T40" s="80"/>
      <c r="U40" s="80"/>
      <c r="V40" s="80"/>
      <c r="W40" s="80"/>
      <c r="X40" s="80"/>
      <c r="Y40" s="80"/>
    </row>
    <row r="41" spans="1:25" ht="15.75">
      <c r="A41" s="80"/>
      <c r="B41" s="80"/>
      <c r="C41" s="370"/>
      <c r="D41" s="370"/>
      <c r="E41" s="370"/>
      <c r="F41" s="370"/>
      <c r="G41" s="370"/>
      <c r="H41" s="80"/>
      <c r="I41" s="80"/>
      <c r="J41" s="80"/>
      <c r="K41" s="80"/>
      <c r="L41" s="80"/>
      <c r="M41" s="80"/>
      <c r="N41" s="80"/>
      <c r="O41" s="80"/>
      <c r="P41" s="80"/>
      <c r="Q41" s="80"/>
      <c r="R41" s="80"/>
      <c r="S41" s="80"/>
      <c r="T41" s="80"/>
      <c r="U41" s="80"/>
      <c r="V41" s="80"/>
      <c r="W41" s="80"/>
      <c r="X41" s="80"/>
      <c r="Y41" s="80"/>
    </row>
    <row r="42" spans="1:25" ht="15.75">
      <c r="A42" s="80"/>
      <c r="B42" s="357"/>
      <c r="C42" s="371"/>
      <c r="D42" s="372"/>
      <c r="E42" s="372"/>
      <c r="F42" s="372"/>
      <c r="G42" s="372"/>
      <c r="H42" s="80"/>
      <c r="I42" s="80"/>
      <c r="J42" s="80"/>
      <c r="K42" s="80"/>
      <c r="L42" s="80"/>
      <c r="M42" s="80"/>
      <c r="N42" s="80"/>
      <c r="O42" s="80"/>
      <c r="P42" s="80"/>
      <c r="Q42" s="80"/>
      <c r="R42" s="80"/>
      <c r="S42" s="80"/>
      <c r="T42" s="80"/>
      <c r="U42" s="80"/>
      <c r="V42" s="80"/>
      <c r="W42" s="80"/>
      <c r="X42" s="80"/>
      <c r="Y42" s="80"/>
    </row>
    <row r="43" spans="1:25" ht="15.75">
      <c r="A43" s="80"/>
      <c r="B43" s="80"/>
      <c r="C43" s="372"/>
      <c r="D43" s="372"/>
      <c r="E43" s="372"/>
      <c r="F43" s="372"/>
      <c r="G43" s="372"/>
      <c r="H43" s="80"/>
      <c r="I43" s="80"/>
      <c r="J43" s="80"/>
      <c r="K43" s="80"/>
      <c r="L43" s="80"/>
      <c r="M43" s="80"/>
      <c r="N43" s="80"/>
      <c r="O43" s="80"/>
      <c r="P43" s="80"/>
      <c r="Q43" s="80"/>
      <c r="R43" s="80"/>
      <c r="S43" s="80"/>
      <c r="T43" s="80"/>
      <c r="U43" s="80"/>
      <c r="V43" s="80"/>
      <c r="W43" s="80"/>
      <c r="X43" s="80"/>
      <c r="Y43" s="80"/>
    </row>
    <row r="44" spans="1:25" ht="15.75">
      <c r="A44" s="80"/>
      <c r="B44" s="80"/>
      <c r="C44" s="370"/>
      <c r="D44" s="370"/>
      <c r="E44" s="370"/>
      <c r="F44" s="370"/>
      <c r="G44" s="370"/>
      <c r="H44" s="80"/>
      <c r="I44" s="80"/>
      <c r="J44" s="80"/>
      <c r="K44" s="80"/>
      <c r="L44" s="80"/>
      <c r="M44" s="80"/>
      <c r="N44" s="80"/>
      <c r="O44" s="80"/>
      <c r="P44" s="80"/>
      <c r="Q44" s="80"/>
      <c r="R44" s="80"/>
      <c r="S44" s="80"/>
      <c r="T44" s="80"/>
      <c r="U44" s="80"/>
      <c r="V44" s="80"/>
      <c r="W44" s="80"/>
      <c r="X44" s="80"/>
      <c r="Y44" s="80"/>
    </row>
    <row r="45" spans="1:25" ht="15.75">
      <c r="A45" s="80"/>
      <c r="B45" s="80"/>
      <c r="C45" s="372"/>
      <c r="D45" s="372"/>
      <c r="E45" s="372"/>
      <c r="F45" s="372"/>
      <c r="G45" s="372"/>
      <c r="H45" s="80"/>
      <c r="I45" s="80"/>
      <c r="J45" s="80"/>
      <c r="K45" s="80"/>
      <c r="L45" s="80"/>
      <c r="M45" s="80"/>
      <c r="N45" s="80"/>
      <c r="O45" s="80"/>
      <c r="P45" s="80"/>
      <c r="Q45" s="80"/>
      <c r="R45" s="80"/>
      <c r="S45" s="80"/>
      <c r="T45" s="80"/>
      <c r="U45" s="80"/>
      <c r="V45" s="80"/>
      <c r="W45" s="80"/>
      <c r="X45" s="80"/>
      <c r="Y45" s="80"/>
    </row>
    <row r="46" spans="1:25" ht="15.75">
      <c r="A46" s="80"/>
      <c r="B46" s="80"/>
      <c r="C46" s="372"/>
      <c r="D46" s="372"/>
      <c r="E46" s="372"/>
      <c r="F46" s="372"/>
      <c r="G46" s="372"/>
      <c r="H46" s="80"/>
      <c r="I46" s="80"/>
      <c r="J46" s="80"/>
      <c r="K46" s="80"/>
      <c r="L46" s="80"/>
      <c r="M46" s="80"/>
      <c r="N46" s="80"/>
      <c r="O46" s="80"/>
      <c r="P46" s="80"/>
      <c r="Q46" s="80"/>
      <c r="R46" s="80"/>
      <c r="S46" s="80"/>
      <c r="T46" s="80"/>
      <c r="U46" s="80"/>
      <c r="V46" s="80"/>
      <c r="W46" s="80"/>
      <c r="X46" s="80"/>
      <c r="Y46" s="80"/>
    </row>
    <row r="47" spans="1:25" ht="15.75">
      <c r="A47" s="80"/>
      <c r="B47" s="80"/>
      <c r="C47" s="372"/>
      <c r="D47" s="372"/>
      <c r="E47" s="372"/>
      <c r="F47" s="372"/>
      <c r="G47" s="372"/>
      <c r="H47" s="80"/>
      <c r="I47" s="80"/>
      <c r="J47" s="80"/>
      <c r="K47" s="80"/>
      <c r="L47" s="80"/>
      <c r="M47" s="80"/>
      <c r="N47" s="80"/>
      <c r="O47" s="80"/>
      <c r="P47" s="80"/>
      <c r="Q47" s="80"/>
      <c r="R47" s="80"/>
      <c r="S47" s="80"/>
      <c r="T47" s="80"/>
      <c r="U47" s="80"/>
      <c r="V47" s="80"/>
      <c r="W47" s="80"/>
      <c r="X47" s="80"/>
      <c r="Y47" s="80"/>
    </row>
    <row r="48" spans="1:25" ht="15.75">
      <c r="A48" s="80"/>
      <c r="B48" s="80"/>
      <c r="C48" s="372"/>
      <c r="D48" s="372"/>
      <c r="E48" s="372"/>
      <c r="F48" s="372"/>
      <c r="G48" s="372"/>
      <c r="H48" s="80"/>
      <c r="I48" s="80"/>
      <c r="J48" s="80"/>
      <c r="K48" s="80"/>
      <c r="L48" s="80"/>
      <c r="M48" s="80"/>
      <c r="N48" s="80"/>
      <c r="O48" s="80"/>
      <c r="P48" s="80"/>
      <c r="Q48" s="80"/>
      <c r="R48" s="80"/>
      <c r="S48" s="80"/>
      <c r="T48" s="80"/>
      <c r="U48" s="80"/>
      <c r="V48" s="80"/>
      <c r="W48" s="80"/>
      <c r="X48" s="80"/>
      <c r="Y48" s="80"/>
    </row>
    <row r="49" spans="1:25" ht="15.75">
      <c r="A49" s="80"/>
      <c r="B49" s="80"/>
      <c r="C49" s="370"/>
      <c r="D49" s="373"/>
      <c r="E49" s="373"/>
      <c r="F49" s="373"/>
      <c r="G49" s="373"/>
      <c r="H49" s="374"/>
      <c r="I49" s="80"/>
      <c r="J49" s="80"/>
      <c r="K49" s="80"/>
      <c r="L49" s="80"/>
      <c r="M49" s="80"/>
      <c r="N49" s="80"/>
      <c r="O49" s="80"/>
      <c r="P49" s="80"/>
      <c r="Q49" s="80"/>
      <c r="R49" s="80"/>
      <c r="S49" s="80"/>
      <c r="T49" s="80"/>
      <c r="U49" s="80"/>
      <c r="V49" s="80"/>
      <c r="W49" s="80"/>
      <c r="X49" s="80"/>
      <c r="Y49" s="80"/>
    </row>
    <row r="50" spans="1:25" ht="15.75">
      <c r="A50" s="80"/>
      <c r="B50" s="80"/>
      <c r="C50" s="370"/>
      <c r="D50" s="370"/>
      <c r="E50" s="370"/>
      <c r="F50" s="370"/>
      <c r="G50" s="370"/>
      <c r="H50" s="80"/>
      <c r="I50" s="80"/>
      <c r="J50" s="80"/>
      <c r="K50" s="80"/>
      <c r="L50" s="80"/>
      <c r="M50" s="80"/>
      <c r="N50" s="80"/>
      <c r="O50" s="80"/>
      <c r="P50" s="80"/>
      <c r="Q50" s="80"/>
      <c r="R50" s="80"/>
      <c r="S50" s="80"/>
      <c r="T50" s="80"/>
      <c r="U50" s="80"/>
      <c r="V50" s="80"/>
      <c r="W50" s="80"/>
      <c r="X50" s="80"/>
      <c r="Y50" s="80"/>
    </row>
    <row r="51" spans="1:25" ht="15.75">
      <c r="A51" s="80"/>
      <c r="B51" s="357"/>
      <c r="C51" s="372"/>
      <c r="D51" s="372"/>
      <c r="E51" s="372"/>
      <c r="F51" s="372"/>
      <c r="G51" s="372"/>
      <c r="H51" s="80"/>
      <c r="I51" s="80"/>
      <c r="J51" s="80"/>
      <c r="K51" s="80"/>
      <c r="L51" s="80"/>
      <c r="M51" s="80"/>
      <c r="N51" s="80"/>
      <c r="O51" s="80"/>
      <c r="P51" s="80"/>
      <c r="Q51" s="80"/>
      <c r="R51" s="80"/>
      <c r="S51" s="80"/>
      <c r="T51" s="80"/>
      <c r="U51" s="80"/>
      <c r="V51" s="80"/>
      <c r="W51" s="80"/>
      <c r="X51" s="80"/>
      <c r="Y51" s="80"/>
    </row>
    <row r="52" spans="1:25" ht="15.75">
      <c r="A52" s="80"/>
      <c r="B52" s="80"/>
      <c r="C52" s="372"/>
      <c r="D52" s="372"/>
      <c r="E52" s="372"/>
      <c r="F52" s="372"/>
      <c r="G52" s="372"/>
      <c r="H52" s="80"/>
      <c r="I52" s="80"/>
      <c r="J52" s="80"/>
      <c r="K52" s="80"/>
      <c r="L52" s="80"/>
      <c r="M52" s="80"/>
      <c r="N52" s="80"/>
      <c r="O52" s="80"/>
      <c r="P52" s="80"/>
      <c r="Q52" s="80"/>
      <c r="R52" s="80"/>
      <c r="S52" s="80"/>
      <c r="T52" s="80"/>
      <c r="U52" s="80"/>
      <c r="V52" s="80"/>
      <c r="W52" s="80"/>
      <c r="X52" s="80"/>
      <c r="Y52" s="80"/>
    </row>
    <row r="53" spans="1:25" ht="15.75">
      <c r="A53" s="80"/>
      <c r="B53" s="80"/>
      <c r="C53" s="372"/>
      <c r="D53" s="372"/>
      <c r="E53" s="372"/>
      <c r="F53" s="372"/>
      <c r="G53" s="372"/>
      <c r="H53" s="80"/>
      <c r="I53" s="80"/>
      <c r="J53" s="80"/>
      <c r="K53" s="80"/>
      <c r="L53" s="80"/>
      <c r="M53" s="80"/>
      <c r="N53" s="80"/>
      <c r="O53" s="80"/>
      <c r="P53" s="80"/>
      <c r="Q53" s="80"/>
      <c r="R53" s="80"/>
      <c r="S53" s="80"/>
      <c r="T53" s="80"/>
      <c r="U53" s="80"/>
      <c r="V53" s="80"/>
      <c r="W53" s="80"/>
      <c r="X53" s="80"/>
      <c r="Y53" s="80"/>
    </row>
    <row r="54" spans="1:25" ht="15.75">
      <c r="A54" s="80"/>
      <c r="B54" s="80"/>
      <c r="C54" s="375"/>
      <c r="D54" s="375"/>
      <c r="E54" s="375"/>
      <c r="F54" s="375"/>
      <c r="G54" s="375"/>
      <c r="H54" s="80"/>
      <c r="I54" s="80"/>
      <c r="J54" s="80"/>
      <c r="K54" s="80"/>
      <c r="L54" s="80"/>
      <c r="M54" s="80"/>
      <c r="N54" s="80"/>
      <c r="O54" s="80"/>
      <c r="P54" s="80"/>
      <c r="Q54" s="80"/>
      <c r="R54" s="80"/>
      <c r="S54" s="80"/>
      <c r="T54" s="80"/>
      <c r="U54" s="80"/>
      <c r="V54" s="80"/>
      <c r="W54" s="80"/>
      <c r="X54" s="80"/>
      <c r="Y54" s="80"/>
    </row>
    <row r="55" spans="1:25" ht="15.75">
      <c r="A55" s="80"/>
      <c r="B55" s="80"/>
      <c r="C55" s="80"/>
      <c r="D55" s="80"/>
      <c r="E55" s="80"/>
      <c r="F55" s="80"/>
      <c r="G55" s="80"/>
      <c r="H55" s="80"/>
      <c r="I55" s="80"/>
      <c r="J55" s="80"/>
      <c r="K55" s="80"/>
      <c r="L55" s="80"/>
      <c r="M55" s="80"/>
      <c r="N55" s="80"/>
      <c r="O55" s="80"/>
      <c r="P55" s="80"/>
      <c r="Q55" s="80"/>
      <c r="R55" s="80"/>
      <c r="S55" s="80"/>
      <c r="T55" s="80"/>
      <c r="U55" s="80"/>
      <c r="V55" s="80"/>
      <c r="W55" s="80"/>
      <c r="X55" s="80"/>
      <c r="Y55" s="80"/>
    </row>
    <row r="56" spans="1:25" ht="15.75">
      <c r="A56" s="80"/>
      <c r="B56" s="80"/>
      <c r="C56" s="80"/>
      <c r="D56" s="80"/>
      <c r="E56" s="80"/>
      <c r="F56" s="80"/>
      <c r="G56" s="80"/>
      <c r="H56" s="80"/>
      <c r="I56" s="80"/>
      <c r="J56" s="80"/>
      <c r="K56" s="80"/>
      <c r="L56" s="80"/>
      <c r="M56" s="80"/>
      <c r="N56" s="80"/>
      <c r="O56" s="80"/>
      <c r="P56" s="80"/>
      <c r="Q56" s="80"/>
      <c r="R56" s="80"/>
      <c r="S56" s="80"/>
      <c r="T56" s="80"/>
      <c r="U56" s="80"/>
      <c r="V56" s="80"/>
      <c r="W56" s="80"/>
      <c r="X56" s="80"/>
      <c r="Y56" s="80"/>
    </row>
    <row r="57" spans="1:25" ht="15.75">
      <c r="A57" s="80"/>
      <c r="B57" s="80"/>
      <c r="C57" s="80"/>
      <c r="D57" s="80"/>
      <c r="E57" s="80"/>
      <c r="F57" s="80"/>
      <c r="G57" s="80"/>
      <c r="H57" s="80"/>
      <c r="I57" s="80"/>
      <c r="J57" s="80"/>
      <c r="K57" s="80"/>
      <c r="L57" s="80"/>
      <c r="M57" s="80"/>
      <c r="N57" s="80"/>
      <c r="O57" s="80"/>
      <c r="P57" s="80"/>
      <c r="Q57" s="80"/>
      <c r="R57" s="80"/>
      <c r="S57" s="80"/>
      <c r="T57" s="80"/>
      <c r="U57" s="80"/>
      <c r="V57" s="80"/>
      <c r="W57" s="80"/>
      <c r="X57" s="80"/>
      <c r="Y57" s="80"/>
    </row>
    <row r="58" spans="1:25" ht="15.75">
      <c r="A58" s="80"/>
      <c r="B58" s="80"/>
      <c r="C58" s="80"/>
      <c r="D58" s="80"/>
      <c r="E58" s="80"/>
      <c r="F58" s="80"/>
      <c r="G58" s="80"/>
      <c r="H58" s="80"/>
      <c r="I58" s="80"/>
      <c r="J58" s="80"/>
      <c r="K58" s="80"/>
      <c r="L58" s="80"/>
      <c r="M58" s="80"/>
      <c r="N58" s="80"/>
      <c r="O58" s="80"/>
      <c r="P58" s="80"/>
      <c r="Q58" s="80"/>
      <c r="R58" s="80"/>
      <c r="S58" s="80"/>
      <c r="T58" s="80"/>
      <c r="U58" s="80"/>
      <c r="V58" s="80"/>
      <c r="W58" s="80"/>
      <c r="X58" s="80"/>
      <c r="Y58" s="80"/>
    </row>
    <row r="59" spans="1:25" ht="15.75">
      <c r="A59" s="80"/>
      <c r="B59" s="80"/>
      <c r="C59" s="80"/>
      <c r="D59" s="80"/>
      <c r="E59" s="80"/>
      <c r="F59" s="80"/>
      <c r="G59" s="80"/>
      <c r="H59" s="80"/>
      <c r="I59" s="80"/>
      <c r="J59" s="80"/>
      <c r="K59" s="80"/>
      <c r="L59" s="80"/>
      <c r="M59" s="80"/>
      <c r="N59" s="80"/>
      <c r="O59" s="80"/>
      <c r="P59" s="80"/>
      <c r="Q59" s="80"/>
      <c r="R59" s="80"/>
      <c r="S59" s="80"/>
      <c r="T59" s="80"/>
      <c r="U59" s="80"/>
      <c r="V59" s="80"/>
      <c r="W59" s="80"/>
      <c r="X59" s="80"/>
      <c r="Y59" s="80"/>
    </row>
    <row r="60" spans="1:25" ht="15.75">
      <c r="A60" s="80"/>
      <c r="B60" s="80"/>
      <c r="C60" s="80"/>
      <c r="D60" s="80"/>
      <c r="E60" s="80"/>
      <c r="F60" s="80"/>
      <c r="G60" s="80"/>
      <c r="H60" s="80"/>
      <c r="I60" s="80"/>
      <c r="J60" s="80"/>
      <c r="K60" s="80"/>
      <c r="L60" s="80"/>
      <c r="M60" s="80"/>
      <c r="N60" s="80"/>
      <c r="O60" s="80"/>
      <c r="P60" s="80"/>
      <c r="Q60" s="80"/>
      <c r="R60" s="80"/>
      <c r="S60" s="80"/>
      <c r="T60" s="80"/>
      <c r="U60" s="80"/>
      <c r="V60" s="80"/>
      <c r="W60" s="80"/>
      <c r="X60" s="80"/>
      <c r="Y60" s="80"/>
    </row>
    <row r="61" spans="1:25" ht="15.75">
      <c r="A61" s="80"/>
      <c r="B61" s="80"/>
      <c r="C61" s="80"/>
      <c r="D61" s="80"/>
      <c r="E61" s="80"/>
      <c r="F61" s="80"/>
      <c r="G61" s="80"/>
      <c r="H61" s="80"/>
      <c r="I61" s="80"/>
      <c r="J61" s="80"/>
      <c r="K61" s="80"/>
      <c r="L61" s="80"/>
      <c r="M61" s="80"/>
      <c r="N61" s="80"/>
      <c r="O61" s="80"/>
      <c r="P61" s="80"/>
      <c r="Q61" s="80"/>
      <c r="R61" s="80"/>
      <c r="S61" s="80"/>
      <c r="T61" s="80"/>
      <c r="U61" s="80"/>
      <c r="V61" s="80"/>
      <c r="W61" s="80"/>
      <c r="X61" s="80"/>
      <c r="Y61" s="80"/>
    </row>
    <row r="62" spans="1:25" ht="15.75">
      <c r="A62" s="80"/>
      <c r="B62" s="80"/>
      <c r="C62" s="80"/>
      <c r="D62" s="80"/>
      <c r="E62" s="80"/>
      <c r="F62" s="80"/>
      <c r="G62" s="80"/>
      <c r="H62" s="80"/>
      <c r="I62" s="80"/>
      <c r="J62" s="80"/>
      <c r="K62" s="80"/>
      <c r="L62" s="80"/>
      <c r="M62" s="80"/>
      <c r="N62" s="80"/>
      <c r="O62" s="80"/>
      <c r="P62" s="80"/>
      <c r="Q62" s="80"/>
      <c r="R62" s="80"/>
      <c r="S62" s="80"/>
      <c r="T62" s="80"/>
      <c r="U62" s="80"/>
      <c r="V62" s="80"/>
      <c r="W62" s="80"/>
      <c r="X62" s="80"/>
      <c r="Y62" s="80"/>
    </row>
    <row r="63" spans="1:25" ht="15.75">
      <c r="A63" s="80"/>
      <c r="B63" s="80"/>
      <c r="C63" s="80"/>
      <c r="D63" s="80"/>
      <c r="E63" s="80"/>
      <c r="F63" s="80"/>
      <c r="G63" s="80"/>
      <c r="H63" s="80"/>
      <c r="I63" s="80"/>
      <c r="J63" s="80"/>
      <c r="K63" s="80"/>
      <c r="L63" s="80"/>
      <c r="M63" s="80"/>
      <c r="N63" s="80"/>
      <c r="O63" s="80"/>
      <c r="P63" s="80"/>
      <c r="Q63" s="80"/>
      <c r="R63" s="80"/>
      <c r="S63" s="80"/>
      <c r="T63" s="80"/>
      <c r="U63" s="80"/>
      <c r="V63" s="80"/>
      <c r="W63" s="80"/>
      <c r="X63" s="80"/>
      <c r="Y63" s="80"/>
    </row>
    <row r="64" spans="1:25" ht="15.75">
      <c r="A64" s="80"/>
      <c r="B64" s="80"/>
      <c r="C64" s="80"/>
      <c r="D64" s="80"/>
      <c r="E64" s="80"/>
      <c r="F64" s="80"/>
      <c r="G64" s="80"/>
      <c r="H64" s="80"/>
      <c r="I64" s="80"/>
      <c r="J64" s="80"/>
      <c r="K64" s="80"/>
      <c r="L64" s="80"/>
      <c r="M64" s="80"/>
      <c r="N64" s="80"/>
      <c r="O64" s="80"/>
      <c r="P64" s="80"/>
      <c r="Q64" s="80"/>
      <c r="R64" s="80"/>
      <c r="S64" s="80"/>
      <c r="T64" s="80"/>
      <c r="U64" s="80"/>
      <c r="V64" s="80"/>
      <c r="W64" s="80"/>
      <c r="X64" s="80"/>
      <c r="Y64" s="80"/>
    </row>
    <row r="65" spans="1:25" ht="15.75">
      <c r="A65" s="80"/>
      <c r="B65" s="80"/>
      <c r="C65" s="80"/>
      <c r="D65" s="80"/>
      <c r="E65" s="80"/>
      <c r="F65" s="80"/>
      <c r="G65" s="80"/>
      <c r="H65" s="80"/>
      <c r="I65" s="80"/>
      <c r="J65" s="80"/>
      <c r="K65" s="80"/>
      <c r="L65" s="80"/>
      <c r="M65" s="80"/>
      <c r="N65" s="80"/>
      <c r="O65" s="80"/>
      <c r="P65" s="80"/>
      <c r="Q65" s="80"/>
      <c r="R65" s="80"/>
      <c r="S65" s="80"/>
      <c r="T65" s="80"/>
      <c r="U65" s="80"/>
      <c r="V65" s="80"/>
      <c r="W65" s="80"/>
      <c r="X65" s="80"/>
      <c r="Y65" s="80"/>
    </row>
    <row r="66" spans="1:25" ht="15.75">
      <c r="A66" s="80"/>
      <c r="B66" s="80"/>
      <c r="C66" s="80"/>
      <c r="D66" s="80"/>
      <c r="E66" s="80"/>
      <c r="F66" s="80"/>
      <c r="G66" s="80"/>
      <c r="H66" s="80"/>
      <c r="I66" s="80"/>
      <c r="J66" s="80"/>
      <c r="K66" s="80"/>
      <c r="L66" s="80"/>
      <c r="M66" s="80"/>
      <c r="N66" s="80"/>
      <c r="O66" s="80"/>
      <c r="P66" s="80"/>
      <c r="Q66" s="80"/>
      <c r="R66" s="80"/>
      <c r="S66" s="80"/>
      <c r="T66" s="80"/>
      <c r="U66" s="80"/>
      <c r="V66" s="80"/>
      <c r="W66" s="80"/>
      <c r="X66" s="80"/>
      <c r="Y66" s="80"/>
    </row>
    <row r="67" spans="1:25" ht="15.75">
      <c r="A67" s="80"/>
      <c r="B67" s="80"/>
      <c r="C67" s="80"/>
      <c r="D67" s="80"/>
      <c r="E67" s="80"/>
      <c r="F67" s="80"/>
      <c r="G67" s="80"/>
      <c r="H67" s="80"/>
      <c r="I67" s="80"/>
      <c r="J67" s="80"/>
      <c r="K67" s="80"/>
      <c r="L67" s="80"/>
      <c r="M67" s="80"/>
      <c r="N67" s="80"/>
      <c r="O67" s="80"/>
      <c r="P67" s="80"/>
      <c r="Q67" s="80"/>
      <c r="R67" s="80"/>
      <c r="S67" s="80"/>
      <c r="T67" s="80"/>
      <c r="U67" s="80"/>
      <c r="V67" s="80"/>
      <c r="W67" s="80"/>
      <c r="X67" s="80"/>
      <c r="Y67" s="80"/>
    </row>
    <row r="68" spans="1:25" ht="15.75">
      <c r="A68" s="80"/>
      <c r="B68" s="80"/>
      <c r="C68" s="80"/>
      <c r="D68" s="80"/>
      <c r="E68" s="80"/>
      <c r="F68" s="80"/>
      <c r="G68" s="80"/>
      <c r="H68" s="80"/>
      <c r="I68" s="80"/>
      <c r="J68" s="80"/>
      <c r="K68" s="80"/>
      <c r="L68" s="80"/>
      <c r="M68" s="80"/>
      <c r="N68" s="80"/>
      <c r="O68" s="80"/>
      <c r="P68" s="80"/>
      <c r="Q68" s="80"/>
      <c r="R68" s="80"/>
      <c r="S68" s="80"/>
      <c r="T68" s="80"/>
      <c r="U68" s="80"/>
      <c r="V68" s="80"/>
      <c r="W68" s="80"/>
      <c r="X68" s="80"/>
      <c r="Y68" s="80"/>
    </row>
    <row r="69" spans="1:25" ht="15.75">
      <c r="A69" s="80"/>
      <c r="B69" s="80"/>
      <c r="C69" s="80"/>
      <c r="D69" s="80"/>
      <c r="E69" s="80"/>
      <c r="F69" s="80"/>
      <c r="G69" s="80"/>
      <c r="H69" s="80"/>
      <c r="I69" s="80"/>
      <c r="J69" s="80"/>
      <c r="K69" s="80"/>
      <c r="L69" s="80"/>
      <c r="M69" s="80"/>
      <c r="N69" s="80"/>
      <c r="O69" s="80"/>
      <c r="P69" s="80"/>
      <c r="Q69" s="80"/>
      <c r="R69" s="80"/>
      <c r="S69" s="80"/>
      <c r="T69" s="80"/>
      <c r="U69" s="80"/>
      <c r="V69" s="80"/>
      <c r="W69" s="80"/>
      <c r="X69" s="80"/>
      <c r="Y69" s="80"/>
    </row>
    <row r="70" spans="1:25" ht="15.75">
      <c r="A70" s="80"/>
      <c r="B70" s="80"/>
      <c r="C70" s="80"/>
      <c r="D70" s="80"/>
      <c r="E70" s="80"/>
      <c r="F70" s="80"/>
      <c r="G70" s="80"/>
      <c r="H70" s="80"/>
      <c r="I70" s="80"/>
      <c r="J70" s="80"/>
      <c r="K70" s="80"/>
      <c r="L70" s="80"/>
      <c r="M70" s="80"/>
      <c r="N70" s="80"/>
      <c r="O70" s="80"/>
      <c r="P70" s="80"/>
      <c r="Q70" s="80"/>
      <c r="R70" s="80"/>
      <c r="S70" s="80"/>
      <c r="T70" s="80"/>
      <c r="U70" s="80"/>
      <c r="V70" s="80"/>
      <c r="W70" s="80"/>
      <c r="X70" s="80"/>
      <c r="Y70" s="80"/>
    </row>
    <row r="71" spans="1:25" ht="15.75">
      <c r="A71" s="80"/>
      <c r="B71" s="80"/>
      <c r="C71" s="80"/>
      <c r="D71" s="80"/>
      <c r="E71" s="80"/>
      <c r="F71" s="80"/>
      <c r="G71" s="80"/>
      <c r="H71" s="80"/>
      <c r="I71" s="80"/>
      <c r="J71" s="80"/>
      <c r="K71" s="80"/>
      <c r="L71" s="80"/>
      <c r="M71" s="80"/>
      <c r="N71" s="80"/>
      <c r="O71" s="80"/>
      <c r="P71" s="80"/>
      <c r="Q71" s="80"/>
      <c r="R71" s="80"/>
      <c r="S71" s="80"/>
      <c r="T71" s="80"/>
      <c r="U71" s="80"/>
      <c r="V71" s="80"/>
      <c r="W71" s="80"/>
      <c r="X71" s="80"/>
      <c r="Y71" s="80"/>
    </row>
    <row r="72" spans="1:25" ht="15.75">
      <c r="A72" s="80"/>
      <c r="B72" s="80"/>
      <c r="C72" s="80"/>
      <c r="D72" s="80"/>
      <c r="E72" s="80"/>
      <c r="F72" s="80"/>
      <c r="G72" s="80"/>
      <c r="H72" s="80"/>
      <c r="I72" s="80"/>
      <c r="J72" s="80"/>
      <c r="K72" s="80"/>
      <c r="L72" s="80"/>
      <c r="M72" s="80"/>
      <c r="N72" s="80"/>
      <c r="O72" s="80"/>
      <c r="P72" s="80"/>
      <c r="Q72" s="80"/>
      <c r="R72" s="80"/>
      <c r="S72" s="80"/>
      <c r="T72" s="80"/>
      <c r="U72" s="80"/>
      <c r="V72" s="80"/>
      <c r="W72" s="80"/>
      <c r="X72" s="80"/>
      <c r="Y72" s="80"/>
    </row>
    <row r="73" spans="1:25" ht="15.75">
      <c r="A73" s="80"/>
      <c r="B73" s="80"/>
      <c r="C73" s="80"/>
      <c r="D73" s="80"/>
      <c r="E73" s="80"/>
      <c r="F73" s="80"/>
      <c r="G73" s="80"/>
      <c r="H73" s="80"/>
      <c r="I73" s="80"/>
      <c r="J73" s="80"/>
      <c r="K73" s="80"/>
      <c r="L73" s="80"/>
      <c r="M73" s="80"/>
      <c r="N73" s="80"/>
      <c r="O73" s="80"/>
      <c r="P73" s="80"/>
      <c r="Q73" s="80"/>
      <c r="R73" s="80"/>
      <c r="S73" s="80"/>
      <c r="T73" s="80"/>
      <c r="U73" s="80"/>
      <c r="V73" s="80"/>
      <c r="W73" s="80"/>
      <c r="X73" s="80"/>
      <c r="Y73" s="80"/>
    </row>
    <row r="74" spans="1:25" ht="15.75">
      <c r="A74" s="80"/>
      <c r="B74" s="80"/>
      <c r="C74" s="80"/>
      <c r="D74" s="80"/>
      <c r="E74" s="80"/>
      <c r="F74" s="80"/>
      <c r="G74" s="80"/>
      <c r="H74" s="80"/>
      <c r="I74" s="80"/>
      <c r="J74" s="80"/>
      <c r="K74" s="80"/>
      <c r="L74" s="80"/>
      <c r="M74" s="80"/>
      <c r="N74" s="80"/>
      <c r="O74" s="80"/>
      <c r="P74" s="80"/>
      <c r="Q74" s="80"/>
      <c r="R74" s="80"/>
      <c r="S74" s="80"/>
      <c r="T74" s="80"/>
      <c r="U74" s="80"/>
      <c r="V74" s="80"/>
      <c r="W74" s="80"/>
      <c r="X74" s="80"/>
      <c r="Y74" s="80"/>
    </row>
    <row r="75" spans="1:25" ht="15.75">
      <c r="A75" s="80"/>
      <c r="B75" s="80"/>
      <c r="C75" s="80"/>
      <c r="D75" s="80"/>
      <c r="E75" s="80"/>
      <c r="F75" s="80"/>
      <c r="G75" s="80"/>
      <c r="H75" s="80"/>
      <c r="I75" s="80"/>
      <c r="J75" s="80"/>
      <c r="K75" s="80"/>
      <c r="L75" s="80"/>
      <c r="M75" s="80"/>
      <c r="N75" s="80"/>
      <c r="O75" s="80"/>
      <c r="P75" s="80"/>
      <c r="Q75" s="80"/>
      <c r="R75" s="80"/>
      <c r="S75" s="80"/>
      <c r="T75" s="80"/>
      <c r="U75" s="80"/>
      <c r="V75" s="80"/>
      <c r="W75" s="80"/>
      <c r="X75" s="80"/>
      <c r="Y75" s="80"/>
    </row>
    <row r="76" spans="1:25" ht="15.75">
      <c r="A76" s="80"/>
      <c r="B76" s="80"/>
      <c r="C76" s="80"/>
      <c r="D76" s="80"/>
      <c r="E76" s="80"/>
      <c r="F76" s="80"/>
      <c r="G76" s="80"/>
      <c r="H76" s="80"/>
      <c r="I76" s="80"/>
      <c r="J76" s="80"/>
      <c r="K76" s="80"/>
      <c r="L76" s="80"/>
      <c r="M76" s="80"/>
      <c r="N76" s="80"/>
      <c r="O76" s="80"/>
      <c r="P76" s="80"/>
      <c r="Q76" s="80"/>
      <c r="R76" s="80"/>
      <c r="S76" s="80"/>
      <c r="T76" s="80"/>
      <c r="U76" s="80"/>
      <c r="V76" s="80"/>
      <c r="W76" s="80"/>
      <c r="X76" s="80"/>
      <c r="Y76" s="80"/>
    </row>
    <row r="77" spans="1:25" ht="15.75">
      <c r="A77" s="80"/>
      <c r="B77" s="80"/>
      <c r="C77" s="80"/>
      <c r="D77" s="80"/>
      <c r="E77" s="80"/>
      <c r="F77" s="80"/>
      <c r="G77" s="80"/>
      <c r="H77" s="80"/>
      <c r="I77" s="80"/>
      <c r="J77" s="80"/>
      <c r="K77" s="80"/>
      <c r="L77" s="80"/>
      <c r="M77" s="80"/>
      <c r="N77" s="80"/>
      <c r="O77" s="80"/>
      <c r="P77" s="80"/>
      <c r="Q77" s="80"/>
      <c r="R77" s="80"/>
      <c r="S77" s="80"/>
      <c r="T77" s="80"/>
      <c r="U77" s="80"/>
      <c r="V77" s="80"/>
      <c r="W77" s="80"/>
      <c r="X77" s="80"/>
      <c r="Y77" s="80"/>
    </row>
    <row r="78" spans="1:25" ht="15.75">
      <c r="A78" s="80"/>
      <c r="B78" s="80"/>
      <c r="C78" s="80"/>
      <c r="D78" s="80"/>
      <c r="E78" s="80"/>
      <c r="F78" s="80"/>
      <c r="G78" s="80"/>
      <c r="H78" s="80"/>
      <c r="I78" s="80"/>
      <c r="J78" s="80"/>
      <c r="K78" s="80"/>
      <c r="L78" s="80"/>
      <c r="M78" s="80"/>
      <c r="N78" s="80"/>
      <c r="O78" s="80"/>
      <c r="P78" s="80"/>
      <c r="Q78" s="80"/>
      <c r="R78" s="80"/>
      <c r="S78" s="80"/>
      <c r="T78" s="80"/>
      <c r="U78" s="80"/>
      <c r="V78" s="80"/>
      <c r="W78" s="80"/>
      <c r="X78" s="80"/>
      <c r="Y78" s="80"/>
    </row>
    <row r="79" spans="1:25" ht="15.75">
      <c r="A79" s="80"/>
      <c r="B79" s="80"/>
      <c r="C79" s="80"/>
      <c r="D79" s="80"/>
      <c r="E79" s="80"/>
      <c r="F79" s="80"/>
      <c r="G79" s="80"/>
      <c r="H79" s="80"/>
      <c r="I79" s="80"/>
      <c r="J79" s="80"/>
      <c r="K79" s="80"/>
      <c r="L79" s="80"/>
      <c r="M79" s="80"/>
      <c r="N79" s="80"/>
      <c r="O79" s="80"/>
      <c r="P79" s="80"/>
      <c r="Q79" s="80"/>
      <c r="R79" s="80"/>
      <c r="S79" s="80"/>
      <c r="T79" s="80"/>
      <c r="U79" s="80"/>
      <c r="V79" s="80"/>
      <c r="W79" s="80"/>
      <c r="X79" s="80"/>
      <c r="Y79" s="80"/>
    </row>
    <row r="80" spans="1:25" ht="15.75">
      <c r="A80" s="80"/>
      <c r="B80" s="80"/>
      <c r="C80" s="80"/>
      <c r="D80" s="80"/>
      <c r="E80" s="80"/>
      <c r="F80" s="80"/>
      <c r="G80" s="80"/>
      <c r="H80" s="80"/>
      <c r="I80" s="80"/>
      <c r="J80" s="80"/>
      <c r="K80" s="80"/>
      <c r="L80" s="80"/>
      <c r="M80" s="80"/>
      <c r="N80" s="80"/>
      <c r="O80" s="80"/>
      <c r="P80" s="80"/>
      <c r="Q80" s="80"/>
      <c r="R80" s="80"/>
      <c r="S80" s="80"/>
      <c r="T80" s="80"/>
      <c r="U80" s="80"/>
      <c r="V80" s="80"/>
      <c r="W80" s="80"/>
      <c r="X80" s="80"/>
      <c r="Y80" s="80"/>
    </row>
    <row r="81" spans="1:25" ht="15.75">
      <c r="A81" s="80"/>
      <c r="B81" s="80"/>
      <c r="C81" s="80"/>
      <c r="D81" s="80"/>
      <c r="E81" s="80"/>
      <c r="F81" s="80"/>
      <c r="G81" s="80"/>
      <c r="H81" s="80"/>
      <c r="I81" s="80"/>
      <c r="J81" s="80"/>
      <c r="K81" s="80"/>
      <c r="L81" s="80"/>
      <c r="M81" s="80"/>
      <c r="N81" s="80"/>
      <c r="O81" s="80"/>
      <c r="P81" s="80"/>
      <c r="Q81" s="80"/>
      <c r="R81" s="80"/>
      <c r="S81" s="80"/>
      <c r="T81" s="80"/>
      <c r="U81" s="80"/>
      <c r="V81" s="80"/>
      <c r="W81" s="80"/>
      <c r="X81" s="80"/>
      <c r="Y81" s="80"/>
    </row>
    <row r="82" spans="1:25" ht="15.75">
      <c r="A82" s="80"/>
      <c r="B82" s="80"/>
      <c r="C82" s="80"/>
      <c r="D82" s="80"/>
      <c r="E82" s="80"/>
      <c r="F82" s="80"/>
      <c r="G82" s="80"/>
      <c r="H82" s="80"/>
      <c r="I82" s="80"/>
      <c r="J82" s="80"/>
      <c r="K82" s="80"/>
      <c r="L82" s="80"/>
      <c r="M82" s="80"/>
      <c r="N82" s="80"/>
      <c r="O82" s="80"/>
      <c r="P82" s="80"/>
      <c r="Q82" s="80"/>
      <c r="R82" s="80"/>
      <c r="S82" s="80"/>
      <c r="T82" s="80"/>
      <c r="U82" s="80"/>
      <c r="V82" s="80"/>
      <c r="W82" s="80"/>
      <c r="X82" s="80"/>
      <c r="Y82" s="80"/>
    </row>
    <row r="83" spans="1:25" ht="15.75">
      <c r="A83" s="80"/>
      <c r="B83" s="80"/>
      <c r="C83" s="80"/>
      <c r="D83" s="80"/>
      <c r="E83" s="80"/>
      <c r="F83" s="80"/>
      <c r="G83" s="80"/>
      <c r="H83" s="80"/>
      <c r="I83" s="80"/>
      <c r="J83" s="80"/>
      <c r="K83" s="80"/>
      <c r="L83" s="80"/>
      <c r="M83" s="80"/>
      <c r="N83" s="80"/>
      <c r="O83" s="80"/>
      <c r="P83" s="80"/>
      <c r="Q83" s="80"/>
      <c r="R83" s="80"/>
      <c r="S83" s="80"/>
      <c r="T83" s="80"/>
      <c r="U83" s="80"/>
      <c r="V83" s="80"/>
      <c r="W83" s="80"/>
      <c r="X83" s="80"/>
      <c r="Y83" s="80"/>
    </row>
    <row r="84" spans="1:25" ht="15.75">
      <c r="A84" s="80"/>
      <c r="B84" s="80"/>
      <c r="C84" s="80"/>
      <c r="D84" s="80"/>
      <c r="E84" s="80"/>
      <c r="F84" s="80"/>
      <c r="G84" s="80"/>
      <c r="H84" s="80"/>
      <c r="I84" s="80"/>
      <c r="J84" s="80"/>
      <c r="K84" s="80"/>
      <c r="L84" s="80"/>
      <c r="M84" s="80"/>
      <c r="N84" s="80"/>
      <c r="O84" s="80"/>
      <c r="P84" s="80"/>
      <c r="Q84" s="80"/>
      <c r="R84" s="80"/>
      <c r="S84" s="80"/>
      <c r="T84" s="80"/>
      <c r="U84" s="80"/>
      <c r="V84" s="80"/>
      <c r="W84" s="80"/>
      <c r="X84" s="80"/>
      <c r="Y84" s="80"/>
    </row>
    <row r="85" spans="1:25" ht="15.75">
      <c r="A85" s="80"/>
      <c r="B85" s="80"/>
      <c r="C85" s="80"/>
      <c r="D85" s="80"/>
      <c r="E85" s="80"/>
      <c r="F85" s="80"/>
      <c r="G85" s="80"/>
      <c r="H85" s="80"/>
      <c r="I85" s="80"/>
      <c r="J85" s="80"/>
      <c r="K85" s="80"/>
      <c r="L85" s="80"/>
      <c r="M85" s="80"/>
      <c r="N85" s="80"/>
      <c r="O85" s="80"/>
      <c r="P85" s="80"/>
      <c r="Q85" s="80"/>
      <c r="R85" s="80"/>
      <c r="S85" s="80"/>
      <c r="T85" s="80"/>
      <c r="U85" s="80"/>
      <c r="V85" s="80"/>
      <c r="W85" s="80"/>
      <c r="X85" s="80"/>
      <c r="Y85" s="80"/>
    </row>
    <row r="86" spans="1:25" ht="15.75">
      <c r="A86" s="80"/>
      <c r="B86" s="80"/>
      <c r="C86" s="80"/>
      <c r="D86" s="80"/>
      <c r="E86" s="80"/>
      <c r="F86" s="80"/>
      <c r="G86" s="80"/>
      <c r="H86" s="80"/>
      <c r="I86" s="80"/>
      <c r="J86" s="80"/>
      <c r="K86" s="80"/>
      <c r="L86" s="80"/>
      <c r="M86" s="80"/>
      <c r="N86" s="80"/>
      <c r="O86" s="80"/>
      <c r="P86" s="80"/>
      <c r="Q86" s="80"/>
      <c r="R86" s="80"/>
      <c r="S86" s="80"/>
      <c r="T86" s="80"/>
      <c r="U86" s="80"/>
      <c r="V86" s="80"/>
      <c r="W86" s="80"/>
      <c r="X86" s="80"/>
      <c r="Y86" s="80"/>
    </row>
    <row r="87" spans="1:25" ht="15.75">
      <c r="A87" s="80"/>
      <c r="B87" s="80"/>
      <c r="C87" s="80"/>
      <c r="D87" s="80"/>
      <c r="E87" s="80"/>
      <c r="F87" s="80"/>
      <c r="G87" s="80"/>
      <c r="H87" s="80"/>
      <c r="I87" s="80"/>
      <c r="J87" s="80"/>
      <c r="K87" s="80"/>
      <c r="L87" s="80"/>
      <c r="M87" s="80"/>
      <c r="N87" s="80"/>
      <c r="O87" s="80"/>
      <c r="P87" s="80"/>
      <c r="Q87" s="80"/>
      <c r="R87" s="80"/>
      <c r="S87" s="80"/>
      <c r="T87" s="80"/>
      <c r="U87" s="80"/>
      <c r="V87" s="80"/>
      <c r="W87" s="80"/>
      <c r="X87" s="80"/>
      <c r="Y87" s="80"/>
    </row>
    <row r="88" spans="1:25" ht="15.75">
      <c r="A88" s="80"/>
      <c r="B88" s="80"/>
      <c r="C88" s="80"/>
      <c r="D88" s="80"/>
      <c r="E88" s="80"/>
      <c r="F88" s="80"/>
      <c r="G88" s="80"/>
      <c r="H88" s="80"/>
      <c r="I88" s="80"/>
      <c r="J88" s="80"/>
      <c r="K88" s="80"/>
      <c r="L88" s="80"/>
      <c r="M88" s="80"/>
      <c r="N88" s="80"/>
      <c r="O88" s="80"/>
      <c r="P88" s="80"/>
      <c r="Q88" s="80"/>
      <c r="R88" s="80"/>
      <c r="S88" s="80"/>
      <c r="T88" s="80"/>
      <c r="U88" s="80"/>
      <c r="V88" s="80"/>
      <c r="W88" s="80"/>
      <c r="X88" s="80"/>
      <c r="Y88" s="80"/>
    </row>
    <row r="89" spans="1:25" ht="15.75">
      <c r="A89" s="80"/>
      <c r="B89" s="80"/>
      <c r="C89" s="80"/>
      <c r="D89" s="80"/>
      <c r="E89" s="80"/>
      <c r="F89" s="80"/>
      <c r="G89" s="80"/>
      <c r="H89" s="80"/>
      <c r="I89" s="80"/>
      <c r="J89" s="80"/>
      <c r="K89" s="80"/>
      <c r="L89" s="80"/>
      <c r="M89" s="80"/>
      <c r="N89" s="80"/>
      <c r="O89" s="80"/>
      <c r="P89" s="80"/>
      <c r="Q89" s="80"/>
      <c r="R89" s="80"/>
      <c r="S89" s="80"/>
      <c r="T89" s="80"/>
      <c r="U89" s="80"/>
      <c r="V89" s="80"/>
      <c r="W89" s="80"/>
      <c r="X89" s="80"/>
      <c r="Y89" s="80"/>
    </row>
    <row r="90" spans="1:25" ht="15.75">
      <c r="A90" s="80"/>
      <c r="B90" s="80"/>
      <c r="C90" s="80"/>
      <c r="D90" s="80"/>
      <c r="E90" s="80"/>
      <c r="F90" s="80"/>
      <c r="G90" s="80"/>
      <c r="H90" s="80"/>
      <c r="I90" s="80"/>
      <c r="J90" s="80"/>
      <c r="K90" s="80"/>
      <c r="L90" s="80"/>
      <c r="M90" s="80"/>
      <c r="N90" s="80"/>
      <c r="O90" s="80"/>
      <c r="P90" s="80"/>
      <c r="Q90" s="80"/>
      <c r="R90" s="80"/>
      <c r="S90" s="80"/>
      <c r="T90" s="80"/>
      <c r="U90" s="80"/>
      <c r="V90" s="80"/>
      <c r="W90" s="80"/>
      <c r="X90" s="80"/>
      <c r="Y90" s="80"/>
    </row>
    <row r="91" spans="1:25" ht="15.75">
      <c r="A91" s="80"/>
      <c r="B91" s="80"/>
      <c r="C91" s="80"/>
      <c r="D91" s="80"/>
      <c r="E91" s="80"/>
      <c r="F91" s="80"/>
      <c r="G91" s="80"/>
      <c r="H91" s="80"/>
      <c r="I91" s="80"/>
      <c r="J91" s="80"/>
      <c r="K91" s="80"/>
      <c r="L91" s="80"/>
      <c r="M91" s="80"/>
      <c r="N91" s="80"/>
      <c r="O91" s="80"/>
      <c r="P91" s="80"/>
      <c r="Q91" s="80"/>
      <c r="R91" s="80"/>
      <c r="S91" s="80"/>
      <c r="T91" s="80"/>
      <c r="U91" s="80"/>
      <c r="V91" s="80"/>
      <c r="W91" s="80"/>
      <c r="X91" s="80"/>
      <c r="Y91" s="80"/>
    </row>
    <row r="92" spans="1:25" ht="15.75">
      <c r="A92" s="80"/>
      <c r="B92" s="80"/>
      <c r="C92" s="80"/>
      <c r="D92" s="80"/>
      <c r="E92" s="80"/>
      <c r="F92" s="80"/>
      <c r="G92" s="80"/>
      <c r="H92" s="80"/>
      <c r="I92" s="80"/>
      <c r="J92" s="80"/>
      <c r="K92" s="80"/>
      <c r="L92" s="80"/>
      <c r="M92" s="80"/>
      <c r="N92" s="80"/>
      <c r="O92" s="80"/>
      <c r="P92" s="80"/>
      <c r="Q92" s="80"/>
      <c r="R92" s="80"/>
      <c r="S92" s="80"/>
      <c r="T92" s="80"/>
      <c r="U92" s="80"/>
      <c r="V92" s="80"/>
      <c r="W92" s="80"/>
      <c r="X92" s="80"/>
      <c r="Y92" s="80"/>
    </row>
    <row r="93" spans="1:25" ht="15.75">
      <c r="A93" s="80"/>
      <c r="B93" s="80"/>
      <c r="C93" s="80"/>
      <c r="D93" s="80"/>
      <c r="E93" s="80"/>
      <c r="F93" s="80"/>
      <c r="G93" s="80"/>
      <c r="H93" s="80"/>
      <c r="I93" s="80"/>
      <c r="J93" s="80"/>
      <c r="K93" s="80"/>
      <c r="L93" s="80"/>
      <c r="M93" s="80"/>
      <c r="N93" s="80"/>
      <c r="O93" s="80"/>
      <c r="P93" s="80"/>
      <c r="Q93" s="80"/>
      <c r="R93" s="80"/>
      <c r="S93" s="80"/>
      <c r="T93" s="80"/>
      <c r="U93" s="80"/>
      <c r="V93" s="80"/>
      <c r="W93" s="80"/>
      <c r="X93" s="80"/>
      <c r="Y93" s="80"/>
    </row>
    <row r="94" spans="1:25" ht="15.75">
      <c r="A94" s="80"/>
      <c r="B94" s="80"/>
      <c r="C94" s="80"/>
      <c r="D94" s="80"/>
      <c r="E94" s="80"/>
      <c r="F94" s="80"/>
      <c r="G94" s="80"/>
      <c r="H94" s="80"/>
      <c r="I94" s="80"/>
      <c r="J94" s="80"/>
      <c r="K94" s="80"/>
      <c r="L94" s="80"/>
      <c r="M94" s="80"/>
      <c r="N94" s="80"/>
      <c r="O94" s="80"/>
      <c r="P94" s="80"/>
      <c r="Q94" s="80"/>
      <c r="R94" s="80"/>
      <c r="S94" s="80"/>
      <c r="T94" s="80"/>
      <c r="U94" s="80"/>
      <c r="V94" s="80"/>
      <c r="W94" s="80"/>
      <c r="X94" s="80"/>
      <c r="Y94" s="80"/>
    </row>
    <row r="95" spans="1:25" ht="15.75">
      <c r="A95" s="80"/>
      <c r="B95" s="80"/>
      <c r="C95" s="80"/>
      <c r="D95" s="80"/>
      <c r="E95" s="80"/>
      <c r="F95" s="80"/>
      <c r="G95" s="80"/>
      <c r="H95" s="80"/>
      <c r="I95" s="80"/>
      <c r="J95" s="80"/>
      <c r="K95" s="80"/>
      <c r="L95" s="80"/>
      <c r="M95" s="80"/>
      <c r="N95" s="80"/>
      <c r="O95" s="80"/>
      <c r="P95" s="80"/>
      <c r="Q95" s="80"/>
      <c r="R95" s="80"/>
      <c r="S95" s="80"/>
      <c r="T95" s="80"/>
      <c r="U95" s="80"/>
      <c r="V95" s="80"/>
      <c r="W95" s="80"/>
      <c r="X95" s="80"/>
      <c r="Y95" s="80"/>
    </row>
    <row r="96" spans="1:25" ht="15.75">
      <c r="A96" s="80"/>
      <c r="B96" s="80"/>
      <c r="C96" s="80"/>
      <c r="D96" s="80"/>
      <c r="E96" s="80"/>
      <c r="F96" s="80"/>
      <c r="G96" s="80"/>
      <c r="H96" s="80"/>
      <c r="I96" s="80"/>
      <c r="J96" s="80"/>
      <c r="K96" s="80"/>
      <c r="L96" s="80"/>
      <c r="M96" s="80"/>
      <c r="N96" s="80"/>
      <c r="O96" s="80"/>
      <c r="P96" s="80"/>
      <c r="Q96" s="80"/>
      <c r="R96" s="80"/>
      <c r="S96" s="80"/>
      <c r="T96" s="80"/>
      <c r="U96" s="80"/>
      <c r="V96" s="80"/>
      <c r="W96" s="80"/>
      <c r="X96" s="80"/>
      <c r="Y96" s="80"/>
    </row>
    <row r="97" spans="1:25" ht="15.75">
      <c r="A97" s="80"/>
      <c r="B97" s="80"/>
      <c r="C97" s="80"/>
      <c r="D97" s="80"/>
      <c r="E97" s="80"/>
      <c r="F97" s="80"/>
      <c r="G97" s="80"/>
      <c r="H97" s="80"/>
      <c r="I97" s="80"/>
      <c r="J97" s="80"/>
      <c r="K97" s="80"/>
      <c r="L97" s="80"/>
      <c r="M97" s="80"/>
      <c r="N97" s="80"/>
      <c r="O97" s="80"/>
      <c r="P97" s="80"/>
      <c r="Q97" s="80"/>
      <c r="R97" s="80"/>
      <c r="S97" s="80"/>
      <c r="T97" s="80"/>
      <c r="U97" s="80"/>
      <c r="V97" s="80"/>
      <c r="W97" s="80"/>
      <c r="X97" s="80"/>
      <c r="Y97" s="80"/>
    </row>
    <row r="98" spans="1:25" ht="15.75">
      <c r="A98" s="80"/>
      <c r="B98" s="80"/>
      <c r="C98" s="80"/>
      <c r="D98" s="80"/>
      <c r="E98" s="80"/>
      <c r="F98" s="80"/>
      <c r="G98" s="80"/>
      <c r="H98" s="80"/>
      <c r="I98" s="80"/>
      <c r="J98" s="80"/>
      <c r="K98" s="80"/>
      <c r="L98" s="80"/>
      <c r="M98" s="80"/>
      <c r="N98" s="80"/>
      <c r="O98" s="80"/>
      <c r="P98" s="80"/>
      <c r="Q98" s="80"/>
      <c r="R98" s="80"/>
      <c r="S98" s="80"/>
      <c r="T98" s="80"/>
      <c r="U98" s="80"/>
      <c r="V98" s="80"/>
      <c r="W98" s="80"/>
      <c r="X98" s="80"/>
      <c r="Y98" s="80"/>
    </row>
    <row r="99" spans="1:25" ht="15.75">
      <c r="A99" s="80"/>
      <c r="B99" s="80"/>
      <c r="C99" s="80"/>
      <c r="D99" s="80"/>
      <c r="E99" s="80"/>
      <c r="F99" s="80"/>
      <c r="G99" s="80"/>
      <c r="H99" s="80"/>
      <c r="I99" s="80"/>
      <c r="J99" s="80"/>
      <c r="K99" s="80"/>
      <c r="L99" s="80"/>
      <c r="M99" s="80"/>
      <c r="N99" s="80"/>
      <c r="O99" s="80"/>
      <c r="P99" s="80"/>
      <c r="Q99" s="80"/>
      <c r="R99" s="80"/>
      <c r="S99" s="80"/>
      <c r="T99" s="80"/>
      <c r="U99" s="80"/>
      <c r="V99" s="80"/>
      <c r="W99" s="80"/>
      <c r="X99" s="80"/>
      <c r="Y99" s="80"/>
    </row>
    <row r="100" spans="1:25" ht="15.75">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row>
    <row r="101" spans="1:25" ht="15.75">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row>
    <row r="102" spans="1:25" ht="15.75">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row>
    <row r="103" spans="1:25" ht="15.75">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row>
    <row r="104" spans="1:25" ht="15.75">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row>
    <row r="105" spans="1:25" ht="15.75">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row>
    <row r="106" spans="1:25" ht="15.75">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row>
    <row r="107" spans="1:25" ht="15.75">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row>
    <row r="108" spans="1:25" ht="15.75">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row>
    <row r="109" spans="1:25" ht="15.75">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row>
    <row r="110" spans="1:25" ht="15.75">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row>
    <row r="111" spans="1:25" ht="15.75">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row>
    <row r="112" spans="1:25" ht="15.75">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row>
    <row r="113" spans="1:25" ht="15.75">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row>
    <row r="114" spans="1:25" ht="15.75">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row>
    <row r="115" spans="1:25" ht="15.75">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row>
    <row r="116" spans="1:25" ht="15.75">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row>
    <row r="117" spans="1:25" ht="15.75">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row>
    <row r="118" spans="1:25" ht="15.75">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row>
    <row r="119" spans="1:25" ht="15.75">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row>
    <row r="120" spans="1:25" ht="15.75">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row>
    <row r="121" spans="1:25" ht="15.75">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row>
    <row r="122" spans="1:25" ht="15.75">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row>
    <row r="123" spans="1:25" ht="15.75">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row>
    <row r="124" spans="1:25" ht="15.75">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row>
    <row r="125" spans="1:25" ht="15.75">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row>
    <row r="126" spans="1:25" ht="15.75">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row>
    <row r="127" spans="1:25" ht="15.75">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row>
    <row r="128" spans="1:25" ht="15.75">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row>
    <row r="129" spans="1:25" ht="15.75">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row>
    <row r="130" spans="1:25" ht="15.75">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row>
    <row r="131" spans="1:25" ht="15.75">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row>
    <row r="132" spans="1:25" ht="15.75">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row>
    <row r="133" spans="1:25" ht="15.75">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row>
    <row r="134" spans="1:25" ht="15.75">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row>
    <row r="135" spans="1:25" ht="15.75">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row>
    <row r="136" spans="1:25" ht="15.75">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row>
    <row r="137" spans="1:25" ht="15.75">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row>
    <row r="138" spans="1:25" ht="15.75">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row>
    <row r="139" spans="1:25" ht="15.75">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row>
    <row r="140" spans="1:25" ht="15.75">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row>
    <row r="141" spans="1:25" ht="15.75">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row>
    <row r="142" spans="1:25" ht="15.75">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row>
    <row r="143" spans="1:25" ht="15.75">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row>
    <row r="144" spans="1:25" ht="15.75">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row>
    <row r="145" spans="1:25" ht="15.75">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row>
    <row r="146" spans="1:25" ht="15.75">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row>
    <row r="147" spans="1:25" ht="15.75">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row>
    <row r="148" spans="1:25" ht="15.75">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row>
    <row r="149" spans="1:25" ht="15.75">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row>
    <row r="150" spans="1:25" ht="15.75">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row>
    <row r="151" spans="1:25" ht="15.75">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row>
    <row r="152" spans="1:25" ht="15.75">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row>
    <row r="153" spans="1:25" ht="15.75">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row>
    <row r="154" spans="1:25" ht="15.75">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row>
    <row r="155" spans="1:25" ht="15.75">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row>
    <row r="156" spans="1:25" ht="15.75">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row>
    <row r="157" spans="1:25" ht="15.75">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row>
    <row r="158" spans="1:25" ht="15.75">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row>
    <row r="159" spans="1:25" ht="15.75">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row>
    <row r="160" spans="1:25" ht="15.75">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row>
    <row r="161" spans="1:25" ht="15.75">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row>
    <row r="162" spans="1:25" ht="15.75">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row>
    <row r="163" spans="1:25" ht="15.75">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row>
    <row r="164" spans="1:25" ht="15.75">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row>
    <row r="165" spans="1:25" ht="15.75">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row>
    <row r="166" spans="1:25" ht="15.75">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row>
    <row r="167" spans="1:25" ht="15.75">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row>
    <row r="168" spans="1:25" ht="15.75">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row>
    <row r="169" spans="1:25" ht="15.75">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row>
    <row r="170" spans="1:25" ht="15.75">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row>
    <row r="171" spans="1:25" ht="15.75">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row>
    <row r="172" spans="1:25" ht="15.75">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row>
    <row r="173" spans="1:25" ht="15.75">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row>
    <row r="174" spans="1:25" ht="15.75">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row>
    <row r="175" spans="1:25" ht="15.75">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row>
    <row r="176" spans="1:25" ht="15.75">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row>
    <row r="177" spans="1:25" ht="15.75">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row>
    <row r="178" spans="1:25" ht="15.75">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row>
    <row r="179" spans="1:25" ht="15.75">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row>
    <row r="180" spans="1:25" ht="15.75">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row>
    <row r="181" spans="1:25" ht="15.75">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row>
    <row r="182" spans="1:25" ht="15.75">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row>
    <row r="183" spans="1:25" ht="15.75">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row>
    <row r="184" spans="1:25" ht="15.75">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row>
    <row r="185" spans="1:25" ht="15.75">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row>
    <row r="186" spans="1:25" ht="15.75">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row>
    <row r="187" spans="1:25" ht="15.75">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row>
    <row r="188" spans="1:25" ht="15.75">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row>
    <row r="189" spans="1:25" ht="15.75">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row>
    <row r="190" spans="1:25" ht="15.75">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row>
    <row r="191" spans="1:25" ht="15.75">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row>
    <row r="192" spans="1:25" ht="15.75">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row>
    <row r="193" spans="1:25" ht="15.75">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row>
    <row r="194" spans="1:25" ht="15.75">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row>
    <row r="195" spans="1:25" ht="15.75">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row>
    <row r="196" spans="1:25" ht="15.75">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row>
    <row r="197" spans="1:25" ht="15.75">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row>
    <row r="198" spans="1:25" ht="15.75">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row>
    <row r="199" spans="1:25" ht="15.75">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row>
    <row r="200" spans="1:25" ht="15.75">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row>
    <row r="201" spans="1:25" ht="15.75">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row>
    <row r="202" spans="1:25" ht="15.75">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row>
    <row r="203" spans="1:25" ht="15.75">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row>
    <row r="204" spans="1:25" ht="15.75">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row>
    <row r="205" spans="1:25" ht="15.75">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row>
    <row r="206" spans="1:25" ht="15.75">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row>
    <row r="207" spans="1:25" ht="15.75">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row>
    <row r="208" spans="1:25" ht="15.75">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row>
    <row r="209" spans="1:25" ht="15.75">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row>
    <row r="210" spans="1:25" ht="15.75">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row>
    <row r="211" spans="1:25" ht="15.75">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row>
    <row r="212" spans="1:25" ht="15.75">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row>
    <row r="213" spans="1:25" ht="15.75">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row>
    <row r="214" spans="1:25" ht="15.75">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row>
    <row r="215" spans="1:25" ht="15.75">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row>
    <row r="216" spans="1:25" ht="15.75">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row>
    <row r="217" spans="1:25" ht="15.75">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row>
    <row r="218" spans="1:25" ht="15.75">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row>
    <row r="219" spans="1:25" ht="15.75">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row>
    <row r="220" spans="1:25" ht="15.75">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row>
    <row r="221" spans="1:25" ht="15.75">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row>
    <row r="222" spans="1:25" ht="15.75">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row>
    <row r="223" spans="1:25" ht="15.75">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row>
    <row r="224" spans="1:25" ht="15.75">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row>
    <row r="225" spans="1:25" ht="15.75">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row>
    <row r="226" spans="1:25" ht="15.75">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row>
    <row r="227" spans="1:25" ht="15.75">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row>
    <row r="228" spans="1:25" ht="15.75">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row>
    <row r="229" spans="1:25" ht="15.75">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row>
    <row r="230" spans="1:25" ht="15.75">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row>
    <row r="231" spans="1:25" ht="15.75">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row>
    <row r="232" spans="1:25" ht="15.75">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row>
    <row r="233" spans="1:25" ht="15.75">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row>
    <row r="234" spans="1:25" ht="15.75">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row>
    <row r="235" spans="1:25" ht="15.75">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row>
    <row r="236" spans="1:25" ht="15.75">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row>
    <row r="237" spans="1:25" ht="15.75">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row>
    <row r="238" spans="1:25" ht="15.75">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row>
    <row r="239" spans="1:25" ht="15.75">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row>
    <row r="240" spans="1:25" ht="15.75">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row>
    <row r="241" spans="1:25" ht="15.75">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row>
    <row r="242" spans="1:25" ht="15.75">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row>
    <row r="243" spans="1:25" ht="15.75">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row>
    <row r="244" spans="1:25" ht="15.75">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row>
    <row r="245" spans="1:25" ht="15.75">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row>
    <row r="246" spans="1:25" ht="15.75">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row>
    <row r="247" spans="1:25" ht="15.75">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row>
    <row r="248" spans="1:25" ht="15.75">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row>
    <row r="249" spans="1:25" ht="15.75">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row>
    <row r="250" spans="1:25" ht="15.75">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row>
    <row r="251" spans="1:25" ht="15.75">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row>
    <row r="252" spans="1:25" ht="15.75">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row>
    <row r="253" spans="1:25" ht="15.75">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row>
    <row r="254" spans="1:25" ht="15.75">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row>
    <row r="255" spans="1:25" ht="15.75">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row>
    <row r="256" spans="1:25" ht="15.75">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row>
    <row r="257" spans="1:25" ht="15.75">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row>
    <row r="258" spans="1:25" ht="15.75">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row>
    <row r="259" spans="1:25" ht="15.75">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row>
    <row r="260" spans="1:25" ht="15.75">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row>
    <row r="261" spans="1:25" ht="15.75">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row>
    <row r="262" spans="1:25" ht="15.75">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row>
    <row r="263" spans="1:25" ht="15.75">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row>
    <row r="264" spans="1:25" ht="15.75">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row>
    <row r="265" spans="1:25" ht="15.75">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row>
    <row r="266" spans="1:25" ht="15.75">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row>
    <row r="267" spans="1:25" ht="15.75">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row>
    <row r="268" spans="1:25" ht="15.75">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row>
    <row r="269" spans="1:25" ht="15.75">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row>
    <row r="270" spans="1:25" ht="15.75">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row>
    <row r="271" spans="1:25" ht="15.75">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row>
    <row r="272" spans="1:25" ht="15.75">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row>
    <row r="273" spans="1:25" ht="15.75">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row>
    <row r="274" spans="1:25" ht="15.75">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row>
    <row r="275" spans="1:25" ht="15.75">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row>
    <row r="276" spans="1:25" ht="15.75">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row>
    <row r="277" spans="1:25" ht="15.75">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row>
    <row r="278" spans="1:25" ht="15.75">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row>
    <row r="279" spans="1:25" ht="15.75">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row>
    <row r="280" spans="1:25" ht="15.75">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row>
    <row r="281" spans="1:25" ht="15.75">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row>
    <row r="282" spans="1:25" ht="15.75">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row>
    <row r="283" spans="1:25" ht="15.75">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row>
    <row r="284" spans="1:25" ht="15.75">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row>
    <row r="285" spans="1:25" ht="15.75">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row>
    <row r="286" spans="1:25" ht="15.75">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row>
    <row r="287" spans="1:25" ht="15.75">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row>
    <row r="288" spans="1:25" ht="15.75">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row>
    <row r="289" spans="1:25" ht="15.75">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row>
    <row r="290" spans="1:25" ht="15.75">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row>
    <row r="291" spans="1:25" ht="15.75">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row>
    <row r="292" spans="1:25" ht="15.75">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row>
    <row r="293" spans="1:25" ht="15.75">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row>
    <row r="294" spans="1:25" ht="15.75">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row>
    <row r="295" spans="1:25" ht="15.75">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row>
    <row r="296" spans="1:25" ht="15.75">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row>
    <row r="297" spans="1:25" ht="15.75">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row>
    <row r="298" spans="1:25" ht="15.75">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row>
    <row r="299" spans="1:25" ht="15.75">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row>
    <row r="300" spans="1:25" ht="15.75">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row>
    <row r="301" spans="1:25" ht="15.75">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row>
    <row r="302" spans="1:25" ht="15.75">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row>
    <row r="303" spans="1:25" ht="15.75">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row>
    <row r="304" spans="1:25" ht="15.75">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row>
    <row r="305" spans="1:25" ht="15.75">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row>
    <row r="306" spans="1:25" ht="15.75">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row>
    <row r="307" spans="1:25" ht="15.75">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row>
    <row r="308" spans="1:25" ht="15.75">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row>
    <row r="309" spans="1:25" ht="15.75">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row>
    <row r="310" spans="1:25" ht="15.75">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row>
    <row r="311" spans="1:25" ht="15.75">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row>
    <row r="312" spans="1:25" ht="15.75">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row>
    <row r="313" spans="1:25" ht="15.75">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row>
    <row r="314" spans="1:25" ht="15.75">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row>
    <row r="315" spans="1:25" ht="15.75">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row>
    <row r="316" spans="1:25" ht="15.75">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row>
    <row r="317" spans="1:25" ht="15.75">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row>
    <row r="318" spans="1:25" ht="15.75">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row>
    <row r="319" spans="1:25" ht="15.75">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row>
    <row r="320" spans="1:25" ht="15.75">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row>
    <row r="321" spans="1:25" ht="15.75">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row>
    <row r="322" spans="1:25" ht="15.75">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row>
    <row r="323" spans="1:25" ht="15.75">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row>
    <row r="324" spans="1:25" ht="15.75">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row>
    <row r="325" spans="1:25" ht="15.75">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row>
    <row r="326" spans="1:25" ht="15.75">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row>
    <row r="327" spans="1:25" ht="15.75">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row>
    <row r="328" spans="1:25" ht="15.75">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row>
    <row r="329" spans="1:25" ht="15.75">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row>
    <row r="330" spans="1:25" ht="15.75">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row>
    <row r="331" spans="1:25" ht="15.75">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row>
    <row r="332" spans="1:25" ht="15.75">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row>
    <row r="333" spans="1:25" ht="15.75">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row>
    <row r="334" spans="1:25" ht="15.75">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row>
    <row r="335" spans="1:25" ht="15.75">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row>
    <row r="336" spans="1:25" ht="15.75">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row>
    <row r="337" spans="1:25" ht="15.75">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row>
    <row r="338" spans="1:25" ht="15.75">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row>
    <row r="339" spans="1:25" ht="15.75">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row>
    <row r="340" spans="1:25" ht="15.75">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row>
    <row r="341" spans="1:25" ht="15.75">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row>
    <row r="342" spans="1:25" ht="15.75">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row>
    <row r="343" spans="1:25" ht="15.75">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row>
    <row r="344" spans="1:25" ht="15.75">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row>
    <row r="345" spans="1:25" ht="15.75">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row>
    <row r="346" spans="1:25" ht="15.75">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row>
    <row r="347" spans="1:25" ht="15.75">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row>
    <row r="348" spans="1:25" ht="15.75">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row>
    <row r="349" spans="1:25" ht="15.75">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row>
    <row r="350" spans="1:25" ht="15.75">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row>
    <row r="351" spans="1:25" ht="15.75">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row>
    <row r="352" spans="1:25" ht="15.75">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row>
    <row r="353" spans="1:25" ht="15.75">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row>
    <row r="354" spans="1:25" ht="15.75">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row>
    <row r="355" spans="1:25" ht="15.75">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row>
    <row r="356" spans="1:25" ht="15.75">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row>
    <row r="357" spans="1:25" ht="15.75">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row>
    <row r="358" spans="1:25" ht="15.75">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row>
    <row r="359" spans="1:25" ht="15.75">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row>
    <row r="360" spans="1:25" ht="15.75">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row>
    <row r="361" spans="1:25" ht="15.75">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row>
    <row r="362" spans="1:25" ht="15.75">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row>
    <row r="363" spans="1:25" ht="15.75">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row>
    <row r="364" spans="1:25" ht="15.75">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row>
    <row r="365" spans="1:25" ht="15.75">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row>
    <row r="366" spans="1:25" ht="15.75">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row>
    <row r="367" spans="1:25" ht="15.75">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row>
    <row r="368" spans="1:25" ht="15.75">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row>
    <row r="369" spans="1:25" ht="15.75">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row>
    <row r="370" spans="1:25" ht="15.75">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row>
    <row r="371" spans="1:25" ht="15.75">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row>
    <row r="372" spans="1:25" ht="15.75">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row>
    <row r="373" spans="1:25" ht="15.75">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row>
    <row r="374" spans="1:25" ht="15.75">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row>
    <row r="375" spans="1:25" ht="15.75">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row>
    <row r="376" spans="1:25" ht="15.75">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row>
    <row r="377" spans="1:25" ht="15.75">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row>
    <row r="378" spans="1:25" ht="15.75">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row>
    <row r="379" spans="1:25" ht="15.75">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row>
    <row r="380" spans="1:25" ht="15.75">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row>
    <row r="381" spans="1:25" ht="15.75">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row>
    <row r="382" spans="1:25" ht="15.75">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row>
    <row r="383" spans="1:25" ht="15.75">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row>
    <row r="384" spans="1:25" ht="15.75">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row>
    <row r="385" spans="1:25" ht="15.75">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row>
    <row r="386" spans="1:25" ht="15.75">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row>
    <row r="387" spans="1:25" ht="15.75">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row>
    <row r="388" spans="1:25" ht="15.75">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row>
    <row r="389" spans="1:25" ht="15.75">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row>
    <row r="390" spans="1:25" ht="15.75">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row>
    <row r="391" spans="1:25" ht="15.75">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row>
    <row r="392" spans="1:25" ht="15.75">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row>
    <row r="393" spans="1:25" ht="15.75">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row>
    <row r="394" spans="1:25" ht="15.75">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row>
    <row r="395" spans="1:25" ht="15.75">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row>
    <row r="396" spans="1:25" ht="15.75">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row>
    <row r="397" spans="1:25" ht="15.75">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row>
    <row r="398" spans="1:25" ht="15.75">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row>
    <row r="399" spans="1:25" ht="15.75">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row>
    <row r="400" spans="1:25" ht="15.75">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row>
    <row r="401" spans="1:25" ht="15.75">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row>
    <row r="402" spans="1:25" ht="15.75">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row>
    <row r="403" spans="1:25" ht="15.75">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row>
    <row r="404" spans="1:25" ht="15.75">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row>
    <row r="405" spans="1:25" ht="15.75">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row>
    <row r="406" spans="1:25" ht="15.75">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row>
    <row r="407" spans="1:25" ht="15.75">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row>
    <row r="408" spans="1:25" ht="15.75">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row>
    <row r="409" spans="1:25" ht="15.75">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row>
    <row r="410" spans="1:25" ht="15.75">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row>
    <row r="411" spans="1:25" ht="15.75">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row>
    <row r="412" spans="1:25" ht="15.75">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row>
    <row r="413" spans="1:25" ht="15.75">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row>
    <row r="414" spans="1:25" ht="15.75">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row>
    <row r="415" spans="1:25" ht="15.75">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row>
    <row r="416" spans="1:25" ht="15.75">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row>
    <row r="417" spans="1:25" ht="15.75">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row>
    <row r="418" spans="1:25" ht="15.75">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row>
    <row r="419" spans="1:25" ht="15.75">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row>
    <row r="420" spans="1:25" ht="15.75">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row>
    <row r="421" spans="1:25" ht="15.75">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row>
    <row r="422" spans="1:25" ht="15.75">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row>
    <row r="423" spans="1:25" ht="15.75">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row>
    <row r="424" spans="1:25" ht="15.75">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row>
    <row r="425" spans="1:25" ht="15.75">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row>
    <row r="426" spans="1:25" ht="15.75">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row>
    <row r="427" spans="1:25" ht="15.75">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row>
    <row r="428" spans="1:25" ht="15.75">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row>
    <row r="429" spans="1:25" ht="15.75">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row>
    <row r="430" spans="1:25" ht="15.75">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row>
    <row r="431" spans="1:25" ht="15.75">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row>
    <row r="432" spans="1:25" ht="15.75">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row>
    <row r="433" spans="1:25" ht="15.75">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row>
    <row r="434" spans="1:25" ht="15.75">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row>
    <row r="435" spans="1:25" ht="15.75">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row>
    <row r="436" spans="1:25" ht="15.75">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row>
    <row r="437" spans="1:25" ht="15.75">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row>
    <row r="438" spans="1:25" ht="15.75">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row>
    <row r="439" spans="1:25" ht="15.75">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row>
    <row r="440" spans="1:25" ht="15.75">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row>
    <row r="441" spans="1:25" ht="15.75">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row>
    <row r="442" spans="1:25" ht="15.75">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row>
    <row r="443" spans="1:25" ht="15.75">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row>
    <row r="444" spans="1:25" ht="15.75">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row>
    <row r="445" spans="1:25" ht="15.75">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row>
    <row r="446" spans="1:25" ht="15.75">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row>
    <row r="447" spans="1:25" ht="15.75">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row>
    <row r="448" spans="1:25" ht="15.75">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row>
    <row r="449" spans="1:25" ht="15.75">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row>
    <row r="450" spans="1:25" ht="15.75">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row>
    <row r="451" spans="1:25" ht="15.75">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row>
    <row r="452" spans="1:25" ht="15.75">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row>
    <row r="453" spans="1:25" ht="15.75">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row>
    <row r="454" spans="1:25" ht="15.75">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row>
    <row r="455" spans="1:25" ht="15.75">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row>
    <row r="456" spans="1:25" ht="15.75">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row>
    <row r="457" spans="1:25" ht="15.75">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row>
    <row r="458" spans="1:25" ht="15.75">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row>
    <row r="459" spans="1:25" ht="15.75">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row>
    <row r="460" spans="1:25" ht="15.75">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row>
    <row r="461" spans="1:25" ht="15.75">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row>
    <row r="462" spans="1:25" ht="15.75">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row>
    <row r="463" spans="1:25" ht="15.75">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row>
    <row r="464" spans="1:25" ht="15.75">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row>
    <row r="465" spans="1:25" ht="15.75">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row>
    <row r="466" spans="1:25" ht="15.75">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row>
    <row r="467" spans="1:25" ht="15.75">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row>
    <row r="468" spans="1:25" ht="15.75">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row>
    <row r="469" spans="1:25" ht="15.75">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row>
    <row r="470" spans="1:25" ht="15.75">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row>
    <row r="471" spans="1:25" ht="15.75">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row>
    <row r="472" spans="1:25" ht="15.75">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row>
    <row r="473" spans="1:25" ht="15.75">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row>
    <row r="474" spans="1:25" ht="15.75">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row>
    <row r="475" spans="1:25" ht="15.75">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row>
    <row r="476" spans="1:25" ht="15.75">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row>
    <row r="477" spans="1:25" ht="15.75">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row>
    <row r="478" spans="1:25" ht="15.75">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row>
    <row r="479" spans="1:25" ht="15.75">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row>
    <row r="480" spans="1:25" ht="15.75">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row>
    <row r="481" spans="1:25" ht="15.75">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row>
    <row r="482" spans="1:25" ht="15.75">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row>
    <row r="483" spans="1:25" ht="15.75">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row>
    <row r="484" spans="1:25" ht="15.75">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row>
    <row r="485" spans="1:25" ht="15.75">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row>
    <row r="486" spans="1:25" ht="15.75">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row>
    <row r="487" spans="1:25" ht="15.75">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row>
    <row r="488" spans="1:25" ht="15.75">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row>
    <row r="489" spans="1:25" ht="15.75">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row>
    <row r="490" spans="1:25" ht="15.75">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row>
    <row r="491" spans="1:25" ht="15.75">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row>
    <row r="492" spans="1:25" ht="15.75">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row>
    <row r="493" spans="1:25" ht="15.75">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row>
    <row r="494" spans="1:25" ht="15.75">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row>
    <row r="495" spans="1:25" ht="15.75">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row>
    <row r="496" spans="1:25" ht="15.75">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row>
    <row r="497" spans="1:25" ht="15.75">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row>
    <row r="498" spans="1:25" ht="15.75">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row>
    <row r="499" spans="1:25" ht="15.75">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row>
    <row r="500" spans="1:25" ht="15.75">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row>
    <row r="501" spans="1:25" ht="15.75">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row>
    <row r="502" spans="1:25" ht="15.75">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row>
    <row r="503" spans="1:25" ht="15.75">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row>
    <row r="504" spans="1:25" ht="15.75">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row>
    <row r="505" spans="1:25" ht="15.75">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row>
    <row r="506" spans="1:25" ht="15.75">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row>
    <row r="507" spans="1:25" ht="15.75">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row>
    <row r="508" spans="1:25" ht="15.75">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row>
    <row r="509" spans="1:25" ht="15.75">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row>
    <row r="510" spans="1:25" ht="15.75">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row>
    <row r="511" spans="1:25" ht="15.75">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row>
    <row r="512" spans="1:25" ht="15.75">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row>
    <row r="513" spans="1:25" ht="15.75">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row>
    <row r="514" spans="1:25" ht="15.75">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row>
    <row r="515" spans="1:25" ht="15.75">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row>
    <row r="516" spans="1:25" ht="15.75">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row>
    <row r="517" spans="1:25" ht="15.75">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row>
    <row r="518" spans="1:25" ht="15.75">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row>
    <row r="519" spans="1:25" ht="15.75">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row>
    <row r="520" spans="1:25" ht="15.75">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row>
    <row r="521" spans="1:25" ht="15.75">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row>
    <row r="522" spans="1:25" ht="15.75">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row>
    <row r="523" spans="1:25" ht="15.75">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row>
    <row r="524" spans="1:25" ht="15.75">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row>
    <row r="525" spans="1:25" ht="15.75">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row>
    <row r="526" spans="1:25" ht="15.75">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row>
    <row r="527" spans="1:25" ht="15.75">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row>
    <row r="528" spans="1:25" ht="15.75">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row>
    <row r="529" spans="1:25" ht="15.75">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row>
    <row r="530" spans="1:25" ht="15.75">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row>
    <row r="531" spans="1:25" ht="15.75">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row>
    <row r="532" spans="1:25" ht="15.75">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row>
    <row r="533" spans="1:25" ht="15.75">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row>
    <row r="534" spans="1:25" ht="15.75">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row>
    <row r="535" spans="1:25" ht="15.75">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row>
    <row r="536" spans="1:25" ht="15.75">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row>
    <row r="537" spans="1:25" ht="15.75">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row>
    <row r="538" spans="1:25" ht="15.75">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row>
    <row r="539" spans="1:25" ht="15.75">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row>
    <row r="540" spans="1:25" ht="15.75">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row>
    <row r="541" spans="1:25" ht="15.75">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row>
    <row r="542" spans="1:25" ht="15.75">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row>
    <row r="543" spans="1:25" ht="15.75">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row>
    <row r="544" spans="1:25" ht="15.75">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row>
    <row r="545" spans="1:25" ht="15.75">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row>
    <row r="546" spans="1:25" ht="15.75">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row>
    <row r="547" spans="1:25" ht="15.75">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row>
    <row r="548" spans="1:25" ht="15.75">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row>
    <row r="549" spans="1:25" ht="15.75">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row>
    <row r="550" spans="1:25" ht="15.75">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row>
    <row r="551" spans="1:25" ht="15.75">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row>
    <row r="552" spans="1:25" ht="15.75">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row>
    <row r="553" spans="1:25" ht="15.75">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row>
    <row r="554" spans="1:25" ht="15.75">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row>
    <row r="555" spans="1:25" ht="15.75">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row>
    <row r="556" spans="1:25" ht="15.75">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row>
    <row r="557" spans="1:25" ht="15.75">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row>
    <row r="558" spans="1:25" ht="15.75">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row>
    <row r="559" spans="1:25" ht="15.75">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row>
    <row r="560" spans="1:25" ht="15.75">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row>
    <row r="561" spans="1:25" ht="15.75">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row>
    <row r="562" spans="1:25" ht="15.75">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row>
    <row r="563" spans="1:25" ht="15.75">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row>
    <row r="564" spans="1:25" ht="15.75">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row>
    <row r="565" spans="1:25" ht="15.75">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row>
    <row r="566" spans="1:25" ht="15.75">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row>
    <row r="567" spans="1:25" ht="15.75">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row>
    <row r="568" spans="1:25" ht="15.75">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row>
    <row r="569" spans="1:25" ht="15.75">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row>
    <row r="570" spans="1:25" ht="15.75">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row>
    <row r="571" spans="1:25" ht="15.75">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row>
    <row r="572" spans="1:25" ht="15.75">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row>
    <row r="573" spans="1:25" ht="15.75">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row>
    <row r="574" spans="1:25" ht="15.75">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row>
    <row r="575" spans="1:25" ht="15.75">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row>
    <row r="576" spans="1:25" ht="15.75">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row>
    <row r="577" spans="1:25" ht="15.75">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row>
    <row r="578" spans="1:25" ht="15.75">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row>
    <row r="579" spans="1:25" ht="15.75">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row>
    <row r="580" spans="1:25" ht="15.75">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row>
    <row r="581" spans="1:25" ht="15.75">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row>
    <row r="582" spans="1:25" ht="15.75">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row>
    <row r="583" spans="1:25" ht="15.75">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row>
    <row r="584" spans="1:25" ht="15.75">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row>
    <row r="585" spans="1:25" ht="15.75">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row>
    <row r="586" spans="1:25" ht="15.75">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row>
    <row r="587" spans="1:25" ht="15.75">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row>
    <row r="588" spans="1:25" ht="15.75">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row>
    <row r="589" spans="1:25" ht="15.75">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row>
    <row r="590" spans="1:25" ht="15.75">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row>
    <row r="591" spans="1:25" ht="15.75">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row>
    <row r="592" spans="1:25" ht="15.75">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row>
    <row r="593" spans="1:25" ht="15.75">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row>
    <row r="594" spans="1:25" ht="15.75">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row>
    <row r="595" spans="1:25" ht="15.75">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row>
    <row r="596" spans="1:25" ht="15.75">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row>
    <row r="597" spans="1:25" ht="15.75">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row>
    <row r="598" spans="1:25" ht="15.75">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row>
    <row r="599" spans="1:25" ht="15.75">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row>
    <row r="600" spans="1:25" ht="15.75">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row>
    <row r="601" spans="1:25" ht="15.75">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row>
    <row r="602" spans="1:25" ht="15.75">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row>
    <row r="603" spans="1:25" ht="15.75">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row>
    <row r="604" spans="1:25" ht="15.75">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row>
    <row r="605" spans="1:25" ht="15.75">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row>
    <row r="606" spans="1:25" ht="15.75">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row>
    <row r="607" spans="1:25" ht="15.75">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row>
    <row r="608" spans="1:25" ht="15.75">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row>
    <row r="609" spans="1:25" ht="15.75">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row>
    <row r="610" spans="1:25" ht="15.75">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row>
    <row r="611" spans="1:25" ht="15.75">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row>
    <row r="612" spans="1:25" ht="15.75">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row>
    <row r="613" spans="1:25" ht="15.75">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row>
    <row r="614" spans="1:25" ht="15.75">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row>
    <row r="615" spans="1:25" ht="15.75">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row>
    <row r="616" spans="1:25" ht="15.75">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row>
    <row r="617" spans="1:25" ht="15.75">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row>
    <row r="618" spans="1:25" ht="15.75">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row>
    <row r="619" spans="1:25" ht="15.75">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row>
    <row r="620" spans="1:25" ht="15.75">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row>
    <row r="621" spans="1:25" ht="15.75">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row>
    <row r="622" spans="1:25" ht="15.75">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row>
    <row r="623" spans="1:25" ht="15.75">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row>
    <row r="624" spans="1:25" ht="15.75">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row>
    <row r="625" spans="1:25" ht="15.75">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row>
    <row r="626" spans="1:25" ht="15.75">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row>
    <row r="627" spans="1:25" ht="15.75">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row>
    <row r="628" spans="1:25" ht="15.75">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row>
    <row r="629" spans="1:25" ht="15.75">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row>
    <row r="630" spans="1:25" ht="15.75">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row>
    <row r="631" spans="1:25" ht="15.75">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row>
    <row r="632" spans="1:25" ht="15.75">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row>
    <row r="633" spans="1:25" ht="15.75">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row>
    <row r="634" spans="1:25" ht="15.75">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row>
    <row r="635" spans="1:25" ht="15.75">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row>
    <row r="636" spans="1:25" ht="15.75">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row>
    <row r="637" spans="1:25" ht="15.75">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row>
    <row r="638" spans="1:25" ht="15.75">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row>
    <row r="639" spans="1:25" ht="15.75">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row>
    <row r="640" spans="1:25" ht="15.75">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row>
    <row r="641" spans="1:25" ht="15.75">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row>
    <row r="642" spans="1:25" ht="15.75">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row>
    <row r="643" spans="1:25" ht="15.75">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row>
    <row r="644" spans="1:25" ht="15.75">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row>
    <row r="645" spans="1:25" ht="15.75">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row>
    <row r="646" spans="1:25" ht="15.75">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row>
    <row r="647" spans="1:25" ht="15.75">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row>
    <row r="648" spans="1:25" ht="15.75">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row>
    <row r="649" spans="1:25" ht="15.75">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row>
    <row r="650" spans="1:25" ht="15.75">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row>
    <row r="651" spans="1:25" ht="15.75">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row>
    <row r="652" spans="1:25" ht="15.75">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row>
    <row r="653" spans="1:25" ht="15.75">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row>
    <row r="654" spans="1:25" ht="15.75">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row>
    <row r="655" spans="1:25" ht="15.75">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row>
    <row r="656" spans="1:25" ht="15.75">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row>
    <row r="657" spans="1:25" ht="15.75">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row>
    <row r="658" spans="1:25" ht="15.75">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row>
    <row r="659" spans="1:25" ht="15.75">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row>
    <row r="660" spans="1:25" ht="15.75">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row>
    <row r="661" spans="1:25" ht="15.75">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row>
    <row r="662" spans="1:25" ht="15.75">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row>
    <row r="663" spans="1:25" ht="15.75">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row>
    <row r="664" spans="1:25" ht="15.75">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row>
    <row r="665" spans="1:25" ht="15.75">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row>
    <row r="666" spans="1:25" ht="15.75">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row>
    <row r="667" spans="1:25" ht="15.75">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row>
    <row r="668" spans="1:25" ht="15.75">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row>
    <row r="669" spans="1:25" ht="15.75">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row>
    <row r="670" spans="1:25" ht="15.75">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row>
    <row r="671" spans="1:25" ht="15.75">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row>
    <row r="672" spans="1:25" ht="15.75">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row>
    <row r="673" spans="1:25" ht="15.75">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row>
    <row r="674" spans="1:25" ht="15.75">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row>
    <row r="675" spans="1:25" ht="15.75">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row>
    <row r="676" spans="1:25" ht="15.75">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row>
    <row r="677" spans="1:25" ht="15.75">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row>
    <row r="678" spans="1:25" ht="15.75">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row>
    <row r="679" spans="1:25" ht="15.75">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row>
    <row r="680" spans="1:25" ht="15.75">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row>
    <row r="681" spans="1:25" ht="15.75">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row>
    <row r="682" spans="1:25" ht="15.75">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row>
    <row r="683" spans="1:25" ht="15.75">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row>
    <row r="684" spans="1:25" ht="15.75">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row>
    <row r="685" spans="1:25" ht="15.75">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row>
    <row r="686" spans="1:25" ht="15.75">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row>
    <row r="687" spans="1:25" ht="15.75">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row>
    <row r="688" spans="1:25" ht="15.75">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row>
    <row r="689" spans="1:25" ht="15.75">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row>
    <row r="690" spans="1:25" ht="15.75">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row>
    <row r="691" spans="1:25" ht="15.75">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row>
    <row r="692" spans="1:25" ht="15.75">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row>
    <row r="693" spans="1:25" ht="15.75">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row>
    <row r="694" spans="1:25" ht="15.75">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row>
    <row r="695" spans="1:25" ht="15.75">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row>
    <row r="696" spans="1:25" ht="15.75">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row>
    <row r="697" spans="1:25" ht="15.75">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row>
    <row r="698" spans="1:25" ht="15.75">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row>
    <row r="699" spans="1:25" ht="15.75">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row>
    <row r="700" spans="1:25" ht="15.75">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row>
    <row r="701" spans="1:25" ht="15.75">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row>
    <row r="702" spans="1:25" ht="15.75">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row>
    <row r="703" spans="1:25" ht="15.75">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row>
    <row r="704" spans="1:25" ht="15.75">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row>
    <row r="705" spans="1:25" ht="15.75">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row>
    <row r="706" spans="1:25" ht="15.75">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row>
    <row r="707" spans="1:25" ht="15.75">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row>
    <row r="708" spans="1:25" ht="15.75">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row>
    <row r="709" spans="1:25" ht="15.75">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row>
    <row r="710" spans="1:25" ht="15.75">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row>
    <row r="711" spans="1:25" ht="15.75">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row>
    <row r="712" spans="1:25" ht="15.75">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row>
    <row r="713" spans="1:25" ht="15.75">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row>
    <row r="714" spans="1:25" ht="15.75">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row>
    <row r="715" spans="1:25" ht="15.75">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row>
    <row r="716" spans="1:25" ht="15.75">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row>
    <row r="717" spans="1:25" ht="15.75">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row>
    <row r="718" spans="1:25" ht="15.75">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row>
    <row r="719" spans="1:25" ht="15.75">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row>
    <row r="720" spans="1:25" ht="15.75">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row>
    <row r="721" spans="1:25" ht="15.75">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row>
    <row r="722" spans="1:25" ht="15.75">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row>
    <row r="723" spans="1:25" ht="15.75">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row>
    <row r="724" spans="1:25" ht="15.75">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row>
    <row r="725" spans="1:25" ht="15.75">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row>
    <row r="726" spans="1:25" ht="15.75">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row>
    <row r="727" spans="1:25" ht="15.75">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row>
    <row r="728" spans="1:25" ht="15.75">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row>
    <row r="729" spans="1:25" ht="15.75">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row>
    <row r="730" spans="1:25" ht="15.75">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row>
    <row r="731" spans="1:25" ht="15.75">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row>
    <row r="732" spans="1:25" ht="15.75">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row>
    <row r="733" spans="1:25" ht="15.75">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row>
    <row r="734" spans="1:25" ht="15.75">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row>
    <row r="735" spans="1:25" ht="15.75">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row>
    <row r="736" spans="1:25" ht="15.75">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row>
    <row r="737" spans="1:25" ht="15.75">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row>
    <row r="738" spans="1:25" ht="15.75">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row>
    <row r="739" spans="1:25" ht="15.75">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row>
    <row r="740" spans="1:25" ht="15.75">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row>
    <row r="741" spans="1:25" ht="15.75">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row>
    <row r="742" spans="1:25" ht="15.75">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row>
    <row r="743" spans="1:25" ht="15.75">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row>
    <row r="744" spans="1:25" ht="15.75">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row>
    <row r="745" spans="1:25" ht="15.75">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row>
    <row r="746" spans="1:25" ht="15.75">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row>
    <row r="747" spans="1:25" ht="15.75">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row>
    <row r="748" spans="1:25" ht="15.75">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row>
    <row r="749" spans="1:25" ht="15.75">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row>
    <row r="750" spans="1:25" ht="15.75">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row>
    <row r="751" spans="1:25" ht="15.75">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row>
    <row r="752" spans="1:25" ht="15.75">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row>
    <row r="753" spans="1:25" ht="15.75">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row>
    <row r="754" spans="1:25" ht="15.75">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row>
    <row r="755" spans="1:25" ht="15.75">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row>
    <row r="756" spans="1:25" ht="15.75">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row>
    <row r="757" spans="1:25" ht="15.75">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row>
    <row r="758" spans="1:25" ht="15.75">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row>
    <row r="759" spans="1:25" ht="15.75">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row>
    <row r="760" spans="1:25" ht="15.75">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row>
    <row r="761" spans="1:25" ht="15.75">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row>
    <row r="762" spans="1:25" ht="15.75">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row>
    <row r="763" spans="1:25" ht="15.75">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row>
    <row r="764" spans="1:25" ht="15.75">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row>
    <row r="765" spans="1:25" ht="15.75">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row>
    <row r="766" spans="1:25" ht="15.75">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row>
    <row r="767" spans="1:25" ht="15.75">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row>
    <row r="768" spans="1:25" ht="15.75">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row>
    <row r="769" spans="1:25" ht="15.75">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row>
    <row r="770" spans="1:25" ht="15.75">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row>
    <row r="771" spans="1:25" ht="15.75">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row>
    <row r="772" spans="1:25" ht="15.75">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row>
    <row r="773" spans="1:25" ht="15.75">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row>
    <row r="774" spans="1:25" ht="15.75">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row>
    <row r="775" spans="1:25" ht="15.75">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row>
    <row r="776" spans="1:25" ht="15.75">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row>
    <row r="777" spans="1:25" ht="15.75">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row>
    <row r="778" spans="1:25" ht="15.75">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row>
    <row r="779" spans="1:25" ht="15.75">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row>
    <row r="780" spans="1:25" ht="15.75">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row>
    <row r="781" spans="1:25" ht="15.75">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row>
    <row r="782" spans="1:25" ht="15.75">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row>
    <row r="783" spans="1:25" ht="15.75">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row>
    <row r="784" spans="1:25" ht="15.75">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row>
    <row r="785" spans="1:25" ht="15.75">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row>
    <row r="786" spans="1:25" ht="15.75">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row>
    <row r="787" spans="1:25" ht="15.75">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row>
    <row r="788" spans="1:25" ht="15.75">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row>
    <row r="789" spans="1:25" ht="15.75">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row>
    <row r="790" spans="1:25" ht="15.75">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row>
    <row r="791" spans="1:25" ht="15.75">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row>
    <row r="792" spans="1:25" ht="15.75">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row>
    <row r="793" spans="1:25" ht="15.75">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row>
    <row r="794" spans="1:25" ht="15.75">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row>
    <row r="795" spans="1:25" ht="15.75">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row>
    <row r="796" spans="1:25" ht="15.75">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row>
    <row r="797" spans="1:25" ht="15.75">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row>
    <row r="798" spans="1:25" ht="15.75">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row>
    <row r="799" spans="1:25" ht="15.75">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row>
    <row r="800" spans="1:25" ht="15.75">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row>
    <row r="801" spans="1:25" ht="15.75">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row>
    <row r="802" spans="1:25" ht="15.75">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row>
    <row r="803" spans="1:25" ht="15.75">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row>
    <row r="804" spans="1:25" ht="15.75">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row>
    <row r="805" spans="1:25" ht="15.75">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row>
    <row r="806" spans="1:25" ht="15.75">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row>
    <row r="807" spans="1:25" ht="15.75">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row>
    <row r="808" spans="1:25" ht="15.75">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row>
    <row r="809" spans="1:25" ht="15.75">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row>
    <row r="810" spans="1:25" ht="15.75">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row>
    <row r="811" spans="1:25" ht="15.75">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row>
    <row r="812" spans="1:25" ht="15.75">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row>
    <row r="813" spans="1:25" ht="15.75">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row>
    <row r="814" spans="1:25" ht="15.75">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row>
    <row r="815" spans="1:25" ht="15.75">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row>
    <row r="816" spans="1:25" ht="15.75">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row>
    <row r="817" spans="1:25" ht="15.75">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row>
    <row r="818" spans="1:25" ht="15.75">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row>
    <row r="819" spans="1:25" ht="15.75">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row>
    <row r="820" spans="1:25" ht="15.75">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row>
    <row r="821" spans="1:25" ht="15.75">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row>
    <row r="822" spans="1:25" ht="15.75">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row>
    <row r="823" spans="1:25" ht="15.75">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row>
    <row r="824" spans="1:25" ht="15.75">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row>
    <row r="825" spans="1:25" ht="15.75">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row>
    <row r="826" spans="1:25" ht="15.75">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row>
    <row r="827" spans="1:25" ht="15.75">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row>
    <row r="828" spans="1:25" ht="15.75">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row>
    <row r="829" spans="1:25" ht="15.75">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row>
    <row r="830" spans="1:25" ht="15.75">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row>
    <row r="831" spans="1:25" ht="15.75">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row>
    <row r="832" spans="1:25" ht="15.75">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row>
    <row r="833" spans="1:25" ht="15.75">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row>
    <row r="834" spans="1:25" ht="15.75">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row>
    <row r="835" spans="1:25" ht="15.75">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row>
    <row r="836" spans="1:25" ht="15.75">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row>
    <row r="837" spans="1:25" ht="15.75">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row>
    <row r="838" spans="1:25" ht="15.75">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row>
    <row r="839" spans="1:25" ht="15.75">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row>
    <row r="840" spans="1:25" ht="15.75">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row>
    <row r="841" spans="1:25" ht="15.75">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row>
    <row r="842" spans="1:25" ht="15.75">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row>
    <row r="843" spans="1:25" ht="15.75">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row>
    <row r="844" spans="1:25" ht="15.75">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row>
    <row r="845" spans="1:25" ht="15.75">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row>
    <row r="846" spans="1:25" ht="15.75">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row>
    <row r="847" spans="1:25" ht="15.75">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row>
    <row r="848" spans="1:25" ht="15.75">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row>
    <row r="849" spans="1:25" ht="15.75">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row>
    <row r="850" spans="1:25" ht="15.75">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row>
    <row r="851" spans="1:25" ht="15.75">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row>
    <row r="852" spans="1:25" ht="15.75">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row>
    <row r="853" spans="1:25" ht="15.75">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row>
    <row r="854" spans="1:25" ht="15.75">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row>
    <row r="855" spans="1:25" ht="15.75">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row>
    <row r="856" spans="1:25" ht="15.75">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row>
    <row r="857" spans="1:25" ht="15.75">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row>
    <row r="858" spans="1:25" ht="15.75">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row>
    <row r="859" spans="1:25" ht="15.75">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row>
    <row r="860" spans="1:25" ht="15.75">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row>
    <row r="861" spans="1:25" ht="15.75">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row>
    <row r="862" spans="1:25" ht="15.75">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row>
    <row r="863" spans="1:25" ht="15.75">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row>
    <row r="864" spans="1:25" ht="15.75">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row>
    <row r="865" spans="1:25" ht="15.75">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row>
    <row r="866" spans="1:25" ht="15.75">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row>
    <row r="867" spans="1:25" ht="15.75">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row>
    <row r="868" spans="1:25" ht="15.75">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row>
    <row r="869" spans="1:25" ht="15.75">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row>
    <row r="870" spans="1:25" ht="15.75">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row>
    <row r="871" spans="1:25" ht="15.75">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row>
    <row r="872" spans="1:25" ht="15.75">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row>
    <row r="873" spans="1:25" ht="15.75">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row>
    <row r="874" spans="1:25" ht="15.75">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row>
    <row r="875" spans="1:25" ht="15.75">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row>
    <row r="876" spans="1:25" ht="15.75">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row>
    <row r="877" spans="1:25" ht="15.75">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row>
    <row r="878" spans="1:25" ht="15.75">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row>
    <row r="879" spans="1:25" ht="15.75">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row>
    <row r="880" spans="1:25" ht="15.75">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row>
    <row r="881" spans="1:25" ht="15.75">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row>
    <row r="882" spans="1:25" ht="15.75">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row>
    <row r="883" spans="1:25" ht="15.75">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row>
    <row r="884" spans="1:25" ht="15.75">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row>
    <row r="885" spans="1:25" ht="15.75">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row>
    <row r="886" spans="1:25" ht="15.75">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row>
    <row r="887" spans="1:25" ht="15.75">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row>
    <row r="888" spans="1:25" ht="15.75">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row>
    <row r="889" spans="1:25" ht="15.75">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row>
    <row r="890" spans="1:25" ht="15.75">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row>
    <row r="891" spans="1:25" ht="15.75">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row>
    <row r="892" spans="1:25" ht="15.75">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row>
    <row r="893" spans="1:25" ht="15.75">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row>
    <row r="894" spans="1:25" ht="15.75">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row>
    <row r="895" spans="1:25" ht="15.75">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row>
    <row r="896" spans="1:25" ht="15.75">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row>
    <row r="897" spans="1:25" ht="15.75">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row>
    <row r="898" spans="1:25" ht="15.75">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row>
    <row r="899" spans="1:25" ht="15.75">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row>
    <row r="900" spans="1:25" ht="15.75">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row>
    <row r="901" spans="1:25" ht="15.75">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row>
    <row r="902" spans="1:25" ht="15.75">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row>
    <row r="903" spans="1:25" ht="15.75">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row>
    <row r="904" spans="1:25" ht="15.75">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row>
    <row r="905" spans="1:25" ht="15.75">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row>
    <row r="906" spans="1:25" ht="15.75">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row>
    <row r="907" spans="1:25" ht="15.75">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row>
    <row r="908" spans="1:25" ht="15.75">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row>
    <row r="909" spans="1:25" ht="15.75">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row>
    <row r="910" spans="1:25" ht="15.75">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row>
    <row r="911" spans="1:25" ht="15.75">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row>
    <row r="912" spans="1:25" ht="15.75">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row>
    <row r="913" spans="1:25" ht="15.75">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row>
    <row r="914" spans="1:25" ht="15.75">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row>
    <row r="915" spans="1:25" ht="15.75">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row>
    <row r="916" spans="1:25" ht="15.75">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row>
    <row r="917" spans="1:25" ht="15.75">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row>
    <row r="918" spans="1:25" ht="15.75">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row>
    <row r="919" spans="1:25" ht="15.75">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row>
    <row r="920" spans="1:25" ht="15.75">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row>
    <row r="921" spans="1:25" ht="15.75">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row>
    <row r="922" spans="1:25" ht="15.75">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row>
    <row r="923" spans="1:25" ht="15.75">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row>
    <row r="924" spans="1:25" ht="15.75">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row>
    <row r="925" spans="1:25" ht="15.75">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row>
    <row r="926" spans="1:25" ht="15.75">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row>
    <row r="927" spans="1:25" ht="15.75">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row>
    <row r="928" spans="1:25" ht="15.75">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row>
    <row r="929" spans="1:25" ht="15.75">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row>
    <row r="930" spans="1:25" ht="15.75">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row>
    <row r="931" spans="1:25" ht="15.75">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row>
    <row r="932" spans="1:25" ht="15.75">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row>
    <row r="933" spans="1:25" ht="15.75">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row>
    <row r="934" spans="1:25" ht="15.75">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row>
    <row r="935" spans="1:25" ht="15.75">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row>
    <row r="936" spans="1:25" ht="15.75">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row>
    <row r="937" spans="1:25" ht="15.75">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row>
    <row r="938" spans="1:25" ht="15.75">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row>
    <row r="939" spans="1:25" ht="15.75">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row>
    <row r="940" spans="1:25" ht="15.75">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row>
    <row r="941" spans="1:25" ht="15.75">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row>
    <row r="942" spans="1:25" ht="15.75">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row>
    <row r="943" spans="1:25" ht="15.75">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row>
    <row r="944" spans="1:25" ht="15.75">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row>
    <row r="945" spans="1:25" ht="15.75">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row>
    <row r="946" spans="1:25" ht="15.75">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row>
    <row r="947" spans="1:25" ht="15.75">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row>
    <row r="948" spans="1:25" ht="15.75">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row>
    <row r="949" spans="1:25" ht="15.75">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row>
    <row r="950" spans="1:25" ht="15.75">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row>
    <row r="951" spans="1:25" ht="15.75">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row>
    <row r="952" spans="1:25" ht="15.75">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row>
    <row r="953" spans="1:25" ht="15.75">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row>
    <row r="954" spans="1:25" ht="15.75">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row>
    <row r="955" spans="1:25" ht="15.75">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row>
    <row r="956" spans="1:25" ht="15.75">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row>
    <row r="957" spans="1:25" ht="15.75">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row>
    <row r="958" spans="1:25" ht="15.75">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row>
    <row r="959" spans="1:25" ht="15.75">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row>
    <row r="960" spans="1:25" ht="15.75">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row>
    <row r="961" spans="1:25" ht="15.75">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row>
    <row r="962" spans="1:25" ht="15.75">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row>
    <row r="963" spans="1:25" ht="15.75">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row>
    <row r="964" spans="1:25" ht="15.75">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row>
    <row r="965" spans="1:25" ht="15.75">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row>
    <row r="966" spans="1:25" ht="15.75">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row>
    <row r="967" spans="1:25" ht="15.75">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row>
    <row r="968" spans="1:25" ht="15.75">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row>
    <row r="969" spans="1:25" ht="15.75">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row>
    <row r="970" spans="1:25" ht="15.75">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row>
    <row r="971" spans="1:25" ht="15.75">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row>
    <row r="972" spans="1:25" ht="15.75">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row>
    <row r="973" spans="1:25" ht="15.75">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row>
    <row r="974" spans="1:25" ht="15.75">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row>
    <row r="975" spans="1:25" ht="15.75">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row>
    <row r="976" spans="1:25" ht="15.75">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row>
    <row r="977" spans="1:25" ht="15.75">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row>
    <row r="978" spans="1:25" ht="15.75">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row>
    <row r="979" spans="1:25" ht="15.75">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row>
    <row r="980" spans="1:25" ht="15.75">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row>
    <row r="981" spans="1:25" ht="15.75">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row>
    <row r="982" spans="1:25" ht="15.75">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row>
    <row r="983" spans="1:25" ht="15.75">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row>
    <row r="984" spans="1:25" ht="15.75">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row>
    <row r="985" spans="1:25" ht="15.75">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row>
    <row r="986" spans="1:25" ht="15.75">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row>
    <row r="987" spans="1:25" ht="15.75">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row>
    <row r="988" spans="1:25" ht="15.75">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row>
    <row r="989" spans="1:25" ht="15.75">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row>
    <row r="990" spans="1:25" ht="15.75">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row>
    <row r="991" spans="1:25" ht="15.75">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row>
    <row r="992" spans="1:25" ht="15.75">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row>
    <row r="993" spans="1:25" ht="15.75">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row>
    <row r="994" spans="1:25" ht="15.75">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row>
    <row r="995" spans="1:25" ht="15.75">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row>
    <row r="996" spans="1:25" ht="15.75">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row>
    <row r="997" spans="1:25" ht="15.75">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row>
    <row r="998" spans="1:25" ht="15.75">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row>
    <row r="999" spans="1:25" ht="15.75">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row>
    <row r="1000" spans="1:25" ht="15.75">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row>
    <row r="1001" spans="1:25" ht="15.75">
      <c r="A1001" s="80"/>
      <c r="B1001" s="80"/>
      <c r="C1001" s="80"/>
      <c r="D1001" s="80"/>
      <c r="E1001" s="80"/>
      <c r="F1001" s="80"/>
      <c r="G1001" s="80"/>
      <c r="H1001" s="80"/>
      <c r="I1001" s="80"/>
      <c r="J1001" s="80"/>
      <c r="K1001" s="80"/>
      <c r="L1001" s="80"/>
      <c r="M1001" s="80"/>
      <c r="N1001" s="80"/>
      <c r="O1001" s="80"/>
      <c r="P1001" s="80"/>
      <c r="Q1001" s="80"/>
      <c r="R1001" s="80"/>
      <c r="S1001" s="80"/>
      <c r="T1001" s="80"/>
      <c r="U1001" s="80"/>
      <c r="V1001" s="80"/>
      <c r="W1001" s="80"/>
      <c r="X1001" s="80"/>
      <c r="Y1001" s="80"/>
    </row>
    <row r="1002" spans="1:25" ht="15.75">
      <c r="A1002" s="80"/>
      <c r="B1002" s="80"/>
      <c r="C1002" s="80"/>
      <c r="D1002" s="80"/>
      <c r="E1002" s="80"/>
      <c r="F1002" s="80"/>
      <c r="G1002" s="80"/>
      <c r="H1002" s="80"/>
      <c r="I1002" s="80"/>
      <c r="J1002" s="80"/>
      <c r="K1002" s="80"/>
      <c r="L1002" s="80"/>
      <c r="M1002" s="80"/>
      <c r="N1002" s="80"/>
      <c r="O1002" s="80"/>
      <c r="P1002" s="80"/>
      <c r="Q1002" s="80"/>
      <c r="R1002" s="80"/>
      <c r="S1002" s="80"/>
      <c r="T1002" s="80"/>
      <c r="U1002" s="80"/>
      <c r="V1002" s="80"/>
      <c r="W1002" s="80"/>
      <c r="X1002" s="80"/>
      <c r="Y1002" s="80"/>
    </row>
    <row r="1003" spans="1:25" ht="15.75">
      <c r="A1003" s="80"/>
      <c r="B1003" s="80"/>
      <c r="C1003" s="80"/>
      <c r="D1003" s="80"/>
      <c r="E1003" s="80"/>
      <c r="F1003" s="80"/>
      <c r="G1003" s="80"/>
      <c r="H1003" s="80"/>
      <c r="I1003" s="80"/>
      <c r="J1003" s="80"/>
      <c r="K1003" s="80"/>
      <c r="L1003" s="80"/>
      <c r="M1003" s="80"/>
      <c r="N1003" s="80"/>
      <c r="O1003" s="80"/>
      <c r="P1003" s="80"/>
      <c r="Q1003" s="80"/>
      <c r="R1003" s="80"/>
      <c r="S1003" s="80"/>
      <c r="T1003" s="80"/>
      <c r="U1003" s="80"/>
      <c r="V1003" s="80"/>
      <c r="W1003" s="80"/>
      <c r="X1003" s="80"/>
      <c r="Y1003" s="80"/>
    </row>
  </sheetData>
  <mergeCells count="3">
    <mergeCell ref="B26:H26"/>
    <mergeCell ref="B32:H32"/>
    <mergeCell ref="C1:H1"/>
  </mergeCells>
  <hyperlinks>
    <hyperlink ref="B1" location="Index!A1" display="Index!A1"/>
  </hyperlinks>
  <pageMargins left="0.7" right="0.7" top="0.75" bottom="0.75" header="0.3" footer="0.3"/>
  <pageSetup orientation="portrait" r:id="rId1"/>
  <ignoredErrors>
    <ignoredError sqref="C23:H24" formula="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6D7A8"/>
  </sheetPr>
  <dimension ref="A1:U1005"/>
  <sheetViews>
    <sheetView showGridLines="0" zoomScale="70" zoomScaleNormal="70" workbookViewId="0">
      <pane ySplit="2" topLeftCell="A3" activePane="bottomLeft" state="frozen"/>
      <selection pane="bottomLeft" activeCell="B3" sqref="B3"/>
    </sheetView>
  </sheetViews>
  <sheetFormatPr defaultColWidth="14.33203125" defaultRowHeight="14.25"/>
  <cols>
    <col min="1" max="1" width="8.59765625" customWidth="1"/>
    <col min="2" max="2" width="55.6640625" bestFit="1" customWidth="1"/>
    <col min="3" max="3" width="15.33203125" bestFit="1" customWidth="1"/>
    <col min="4" max="4" width="16" bestFit="1" customWidth="1"/>
    <col min="5" max="8" width="17.33203125" bestFit="1" customWidth="1"/>
    <col min="9" max="9" width="17.33203125" customWidth="1"/>
    <col min="10" max="10" width="50.796875" bestFit="1" customWidth="1"/>
    <col min="11" max="15" width="9.6640625" bestFit="1" customWidth="1"/>
    <col min="16" max="21" width="8.796875" customWidth="1"/>
  </cols>
  <sheetData>
    <row r="1" spans="1:21" ht="18">
      <c r="B1" s="1210" t="s">
        <v>0</v>
      </c>
      <c r="C1" s="1331" t="s">
        <v>916</v>
      </c>
      <c r="D1" s="1324"/>
      <c r="E1" s="1324"/>
      <c r="F1" s="1324"/>
      <c r="G1" s="1324"/>
      <c r="H1" s="1324"/>
      <c r="I1" s="363"/>
      <c r="J1" s="363"/>
      <c r="K1" s="363"/>
      <c r="L1" s="363"/>
      <c r="M1" s="363"/>
      <c r="N1" s="363"/>
      <c r="O1" s="363"/>
      <c r="P1" s="363"/>
      <c r="Q1" s="363"/>
      <c r="R1" s="363"/>
      <c r="S1" s="363"/>
      <c r="T1" s="363"/>
      <c r="U1" s="363"/>
    </row>
    <row r="2" spans="1:21" ht="18.399999999999999" thickBot="1">
      <c r="A2" s="363"/>
      <c r="B2" s="911" t="s">
        <v>329</v>
      </c>
      <c r="C2" s="1006" t="s">
        <v>354</v>
      </c>
      <c r="D2" s="1012" t="s">
        <v>4</v>
      </c>
      <c r="E2" s="1006" t="s">
        <v>61</v>
      </c>
      <c r="F2" s="1006" t="s">
        <v>63</v>
      </c>
      <c r="G2" s="1006" t="s">
        <v>65</v>
      </c>
      <c r="H2" s="1006" t="s">
        <v>67</v>
      </c>
      <c r="J2" s="911" t="s">
        <v>356</v>
      </c>
      <c r="K2" s="1006" t="s">
        <v>4</v>
      </c>
      <c r="L2" s="1012" t="s">
        <v>61</v>
      </c>
      <c r="M2" s="1006" t="s">
        <v>63</v>
      </c>
      <c r="N2" s="1006" t="s">
        <v>65</v>
      </c>
      <c r="O2" s="1006" t="s">
        <v>67</v>
      </c>
      <c r="P2" s="363"/>
      <c r="Q2" s="363"/>
      <c r="R2" s="363"/>
      <c r="S2" s="363"/>
      <c r="T2" s="363"/>
      <c r="U2" s="363"/>
    </row>
    <row r="3" spans="1:21" ht="18">
      <c r="A3" s="363"/>
      <c r="B3" s="1013" t="s">
        <v>359</v>
      </c>
      <c r="C3" s="1014"/>
      <c r="D3" s="1015"/>
      <c r="E3" s="1016"/>
      <c r="F3" s="1016"/>
      <c r="G3" s="1016"/>
      <c r="H3" s="1017"/>
      <c r="I3" s="363"/>
      <c r="J3" s="1013" t="s">
        <v>359</v>
      </c>
      <c r="K3" s="1014"/>
      <c r="L3" s="1015"/>
      <c r="M3" s="1016"/>
      <c r="N3" s="1016"/>
      <c r="O3" s="1017"/>
      <c r="P3" s="363"/>
      <c r="Q3" s="363"/>
      <c r="R3" s="363"/>
      <c r="S3" s="363"/>
      <c r="T3" s="363"/>
      <c r="U3" s="363"/>
    </row>
    <row r="4" spans="1:21" ht="18">
      <c r="A4" s="363"/>
      <c r="B4" s="1018" t="s">
        <v>361</v>
      </c>
      <c r="C4" s="914">
        <f>'FE Assumptions'!B10</f>
        <v>161984.17953037069</v>
      </c>
      <c r="D4" s="915">
        <f>'FE Assumptions'!$B$67*('FE Income Statement'!D$3+'FE Income Statement'!D$4)</f>
        <v>421646.12212662166</v>
      </c>
      <c r="E4" s="915">
        <f>'FE Assumptions'!$B$67*('FE Income Statement'!E$3+'FE Income Statement'!E$4)</f>
        <v>559855.21978125803</v>
      </c>
      <c r="F4" s="915">
        <f>'FE Assumptions'!$B$67*('FE Income Statement'!F$3+'FE Income Statement'!F$4)</f>
        <v>979493.28458429873</v>
      </c>
      <c r="G4" s="915">
        <f>'FE Assumptions'!$B$67*('FE Income Statement'!G$3+'FE Income Statement'!G$4)</f>
        <v>1460250.9374042866</v>
      </c>
      <c r="H4" s="1019">
        <f>'FE Assumptions'!$B$67*('FE Income Statement'!H$3+'FE Income Statement'!H$4)</f>
        <v>1757659.1128729829</v>
      </c>
      <c r="I4" s="363"/>
      <c r="J4" s="1018" t="s">
        <v>361</v>
      </c>
      <c r="K4" s="1051">
        <f>D4/('FE Income Statement'!D$3+'FE Income Statement'!D$4)</f>
        <v>0.05</v>
      </c>
      <c r="L4" s="1051">
        <f>E4/('FE Income Statement'!E$3+'FE Income Statement'!E$4)</f>
        <v>0.05</v>
      </c>
      <c r="M4" s="1051">
        <f>F4/('FE Income Statement'!F$3+'FE Income Statement'!F$4)</f>
        <v>0.05</v>
      </c>
      <c r="N4" s="1051">
        <f>G4/('FE Income Statement'!G$3+'FE Income Statement'!G$4)</f>
        <v>0.05</v>
      </c>
      <c r="O4" s="1054">
        <f>H4/('FE Income Statement'!H$3+'FE Income Statement'!H$4)</f>
        <v>0.05</v>
      </c>
      <c r="P4" s="363"/>
      <c r="Q4" s="363"/>
      <c r="R4" s="363"/>
      <c r="S4" s="363"/>
      <c r="T4" s="363"/>
      <c r="U4" s="363"/>
    </row>
    <row r="5" spans="1:21" ht="18">
      <c r="A5" s="363"/>
      <c r="B5" s="1020" t="s">
        <v>366</v>
      </c>
      <c r="C5" s="928">
        <v>0</v>
      </c>
      <c r="D5" s="919">
        <f>(('FE Income Statement'!D$3+'FE Income Statement'!D$4)*'FE Assumptions'!$B$56*'FE Assumptions'!C$72)</f>
        <v>1782604.2673930232</v>
      </c>
      <c r="E5" s="903">
        <f>(('FE Income Statement'!E$3+'FE Income Statement'!E$4)*'FE Assumptions'!$B$56*'FE Assumptions'!D$72)</f>
        <v>2213413.1899766172</v>
      </c>
      <c r="F5" s="903">
        <f>(('FE Income Statement'!F$3+'FE Income Statement'!F$4)*'FE Assumptions'!$B$56*'FE Assumptions'!E$72)</f>
        <v>3345521.0229658023</v>
      </c>
      <c r="G5" s="903">
        <f>(('FE Income Statement'!G$3+'FE Income Statement'!G$4)*'FE Assumptions'!$B$56*'FE Assumptions'!F$72)</f>
        <v>3347440.4568948471</v>
      </c>
      <c r="H5" s="1021">
        <f>(('FE Income Statement'!H$3+'FE Income Statement'!H$4)*'FE Assumptions'!$B$56*'FE Assumptions'!G$72)</f>
        <v>3622923.8435351108</v>
      </c>
      <c r="I5" s="929"/>
      <c r="J5" s="1020" t="s">
        <v>366</v>
      </c>
      <c r="K5" s="1052">
        <f>D5/('FE Income Statement'!D$3+'FE Income Statement'!D$4)</f>
        <v>0.2113862992978863</v>
      </c>
      <c r="L5" s="1052">
        <f>E5/('FE Income Statement'!E$3+'FE Income Statement'!E$4)</f>
        <v>0.1976772843916168</v>
      </c>
      <c r="M5" s="1052">
        <f>F5/('FE Income Statement'!F$3+'FE Income Statement'!F$4)</f>
        <v>0.17077815007101638</v>
      </c>
      <c r="N5" s="1052">
        <f>G5/('FE Income Statement'!G$3+'FE Income Statement'!G$4)</f>
        <v>0.11461867173477704</v>
      </c>
      <c r="O5" s="1055">
        <f>H5/('FE Income Statement'!H$3+'FE Income Statement'!H$4)</f>
        <v>0.10306104912497106</v>
      </c>
      <c r="P5" s="363"/>
      <c r="Q5" s="363"/>
      <c r="R5" s="363"/>
      <c r="S5" s="363"/>
      <c r="T5" s="363"/>
      <c r="U5" s="363"/>
    </row>
    <row r="6" spans="1:21" ht="18">
      <c r="A6" s="363"/>
      <c r="B6" s="1018" t="s">
        <v>376</v>
      </c>
      <c r="C6" s="914">
        <v>0</v>
      </c>
      <c r="D6" s="915">
        <f>('FE Income Statement'!D$3+'FE Income Statement'!D$4)*'FE Assumptions'!$B$56*(1-'FE Assumptions'!C$72)</f>
        <v>179444.18564506937</v>
      </c>
      <c r="E6" s="915">
        <f>('FE Income Statement'!E$3+'FE Income Statement'!E$4)*'FE Assumptions'!$B$56*(1-'FE Assumptions'!D$72)</f>
        <v>391764.49399422406</v>
      </c>
      <c r="F6" s="915">
        <f>('FE Income Statement'!F$3+'FE Income Statement'!F$4)*'FE Assumptions'!$B$56*(1-'FE Assumptions'!E$72)</f>
        <v>1212361.0087411019</v>
      </c>
      <c r="G6" s="915">
        <f>('FE Income Statement'!G$3+'FE Income Statement'!G$4)*'FE Assumptions'!$B$56*(1-'FE Assumptions'!F$72)</f>
        <v>3447554.0715289474</v>
      </c>
      <c r="H6" s="1019">
        <f>('FE Income Statement'!H$3+'FE Income Statement'!H$4)*'FE Assumptions'!$B$56*(1-'FE Assumptions'!G$72)</f>
        <v>4556001.948518334</v>
      </c>
      <c r="I6" s="363"/>
      <c r="J6" s="1018" t="s">
        <v>376</v>
      </c>
      <c r="K6" s="1051">
        <f>D6/('FE Income Statement'!D$3+'FE Income Statement'!D$4)</f>
        <v>2.1279003437766911E-2</v>
      </c>
      <c r="L6" s="1051">
        <f>E6/('FE Income Statement'!E$3+'FE Income Statement'!E$4)</f>
        <v>3.4988018344036434E-2</v>
      </c>
      <c r="M6" s="1051">
        <f>F6/('FE Income Statement'!F$3+'FE Income Statement'!F$4)</f>
        <v>6.1887152664636867E-2</v>
      </c>
      <c r="N6" s="1051">
        <f>G6/('FE Income Statement'!G$3+'FE Income Statement'!G$4)</f>
        <v>0.1180466310008762</v>
      </c>
      <c r="O6" s="1054">
        <f>H6/('FE Income Statement'!H$3+'FE Income Statement'!H$4)</f>
        <v>0.12960425361068217</v>
      </c>
      <c r="P6" s="363"/>
      <c r="Q6" s="363"/>
      <c r="R6" s="363"/>
      <c r="S6" s="363"/>
      <c r="T6" s="363"/>
      <c r="U6" s="363"/>
    </row>
    <row r="7" spans="1:21" ht="18">
      <c r="A7" s="363"/>
      <c r="B7" s="1020" t="s">
        <v>380</v>
      </c>
      <c r="C7" s="928">
        <v>0</v>
      </c>
      <c r="D7" s="919">
        <f t="shared" ref="D7:H7" si="0">SUM(D5:D6)</f>
        <v>1962048.4530380927</v>
      </c>
      <c r="E7" s="903">
        <f t="shared" si="0"/>
        <v>2605177.6839708411</v>
      </c>
      <c r="F7" s="903">
        <f t="shared" si="0"/>
        <v>4557882.0317069041</v>
      </c>
      <c r="G7" s="903">
        <f t="shared" si="0"/>
        <v>6794994.5284237945</v>
      </c>
      <c r="H7" s="1021">
        <f t="shared" si="0"/>
        <v>8178925.7920534443</v>
      </c>
      <c r="I7" s="363"/>
      <c r="J7" s="1020" t="s">
        <v>380</v>
      </c>
      <c r="K7" s="1052">
        <f>D7/('FE Income Statement'!D$3+'FE Income Statement'!D$4)</f>
        <v>0.23266530273565322</v>
      </c>
      <c r="L7" s="1052">
        <f>E7/('FE Income Statement'!E$3+'FE Income Statement'!E$4)</f>
        <v>0.23266530273565322</v>
      </c>
      <c r="M7" s="1052">
        <f>F7/('FE Income Statement'!F$3+'FE Income Statement'!F$4)</f>
        <v>0.23266530273565322</v>
      </c>
      <c r="N7" s="1052">
        <f>G7/('FE Income Statement'!G$3+'FE Income Statement'!G$4)</f>
        <v>0.23266530273565322</v>
      </c>
      <c r="O7" s="1055">
        <f>H7/('FE Income Statement'!H$3+'FE Income Statement'!H$4)</f>
        <v>0.23266530273565322</v>
      </c>
      <c r="P7" s="363"/>
      <c r="Q7" s="363"/>
      <c r="R7" s="363"/>
      <c r="S7" s="363"/>
      <c r="T7" s="363"/>
      <c r="U7" s="363"/>
    </row>
    <row r="8" spans="1:21" ht="18">
      <c r="A8" s="363"/>
      <c r="B8" s="1018" t="s">
        <v>385</v>
      </c>
      <c r="C8" s="914">
        <f>ROUND('FE Assumptions'!B59,2)</f>
        <v>64133.73</v>
      </c>
      <c r="D8" s="915">
        <f>'FE Assumptions'!C59</f>
        <v>192401.19026399369</v>
      </c>
      <c r="E8" s="915">
        <f>'FE Assumptions'!D59</f>
        <v>346012.0948514113</v>
      </c>
      <c r="F8" s="915">
        <f>'FE Assumptions'!E59</f>
        <v>625366.06892242236</v>
      </c>
      <c r="G8" s="915">
        <f>'FE Assumptions'!F59</f>
        <v>948158.39338014519</v>
      </c>
      <c r="H8" s="1019">
        <f>'FE Assumptions'!G59</f>
        <v>1149893.8106572214</v>
      </c>
      <c r="I8" s="363"/>
      <c r="J8" s="1018" t="s">
        <v>385</v>
      </c>
      <c r="K8" s="1051">
        <f>D8/('FE Income Statement'!D$3+'FE Income Statement'!D$4)</f>
        <v>2.2815482008182088E-2</v>
      </c>
      <c r="L8" s="1051">
        <f>E8/('FE Income Statement'!E$3+'FE Income Statement'!E$4)</f>
        <v>3.0901926303965006E-2</v>
      </c>
      <c r="M8" s="1051">
        <f>F8/('FE Income Statement'!F$3+'FE Income Statement'!F$4)</f>
        <v>3.192293805198626E-2</v>
      </c>
      <c r="N8" s="1051">
        <f>G8/('FE Income Statement'!G$3+'FE Income Statement'!G$4)</f>
        <v>3.2465597832985235E-2</v>
      </c>
      <c r="O8" s="1054">
        <f>H8/('FE Income Statement'!H$3+'FE Income Statement'!H$4)</f>
        <v>3.2710944978906115E-2</v>
      </c>
      <c r="P8" s="363"/>
      <c r="Q8" s="363"/>
      <c r="R8" s="363"/>
      <c r="S8" s="363"/>
      <c r="T8" s="363"/>
      <c r="U8" s="363"/>
    </row>
    <row r="9" spans="1:21" ht="18">
      <c r="A9" s="363"/>
      <c r="B9" s="1020" t="s">
        <v>868</v>
      </c>
      <c r="C9" s="930">
        <f>ROUND('FE Assumptions'!B60,2)</f>
        <v>26156.17</v>
      </c>
      <c r="D9" s="919">
        <f>'FE Assumptions'!C60</f>
        <v>78468.519483368334</v>
      </c>
      <c r="E9" s="903">
        <f>'FE Assumptions'!D60</f>
        <v>137294.74600144842</v>
      </c>
      <c r="F9" s="903">
        <f>'FE Assumptions'!E60</f>
        <v>225289.06866185713</v>
      </c>
      <c r="G9" s="903">
        <f>'FE Assumptions'!F60</f>
        <v>337242.55357639649</v>
      </c>
      <c r="H9" s="1021">
        <f>'FE Assumptions'!G60</f>
        <v>414937.64199109434</v>
      </c>
      <c r="I9" s="363"/>
      <c r="J9" s="1020" t="s">
        <v>390</v>
      </c>
      <c r="K9" s="1052">
        <f>D9/('FE Income Statement'!D$3+'FE Income Statement'!D$4)</f>
        <v>9.3050208890340502E-3</v>
      </c>
      <c r="L9" s="1052">
        <f>E9/('FE Income Statement'!E$3+'FE Income Statement'!E$4)</f>
        <v>1.2261629538355568E-2</v>
      </c>
      <c r="M9" s="1052">
        <f>F9/('FE Income Statement'!F$3+'FE Income Statement'!F$4)</f>
        <v>1.150028653629161E-2</v>
      </c>
      <c r="N9" s="1052">
        <f>G9/('FE Income Statement'!G$3+'FE Income Statement'!G$4)</f>
        <v>1.1547417808060862E-2</v>
      </c>
      <c r="O9" s="1055">
        <f>H9/('FE Income Statement'!H$3+'FE Income Statement'!H$4)</f>
        <v>1.1803700699188985E-2</v>
      </c>
      <c r="P9" s="363"/>
      <c r="Q9" s="363"/>
      <c r="R9" s="363"/>
      <c r="S9" s="363"/>
      <c r="T9" s="363"/>
      <c r="U9" s="363"/>
    </row>
    <row r="10" spans="1:21" ht="18">
      <c r="A10" s="363"/>
      <c r="B10" s="1022" t="s">
        <v>394</v>
      </c>
      <c r="C10" s="914">
        <f>SUM(C4:C9)</f>
        <v>252274.07953037071</v>
      </c>
      <c r="D10" s="915">
        <f t="shared" ref="D10:H10" si="1">ROUND((D4+D7+D8+D9),0)</f>
        <v>2654564</v>
      </c>
      <c r="E10" s="915">
        <f t="shared" si="1"/>
        <v>3648340</v>
      </c>
      <c r="F10" s="915">
        <f t="shared" si="1"/>
        <v>6388030</v>
      </c>
      <c r="G10" s="915">
        <f t="shared" si="1"/>
        <v>9540646</v>
      </c>
      <c r="H10" s="1019">
        <f t="shared" si="1"/>
        <v>11501416</v>
      </c>
      <c r="I10" s="363"/>
      <c r="J10" s="1022" t="s">
        <v>394</v>
      </c>
      <c r="K10" s="1051">
        <f>D10/('FE Income Statement'!D$3+'FE Income Statement'!D$4)</f>
        <v>0.31478577184718254</v>
      </c>
      <c r="L10" s="1051">
        <f>E10/('FE Income Statement'!E$3+'FE Income Statement'!E$4)</f>
        <v>0.32582888138699945</v>
      </c>
      <c r="M10" s="1051">
        <f>F10/('FE Income Statement'!F$3+'FE Income Statement'!F$4)</f>
        <v>0.32608850415503909</v>
      </c>
      <c r="N10" s="1051">
        <f>G10/('FE Income Statement'!G$3+'FE Income Statement'!G$4)</f>
        <v>0.32667830424266892</v>
      </c>
      <c r="O10" s="1054">
        <f>H10/('FE Income Statement'!H$3+'FE Income Statement'!H$4)</f>
        <v>0.32717993824184582</v>
      </c>
      <c r="P10" s="363"/>
      <c r="Q10" s="363"/>
      <c r="R10" s="363"/>
      <c r="S10" s="363"/>
      <c r="T10" s="363"/>
      <c r="U10" s="363"/>
    </row>
    <row r="11" spans="1:21" ht="18">
      <c r="A11" s="363"/>
      <c r="B11" s="1023" t="s">
        <v>397</v>
      </c>
      <c r="C11" s="928"/>
      <c r="D11" s="919"/>
      <c r="E11" s="903"/>
      <c r="F11" s="903"/>
      <c r="G11" s="903"/>
      <c r="H11" s="1021"/>
      <c r="I11" s="363"/>
      <c r="J11" s="1023" t="s">
        <v>397</v>
      </c>
      <c r="K11" s="1052"/>
      <c r="L11" s="1052"/>
      <c r="M11" s="1052"/>
      <c r="N11" s="1052"/>
      <c r="O11" s="1055"/>
      <c r="P11" s="363"/>
      <c r="Q11" s="363"/>
      <c r="R11" s="363"/>
      <c r="S11" s="363"/>
      <c r="T11" s="363"/>
      <c r="U11" s="363"/>
    </row>
    <row r="12" spans="1:21" ht="18">
      <c r="A12" s="363"/>
      <c r="B12" s="1018" t="s">
        <v>399</v>
      </c>
      <c r="C12" s="914">
        <f>'FE Assumptions'!B5</f>
        <v>78978.997999999992</v>
      </c>
      <c r="D12" s="915">
        <f>ROUND('PPE &amp; Amortization Schedule'!C18,2)</f>
        <v>78979</v>
      </c>
      <c r="E12" s="915">
        <f>ROUND('PPE &amp; Amortization Schedule'!D18,2)</f>
        <v>78979</v>
      </c>
      <c r="F12" s="915">
        <f>ROUND('PPE &amp; Amortization Schedule'!E18,2)</f>
        <v>88118.26</v>
      </c>
      <c r="G12" s="915">
        <f>ROUND('PPE &amp; Amortization Schedule'!F18,2)</f>
        <v>88118.26</v>
      </c>
      <c r="H12" s="1019">
        <f>ROUND('PPE &amp; Amortization Schedule'!G18,2)</f>
        <v>88118.26</v>
      </c>
      <c r="I12" s="363"/>
      <c r="J12" s="1018" t="s">
        <v>399</v>
      </c>
      <c r="K12" s="1051">
        <f>D12/('FE Income Statement'!D$3+'FE Income Statement'!D$4)</f>
        <v>9.3655551249540916E-3</v>
      </c>
      <c r="L12" s="1051">
        <f>E12/('FE Income Statement'!E$3+'FE Income Statement'!E$4)</f>
        <v>7.0535200181627341E-3</v>
      </c>
      <c r="M12" s="1051">
        <f>F12/('FE Income Statement'!F$3+'FE Income Statement'!F$4)</f>
        <v>4.4981553925302186E-3</v>
      </c>
      <c r="N12" s="1051">
        <f>G12/('FE Income Statement'!G$3+'FE Income Statement'!G$4)</f>
        <v>3.0172300439209885E-3</v>
      </c>
      <c r="O12" s="1054">
        <f>H12/('FE Income Statement'!H$3+'FE Income Statement'!H$4)</f>
        <v>2.5066936857843338E-3</v>
      </c>
      <c r="P12" s="363"/>
      <c r="Q12" s="363"/>
      <c r="R12" s="363"/>
      <c r="S12" s="363"/>
      <c r="T12" s="363"/>
      <c r="U12" s="363"/>
    </row>
    <row r="13" spans="1:21" ht="18">
      <c r="A13" s="363"/>
      <c r="B13" s="1020" t="s">
        <v>402</v>
      </c>
      <c r="C13" s="928">
        <v>0</v>
      </c>
      <c r="D13" s="919">
        <f>-'FE Income Statement'!D16</f>
        <v>-15795.8</v>
      </c>
      <c r="E13" s="903">
        <f>D13+-'FE Income Statement'!E16</f>
        <v>-31591.599599999998</v>
      </c>
      <c r="F13" s="903">
        <f>E13+-'FE Income Statement'!F16</f>
        <v>-47387.3992</v>
      </c>
      <c r="G13" s="903">
        <f>F13+-'FE Income Statement'!G16</f>
        <v>-63183.198799999998</v>
      </c>
      <c r="H13" s="1021">
        <f>G13+-'FE Income Statement'!H16</f>
        <v>-78978.998399999997</v>
      </c>
      <c r="I13" s="363"/>
      <c r="J13" s="1020" t="s">
        <v>402</v>
      </c>
      <c r="K13" s="1052">
        <f>D13/('FE Income Statement'!D$3+'FE Income Statement'!D$4)</f>
        <v>-1.873111024990818E-3</v>
      </c>
      <c r="L13" s="1052">
        <f>E13/('FE Income Statement'!E$3+'FE Income Statement'!E$4)</f>
        <v>-2.8214079715415718E-3</v>
      </c>
      <c r="M13" s="1052">
        <f>F13/('FE Income Statement'!F$3+'FE Income Statement'!F$4)</f>
        <v>-2.4189751959407982E-3</v>
      </c>
      <c r="N13" s="1052">
        <f>G13/('FE Income Statement'!G$3+'FE Income Statement'!G$4)</f>
        <v>-2.163436337603495E-3</v>
      </c>
      <c r="O13" s="1055">
        <f>H13/('FE Income Statement'!H$3+'FE Income Statement'!H$4)</f>
        <v>-2.2467097806839471E-3</v>
      </c>
      <c r="P13" s="363"/>
      <c r="Q13" s="363"/>
      <c r="R13" s="363"/>
      <c r="S13" s="363"/>
      <c r="T13" s="363"/>
      <c r="U13" s="363"/>
    </row>
    <row r="14" spans="1:21" ht="18">
      <c r="A14" s="363"/>
      <c r="B14" s="1018" t="s">
        <v>406</v>
      </c>
      <c r="C14" s="914">
        <v>0</v>
      </c>
      <c r="D14" s="915">
        <f>-'FE Income Statement'!D17</f>
        <v>0</v>
      </c>
      <c r="E14" s="915">
        <f>D14+-'FE Income Statement'!E17</f>
        <v>0</v>
      </c>
      <c r="F14" s="915">
        <f>E14+-'FE Income Statement'!F17</f>
        <v>-1827.8528129408005</v>
      </c>
      <c r="G14" s="915">
        <f>F14+-'FE Income Statement'!G17</f>
        <v>-3655.705625881601</v>
      </c>
      <c r="H14" s="1019">
        <f>G14+-'FE Income Statement'!H17</f>
        <v>-5483.5584388224015</v>
      </c>
      <c r="I14" s="363"/>
      <c r="J14" s="1018" t="s">
        <v>406</v>
      </c>
      <c r="K14" s="1051">
        <f>D14/('FE Income Statement'!D$3+'FE Income Statement'!D$4)</f>
        <v>0</v>
      </c>
      <c r="L14" s="1051">
        <f>E14/('FE Income Statement'!E$3+'FE Income Statement'!E$4)</f>
        <v>0</v>
      </c>
      <c r="M14" s="1051">
        <f>F14/('FE Income Statement'!F$3+'FE Income Statement'!F$4)</f>
        <v>-9.330604107799214E-5</v>
      </c>
      <c r="N14" s="1051">
        <f>G14/('FE Income Statement'!G$3+'FE Income Statement'!G$4)</f>
        <v>-1.2517388389354201E-4</v>
      </c>
      <c r="O14" s="1054">
        <f>H14/('FE Income Statement'!H$3+'FE Income Statement'!H$4)</f>
        <v>-1.5599038512818472E-4</v>
      </c>
      <c r="P14" s="363"/>
      <c r="Q14" s="363"/>
      <c r="R14" s="363"/>
      <c r="S14" s="363"/>
      <c r="T14" s="363"/>
      <c r="U14" s="363"/>
    </row>
    <row r="15" spans="1:21" ht="18">
      <c r="A15" s="363"/>
      <c r="B15" s="1020" t="s">
        <v>411</v>
      </c>
      <c r="C15" s="930">
        <f>'FE Assumptions'!B6</f>
        <v>240000</v>
      </c>
      <c r="D15" s="919">
        <f>'PPE &amp; Amortization Schedule'!C30</f>
        <v>240000</v>
      </c>
      <c r="E15" s="903">
        <f>'PPE &amp; Amortization Schedule'!D30</f>
        <v>240000</v>
      </c>
      <c r="F15" s="903">
        <f>'PPE &amp; Amortization Schedule'!E30</f>
        <v>240000</v>
      </c>
      <c r="G15" s="903">
        <f>'PPE &amp; Amortization Schedule'!F30</f>
        <v>240000</v>
      </c>
      <c r="H15" s="1021">
        <f>'PPE &amp; Amortization Schedule'!G30</f>
        <v>240000</v>
      </c>
      <c r="I15" s="363"/>
      <c r="J15" s="1020" t="s">
        <v>411</v>
      </c>
      <c r="K15" s="1052">
        <f>D15/('FE Income Statement'!D$3+'FE Income Statement'!D$4)</f>
        <v>2.8459884652742903E-2</v>
      </c>
      <c r="L15" s="1052">
        <f>E15/('FE Income Statement'!E$3+'FE Income Statement'!E$4)</f>
        <v>2.1434112920637842E-2</v>
      </c>
      <c r="M15" s="1052">
        <f>F15/('FE Income Statement'!F$3+'FE Income Statement'!F$4)</f>
        <v>1.2251232539172388E-2</v>
      </c>
      <c r="N15" s="1052">
        <f>G15/('FE Income Statement'!G$3+'FE Income Statement'!G$4)</f>
        <v>8.217765654258689E-3</v>
      </c>
      <c r="O15" s="1055">
        <f>H15/('FE Income Statement'!H$3+'FE Income Statement'!H$4)</f>
        <v>6.8272624151707057E-3</v>
      </c>
      <c r="P15" s="363"/>
      <c r="Q15" s="363"/>
      <c r="R15" s="363"/>
      <c r="S15" s="363"/>
      <c r="T15" s="363"/>
      <c r="U15" s="363"/>
    </row>
    <row r="16" spans="1:21" ht="18">
      <c r="A16" s="363"/>
      <c r="B16" s="1018" t="s">
        <v>414</v>
      </c>
      <c r="C16" s="914">
        <v>0</v>
      </c>
      <c r="D16" s="915">
        <f>-'PPE &amp; Amortization Schedule'!C$31</f>
        <v>-24000</v>
      </c>
      <c r="E16" s="915">
        <f>D16+-'PPE &amp; Amortization Schedule'!D$31</f>
        <v>-48000</v>
      </c>
      <c r="F16" s="915">
        <f>E16+-'PPE &amp; Amortization Schedule'!E$31</f>
        <v>-72000</v>
      </c>
      <c r="G16" s="915">
        <f>F16+-'PPE &amp; Amortization Schedule'!F$31</f>
        <v>-96000</v>
      </c>
      <c r="H16" s="1019">
        <f>G16+-'PPE &amp; Amortization Schedule'!G$31</f>
        <v>-120000</v>
      </c>
      <c r="I16" s="363"/>
      <c r="J16" s="1018" t="s">
        <v>414</v>
      </c>
      <c r="K16" s="1051">
        <f>D16/('FE Income Statement'!D$3+'FE Income Statement'!D$4)</f>
        <v>-2.8459884652742903E-3</v>
      </c>
      <c r="L16" s="1051">
        <f>E16/('FE Income Statement'!E$3+'FE Income Statement'!E$4)</f>
        <v>-4.2868225841275684E-3</v>
      </c>
      <c r="M16" s="1051">
        <f>F16/('FE Income Statement'!F$3+'FE Income Statement'!F$4)</f>
        <v>-3.6753697617517163E-3</v>
      </c>
      <c r="N16" s="1051">
        <f>G16/('FE Income Statement'!G$3+'FE Income Statement'!G$4)</f>
        <v>-3.2871062617034754E-3</v>
      </c>
      <c r="O16" s="1054">
        <f>H16/('FE Income Statement'!H$3+'FE Income Statement'!H$4)</f>
        <v>-3.4136312075853529E-3</v>
      </c>
      <c r="P16" s="363"/>
      <c r="Q16" s="363"/>
      <c r="R16" s="363"/>
      <c r="S16" s="363"/>
      <c r="T16" s="363"/>
      <c r="U16" s="363"/>
    </row>
    <row r="17" spans="1:21" ht="18">
      <c r="A17" s="363"/>
      <c r="B17" s="1023" t="s">
        <v>420</v>
      </c>
      <c r="C17" s="930">
        <f>SUM(C12:C16)</f>
        <v>318978.99800000002</v>
      </c>
      <c r="D17" s="919">
        <f t="shared" ref="D17:H17" si="2">ROUND((SUM(D12:D16)),0)</f>
        <v>279183</v>
      </c>
      <c r="E17" s="903">
        <f t="shared" si="2"/>
        <v>239387</v>
      </c>
      <c r="F17" s="903">
        <f t="shared" si="2"/>
        <v>206903</v>
      </c>
      <c r="G17" s="903">
        <f t="shared" si="2"/>
        <v>165279</v>
      </c>
      <c r="H17" s="1021">
        <f t="shared" si="2"/>
        <v>123656</v>
      </c>
      <c r="I17" s="363"/>
      <c r="J17" s="1023" t="s">
        <v>420</v>
      </c>
      <c r="K17" s="1052">
        <f>D17/('FE Income Statement'!D$3+'FE Income Statement'!D$4)</f>
        <v>3.3106316570861341E-2</v>
      </c>
      <c r="L17" s="1052">
        <f>E17/('FE Income Statement'!E$3+'FE Income Statement'!E$4)</f>
        <v>2.137936662388638E-2</v>
      </c>
      <c r="M17" s="1052">
        <f>F17/('FE Income Statement'!F$3+'FE Income Statement'!F$4)</f>
        <v>1.0561736525218269E-2</v>
      </c>
      <c r="N17" s="1052">
        <f>G17/('FE Income Statement'!G$3+'FE Income Statement'!G$4)</f>
        <v>5.6592670398759246E-3</v>
      </c>
      <c r="O17" s="1055">
        <f>H17/('FE Income Statement'!H$3+'FE Income Statement'!H$4)</f>
        <v>3.5176331717097866E-3</v>
      </c>
      <c r="P17" s="363"/>
      <c r="Q17" s="363"/>
      <c r="R17" s="363"/>
      <c r="S17" s="363"/>
      <c r="T17" s="363"/>
      <c r="U17" s="363"/>
    </row>
    <row r="18" spans="1:21" ht="18">
      <c r="A18" s="363"/>
      <c r="B18" s="1024" t="s">
        <v>424</v>
      </c>
      <c r="C18" s="914">
        <f t="shared" ref="C18:H18" si="3">ROUND(C17+C10,0)</f>
        <v>571253</v>
      </c>
      <c r="D18" s="915">
        <f t="shared" si="3"/>
        <v>2933747</v>
      </c>
      <c r="E18" s="915">
        <f t="shared" si="3"/>
        <v>3887727</v>
      </c>
      <c r="F18" s="915">
        <f t="shared" si="3"/>
        <v>6594933</v>
      </c>
      <c r="G18" s="915">
        <f t="shared" si="3"/>
        <v>9705925</v>
      </c>
      <c r="H18" s="1019">
        <f t="shared" si="3"/>
        <v>11625072</v>
      </c>
      <c r="I18" s="363"/>
      <c r="J18" s="1024" t="s">
        <v>424</v>
      </c>
      <c r="K18" s="1051">
        <f>D18/('FE Income Statement'!D$3+'FE Income Statement'!D$4)</f>
        <v>0.34789208841804392</v>
      </c>
      <c r="L18" s="1051">
        <f>E18/('FE Income Statement'!E$3+'FE Income Statement'!E$4)</f>
        <v>0.34720824801088579</v>
      </c>
      <c r="M18" s="1051">
        <f>F18/('FE Income Statement'!F$3+'FE Income Statement'!F$4)</f>
        <v>0.3366502406802574</v>
      </c>
      <c r="N18" s="1051">
        <f>G18/('FE Income Statement'!G$3+'FE Income Statement'!G$4)</f>
        <v>0.33233757128254487</v>
      </c>
      <c r="O18" s="1054">
        <f>H18/('FE Income Statement'!H$3+'FE Income Statement'!H$4)</f>
        <v>0.3306975714135556</v>
      </c>
      <c r="P18" s="363"/>
      <c r="Q18" s="363"/>
      <c r="R18" s="363"/>
      <c r="S18" s="363"/>
      <c r="T18" s="363"/>
      <c r="U18" s="363"/>
    </row>
    <row r="19" spans="1:21" ht="18">
      <c r="A19" s="363"/>
      <c r="B19" s="1025"/>
      <c r="C19" s="930"/>
      <c r="D19" s="919"/>
      <c r="E19" s="903"/>
      <c r="F19" s="903"/>
      <c r="G19" s="903"/>
      <c r="H19" s="1021"/>
      <c r="I19" s="363"/>
      <c r="J19" s="1025"/>
      <c r="K19" s="1052"/>
      <c r="L19" s="1052"/>
      <c r="M19" s="1052"/>
      <c r="N19" s="1052"/>
      <c r="O19" s="1055"/>
      <c r="P19" s="363"/>
      <c r="Q19" s="363"/>
      <c r="R19" s="363"/>
      <c r="S19" s="363"/>
      <c r="T19" s="363"/>
      <c r="U19" s="363"/>
    </row>
    <row r="20" spans="1:21" ht="18">
      <c r="A20" s="363"/>
      <c r="B20" s="1022" t="s">
        <v>427</v>
      </c>
      <c r="C20" s="914"/>
      <c r="D20" s="915"/>
      <c r="E20" s="915"/>
      <c r="F20" s="915"/>
      <c r="G20" s="915"/>
      <c r="H20" s="1019"/>
      <c r="I20" s="363"/>
      <c r="J20" s="1022" t="s">
        <v>427</v>
      </c>
      <c r="K20" s="1051"/>
      <c r="L20" s="1051"/>
      <c r="M20" s="1051"/>
      <c r="N20" s="1051"/>
      <c r="O20" s="1054"/>
      <c r="P20" s="363"/>
      <c r="Q20" s="363"/>
      <c r="R20" s="363"/>
      <c r="S20" s="363"/>
      <c r="T20" s="363"/>
      <c r="U20" s="363"/>
    </row>
    <row r="21" spans="1:21" ht="18">
      <c r="A21" s="363"/>
      <c r="B21" s="1020" t="s">
        <v>429</v>
      </c>
      <c r="C21" s="930">
        <f>'FE Income Statement'!C8*(C39/'FE Assumptions'!B73)</f>
        <v>0</v>
      </c>
      <c r="D21" s="919">
        <f>'FE Income Statement'!D8*'FE Assumptions'!$B$57</f>
        <v>1740538.786353871</v>
      </c>
      <c r="E21" s="903">
        <f>'FE Income Statement'!E8*'FE Assumptions'!$B$57</f>
        <v>2352091.4787391685</v>
      </c>
      <c r="F21" s="903">
        <f>'FE Income Statement'!F8*'FE Assumptions'!$B$57</f>
        <v>4081712.0182130546</v>
      </c>
      <c r="G21" s="903">
        <f>'FE Income Statement'!G8*'FE Assumptions'!$B$57</f>
        <v>6208442.1600875026</v>
      </c>
      <c r="H21" s="1021">
        <f>'FE Income Statement'!H8*'FE Assumptions'!$B$57</f>
        <v>7555441.4445127286</v>
      </c>
      <c r="I21" s="363"/>
      <c r="J21" s="1020" t="s">
        <v>429</v>
      </c>
      <c r="K21" s="1052">
        <f>D21/('FE Income Statement'!D$3+'FE Income Statement'!D$4)</f>
        <v>0.20639805455523455</v>
      </c>
      <c r="L21" s="1052">
        <f>E21/('FE Income Statement'!E$3+'FE Income Statement'!E$4)</f>
        <v>0.2100624764790224</v>
      </c>
      <c r="M21" s="1052">
        <f>F21/('FE Income Statement'!F$3+'FE Income Statement'!F$4)</f>
        <v>0.20835834622109489</v>
      </c>
      <c r="N21" s="1052">
        <f>G21/('FE Income Statement'!G$3+'FE Income Statement'!G$4)</f>
        <v>0.21258134479007793</v>
      </c>
      <c r="O21" s="1055">
        <f>H21/('FE Income Statement'!H$3+'FE Income Statement'!H$4)</f>
        <v>0.21492908918393672</v>
      </c>
      <c r="P21" s="363"/>
      <c r="Q21" s="363"/>
      <c r="R21" s="363"/>
      <c r="S21" s="363"/>
      <c r="T21" s="363"/>
      <c r="U21" s="363"/>
    </row>
    <row r="22" spans="1:21" ht="18">
      <c r="A22" s="363"/>
      <c r="B22" s="1018" t="s">
        <v>427</v>
      </c>
      <c r="C22" s="914">
        <f t="shared" ref="C22:H22" si="4">ROUND(C21,2)</f>
        <v>0</v>
      </c>
      <c r="D22" s="915">
        <f t="shared" si="4"/>
        <v>1740538.79</v>
      </c>
      <c r="E22" s="915">
        <f t="shared" si="4"/>
        <v>2352091.48</v>
      </c>
      <c r="F22" s="915">
        <f t="shared" si="4"/>
        <v>4081712.02</v>
      </c>
      <c r="G22" s="915">
        <f t="shared" si="4"/>
        <v>6208442.1600000001</v>
      </c>
      <c r="H22" s="1019">
        <f t="shared" si="4"/>
        <v>7555441.4400000004</v>
      </c>
      <c r="I22" s="363"/>
      <c r="J22" s="1018" t="s">
        <v>427</v>
      </c>
      <c r="K22" s="1051">
        <f>D22/('FE Income Statement'!D$3+'FE Income Statement'!D$4)</f>
        <v>0.20639805498760294</v>
      </c>
      <c r="L22" s="1051">
        <f>E22/('FE Income Statement'!E$3+'FE Income Statement'!E$4)</f>
        <v>0.21006247659162577</v>
      </c>
      <c r="M22" s="1051">
        <f>F22/('FE Income Statement'!F$3+'FE Income Statement'!F$4)</f>
        <v>0.20835834631231273</v>
      </c>
      <c r="N22" s="1051">
        <f>G22/('FE Income Statement'!G$3+'FE Income Statement'!G$4)</f>
        <v>0.21258134478708179</v>
      </c>
      <c r="O22" s="1054">
        <f>H22/('FE Income Statement'!H$3+'FE Income Statement'!H$4)</f>
        <v>0.21492908905556349</v>
      </c>
      <c r="P22" s="363"/>
      <c r="Q22" s="363"/>
      <c r="R22" s="363"/>
      <c r="S22" s="363"/>
      <c r="T22" s="363"/>
      <c r="U22" s="363"/>
    </row>
    <row r="23" spans="1:21" ht="18">
      <c r="A23" s="363"/>
      <c r="B23" s="1023" t="s">
        <v>435</v>
      </c>
      <c r="C23" s="930"/>
      <c r="D23" s="919"/>
      <c r="E23" s="903"/>
      <c r="F23" s="903"/>
      <c r="G23" s="903"/>
      <c r="H23" s="1021"/>
      <c r="I23" s="363"/>
      <c r="J23" s="1023" t="s">
        <v>435</v>
      </c>
      <c r="K23" s="1052">
        <f>D23/('FE Income Statement'!D$3+'FE Income Statement'!D$4)</f>
        <v>0</v>
      </c>
      <c r="L23" s="1052">
        <f>E23/('FE Income Statement'!E$3+'FE Income Statement'!E$4)</f>
        <v>0</v>
      </c>
      <c r="M23" s="1052">
        <f>F23/('FE Income Statement'!F$3+'FE Income Statement'!F$4)</f>
        <v>0</v>
      </c>
      <c r="N23" s="1052">
        <f>G23/('FE Income Statement'!G$3+'FE Income Statement'!G$4)</f>
        <v>0</v>
      </c>
      <c r="O23" s="1055">
        <f>H23/('FE Income Statement'!H$3+'FE Income Statement'!H$4)</f>
        <v>0</v>
      </c>
      <c r="P23" s="363"/>
      <c r="Q23" s="363"/>
      <c r="R23" s="363"/>
      <c r="S23" s="363"/>
      <c r="T23" s="363"/>
      <c r="U23" s="363"/>
    </row>
    <row r="24" spans="1:21" ht="18">
      <c r="A24" s="363"/>
      <c r="B24" s="1018" t="s">
        <v>441</v>
      </c>
      <c r="C24" s="914">
        <f>-'FE Cash Flow'!D10</f>
        <v>858030.18312499998</v>
      </c>
      <c r="D24" s="915">
        <f>-IF('FE Cash Flow'!E10&lt;0,'FE Cash Flow'!E10,0)+'FE Balance Sheet'!C24</f>
        <v>1159590.1557106266</v>
      </c>
      <c r="E24" s="915">
        <f>-IF('FE Cash Flow'!F10&lt;0,'FE Cash Flow'!F10,0)+'FE Balance Sheet'!D24</f>
        <v>1159590.1557106266</v>
      </c>
      <c r="F24" s="915">
        <f>-IF('FE Cash Flow'!G10&lt;0,'FE Cash Flow'!G10,0)+'FE Balance Sheet'!E24</f>
        <v>1159590.1557106266</v>
      </c>
      <c r="G24" s="915">
        <f>-IF('FE Cash Flow'!H10&lt;0,'FE Cash Flow'!H10,0)+'FE Balance Sheet'!F24</f>
        <v>1159590.1557106266</v>
      </c>
      <c r="H24" s="1019">
        <f>-IF('FE Cash Flow'!I10&lt;0,'FE Cash Flow'!I10,0)+'FE Balance Sheet'!G24</f>
        <v>1159590.1557106266</v>
      </c>
      <c r="I24" s="363"/>
      <c r="J24" s="1018" t="s">
        <v>441</v>
      </c>
      <c r="K24" s="1051">
        <f>D24/('FE Income Statement'!D$3+'FE Income Statement'!D$4)</f>
        <v>0.13750750864991923</v>
      </c>
      <c r="L24" s="1051">
        <f>E24/('FE Income Statement'!E$3+'FE Income Statement'!E$4)</f>
        <v>0.10356160974650662</v>
      </c>
      <c r="M24" s="1051">
        <f>F24/('FE Income Statement'!F$3+'FE Income Statement'!F$4)</f>
        <v>5.9193369365608352E-2</v>
      </c>
      <c r="N24" s="1051">
        <f>G24/('FE Income Statement'!G$3+'FE Income Statement'!G$4)</f>
        <v>3.9705167310896967E-2</v>
      </c>
      <c r="O24" s="1054">
        <f>H24/('FE Income Statement'!H$3+'FE Income Statement'!H$4)</f>
        <v>3.2986776196187943E-2</v>
      </c>
      <c r="P24" s="363"/>
      <c r="Q24" s="363"/>
      <c r="R24" s="363"/>
      <c r="S24" s="363"/>
      <c r="T24" s="363"/>
      <c r="U24" s="363"/>
    </row>
    <row r="25" spans="1:21" ht="18">
      <c r="A25" s="363"/>
      <c r="B25" s="1020" t="s">
        <v>918</v>
      </c>
      <c r="C25" s="930">
        <f>'FE Income Statement'!C29</f>
        <v>-286777.105125</v>
      </c>
      <c r="D25" s="919">
        <f>'FE Income Statement'!D29+C25</f>
        <v>33618.252289373428</v>
      </c>
      <c r="E25" s="903">
        <f>'FE Income Statement'!E29+D25</f>
        <v>376045.76268937346</v>
      </c>
      <c r="F25" s="903">
        <f>'FE Income Statement'!F29+E25</f>
        <v>1353630.8302764327</v>
      </c>
      <c r="G25" s="903">
        <f>'FE Income Statement'!G29+F25</f>
        <v>2337893.037863492</v>
      </c>
      <c r="H25" s="1021">
        <f>'FE Income Statement'!H29+G25</f>
        <v>2910040.105450551</v>
      </c>
      <c r="I25" s="363"/>
      <c r="J25" s="1020" t="s">
        <v>447</v>
      </c>
      <c r="K25" s="1052">
        <f>D25/('FE Income Statement'!D$3+'FE Income Statement'!D$4)</f>
        <v>3.9865482599265745E-3</v>
      </c>
      <c r="L25" s="1052">
        <f>E25/('FE Income Statement'!E$3+'FE Income Statement'!E$4)</f>
        <v>3.3584197253380882E-2</v>
      </c>
      <c r="M25" s="1052">
        <f>F25/('FE Income Statement'!F$3+'FE Income Statement'!F$4)</f>
        <v>6.9098525307956529E-2</v>
      </c>
      <c r="N25" s="1052">
        <f>G25/('FE Income Statement'!G$3+'FE Income Statement'!G$4)</f>
        <v>8.0051071291187978E-2</v>
      </c>
      <c r="O25" s="1055">
        <f>H25/('FE Income Statement'!H$3+'FE Income Statement'!H$4)</f>
        <v>8.2781697660758102E-2</v>
      </c>
      <c r="P25" s="363"/>
      <c r="Q25" s="363"/>
      <c r="R25" s="363"/>
      <c r="S25" s="363"/>
      <c r="T25" s="363"/>
      <c r="U25" s="363"/>
    </row>
    <row r="26" spans="1:21" ht="18">
      <c r="A26" s="363"/>
      <c r="B26" s="1022" t="s">
        <v>448</v>
      </c>
      <c r="C26" s="914">
        <f>ROUND(SUM(C24:C25),2)</f>
        <v>571253.07999999996</v>
      </c>
      <c r="D26" s="915">
        <f t="shared" ref="D26:H26" si="5">SUM(D24:D25)</f>
        <v>1193208.4080000001</v>
      </c>
      <c r="E26" s="915">
        <f t="shared" si="5"/>
        <v>1535635.9184000001</v>
      </c>
      <c r="F26" s="915">
        <f t="shared" si="5"/>
        <v>2513220.9859870593</v>
      </c>
      <c r="G26" s="915">
        <f t="shared" si="5"/>
        <v>3497483.1935741184</v>
      </c>
      <c r="H26" s="1019">
        <f t="shared" si="5"/>
        <v>4069630.2611611774</v>
      </c>
      <c r="I26" s="363"/>
      <c r="J26" s="1022" t="s">
        <v>448</v>
      </c>
      <c r="K26" s="1051">
        <f>D26/('FE Income Statement'!D$3+'FE Income Statement'!D$4)</f>
        <v>0.14149405690984582</v>
      </c>
      <c r="L26" s="1051">
        <f>E26/('FE Income Statement'!E$3+'FE Income Statement'!E$4)</f>
        <v>0.13714580699988752</v>
      </c>
      <c r="M26" s="1051">
        <f>F26/('FE Income Statement'!F$3+'FE Income Statement'!F$4)</f>
        <v>0.12829189467356489</v>
      </c>
      <c r="N26" s="1051">
        <f>G26/('FE Income Statement'!G$3+'FE Income Statement'!G$4)</f>
        <v>0.11975623860208494</v>
      </c>
      <c r="O26" s="1054">
        <f>H26/('FE Income Statement'!H$3+'FE Income Statement'!H$4)</f>
        <v>0.11576847385694604</v>
      </c>
      <c r="P26" s="363"/>
      <c r="Q26" s="363"/>
      <c r="R26" s="363"/>
      <c r="S26" s="363"/>
      <c r="T26" s="363"/>
      <c r="U26" s="363"/>
    </row>
    <row r="27" spans="1:21" ht="18.399999999999999" thickBot="1">
      <c r="A27" s="363"/>
      <c r="B27" s="1026" t="s">
        <v>450</v>
      </c>
      <c r="C27" s="1027">
        <f t="shared" ref="C27:H27" si="6">ROUND(C22+C26,0)</f>
        <v>571253</v>
      </c>
      <c r="D27" s="1028">
        <f t="shared" si="6"/>
        <v>2933747</v>
      </c>
      <c r="E27" s="906">
        <f t="shared" si="6"/>
        <v>3887727</v>
      </c>
      <c r="F27" s="906">
        <f t="shared" si="6"/>
        <v>6594933</v>
      </c>
      <c r="G27" s="906">
        <f t="shared" si="6"/>
        <v>9705925</v>
      </c>
      <c r="H27" s="1029">
        <f t="shared" si="6"/>
        <v>11625072</v>
      </c>
      <c r="I27" s="376"/>
      <c r="J27" s="1026" t="s">
        <v>450</v>
      </c>
      <c r="K27" s="1053">
        <f>D27/('FE Income Statement'!D$3+'FE Income Statement'!D$4)</f>
        <v>0.34789208841804392</v>
      </c>
      <c r="L27" s="1053">
        <f>E27/('FE Income Statement'!E$3+'FE Income Statement'!E$4)</f>
        <v>0.34720824801088579</v>
      </c>
      <c r="M27" s="1053">
        <f>F27/('FE Income Statement'!F$3+'FE Income Statement'!F$4)</f>
        <v>0.3366502406802574</v>
      </c>
      <c r="N27" s="1053">
        <f>G27/('FE Income Statement'!G$3+'FE Income Statement'!G$4)</f>
        <v>0.33233757128254487</v>
      </c>
      <c r="O27" s="1056">
        <f>H27/('FE Income Statement'!H$3+'FE Income Statement'!H$4)</f>
        <v>0.3306975714135556</v>
      </c>
      <c r="P27" s="363"/>
      <c r="Q27" s="363"/>
      <c r="R27" s="363"/>
      <c r="S27" s="363"/>
      <c r="T27" s="363"/>
      <c r="U27" s="363"/>
    </row>
    <row r="28" spans="1:21" ht="18.399999999999999" thickBot="1">
      <c r="A28" s="363"/>
      <c r="B28" s="752"/>
      <c r="C28" s="754"/>
      <c r="D28" s="748"/>
      <c r="E28" s="748"/>
      <c r="F28" s="748"/>
      <c r="G28" s="748"/>
      <c r="H28" s="748"/>
      <c r="I28" s="363"/>
      <c r="J28" s="747"/>
      <c r="K28" s="748"/>
      <c r="L28" s="748"/>
      <c r="M28" s="748"/>
      <c r="N28" s="748"/>
      <c r="O28" s="748"/>
      <c r="P28" s="363"/>
      <c r="Q28" s="363"/>
      <c r="R28" s="363"/>
      <c r="S28" s="363"/>
      <c r="T28" s="363"/>
      <c r="U28" s="363"/>
    </row>
    <row r="29" spans="1:21" ht="18">
      <c r="A29" s="363"/>
      <c r="B29" s="1007" t="s">
        <v>452</v>
      </c>
      <c r="C29" s="1008" t="str">
        <f t="shared" ref="C29:H29" si="7">IF(C18=C27,"Balanced","Not Balanced")</f>
        <v>Balanced</v>
      </c>
      <c r="D29" s="1008" t="str">
        <f t="shared" si="7"/>
        <v>Balanced</v>
      </c>
      <c r="E29" s="1008" t="str">
        <f t="shared" si="7"/>
        <v>Balanced</v>
      </c>
      <c r="F29" s="1008" t="str">
        <f t="shared" si="7"/>
        <v>Balanced</v>
      </c>
      <c r="G29" s="1008" t="str">
        <f t="shared" si="7"/>
        <v>Balanced</v>
      </c>
      <c r="H29" s="1009" t="str">
        <f t="shared" si="7"/>
        <v>Balanced</v>
      </c>
      <c r="I29" s="363"/>
      <c r="J29" s="749"/>
      <c r="K29" s="750"/>
      <c r="L29" s="750"/>
      <c r="M29" s="750"/>
      <c r="N29" s="750"/>
      <c r="O29" s="750"/>
      <c r="P29" s="363"/>
      <c r="Q29" s="363"/>
      <c r="R29" s="363"/>
      <c r="S29" s="363"/>
      <c r="T29" s="363"/>
      <c r="U29" s="363"/>
    </row>
    <row r="30" spans="1:21" ht="18.399999999999999" thickBot="1">
      <c r="A30" s="363"/>
      <c r="B30" s="1188"/>
      <c r="C30" s="1010">
        <f t="shared" ref="C30:H30" si="8">ROUND((C18-C27),0)</f>
        <v>0</v>
      </c>
      <c r="D30" s="1010">
        <f t="shared" si="8"/>
        <v>0</v>
      </c>
      <c r="E30" s="1010">
        <f t="shared" si="8"/>
        <v>0</v>
      </c>
      <c r="F30" s="1010">
        <f t="shared" si="8"/>
        <v>0</v>
      </c>
      <c r="G30" s="1010">
        <f t="shared" si="8"/>
        <v>0</v>
      </c>
      <c r="H30" s="1011">
        <f t="shared" si="8"/>
        <v>0</v>
      </c>
      <c r="I30" s="376"/>
      <c r="J30" s="747"/>
      <c r="K30" s="747"/>
      <c r="L30" s="747"/>
      <c r="M30" s="747"/>
      <c r="N30" s="747"/>
      <c r="O30" s="747"/>
      <c r="P30" s="363"/>
      <c r="Q30" s="363"/>
      <c r="R30" s="363"/>
      <c r="S30" s="363"/>
      <c r="T30" s="363"/>
      <c r="U30" s="363"/>
    </row>
    <row r="31" spans="1:21" ht="18">
      <c r="A31" s="363"/>
      <c r="B31" s="752"/>
      <c r="C31" s="751"/>
      <c r="D31" s="753"/>
      <c r="E31" s="753"/>
      <c r="F31" s="753"/>
      <c r="G31" s="753"/>
      <c r="H31" s="753"/>
      <c r="I31" s="376"/>
      <c r="J31" s="363"/>
      <c r="K31" s="363"/>
      <c r="L31" s="363"/>
      <c r="M31" s="363"/>
      <c r="N31" s="363"/>
      <c r="O31" s="363"/>
      <c r="P31" s="363"/>
      <c r="Q31" s="363"/>
      <c r="R31" s="363"/>
      <c r="S31" s="363"/>
      <c r="T31" s="363"/>
      <c r="U31" s="363"/>
    </row>
    <row r="32" spans="1:21" ht="18.399999999999999" thickBot="1">
      <c r="A32" s="363"/>
      <c r="B32" s="752"/>
      <c r="C32" s="1006">
        <v>0</v>
      </c>
      <c r="D32" s="1194">
        <v>1</v>
      </c>
      <c r="E32" s="1006">
        <v>2</v>
      </c>
      <c r="F32" s="1006">
        <v>3</v>
      </c>
      <c r="G32" s="1006">
        <v>4</v>
      </c>
      <c r="H32" s="1006">
        <v>5</v>
      </c>
      <c r="I32" s="376"/>
      <c r="J32" s="363"/>
      <c r="K32" s="363"/>
      <c r="L32" s="363"/>
      <c r="M32" s="363"/>
      <c r="N32" s="363"/>
      <c r="O32" s="363"/>
      <c r="P32" s="363"/>
      <c r="Q32" s="363"/>
      <c r="R32" s="363"/>
      <c r="S32" s="363"/>
      <c r="T32" s="363"/>
      <c r="U32" s="363"/>
    </row>
    <row r="33" spans="1:21" ht="18">
      <c r="A33" s="363"/>
      <c r="B33" s="1013" t="s">
        <v>453</v>
      </c>
      <c r="C33" s="1030">
        <f t="shared" ref="C33:H33" si="9">ROUND(C10-C22,2)</f>
        <v>252274.08</v>
      </c>
      <c r="D33" s="1030">
        <f t="shared" si="9"/>
        <v>914025.21</v>
      </c>
      <c r="E33" s="1030">
        <f t="shared" si="9"/>
        <v>1296248.52</v>
      </c>
      <c r="F33" s="1030">
        <f t="shared" si="9"/>
        <v>2306317.98</v>
      </c>
      <c r="G33" s="1030">
        <f t="shared" si="9"/>
        <v>3332203.84</v>
      </c>
      <c r="H33" s="1033">
        <f t="shared" si="9"/>
        <v>3945974.56</v>
      </c>
      <c r="I33" s="363"/>
      <c r="J33" s="363"/>
      <c r="K33" s="363"/>
      <c r="L33" s="363"/>
      <c r="M33" s="363"/>
      <c r="N33" s="363"/>
      <c r="O33" s="363"/>
      <c r="P33" s="363"/>
      <c r="Q33" s="363"/>
      <c r="R33" s="363"/>
      <c r="S33" s="363"/>
      <c r="T33" s="363"/>
      <c r="U33" s="363"/>
    </row>
    <row r="34" spans="1:21" ht="18.399999999999999" thickBot="1">
      <c r="A34" s="363"/>
      <c r="B34" s="1036" t="s">
        <v>454</v>
      </c>
      <c r="C34" s="1034">
        <f>C33-0</f>
        <v>252274.08</v>
      </c>
      <c r="D34" s="1034">
        <f t="shared" ref="D34:H34" si="10">ROUND(D33-C33,2)</f>
        <v>661751.13</v>
      </c>
      <c r="E34" s="1034">
        <f t="shared" si="10"/>
        <v>382223.31</v>
      </c>
      <c r="F34" s="1034">
        <f t="shared" si="10"/>
        <v>1010069.46</v>
      </c>
      <c r="G34" s="1034">
        <f t="shared" si="10"/>
        <v>1025885.86</v>
      </c>
      <c r="H34" s="1035">
        <f t="shared" si="10"/>
        <v>613770.72</v>
      </c>
      <c r="I34" s="363"/>
      <c r="J34" s="363"/>
      <c r="K34" s="363"/>
      <c r="L34" s="363"/>
      <c r="M34" s="363"/>
      <c r="N34" s="363"/>
      <c r="O34" s="363"/>
      <c r="P34" s="363"/>
      <c r="Q34" s="363"/>
      <c r="R34" s="363"/>
      <c r="S34" s="363"/>
      <c r="T34" s="363"/>
      <c r="U34" s="363"/>
    </row>
    <row r="35" spans="1:21" ht="18.399999999999999" thickBot="1">
      <c r="A35" s="363"/>
      <c r="B35" s="1043"/>
      <c r="C35" s="1031"/>
      <c r="D35" s="1032"/>
      <c r="E35" s="1032"/>
      <c r="F35" s="1032"/>
      <c r="G35" s="1032"/>
      <c r="H35" s="1032"/>
      <c r="I35" s="363"/>
      <c r="J35" s="363"/>
      <c r="K35" s="363"/>
      <c r="L35" s="363"/>
      <c r="M35" s="363"/>
      <c r="N35" s="363"/>
      <c r="O35" s="363"/>
      <c r="P35" s="363"/>
      <c r="Q35" s="363"/>
      <c r="R35" s="363"/>
      <c r="S35" s="363"/>
      <c r="T35" s="363"/>
      <c r="U35" s="363"/>
    </row>
    <row r="36" spans="1:21" ht="18">
      <c r="A36" s="363"/>
      <c r="B36" s="1328" t="s">
        <v>455</v>
      </c>
      <c r="C36" s="1329"/>
      <c r="D36" s="1329"/>
      <c r="E36" s="1329"/>
      <c r="F36" s="1329"/>
      <c r="G36" s="1329"/>
      <c r="H36" s="1330"/>
      <c r="I36" s="363"/>
      <c r="J36" s="363"/>
      <c r="K36" s="363"/>
      <c r="L36" s="363"/>
      <c r="M36" s="363"/>
      <c r="N36" s="363"/>
      <c r="O36" s="363"/>
      <c r="P36" s="363"/>
      <c r="Q36" s="363"/>
      <c r="R36" s="363"/>
      <c r="S36" s="363"/>
      <c r="T36" s="363"/>
      <c r="U36" s="363"/>
    </row>
    <row r="37" spans="1:21" ht="18">
      <c r="A37" s="363"/>
      <c r="B37" s="1044" t="s">
        <v>919</v>
      </c>
      <c r="C37" s="1038"/>
      <c r="D37" s="1042">
        <f>Ratios!C21</f>
        <v>84.92</v>
      </c>
      <c r="E37" s="1042">
        <f>Ratios!D21</f>
        <v>84.92</v>
      </c>
      <c r="F37" s="1042">
        <f>Ratios!E21</f>
        <v>84.92</v>
      </c>
      <c r="G37" s="1042">
        <f>Ratios!F21</f>
        <v>84.92</v>
      </c>
      <c r="H37" s="1045">
        <f>Ratios!G21</f>
        <v>84.92</v>
      </c>
      <c r="I37" s="363"/>
      <c r="J37" s="363"/>
      <c r="K37" s="363"/>
      <c r="L37" s="363"/>
      <c r="M37" s="363"/>
      <c r="N37" s="363"/>
      <c r="O37" s="363"/>
      <c r="P37" s="363"/>
      <c r="Q37" s="363"/>
      <c r="R37" s="363"/>
      <c r="S37" s="363"/>
      <c r="T37" s="363"/>
      <c r="U37" s="363"/>
    </row>
    <row r="38" spans="1:21" ht="18">
      <c r="A38" s="363"/>
      <c r="B38" s="1046" t="s">
        <v>920</v>
      </c>
      <c r="C38" s="1039"/>
      <c r="D38" s="1041">
        <f>'FE Assumptions'!$B$71</f>
        <v>3</v>
      </c>
      <c r="E38" s="1041">
        <f>'FE Assumptions'!$B$71</f>
        <v>3</v>
      </c>
      <c r="F38" s="1041">
        <f>'FE Assumptions'!$B$71</f>
        <v>3</v>
      </c>
      <c r="G38" s="1041">
        <f>'FE Assumptions'!$B$71</f>
        <v>3</v>
      </c>
      <c r="H38" s="1047">
        <f>'FE Assumptions'!$B$71</f>
        <v>3</v>
      </c>
      <c r="I38" s="363"/>
      <c r="J38" s="363"/>
      <c r="K38" s="363"/>
      <c r="L38" s="363"/>
      <c r="M38" s="363"/>
      <c r="N38" s="363"/>
      <c r="O38" s="363"/>
      <c r="P38" s="363"/>
      <c r="Q38" s="363"/>
      <c r="R38" s="363"/>
      <c r="S38" s="363"/>
      <c r="T38" s="363"/>
      <c r="U38" s="363"/>
    </row>
    <row r="39" spans="1:21" ht="18">
      <c r="A39" s="363"/>
      <c r="B39" s="1025" t="s">
        <v>456</v>
      </c>
      <c r="C39" s="1038"/>
      <c r="D39" s="1042">
        <f>Ratios!C22</f>
        <v>91.51</v>
      </c>
      <c r="E39" s="1042">
        <f>Ratios!D22</f>
        <v>91.51</v>
      </c>
      <c r="F39" s="1042">
        <f>Ratios!E22</f>
        <v>91.51</v>
      </c>
      <c r="G39" s="1042">
        <f>Ratios!F22</f>
        <v>91.51</v>
      </c>
      <c r="H39" s="1045">
        <f>Ratios!G22</f>
        <v>91.51</v>
      </c>
      <c r="I39" s="363"/>
      <c r="J39" s="363"/>
      <c r="K39" s="363"/>
      <c r="L39" s="363"/>
      <c r="M39" s="363"/>
      <c r="N39" s="363"/>
      <c r="O39" s="363"/>
      <c r="P39" s="363"/>
      <c r="Q39" s="363"/>
      <c r="R39" s="363"/>
      <c r="S39" s="363"/>
      <c r="T39" s="363"/>
      <c r="U39" s="363"/>
    </row>
    <row r="40" spans="1:21" ht="18.399999999999999" thickBot="1">
      <c r="A40" s="363"/>
      <c r="B40" s="1037" t="s">
        <v>921</v>
      </c>
      <c r="C40" s="1048"/>
      <c r="D40" s="1049">
        <f>(D9/'FE Income Statement'!D8)*'FE Assumptions'!$B$73</f>
        <v>4.1254077037106525</v>
      </c>
      <c r="E40" s="1049">
        <f>(E9/'FE Income Statement'!E8)*'FE Assumptions'!$B$73</f>
        <v>5.3413966744989816</v>
      </c>
      <c r="F40" s="1049">
        <f>(F9/'FE Income Statement'!F8)*'FE Assumptions'!$B$73</f>
        <v>5.0507152182848154</v>
      </c>
      <c r="G40" s="1049">
        <f>(G9/'FE Income Statement'!G8)*'FE Assumptions'!$B$73</f>
        <v>4.9706690887507925</v>
      </c>
      <c r="H40" s="1050">
        <f>(H9/'FE Income Statement'!H8)*'FE Assumptions'!$B$73</f>
        <v>5.0254865242724645</v>
      </c>
      <c r="I40" s="363"/>
      <c r="J40" s="363"/>
      <c r="K40" s="363"/>
      <c r="L40" s="363"/>
      <c r="M40" s="363"/>
      <c r="N40" s="363"/>
      <c r="O40" s="363"/>
      <c r="P40" s="363"/>
      <c r="Q40" s="363"/>
      <c r="R40" s="363"/>
      <c r="S40" s="363"/>
      <c r="T40" s="363"/>
      <c r="U40" s="363"/>
    </row>
    <row r="41" spans="1:21" ht="18">
      <c r="A41" s="363"/>
      <c r="B41" s="363"/>
      <c r="C41" s="376"/>
      <c r="D41" s="376"/>
      <c r="E41" s="376"/>
      <c r="F41" s="376"/>
      <c r="G41" s="376"/>
      <c r="H41" s="376"/>
      <c r="I41" s="363"/>
      <c r="J41" s="363"/>
      <c r="K41" s="363"/>
      <c r="L41" s="363"/>
      <c r="M41" s="363"/>
      <c r="N41" s="363"/>
      <c r="O41" s="363"/>
      <c r="P41" s="363"/>
      <c r="Q41" s="363"/>
      <c r="R41" s="363"/>
      <c r="S41" s="363"/>
      <c r="T41" s="363"/>
      <c r="U41" s="363"/>
    </row>
    <row r="42" spans="1:21" ht="18">
      <c r="A42" s="363"/>
      <c r="B42" s="363"/>
      <c r="C42" s="363"/>
      <c r="D42" s="363"/>
      <c r="E42" s="363"/>
      <c r="F42" s="363"/>
      <c r="G42" s="363"/>
      <c r="H42" s="363"/>
      <c r="I42" s="363"/>
      <c r="J42" s="363"/>
      <c r="K42" s="363"/>
      <c r="L42" s="363"/>
      <c r="M42" s="363"/>
      <c r="N42" s="363"/>
      <c r="O42" s="363"/>
      <c r="P42" s="363"/>
      <c r="Q42" s="363"/>
      <c r="R42" s="363"/>
      <c r="S42" s="363"/>
      <c r="T42" s="363"/>
      <c r="U42" s="363"/>
    </row>
    <row r="43" spans="1:21" ht="18">
      <c r="A43" s="363"/>
      <c r="B43" s="363"/>
      <c r="C43" s="363"/>
      <c r="D43" s="363"/>
      <c r="E43" s="363"/>
      <c r="F43" s="363"/>
      <c r="G43" s="363"/>
      <c r="H43" s="363"/>
      <c r="I43" s="363"/>
      <c r="J43" s="363"/>
      <c r="K43" s="363"/>
      <c r="L43" s="363"/>
      <c r="M43" s="363"/>
      <c r="N43" s="363"/>
      <c r="O43" s="363"/>
      <c r="P43" s="363"/>
      <c r="Q43" s="363"/>
      <c r="R43" s="363"/>
      <c r="S43" s="363"/>
      <c r="T43" s="363"/>
      <c r="U43" s="363"/>
    </row>
    <row r="44" spans="1:21" ht="18">
      <c r="A44" s="363"/>
      <c r="B44" s="363"/>
      <c r="C44" s="363"/>
      <c r="D44" s="363"/>
      <c r="E44" s="363"/>
      <c r="F44" s="363"/>
      <c r="G44" s="363"/>
      <c r="H44" s="363"/>
      <c r="I44" s="363"/>
      <c r="J44" s="363"/>
      <c r="K44" s="363"/>
      <c r="L44" s="363"/>
      <c r="M44" s="363"/>
      <c r="N44" s="363"/>
      <c r="O44" s="363"/>
      <c r="P44" s="363"/>
      <c r="Q44" s="363"/>
      <c r="R44" s="363"/>
      <c r="S44" s="363"/>
      <c r="T44" s="363"/>
      <c r="U44" s="363"/>
    </row>
    <row r="45" spans="1:21" ht="18">
      <c r="A45" s="363"/>
      <c r="B45" s="363"/>
      <c r="C45" s="363"/>
      <c r="D45" s="363"/>
      <c r="E45" s="363"/>
      <c r="F45" s="363"/>
      <c r="G45" s="363"/>
      <c r="H45" s="363"/>
      <c r="I45" s="363"/>
      <c r="J45" s="363"/>
      <c r="K45" s="363"/>
      <c r="L45" s="363"/>
      <c r="M45" s="363"/>
      <c r="N45" s="363"/>
      <c r="O45" s="363"/>
      <c r="P45" s="363"/>
      <c r="Q45" s="363"/>
      <c r="R45" s="363"/>
      <c r="S45" s="363"/>
      <c r="T45" s="363"/>
      <c r="U45" s="363"/>
    </row>
    <row r="46" spans="1:21" ht="18">
      <c r="A46" s="363"/>
      <c r="B46" s="363"/>
      <c r="C46" s="363"/>
      <c r="D46" s="363"/>
      <c r="E46" s="363"/>
      <c r="F46" s="363"/>
      <c r="G46" s="363"/>
      <c r="H46" s="363"/>
      <c r="I46" s="363"/>
      <c r="J46" s="363"/>
      <c r="K46" s="363"/>
      <c r="L46" s="363"/>
      <c r="M46" s="363"/>
      <c r="N46" s="363"/>
      <c r="O46" s="363"/>
      <c r="P46" s="363"/>
      <c r="Q46" s="363"/>
      <c r="R46" s="363"/>
      <c r="S46" s="363"/>
      <c r="T46" s="363"/>
      <c r="U46" s="363"/>
    </row>
    <row r="47" spans="1:21" ht="18">
      <c r="A47" s="363"/>
      <c r="B47" s="363"/>
      <c r="C47" s="363"/>
      <c r="D47" s="363"/>
      <c r="E47" s="363"/>
      <c r="F47" s="363"/>
      <c r="G47" s="363"/>
      <c r="H47" s="363"/>
      <c r="I47" s="363"/>
      <c r="J47" s="363"/>
      <c r="K47" s="363"/>
      <c r="L47" s="363"/>
      <c r="M47" s="363"/>
      <c r="N47" s="363"/>
      <c r="O47" s="363"/>
      <c r="P47" s="363"/>
      <c r="Q47" s="363"/>
      <c r="R47" s="363"/>
      <c r="S47" s="363"/>
      <c r="T47" s="363"/>
      <c r="U47" s="363"/>
    </row>
    <row r="48" spans="1:21" ht="18">
      <c r="A48" s="363"/>
      <c r="B48" s="363"/>
      <c r="C48" s="363"/>
      <c r="D48" s="363"/>
      <c r="E48" s="363"/>
      <c r="F48" s="363"/>
      <c r="G48" s="363"/>
      <c r="H48" s="363"/>
      <c r="I48" s="363"/>
      <c r="J48" s="363"/>
      <c r="K48" s="363"/>
      <c r="L48" s="363"/>
      <c r="M48" s="363"/>
      <c r="N48" s="363"/>
      <c r="O48" s="363"/>
      <c r="P48" s="363"/>
      <c r="Q48" s="363"/>
      <c r="R48" s="363"/>
      <c r="S48" s="363"/>
      <c r="T48" s="363"/>
      <c r="U48" s="363"/>
    </row>
    <row r="49" spans="1:21" ht="18">
      <c r="A49" s="363"/>
      <c r="B49" s="363"/>
      <c r="C49" s="363"/>
      <c r="D49" s="363"/>
      <c r="E49" s="363"/>
      <c r="F49" s="363"/>
      <c r="G49" s="363"/>
      <c r="H49" s="363"/>
      <c r="I49" s="363"/>
      <c r="J49" s="363"/>
      <c r="K49" s="363"/>
      <c r="L49" s="363"/>
      <c r="M49" s="363"/>
      <c r="N49" s="363"/>
      <c r="O49" s="363"/>
      <c r="P49" s="363"/>
      <c r="Q49" s="363"/>
      <c r="R49" s="363"/>
      <c r="S49" s="363"/>
      <c r="T49" s="363"/>
      <c r="U49" s="363"/>
    </row>
    <row r="50" spans="1:21" ht="18">
      <c r="A50" s="363"/>
      <c r="B50" s="363"/>
      <c r="C50" s="363"/>
      <c r="D50" s="363"/>
      <c r="E50" s="363"/>
      <c r="F50" s="363"/>
      <c r="G50" s="363"/>
      <c r="H50" s="363"/>
      <c r="I50" s="363"/>
      <c r="J50" s="363"/>
      <c r="K50" s="363"/>
      <c r="L50" s="363"/>
      <c r="M50" s="363"/>
      <c r="N50" s="363"/>
      <c r="O50" s="363"/>
      <c r="P50" s="363"/>
      <c r="Q50" s="363"/>
      <c r="R50" s="363"/>
      <c r="S50" s="363"/>
      <c r="T50" s="363"/>
      <c r="U50" s="363"/>
    </row>
    <row r="51" spans="1:21" ht="18">
      <c r="A51" s="363"/>
      <c r="B51" s="363"/>
      <c r="C51" s="363"/>
      <c r="D51" s="363"/>
      <c r="E51" s="363"/>
      <c r="F51" s="363"/>
      <c r="G51" s="363"/>
      <c r="H51" s="363"/>
      <c r="I51" s="363"/>
      <c r="J51" s="363"/>
      <c r="K51" s="363"/>
      <c r="L51" s="363"/>
      <c r="M51" s="363"/>
      <c r="N51" s="363"/>
      <c r="O51" s="363"/>
      <c r="P51" s="363"/>
      <c r="Q51" s="363"/>
      <c r="R51" s="363"/>
      <c r="S51" s="363"/>
      <c r="T51" s="363"/>
      <c r="U51" s="363"/>
    </row>
    <row r="52" spans="1:21" ht="18">
      <c r="A52" s="363"/>
      <c r="B52" s="363"/>
      <c r="C52" s="363"/>
      <c r="D52" s="363"/>
      <c r="E52" s="363"/>
      <c r="F52" s="363"/>
      <c r="G52" s="363"/>
      <c r="H52" s="363"/>
      <c r="I52" s="363"/>
      <c r="J52" s="363"/>
      <c r="K52" s="363"/>
      <c r="L52" s="363"/>
      <c r="M52" s="363"/>
      <c r="N52" s="363"/>
      <c r="O52" s="363"/>
      <c r="P52" s="363"/>
      <c r="Q52" s="363"/>
      <c r="R52" s="363"/>
      <c r="S52" s="363"/>
      <c r="T52" s="363"/>
      <c r="U52" s="363"/>
    </row>
    <row r="53" spans="1:21" ht="18">
      <c r="A53" s="363"/>
      <c r="B53" s="363"/>
      <c r="C53" s="363"/>
      <c r="D53" s="363"/>
      <c r="E53" s="363"/>
      <c r="F53" s="363"/>
      <c r="G53" s="363"/>
      <c r="H53" s="363"/>
      <c r="I53" s="363"/>
      <c r="J53" s="363"/>
      <c r="K53" s="363"/>
      <c r="L53" s="363"/>
      <c r="M53" s="363"/>
      <c r="N53" s="363"/>
      <c r="O53" s="363"/>
      <c r="P53" s="363"/>
      <c r="Q53" s="363"/>
      <c r="R53" s="363"/>
      <c r="S53" s="363"/>
      <c r="T53" s="363"/>
      <c r="U53" s="363"/>
    </row>
    <row r="54" spans="1:21" ht="18">
      <c r="A54" s="363"/>
      <c r="B54" s="363"/>
      <c r="C54" s="363"/>
      <c r="D54" s="363"/>
      <c r="E54" s="363"/>
      <c r="F54" s="363"/>
      <c r="G54" s="363"/>
      <c r="H54" s="363"/>
      <c r="I54" s="363"/>
      <c r="J54" s="363"/>
      <c r="K54" s="363"/>
      <c r="L54" s="363"/>
      <c r="M54" s="363"/>
      <c r="N54" s="363"/>
      <c r="O54" s="363"/>
      <c r="P54" s="363"/>
      <c r="Q54" s="363"/>
      <c r="R54" s="363"/>
      <c r="S54" s="363"/>
      <c r="T54" s="363"/>
      <c r="U54" s="363"/>
    </row>
    <row r="55" spans="1:21" ht="18">
      <c r="A55" s="363"/>
      <c r="B55" s="363"/>
      <c r="C55" s="363"/>
      <c r="D55" s="363"/>
      <c r="E55" s="363"/>
      <c r="F55" s="363"/>
      <c r="G55" s="363"/>
      <c r="H55" s="363"/>
      <c r="I55" s="363"/>
      <c r="J55" s="363"/>
      <c r="K55" s="363"/>
      <c r="L55" s="363"/>
      <c r="M55" s="363"/>
      <c r="N55" s="363"/>
      <c r="O55" s="363"/>
      <c r="P55" s="363"/>
      <c r="Q55" s="363"/>
      <c r="R55" s="363"/>
      <c r="S55" s="363"/>
      <c r="T55" s="363"/>
      <c r="U55" s="363"/>
    </row>
    <row r="56" spans="1:21" ht="18">
      <c r="A56" s="363"/>
      <c r="B56" s="363"/>
      <c r="C56" s="363"/>
      <c r="D56" s="363"/>
      <c r="E56" s="363"/>
      <c r="F56" s="363"/>
      <c r="G56" s="363"/>
      <c r="H56" s="363"/>
      <c r="I56" s="363"/>
      <c r="J56" s="363"/>
      <c r="K56" s="363"/>
      <c r="L56" s="363"/>
      <c r="M56" s="363"/>
      <c r="N56" s="363"/>
      <c r="O56" s="363"/>
      <c r="P56" s="363"/>
      <c r="Q56" s="363"/>
      <c r="R56" s="363"/>
      <c r="S56" s="363"/>
      <c r="T56" s="363"/>
      <c r="U56" s="363"/>
    </row>
    <row r="57" spans="1:21" ht="18">
      <c r="A57" s="363"/>
      <c r="B57" s="363"/>
      <c r="C57" s="363"/>
      <c r="D57" s="363"/>
      <c r="E57" s="363"/>
      <c r="F57" s="363"/>
      <c r="G57" s="363"/>
      <c r="H57" s="363"/>
      <c r="I57" s="363"/>
      <c r="J57" s="363"/>
      <c r="K57" s="363"/>
      <c r="L57" s="363"/>
      <c r="M57" s="363"/>
      <c r="N57" s="363"/>
      <c r="O57" s="363"/>
      <c r="P57" s="363"/>
      <c r="Q57" s="363"/>
      <c r="R57" s="363"/>
      <c r="S57" s="363"/>
      <c r="T57" s="363"/>
      <c r="U57" s="363"/>
    </row>
    <row r="58" spans="1:21" ht="18">
      <c r="A58" s="363"/>
      <c r="B58" s="363"/>
      <c r="C58" s="363"/>
      <c r="D58" s="363"/>
      <c r="E58" s="363"/>
      <c r="F58" s="363"/>
      <c r="G58" s="363"/>
      <c r="H58" s="363"/>
      <c r="I58" s="363"/>
      <c r="J58" s="363"/>
      <c r="K58" s="363"/>
      <c r="L58" s="363"/>
      <c r="M58" s="363"/>
      <c r="N58" s="363"/>
      <c r="O58" s="363"/>
      <c r="P58" s="363"/>
      <c r="Q58" s="363"/>
      <c r="R58" s="363"/>
      <c r="S58" s="363"/>
      <c r="T58" s="363"/>
      <c r="U58" s="363"/>
    </row>
    <row r="59" spans="1:21" ht="18">
      <c r="A59" s="363"/>
      <c r="B59" s="363"/>
      <c r="C59" s="363"/>
      <c r="D59" s="363"/>
      <c r="E59" s="363"/>
      <c r="F59" s="363"/>
      <c r="G59" s="363"/>
      <c r="H59" s="363"/>
      <c r="I59" s="363"/>
      <c r="J59" s="363"/>
      <c r="K59" s="363"/>
      <c r="L59" s="363"/>
      <c r="M59" s="363"/>
      <c r="N59" s="363"/>
      <c r="O59" s="363"/>
      <c r="P59" s="363"/>
      <c r="Q59" s="363"/>
      <c r="R59" s="363"/>
      <c r="S59" s="363"/>
      <c r="T59" s="363"/>
      <c r="U59" s="363"/>
    </row>
    <row r="60" spans="1:21" ht="18">
      <c r="A60" s="363"/>
      <c r="B60" s="363"/>
      <c r="C60" s="363"/>
      <c r="D60" s="363"/>
      <c r="E60" s="363"/>
      <c r="F60" s="363"/>
      <c r="G60" s="363"/>
      <c r="H60" s="363"/>
      <c r="I60" s="363"/>
      <c r="J60" s="363"/>
      <c r="K60" s="363"/>
      <c r="L60" s="363"/>
      <c r="M60" s="363"/>
      <c r="N60" s="363"/>
      <c r="O60" s="363"/>
      <c r="P60" s="363"/>
      <c r="Q60" s="363"/>
      <c r="R60" s="363"/>
      <c r="S60" s="363"/>
      <c r="T60" s="363"/>
      <c r="U60" s="363"/>
    </row>
    <row r="61" spans="1:21" ht="18">
      <c r="A61" s="363"/>
      <c r="B61" s="363"/>
      <c r="C61" s="363"/>
      <c r="D61" s="363"/>
      <c r="E61" s="363"/>
      <c r="F61" s="363"/>
      <c r="G61" s="363"/>
      <c r="H61" s="363"/>
      <c r="I61" s="363"/>
      <c r="J61" s="363"/>
      <c r="K61" s="363"/>
      <c r="L61" s="363"/>
      <c r="M61" s="363"/>
      <c r="N61" s="363"/>
      <c r="O61" s="363"/>
      <c r="P61" s="363"/>
      <c r="Q61" s="363"/>
      <c r="R61" s="363"/>
      <c r="S61" s="363"/>
      <c r="T61" s="363"/>
      <c r="U61" s="363"/>
    </row>
    <row r="62" spans="1:21" ht="18">
      <c r="A62" s="363"/>
      <c r="B62" s="363"/>
      <c r="C62" s="363"/>
      <c r="D62" s="363"/>
      <c r="E62" s="363"/>
      <c r="F62" s="363"/>
      <c r="G62" s="363"/>
      <c r="H62" s="363"/>
      <c r="I62" s="363"/>
      <c r="J62" s="363"/>
      <c r="K62" s="363"/>
      <c r="L62" s="363"/>
      <c r="M62" s="363"/>
      <c r="N62" s="363"/>
      <c r="O62" s="363"/>
      <c r="P62" s="363"/>
      <c r="Q62" s="363"/>
      <c r="R62" s="363"/>
      <c r="S62" s="363"/>
      <c r="T62" s="363"/>
      <c r="U62" s="363"/>
    </row>
    <row r="63" spans="1:21" ht="18">
      <c r="A63" s="363"/>
      <c r="B63" s="363"/>
      <c r="C63" s="363"/>
      <c r="D63" s="363"/>
      <c r="E63" s="363"/>
      <c r="F63" s="363"/>
      <c r="G63" s="363"/>
      <c r="H63" s="363"/>
      <c r="I63" s="363"/>
      <c r="J63" s="363"/>
      <c r="K63" s="363"/>
      <c r="L63" s="363"/>
      <c r="M63" s="363"/>
      <c r="N63" s="363"/>
      <c r="O63" s="363"/>
      <c r="P63" s="363"/>
      <c r="Q63" s="363"/>
      <c r="R63" s="363"/>
      <c r="S63" s="363"/>
      <c r="T63" s="363"/>
      <c r="U63" s="363"/>
    </row>
    <row r="64" spans="1:21" ht="18">
      <c r="A64" s="363"/>
      <c r="B64" s="363"/>
      <c r="C64" s="363"/>
      <c r="D64" s="363"/>
      <c r="E64" s="363"/>
      <c r="F64" s="363"/>
      <c r="G64" s="363"/>
      <c r="H64" s="363"/>
      <c r="I64" s="363"/>
      <c r="J64" s="363"/>
      <c r="K64" s="363"/>
      <c r="L64" s="363"/>
      <c r="M64" s="363"/>
      <c r="N64" s="363"/>
      <c r="O64" s="363"/>
      <c r="P64" s="363"/>
      <c r="Q64" s="363"/>
      <c r="R64" s="363"/>
      <c r="S64" s="363"/>
      <c r="T64" s="363"/>
      <c r="U64" s="363"/>
    </row>
    <row r="65" spans="1:21" ht="18">
      <c r="A65" s="363"/>
      <c r="B65" s="363"/>
      <c r="C65" s="363"/>
      <c r="D65" s="363"/>
      <c r="E65" s="363"/>
      <c r="F65" s="363"/>
      <c r="G65" s="363"/>
      <c r="H65" s="363"/>
      <c r="I65" s="363"/>
      <c r="J65" s="363"/>
      <c r="K65" s="363"/>
      <c r="L65" s="363"/>
      <c r="M65" s="363"/>
      <c r="N65" s="363"/>
      <c r="O65" s="363"/>
      <c r="P65" s="363"/>
      <c r="Q65" s="363"/>
      <c r="R65" s="363"/>
      <c r="S65" s="363"/>
      <c r="T65" s="363"/>
      <c r="U65" s="363"/>
    </row>
    <row r="66" spans="1:21" ht="18">
      <c r="A66" s="363"/>
      <c r="B66" s="363"/>
      <c r="C66" s="363"/>
      <c r="D66" s="363"/>
      <c r="E66" s="363"/>
      <c r="F66" s="363"/>
      <c r="G66" s="363"/>
      <c r="H66" s="363"/>
      <c r="I66" s="363"/>
      <c r="J66" s="363"/>
      <c r="K66" s="363"/>
      <c r="L66" s="363"/>
      <c r="M66" s="363"/>
      <c r="N66" s="363"/>
      <c r="O66" s="363"/>
      <c r="P66" s="363"/>
      <c r="Q66" s="363"/>
      <c r="R66" s="363"/>
      <c r="S66" s="363"/>
      <c r="T66" s="363"/>
      <c r="U66" s="363"/>
    </row>
    <row r="67" spans="1:21" ht="18">
      <c r="A67" s="363"/>
      <c r="B67" s="363"/>
      <c r="C67" s="363"/>
      <c r="D67" s="363"/>
      <c r="E67" s="363"/>
      <c r="F67" s="363"/>
      <c r="G67" s="363"/>
      <c r="H67" s="363"/>
      <c r="I67" s="363"/>
      <c r="J67" s="363"/>
      <c r="K67" s="363"/>
      <c r="L67" s="363"/>
      <c r="M67" s="363"/>
      <c r="N67" s="363"/>
      <c r="O67" s="363"/>
      <c r="P67" s="363"/>
      <c r="Q67" s="363"/>
      <c r="R67" s="363"/>
      <c r="S67" s="363"/>
      <c r="T67" s="363"/>
      <c r="U67" s="363"/>
    </row>
    <row r="68" spans="1:21" ht="18">
      <c r="A68" s="363"/>
      <c r="B68" s="363"/>
      <c r="C68" s="363"/>
      <c r="D68" s="363"/>
      <c r="E68" s="363"/>
      <c r="F68" s="363"/>
      <c r="G68" s="363"/>
      <c r="H68" s="363"/>
      <c r="I68" s="363"/>
      <c r="J68" s="363"/>
      <c r="K68" s="363"/>
      <c r="L68" s="363"/>
      <c r="M68" s="363"/>
      <c r="N68" s="363"/>
      <c r="O68" s="363"/>
      <c r="P68" s="363"/>
      <c r="Q68" s="363"/>
      <c r="R68" s="363"/>
      <c r="S68" s="363"/>
      <c r="T68" s="363"/>
      <c r="U68" s="363"/>
    </row>
    <row r="69" spans="1:21" ht="18">
      <c r="A69" s="363"/>
      <c r="B69" s="363"/>
      <c r="C69" s="363"/>
      <c r="D69" s="363"/>
      <c r="E69" s="363"/>
      <c r="F69" s="363"/>
      <c r="G69" s="363"/>
      <c r="H69" s="363"/>
      <c r="I69" s="363"/>
      <c r="J69" s="363"/>
      <c r="K69" s="363"/>
      <c r="L69" s="363"/>
      <c r="M69" s="363"/>
      <c r="N69" s="363"/>
      <c r="O69" s="363"/>
      <c r="P69" s="363"/>
      <c r="Q69" s="363"/>
      <c r="R69" s="363"/>
      <c r="S69" s="363"/>
      <c r="T69" s="363"/>
      <c r="U69" s="363"/>
    </row>
    <row r="70" spans="1:21" ht="18">
      <c r="A70" s="363"/>
      <c r="B70" s="363"/>
      <c r="C70" s="363"/>
      <c r="D70" s="363"/>
      <c r="E70" s="363"/>
      <c r="F70" s="363"/>
      <c r="G70" s="363"/>
      <c r="H70" s="363"/>
      <c r="I70" s="363"/>
      <c r="J70" s="363"/>
      <c r="K70" s="363"/>
      <c r="L70" s="363"/>
      <c r="M70" s="363"/>
      <c r="N70" s="363"/>
      <c r="O70" s="363"/>
      <c r="P70" s="363"/>
      <c r="Q70" s="363"/>
      <c r="R70" s="363"/>
      <c r="S70" s="363"/>
      <c r="T70" s="363"/>
      <c r="U70" s="363"/>
    </row>
    <row r="71" spans="1:21" ht="18">
      <c r="A71" s="363"/>
      <c r="B71" s="363"/>
      <c r="C71" s="363"/>
      <c r="D71" s="363"/>
      <c r="E71" s="363"/>
      <c r="F71" s="363"/>
      <c r="G71" s="363"/>
      <c r="H71" s="363"/>
      <c r="I71" s="363"/>
      <c r="J71" s="363"/>
      <c r="K71" s="363"/>
      <c r="L71" s="363"/>
      <c r="M71" s="363"/>
      <c r="N71" s="363"/>
      <c r="O71" s="363"/>
      <c r="P71" s="363"/>
      <c r="Q71" s="363"/>
      <c r="R71" s="363"/>
      <c r="S71" s="363"/>
      <c r="T71" s="363"/>
      <c r="U71" s="363"/>
    </row>
    <row r="72" spans="1:21" ht="18">
      <c r="A72" s="363"/>
      <c r="B72" s="363"/>
      <c r="C72" s="363"/>
      <c r="D72" s="363"/>
      <c r="E72" s="363"/>
      <c r="F72" s="363"/>
      <c r="G72" s="363"/>
      <c r="H72" s="363"/>
      <c r="I72" s="363"/>
      <c r="J72" s="363"/>
      <c r="K72" s="363"/>
      <c r="L72" s="363"/>
      <c r="M72" s="363"/>
      <c r="N72" s="363"/>
      <c r="O72" s="363"/>
      <c r="P72" s="363"/>
      <c r="Q72" s="363"/>
      <c r="R72" s="363"/>
      <c r="S72" s="363"/>
      <c r="T72" s="363"/>
      <c r="U72" s="363"/>
    </row>
    <row r="73" spans="1:21" ht="18">
      <c r="A73" s="363"/>
      <c r="B73" s="363"/>
      <c r="C73" s="363"/>
      <c r="D73" s="363"/>
      <c r="E73" s="363"/>
      <c r="F73" s="363"/>
      <c r="G73" s="363"/>
      <c r="H73" s="363"/>
      <c r="I73" s="363"/>
      <c r="J73" s="363"/>
      <c r="K73" s="363"/>
      <c r="L73" s="363"/>
      <c r="M73" s="363"/>
      <c r="N73" s="363"/>
      <c r="O73" s="363"/>
      <c r="P73" s="363"/>
      <c r="Q73" s="363"/>
      <c r="R73" s="363"/>
      <c r="S73" s="363"/>
      <c r="T73" s="363"/>
      <c r="U73" s="363"/>
    </row>
    <row r="74" spans="1:21" ht="18">
      <c r="A74" s="363"/>
      <c r="B74" s="363"/>
      <c r="C74" s="363"/>
      <c r="D74" s="363"/>
      <c r="E74" s="363"/>
      <c r="F74" s="363"/>
      <c r="G74" s="363"/>
      <c r="H74" s="363"/>
      <c r="I74" s="363"/>
      <c r="J74" s="363"/>
      <c r="K74" s="363"/>
      <c r="L74" s="363"/>
      <c r="M74" s="363"/>
      <c r="N74" s="363"/>
      <c r="O74" s="363"/>
      <c r="P74" s="363"/>
      <c r="Q74" s="363"/>
      <c r="R74" s="363"/>
      <c r="S74" s="363"/>
      <c r="T74" s="363"/>
      <c r="U74" s="363"/>
    </row>
    <row r="75" spans="1:21" ht="18">
      <c r="A75" s="363"/>
      <c r="B75" s="363"/>
      <c r="C75" s="363"/>
      <c r="D75" s="363"/>
      <c r="E75" s="363"/>
      <c r="F75" s="363"/>
      <c r="G75" s="363"/>
      <c r="H75" s="363"/>
      <c r="I75" s="363"/>
      <c r="J75" s="363"/>
      <c r="K75" s="363"/>
      <c r="L75" s="363"/>
      <c r="M75" s="363"/>
      <c r="N75" s="363"/>
      <c r="O75" s="363"/>
      <c r="P75" s="363"/>
      <c r="Q75" s="363"/>
      <c r="R75" s="363"/>
      <c r="S75" s="363"/>
      <c r="T75" s="363"/>
      <c r="U75" s="363"/>
    </row>
    <row r="76" spans="1:21" ht="18">
      <c r="A76" s="363"/>
      <c r="B76" s="363"/>
      <c r="C76" s="363"/>
      <c r="D76" s="363"/>
      <c r="E76" s="363"/>
      <c r="F76" s="363"/>
      <c r="G76" s="363"/>
      <c r="H76" s="363"/>
      <c r="I76" s="363"/>
      <c r="J76" s="363"/>
      <c r="K76" s="363"/>
      <c r="L76" s="363"/>
      <c r="M76" s="363"/>
      <c r="N76" s="363"/>
      <c r="O76" s="363"/>
      <c r="P76" s="363"/>
      <c r="Q76" s="363"/>
      <c r="R76" s="363"/>
      <c r="S76" s="363"/>
      <c r="T76" s="363"/>
      <c r="U76" s="363"/>
    </row>
    <row r="77" spans="1:21" ht="18">
      <c r="A77" s="363"/>
      <c r="B77" s="363"/>
      <c r="C77" s="363"/>
      <c r="D77" s="363"/>
      <c r="E77" s="363"/>
      <c r="F77" s="363"/>
      <c r="G77" s="363"/>
      <c r="H77" s="363"/>
      <c r="I77" s="363"/>
      <c r="J77" s="363"/>
      <c r="K77" s="363"/>
      <c r="L77" s="363"/>
      <c r="M77" s="363"/>
      <c r="N77" s="363"/>
      <c r="O77" s="363"/>
      <c r="P77" s="363"/>
      <c r="Q77" s="363"/>
      <c r="R77" s="363"/>
      <c r="S77" s="363"/>
      <c r="T77" s="363"/>
      <c r="U77" s="363"/>
    </row>
    <row r="78" spans="1:21" ht="18">
      <c r="A78" s="363"/>
      <c r="B78" s="363"/>
      <c r="C78" s="363"/>
      <c r="D78" s="363"/>
      <c r="E78" s="363"/>
      <c r="F78" s="363"/>
      <c r="G78" s="363"/>
      <c r="H78" s="363"/>
      <c r="I78" s="363"/>
      <c r="J78" s="363"/>
      <c r="K78" s="363"/>
      <c r="L78" s="363"/>
      <c r="M78" s="363"/>
      <c r="N78" s="363"/>
      <c r="O78" s="363"/>
      <c r="P78" s="363"/>
      <c r="Q78" s="363"/>
      <c r="R78" s="363"/>
      <c r="S78" s="363"/>
      <c r="T78" s="363"/>
      <c r="U78" s="363"/>
    </row>
    <row r="79" spans="1:21" ht="18">
      <c r="A79" s="363"/>
      <c r="B79" s="363"/>
      <c r="C79" s="363"/>
      <c r="D79" s="363"/>
      <c r="E79" s="363"/>
      <c r="F79" s="363"/>
      <c r="G79" s="363"/>
      <c r="H79" s="363"/>
      <c r="I79" s="363"/>
      <c r="J79" s="363"/>
      <c r="K79" s="363"/>
      <c r="L79" s="363"/>
      <c r="M79" s="363"/>
      <c r="N79" s="363"/>
      <c r="O79" s="363"/>
      <c r="P79" s="363"/>
      <c r="Q79" s="363"/>
      <c r="R79" s="363"/>
      <c r="S79" s="363"/>
      <c r="T79" s="363"/>
      <c r="U79" s="363"/>
    </row>
    <row r="80" spans="1:21" ht="18">
      <c r="A80" s="363"/>
      <c r="B80" s="363"/>
      <c r="C80" s="363"/>
      <c r="D80" s="363"/>
      <c r="E80" s="363"/>
      <c r="F80" s="363"/>
      <c r="G80" s="363"/>
      <c r="H80" s="363"/>
      <c r="I80" s="363"/>
      <c r="J80" s="363"/>
      <c r="K80" s="363"/>
      <c r="L80" s="363"/>
      <c r="M80" s="363"/>
      <c r="N80" s="363"/>
      <c r="O80" s="363"/>
      <c r="P80" s="363"/>
      <c r="Q80" s="363"/>
      <c r="R80" s="363"/>
      <c r="S80" s="363"/>
      <c r="T80" s="363"/>
      <c r="U80" s="363"/>
    </row>
    <row r="81" spans="1:21" ht="18">
      <c r="A81" s="363"/>
      <c r="B81" s="363"/>
      <c r="C81" s="363"/>
      <c r="D81" s="363"/>
      <c r="E81" s="363"/>
      <c r="F81" s="363"/>
      <c r="G81" s="363"/>
      <c r="H81" s="363"/>
      <c r="I81" s="363"/>
      <c r="J81" s="363"/>
      <c r="K81" s="363"/>
      <c r="L81" s="363"/>
      <c r="M81" s="363"/>
      <c r="N81" s="363"/>
      <c r="O81" s="363"/>
      <c r="P81" s="363"/>
      <c r="Q81" s="363"/>
      <c r="R81" s="363"/>
      <c r="S81" s="363"/>
      <c r="T81" s="363"/>
      <c r="U81" s="363"/>
    </row>
    <row r="82" spans="1:21" ht="18">
      <c r="A82" s="363"/>
      <c r="B82" s="363"/>
      <c r="C82" s="363"/>
      <c r="D82" s="363"/>
      <c r="E82" s="363"/>
      <c r="F82" s="363"/>
      <c r="G82" s="363"/>
      <c r="H82" s="363"/>
      <c r="I82" s="363"/>
      <c r="J82" s="363"/>
      <c r="K82" s="363"/>
      <c r="L82" s="363"/>
      <c r="M82" s="363"/>
      <c r="N82" s="363"/>
      <c r="O82" s="363"/>
      <c r="P82" s="363"/>
      <c r="Q82" s="363"/>
      <c r="R82" s="363"/>
      <c r="S82" s="363"/>
      <c r="T82" s="363"/>
      <c r="U82" s="363"/>
    </row>
    <row r="83" spans="1:21" ht="18">
      <c r="A83" s="363"/>
      <c r="B83" s="363"/>
      <c r="C83" s="363"/>
      <c r="D83" s="363"/>
      <c r="E83" s="363"/>
      <c r="F83" s="363"/>
      <c r="G83" s="363"/>
      <c r="H83" s="363"/>
      <c r="I83" s="363"/>
      <c r="J83" s="363"/>
      <c r="K83" s="363"/>
      <c r="L83" s="363"/>
      <c r="M83" s="363"/>
      <c r="N83" s="363"/>
      <c r="O83" s="363"/>
      <c r="P83" s="363"/>
      <c r="Q83" s="363"/>
      <c r="R83" s="363"/>
      <c r="S83" s="363"/>
      <c r="T83" s="363"/>
      <c r="U83" s="363"/>
    </row>
    <row r="84" spans="1:21" ht="18">
      <c r="A84" s="363"/>
      <c r="B84" s="363"/>
      <c r="C84" s="363"/>
      <c r="D84" s="363"/>
      <c r="E84" s="363"/>
      <c r="F84" s="363"/>
      <c r="G84" s="363"/>
      <c r="H84" s="363"/>
      <c r="I84" s="363"/>
      <c r="J84" s="363"/>
      <c r="K84" s="363"/>
      <c r="L84" s="363"/>
      <c r="M84" s="363"/>
      <c r="N84" s="363"/>
      <c r="O84" s="363"/>
      <c r="P84" s="363"/>
      <c r="Q84" s="363"/>
      <c r="R84" s="363"/>
      <c r="S84" s="363"/>
      <c r="T84" s="363"/>
      <c r="U84" s="363"/>
    </row>
    <row r="85" spans="1:21" ht="18">
      <c r="A85" s="363"/>
      <c r="B85" s="363"/>
      <c r="C85" s="363"/>
      <c r="D85" s="363"/>
      <c r="E85" s="363"/>
      <c r="F85" s="363"/>
      <c r="G85" s="363"/>
      <c r="H85" s="363"/>
      <c r="I85" s="363"/>
      <c r="J85" s="363"/>
      <c r="K85" s="363"/>
      <c r="L85" s="363"/>
      <c r="M85" s="363"/>
      <c r="N85" s="363"/>
      <c r="O85" s="363"/>
      <c r="P85" s="363"/>
      <c r="Q85" s="363"/>
      <c r="R85" s="363"/>
      <c r="S85" s="363"/>
      <c r="T85" s="363"/>
      <c r="U85" s="363"/>
    </row>
    <row r="86" spans="1:21" ht="18">
      <c r="A86" s="363"/>
      <c r="B86" s="363"/>
      <c r="C86" s="363"/>
      <c r="D86" s="363"/>
      <c r="E86" s="363"/>
      <c r="F86" s="363"/>
      <c r="G86" s="363"/>
      <c r="H86" s="363"/>
      <c r="I86" s="363"/>
      <c r="J86" s="363"/>
      <c r="K86" s="363"/>
      <c r="L86" s="363"/>
      <c r="M86" s="363"/>
      <c r="N86" s="363"/>
      <c r="O86" s="363"/>
      <c r="P86" s="363"/>
      <c r="Q86" s="363"/>
      <c r="R86" s="363"/>
      <c r="S86" s="363"/>
      <c r="T86" s="363"/>
      <c r="U86" s="363"/>
    </row>
    <row r="87" spans="1:21" ht="18">
      <c r="A87" s="363"/>
      <c r="B87" s="363"/>
      <c r="C87" s="363"/>
      <c r="D87" s="363"/>
      <c r="E87" s="363"/>
      <c r="F87" s="363"/>
      <c r="G87" s="363"/>
      <c r="H87" s="363"/>
      <c r="I87" s="363"/>
      <c r="J87" s="363"/>
      <c r="K87" s="363"/>
      <c r="L87" s="363"/>
      <c r="M87" s="363"/>
      <c r="N87" s="363"/>
      <c r="O87" s="363"/>
      <c r="P87" s="363"/>
      <c r="Q87" s="363"/>
      <c r="R87" s="363"/>
      <c r="S87" s="363"/>
      <c r="T87" s="363"/>
      <c r="U87" s="363"/>
    </row>
    <row r="88" spans="1:21" ht="18">
      <c r="A88" s="363"/>
      <c r="B88" s="363"/>
      <c r="C88" s="363"/>
      <c r="D88" s="363"/>
      <c r="E88" s="363"/>
      <c r="F88" s="363"/>
      <c r="G88" s="363"/>
      <c r="H88" s="363"/>
      <c r="I88" s="363"/>
      <c r="J88" s="363"/>
      <c r="K88" s="363"/>
      <c r="L88" s="363"/>
      <c r="M88" s="363"/>
      <c r="N88" s="363"/>
      <c r="O88" s="363"/>
      <c r="P88" s="363"/>
      <c r="Q88" s="363"/>
      <c r="R88" s="363"/>
      <c r="S88" s="363"/>
      <c r="T88" s="363"/>
      <c r="U88" s="363"/>
    </row>
    <row r="89" spans="1:21" ht="18">
      <c r="A89" s="363"/>
      <c r="B89" s="363"/>
      <c r="C89" s="363"/>
      <c r="D89" s="363"/>
      <c r="E89" s="363"/>
      <c r="F89" s="363"/>
      <c r="G89" s="363"/>
      <c r="H89" s="363"/>
      <c r="I89" s="363"/>
      <c r="J89" s="363"/>
      <c r="K89" s="363"/>
      <c r="L89" s="363"/>
      <c r="M89" s="363"/>
      <c r="N89" s="363"/>
      <c r="O89" s="363"/>
      <c r="P89" s="363"/>
      <c r="Q89" s="363"/>
      <c r="R89" s="363"/>
      <c r="S89" s="363"/>
      <c r="T89" s="363"/>
      <c r="U89" s="363"/>
    </row>
    <row r="90" spans="1:21" ht="18">
      <c r="A90" s="363"/>
      <c r="B90" s="363"/>
      <c r="C90" s="363"/>
      <c r="D90" s="363"/>
      <c r="E90" s="363"/>
      <c r="F90" s="363"/>
      <c r="G90" s="363"/>
      <c r="H90" s="363"/>
      <c r="I90" s="363"/>
      <c r="J90" s="363"/>
      <c r="K90" s="363"/>
      <c r="L90" s="363"/>
      <c r="M90" s="363"/>
      <c r="N90" s="363"/>
      <c r="O90" s="363"/>
      <c r="P90" s="363"/>
      <c r="Q90" s="363"/>
      <c r="R90" s="363"/>
      <c r="S90" s="363"/>
      <c r="T90" s="363"/>
      <c r="U90" s="363"/>
    </row>
    <row r="91" spans="1:21" ht="18">
      <c r="A91" s="363"/>
      <c r="B91" s="363"/>
      <c r="C91" s="363"/>
      <c r="D91" s="363"/>
      <c r="E91" s="363"/>
      <c r="F91" s="363"/>
      <c r="G91" s="363"/>
      <c r="H91" s="363"/>
      <c r="I91" s="363"/>
      <c r="J91" s="363"/>
      <c r="K91" s="363"/>
      <c r="L91" s="363"/>
      <c r="M91" s="363"/>
      <c r="N91" s="363"/>
      <c r="O91" s="363"/>
      <c r="P91" s="363"/>
      <c r="Q91" s="363"/>
      <c r="R91" s="363"/>
      <c r="S91" s="363"/>
      <c r="T91" s="363"/>
      <c r="U91" s="363"/>
    </row>
    <row r="92" spans="1:21" ht="18">
      <c r="A92" s="363"/>
      <c r="B92" s="363"/>
      <c r="C92" s="363"/>
      <c r="D92" s="363"/>
      <c r="E92" s="363"/>
      <c r="F92" s="363"/>
      <c r="G92" s="363"/>
      <c r="H92" s="363"/>
      <c r="I92" s="363"/>
      <c r="J92" s="363"/>
      <c r="K92" s="363"/>
      <c r="L92" s="363"/>
      <c r="M92" s="363"/>
      <c r="N92" s="363"/>
      <c r="O92" s="363"/>
      <c r="P92" s="363"/>
      <c r="Q92" s="363"/>
      <c r="R92" s="363"/>
      <c r="S92" s="363"/>
      <c r="T92" s="363"/>
      <c r="U92" s="363"/>
    </row>
    <row r="93" spans="1:21" ht="18">
      <c r="A93" s="363"/>
      <c r="B93" s="363"/>
      <c r="C93" s="363"/>
      <c r="D93" s="363"/>
      <c r="E93" s="363"/>
      <c r="F93" s="363"/>
      <c r="G93" s="363"/>
      <c r="H93" s="363"/>
      <c r="I93" s="363"/>
      <c r="J93" s="363"/>
      <c r="K93" s="363"/>
      <c r="L93" s="363"/>
      <c r="M93" s="363"/>
      <c r="N93" s="363"/>
      <c r="O93" s="363"/>
      <c r="P93" s="363"/>
      <c r="Q93" s="363"/>
      <c r="R93" s="363"/>
      <c r="S93" s="363"/>
      <c r="T93" s="363"/>
      <c r="U93" s="363"/>
    </row>
    <row r="94" spans="1:21" ht="18">
      <c r="A94" s="363"/>
      <c r="B94" s="363"/>
      <c r="C94" s="363"/>
      <c r="D94" s="363"/>
      <c r="E94" s="363"/>
      <c r="F94" s="363"/>
      <c r="G94" s="363"/>
      <c r="H94" s="363"/>
      <c r="I94" s="363"/>
      <c r="J94" s="363"/>
      <c r="K94" s="363"/>
      <c r="L94" s="363"/>
      <c r="M94" s="363"/>
      <c r="N94" s="363"/>
      <c r="O94" s="363"/>
      <c r="P94" s="363"/>
      <c r="Q94" s="363"/>
      <c r="R94" s="363"/>
      <c r="S94" s="363"/>
      <c r="T94" s="363"/>
      <c r="U94" s="363"/>
    </row>
    <row r="95" spans="1:21" ht="18">
      <c r="A95" s="363"/>
      <c r="B95" s="363"/>
      <c r="C95" s="363"/>
      <c r="D95" s="363"/>
      <c r="E95" s="363"/>
      <c r="F95" s="363"/>
      <c r="G95" s="363"/>
      <c r="H95" s="363"/>
      <c r="I95" s="363"/>
      <c r="J95" s="363"/>
      <c r="K95" s="363"/>
      <c r="L95" s="363"/>
      <c r="M95" s="363"/>
      <c r="N95" s="363"/>
      <c r="O95" s="363"/>
      <c r="P95" s="363"/>
      <c r="Q95" s="363"/>
      <c r="R95" s="363"/>
      <c r="S95" s="363"/>
      <c r="T95" s="363"/>
      <c r="U95" s="363"/>
    </row>
    <row r="96" spans="1:21" ht="18">
      <c r="A96" s="363"/>
      <c r="B96" s="363"/>
      <c r="C96" s="363"/>
      <c r="D96" s="363"/>
      <c r="E96" s="363"/>
      <c r="F96" s="363"/>
      <c r="G96" s="363"/>
      <c r="H96" s="363"/>
      <c r="I96" s="363"/>
      <c r="J96" s="363"/>
      <c r="K96" s="363"/>
      <c r="L96" s="363"/>
      <c r="M96" s="363"/>
      <c r="N96" s="363"/>
      <c r="O96" s="363"/>
      <c r="P96" s="363"/>
      <c r="Q96" s="363"/>
      <c r="R96" s="363"/>
      <c r="S96" s="363"/>
      <c r="T96" s="363"/>
      <c r="U96" s="363"/>
    </row>
    <row r="97" spans="1:21" ht="18">
      <c r="A97" s="363"/>
      <c r="B97" s="363"/>
      <c r="C97" s="363"/>
      <c r="D97" s="363"/>
      <c r="E97" s="363"/>
      <c r="F97" s="363"/>
      <c r="G97" s="363"/>
      <c r="H97" s="363"/>
      <c r="I97" s="363"/>
      <c r="J97" s="363"/>
      <c r="K97" s="363"/>
      <c r="L97" s="363"/>
      <c r="M97" s="363"/>
      <c r="N97" s="363"/>
      <c r="O97" s="363"/>
      <c r="P97" s="363"/>
      <c r="Q97" s="363"/>
      <c r="R97" s="363"/>
      <c r="S97" s="363"/>
      <c r="T97" s="363"/>
      <c r="U97" s="363"/>
    </row>
    <row r="98" spans="1:21" ht="18">
      <c r="A98" s="363"/>
      <c r="B98" s="363"/>
      <c r="C98" s="363"/>
      <c r="D98" s="363"/>
      <c r="E98" s="363"/>
      <c r="F98" s="363"/>
      <c r="G98" s="363"/>
      <c r="H98" s="363"/>
      <c r="I98" s="363"/>
      <c r="J98" s="363"/>
      <c r="K98" s="363"/>
      <c r="L98" s="363"/>
      <c r="M98" s="363"/>
      <c r="N98" s="363"/>
      <c r="O98" s="363"/>
      <c r="P98" s="363"/>
      <c r="Q98" s="363"/>
      <c r="R98" s="363"/>
      <c r="S98" s="363"/>
      <c r="T98" s="363"/>
      <c r="U98" s="363"/>
    </row>
    <row r="99" spans="1:21" ht="18">
      <c r="A99" s="363"/>
      <c r="B99" s="363"/>
      <c r="C99" s="363"/>
      <c r="D99" s="363"/>
      <c r="E99" s="363"/>
      <c r="F99" s="363"/>
      <c r="G99" s="363"/>
      <c r="H99" s="363"/>
      <c r="I99" s="363"/>
      <c r="J99" s="363"/>
      <c r="K99" s="363"/>
      <c r="L99" s="363"/>
      <c r="M99" s="363"/>
      <c r="N99" s="363"/>
      <c r="O99" s="363"/>
      <c r="P99" s="363"/>
      <c r="Q99" s="363"/>
      <c r="R99" s="363"/>
      <c r="S99" s="363"/>
      <c r="T99" s="363"/>
      <c r="U99" s="363"/>
    </row>
    <row r="100" spans="1:21" ht="18">
      <c r="A100" s="363"/>
      <c r="B100" s="363"/>
      <c r="C100" s="363"/>
      <c r="D100" s="363"/>
      <c r="E100" s="363"/>
      <c r="F100" s="363"/>
      <c r="G100" s="363"/>
      <c r="H100" s="363"/>
      <c r="I100" s="363"/>
      <c r="J100" s="363"/>
      <c r="K100" s="363"/>
      <c r="L100" s="363"/>
      <c r="M100" s="363"/>
      <c r="N100" s="363"/>
      <c r="O100" s="363"/>
      <c r="P100" s="363"/>
      <c r="Q100" s="363"/>
      <c r="R100" s="363"/>
      <c r="S100" s="363"/>
      <c r="T100" s="363"/>
      <c r="U100" s="363"/>
    </row>
    <row r="101" spans="1:21" ht="18">
      <c r="A101" s="363"/>
      <c r="B101" s="363"/>
      <c r="C101" s="363"/>
      <c r="D101" s="363"/>
      <c r="E101" s="363"/>
      <c r="F101" s="363"/>
      <c r="G101" s="363"/>
      <c r="H101" s="363"/>
      <c r="I101" s="363"/>
      <c r="J101" s="363"/>
      <c r="K101" s="363"/>
      <c r="L101" s="363"/>
      <c r="M101" s="363"/>
      <c r="N101" s="363"/>
      <c r="O101" s="363"/>
      <c r="P101" s="363"/>
      <c r="Q101" s="363"/>
      <c r="R101" s="363"/>
      <c r="S101" s="363"/>
      <c r="T101" s="363"/>
      <c r="U101" s="363"/>
    </row>
    <row r="102" spans="1:21" ht="18">
      <c r="A102" s="363"/>
      <c r="B102" s="363"/>
      <c r="C102" s="363"/>
      <c r="D102" s="363"/>
      <c r="E102" s="363"/>
      <c r="F102" s="363"/>
      <c r="G102" s="363"/>
      <c r="H102" s="363"/>
      <c r="I102" s="363"/>
      <c r="J102" s="363"/>
      <c r="K102" s="363"/>
      <c r="L102" s="363"/>
      <c r="M102" s="363"/>
      <c r="N102" s="363"/>
      <c r="O102" s="363"/>
      <c r="P102" s="363"/>
      <c r="Q102" s="363"/>
      <c r="R102" s="363"/>
      <c r="S102" s="363"/>
      <c r="T102" s="363"/>
      <c r="U102" s="363"/>
    </row>
    <row r="103" spans="1:21" ht="18">
      <c r="A103" s="363"/>
      <c r="B103" s="363"/>
      <c r="C103" s="363"/>
      <c r="D103" s="363"/>
      <c r="E103" s="363"/>
      <c r="F103" s="363"/>
      <c r="G103" s="363"/>
      <c r="H103" s="363"/>
      <c r="I103" s="363"/>
      <c r="J103" s="363"/>
      <c r="K103" s="363"/>
      <c r="L103" s="363"/>
      <c r="M103" s="363"/>
      <c r="N103" s="363"/>
      <c r="O103" s="363"/>
      <c r="P103" s="363"/>
      <c r="Q103" s="363"/>
      <c r="R103" s="363"/>
      <c r="S103" s="363"/>
      <c r="T103" s="363"/>
      <c r="U103" s="363"/>
    </row>
    <row r="104" spans="1:21" ht="18">
      <c r="A104" s="363"/>
      <c r="B104" s="363"/>
      <c r="C104" s="363"/>
      <c r="D104" s="363"/>
      <c r="E104" s="363"/>
      <c r="F104" s="363"/>
      <c r="G104" s="363"/>
      <c r="H104" s="363"/>
      <c r="I104" s="363"/>
      <c r="J104" s="363"/>
      <c r="K104" s="363"/>
      <c r="L104" s="363"/>
      <c r="M104" s="363"/>
      <c r="N104" s="363"/>
      <c r="O104" s="363"/>
      <c r="P104" s="363"/>
      <c r="Q104" s="363"/>
      <c r="R104" s="363"/>
      <c r="S104" s="363"/>
      <c r="T104" s="363"/>
      <c r="U104" s="363"/>
    </row>
    <row r="105" spans="1:21" ht="18">
      <c r="A105" s="363"/>
      <c r="B105" s="363"/>
      <c r="C105" s="363"/>
      <c r="D105" s="363"/>
      <c r="E105" s="363"/>
      <c r="F105" s="363"/>
      <c r="G105" s="363"/>
      <c r="H105" s="363"/>
      <c r="I105" s="363"/>
      <c r="J105" s="363"/>
      <c r="K105" s="363"/>
      <c r="L105" s="363"/>
      <c r="M105" s="363"/>
      <c r="N105" s="363"/>
      <c r="O105" s="363"/>
      <c r="P105" s="363"/>
      <c r="Q105" s="363"/>
      <c r="R105" s="363"/>
      <c r="S105" s="363"/>
      <c r="T105" s="363"/>
      <c r="U105" s="363"/>
    </row>
    <row r="106" spans="1:21" ht="18">
      <c r="A106" s="363"/>
      <c r="B106" s="363"/>
      <c r="C106" s="363"/>
      <c r="D106" s="363"/>
      <c r="E106" s="363"/>
      <c r="F106" s="363"/>
      <c r="G106" s="363"/>
      <c r="H106" s="363"/>
      <c r="I106" s="363"/>
      <c r="J106" s="363"/>
      <c r="K106" s="363"/>
      <c r="L106" s="363"/>
      <c r="M106" s="363"/>
      <c r="N106" s="363"/>
      <c r="O106" s="363"/>
      <c r="P106" s="363"/>
      <c r="Q106" s="363"/>
      <c r="R106" s="363"/>
      <c r="S106" s="363"/>
      <c r="T106" s="363"/>
      <c r="U106" s="363"/>
    </row>
    <row r="107" spans="1:21" ht="18">
      <c r="A107" s="363"/>
      <c r="B107" s="363"/>
      <c r="C107" s="363"/>
      <c r="D107" s="363"/>
      <c r="E107" s="363"/>
      <c r="F107" s="363"/>
      <c r="G107" s="363"/>
      <c r="H107" s="363"/>
      <c r="I107" s="363"/>
      <c r="J107" s="363"/>
      <c r="K107" s="363"/>
      <c r="L107" s="363"/>
      <c r="M107" s="363"/>
      <c r="N107" s="363"/>
      <c r="O107" s="363"/>
      <c r="P107" s="363"/>
      <c r="Q107" s="363"/>
      <c r="R107" s="363"/>
      <c r="S107" s="363"/>
      <c r="T107" s="363"/>
      <c r="U107" s="363"/>
    </row>
    <row r="108" spans="1:21" ht="18">
      <c r="A108" s="363"/>
      <c r="B108" s="363"/>
      <c r="C108" s="363"/>
      <c r="D108" s="363"/>
      <c r="E108" s="363"/>
      <c r="F108" s="363"/>
      <c r="G108" s="363"/>
      <c r="H108" s="363"/>
      <c r="I108" s="363"/>
      <c r="J108" s="363"/>
      <c r="K108" s="363"/>
      <c r="L108" s="363"/>
      <c r="M108" s="363"/>
      <c r="N108" s="363"/>
      <c r="O108" s="363"/>
      <c r="P108" s="363"/>
      <c r="Q108" s="363"/>
      <c r="R108" s="363"/>
      <c r="S108" s="363"/>
      <c r="T108" s="363"/>
      <c r="U108" s="363"/>
    </row>
    <row r="109" spans="1:21" ht="18">
      <c r="A109" s="363"/>
      <c r="B109" s="363"/>
      <c r="C109" s="363"/>
      <c r="D109" s="363"/>
      <c r="E109" s="363"/>
      <c r="F109" s="363"/>
      <c r="G109" s="363"/>
      <c r="H109" s="363"/>
      <c r="I109" s="363"/>
      <c r="J109" s="363"/>
      <c r="K109" s="363"/>
      <c r="L109" s="363"/>
      <c r="M109" s="363"/>
      <c r="N109" s="363"/>
      <c r="O109" s="363"/>
      <c r="P109" s="363"/>
      <c r="Q109" s="363"/>
      <c r="R109" s="363"/>
      <c r="S109" s="363"/>
      <c r="T109" s="363"/>
      <c r="U109" s="363"/>
    </row>
    <row r="110" spans="1:21" ht="18">
      <c r="A110" s="363"/>
      <c r="B110" s="363"/>
      <c r="C110" s="363"/>
      <c r="D110" s="363"/>
      <c r="E110" s="363"/>
      <c r="F110" s="363"/>
      <c r="G110" s="363"/>
      <c r="H110" s="363"/>
      <c r="I110" s="363"/>
      <c r="J110" s="363"/>
      <c r="K110" s="363"/>
      <c r="L110" s="363"/>
      <c r="M110" s="363"/>
      <c r="N110" s="363"/>
      <c r="O110" s="363"/>
      <c r="P110" s="363"/>
      <c r="Q110" s="363"/>
      <c r="R110" s="363"/>
      <c r="S110" s="363"/>
      <c r="T110" s="363"/>
      <c r="U110" s="363"/>
    </row>
    <row r="111" spans="1:21" ht="18">
      <c r="A111" s="363"/>
      <c r="B111" s="363"/>
      <c r="C111" s="363"/>
      <c r="D111" s="363"/>
      <c r="E111" s="363"/>
      <c r="F111" s="363"/>
      <c r="G111" s="363"/>
      <c r="H111" s="363"/>
      <c r="I111" s="363"/>
      <c r="J111" s="363"/>
      <c r="K111" s="363"/>
      <c r="L111" s="363"/>
      <c r="M111" s="363"/>
      <c r="N111" s="363"/>
      <c r="O111" s="363"/>
      <c r="P111" s="363"/>
      <c r="Q111" s="363"/>
      <c r="R111" s="363"/>
      <c r="S111" s="363"/>
      <c r="T111" s="363"/>
      <c r="U111" s="363"/>
    </row>
    <row r="112" spans="1:21" ht="18">
      <c r="A112" s="363"/>
      <c r="B112" s="363"/>
      <c r="C112" s="363"/>
      <c r="D112" s="363"/>
      <c r="E112" s="363"/>
      <c r="F112" s="363"/>
      <c r="G112" s="363"/>
      <c r="H112" s="363"/>
      <c r="I112" s="363"/>
      <c r="J112" s="363"/>
      <c r="K112" s="363"/>
      <c r="L112" s="363"/>
      <c r="M112" s="363"/>
      <c r="N112" s="363"/>
      <c r="O112" s="363"/>
      <c r="P112" s="363"/>
      <c r="Q112" s="363"/>
      <c r="R112" s="363"/>
      <c r="S112" s="363"/>
      <c r="T112" s="363"/>
      <c r="U112" s="363"/>
    </row>
    <row r="113" spans="1:21" ht="18">
      <c r="A113" s="363"/>
      <c r="B113" s="363"/>
      <c r="C113" s="363"/>
      <c r="D113" s="363"/>
      <c r="E113" s="363"/>
      <c r="F113" s="363"/>
      <c r="G113" s="363"/>
      <c r="H113" s="363"/>
      <c r="I113" s="363"/>
      <c r="J113" s="363"/>
      <c r="K113" s="363"/>
      <c r="L113" s="363"/>
      <c r="M113" s="363"/>
      <c r="N113" s="363"/>
      <c r="O113" s="363"/>
      <c r="P113" s="363"/>
      <c r="Q113" s="363"/>
      <c r="R113" s="363"/>
      <c r="S113" s="363"/>
      <c r="T113" s="363"/>
      <c r="U113" s="363"/>
    </row>
    <row r="114" spans="1:21" ht="18">
      <c r="A114" s="363"/>
      <c r="B114" s="363"/>
      <c r="C114" s="363"/>
      <c r="D114" s="363"/>
      <c r="E114" s="363"/>
      <c r="F114" s="363"/>
      <c r="G114" s="363"/>
      <c r="H114" s="363"/>
      <c r="I114" s="363"/>
      <c r="J114" s="363"/>
      <c r="K114" s="363"/>
      <c r="L114" s="363"/>
      <c r="M114" s="363"/>
      <c r="N114" s="363"/>
      <c r="O114" s="363"/>
      <c r="P114" s="363"/>
      <c r="Q114" s="363"/>
      <c r="R114" s="363"/>
      <c r="S114" s="363"/>
      <c r="T114" s="363"/>
      <c r="U114" s="363"/>
    </row>
    <row r="115" spans="1:21" ht="18">
      <c r="A115" s="363"/>
      <c r="B115" s="363"/>
      <c r="C115" s="363"/>
      <c r="D115" s="363"/>
      <c r="E115" s="363"/>
      <c r="F115" s="363"/>
      <c r="G115" s="363"/>
      <c r="H115" s="363"/>
      <c r="I115" s="363"/>
      <c r="J115" s="363"/>
      <c r="K115" s="363"/>
      <c r="L115" s="363"/>
      <c r="M115" s="363"/>
      <c r="N115" s="363"/>
      <c r="O115" s="363"/>
      <c r="P115" s="363"/>
      <c r="Q115" s="363"/>
      <c r="R115" s="363"/>
      <c r="S115" s="363"/>
      <c r="T115" s="363"/>
      <c r="U115" s="363"/>
    </row>
    <row r="116" spans="1:21" ht="18">
      <c r="A116" s="363"/>
      <c r="B116" s="363"/>
      <c r="C116" s="363"/>
      <c r="D116" s="363"/>
      <c r="E116" s="363"/>
      <c r="F116" s="363"/>
      <c r="G116" s="363"/>
      <c r="H116" s="363"/>
      <c r="I116" s="363"/>
      <c r="J116" s="363"/>
      <c r="K116" s="363"/>
      <c r="L116" s="363"/>
      <c r="M116" s="363"/>
      <c r="N116" s="363"/>
      <c r="O116" s="363"/>
      <c r="P116" s="363"/>
      <c r="Q116" s="363"/>
      <c r="R116" s="363"/>
      <c r="S116" s="363"/>
      <c r="T116" s="363"/>
      <c r="U116" s="363"/>
    </row>
    <row r="117" spans="1:21" ht="18">
      <c r="A117" s="363"/>
      <c r="B117" s="363"/>
      <c r="C117" s="363"/>
      <c r="D117" s="363"/>
      <c r="E117" s="363"/>
      <c r="F117" s="363"/>
      <c r="G117" s="363"/>
      <c r="H117" s="363"/>
      <c r="I117" s="363"/>
      <c r="J117" s="363"/>
      <c r="K117" s="363"/>
      <c r="L117" s="363"/>
      <c r="M117" s="363"/>
      <c r="N117" s="363"/>
      <c r="O117" s="363"/>
      <c r="P117" s="363"/>
      <c r="Q117" s="363"/>
      <c r="R117" s="363"/>
      <c r="S117" s="363"/>
      <c r="T117" s="363"/>
      <c r="U117" s="363"/>
    </row>
    <row r="118" spans="1:21" ht="18">
      <c r="A118" s="363"/>
      <c r="B118" s="363"/>
      <c r="C118" s="363"/>
      <c r="D118" s="363"/>
      <c r="E118" s="363"/>
      <c r="F118" s="363"/>
      <c r="G118" s="363"/>
      <c r="H118" s="363"/>
      <c r="I118" s="363"/>
      <c r="J118" s="363"/>
      <c r="K118" s="363"/>
      <c r="L118" s="363"/>
      <c r="M118" s="363"/>
      <c r="N118" s="363"/>
      <c r="O118" s="363"/>
      <c r="P118" s="363"/>
      <c r="Q118" s="363"/>
      <c r="R118" s="363"/>
      <c r="S118" s="363"/>
      <c r="T118" s="363"/>
      <c r="U118" s="363"/>
    </row>
    <row r="119" spans="1:21" ht="18">
      <c r="A119" s="363"/>
      <c r="B119" s="363"/>
      <c r="C119" s="363"/>
      <c r="D119" s="363"/>
      <c r="E119" s="363"/>
      <c r="F119" s="363"/>
      <c r="G119" s="363"/>
      <c r="H119" s="363"/>
      <c r="I119" s="363"/>
      <c r="J119" s="363"/>
      <c r="K119" s="363"/>
      <c r="L119" s="363"/>
      <c r="M119" s="363"/>
      <c r="N119" s="363"/>
      <c r="O119" s="363"/>
      <c r="P119" s="363"/>
      <c r="Q119" s="363"/>
      <c r="R119" s="363"/>
      <c r="S119" s="363"/>
      <c r="T119" s="363"/>
      <c r="U119" s="363"/>
    </row>
    <row r="120" spans="1:21" ht="18">
      <c r="A120" s="363"/>
      <c r="B120" s="363"/>
      <c r="C120" s="363"/>
      <c r="D120" s="363"/>
      <c r="E120" s="363"/>
      <c r="F120" s="363"/>
      <c r="G120" s="363"/>
      <c r="H120" s="363"/>
      <c r="I120" s="363"/>
      <c r="J120" s="363"/>
      <c r="K120" s="363"/>
      <c r="L120" s="363"/>
      <c r="M120" s="363"/>
      <c r="N120" s="363"/>
      <c r="O120" s="363"/>
      <c r="P120" s="363"/>
      <c r="Q120" s="363"/>
      <c r="R120" s="363"/>
      <c r="S120" s="363"/>
      <c r="T120" s="363"/>
      <c r="U120" s="363"/>
    </row>
    <row r="121" spans="1:21" ht="18">
      <c r="A121" s="363"/>
      <c r="B121" s="363"/>
      <c r="C121" s="363"/>
      <c r="D121" s="363"/>
      <c r="E121" s="363"/>
      <c r="F121" s="363"/>
      <c r="G121" s="363"/>
      <c r="H121" s="363"/>
      <c r="I121" s="363"/>
      <c r="J121" s="363"/>
      <c r="K121" s="363"/>
      <c r="L121" s="363"/>
      <c r="M121" s="363"/>
      <c r="N121" s="363"/>
      <c r="O121" s="363"/>
      <c r="P121" s="363"/>
      <c r="Q121" s="363"/>
      <c r="R121" s="363"/>
      <c r="S121" s="363"/>
      <c r="T121" s="363"/>
      <c r="U121" s="363"/>
    </row>
    <row r="122" spans="1:21" ht="18">
      <c r="A122" s="363"/>
      <c r="B122" s="363"/>
      <c r="C122" s="363"/>
      <c r="D122" s="363"/>
      <c r="E122" s="363"/>
      <c r="F122" s="363"/>
      <c r="G122" s="363"/>
      <c r="H122" s="363"/>
      <c r="I122" s="363"/>
      <c r="J122" s="363"/>
      <c r="K122" s="363"/>
      <c r="L122" s="363"/>
      <c r="M122" s="363"/>
      <c r="N122" s="363"/>
      <c r="O122" s="363"/>
      <c r="P122" s="363"/>
      <c r="Q122" s="363"/>
      <c r="R122" s="363"/>
      <c r="S122" s="363"/>
      <c r="T122" s="363"/>
      <c r="U122" s="363"/>
    </row>
    <row r="123" spans="1:21" ht="18">
      <c r="A123" s="363"/>
      <c r="B123" s="363"/>
      <c r="C123" s="363"/>
      <c r="D123" s="363"/>
      <c r="E123" s="363"/>
      <c r="F123" s="363"/>
      <c r="G123" s="363"/>
      <c r="H123" s="363"/>
      <c r="I123" s="363"/>
      <c r="J123" s="363"/>
      <c r="K123" s="363"/>
      <c r="L123" s="363"/>
      <c r="M123" s="363"/>
      <c r="N123" s="363"/>
      <c r="O123" s="363"/>
      <c r="P123" s="363"/>
      <c r="Q123" s="363"/>
      <c r="R123" s="363"/>
      <c r="S123" s="363"/>
      <c r="T123" s="363"/>
      <c r="U123" s="363"/>
    </row>
    <row r="124" spans="1:21" ht="18">
      <c r="A124" s="363"/>
      <c r="B124" s="363"/>
      <c r="C124" s="363"/>
      <c r="D124" s="363"/>
      <c r="E124" s="363"/>
      <c r="F124" s="363"/>
      <c r="G124" s="363"/>
      <c r="H124" s="363"/>
      <c r="I124" s="363"/>
      <c r="J124" s="363"/>
      <c r="K124" s="363"/>
      <c r="L124" s="363"/>
      <c r="M124" s="363"/>
      <c r="N124" s="363"/>
      <c r="O124" s="363"/>
      <c r="P124" s="363"/>
      <c r="Q124" s="363"/>
      <c r="R124" s="363"/>
      <c r="S124" s="363"/>
      <c r="T124" s="363"/>
      <c r="U124" s="363"/>
    </row>
    <row r="125" spans="1:21" ht="18">
      <c r="A125" s="363"/>
      <c r="B125" s="363"/>
      <c r="C125" s="363"/>
      <c r="D125" s="363"/>
      <c r="E125" s="363"/>
      <c r="F125" s="363"/>
      <c r="G125" s="363"/>
      <c r="H125" s="363"/>
      <c r="I125" s="363"/>
      <c r="J125" s="363"/>
      <c r="K125" s="363"/>
      <c r="L125" s="363"/>
      <c r="M125" s="363"/>
      <c r="N125" s="363"/>
      <c r="O125" s="363"/>
      <c r="P125" s="363"/>
      <c r="Q125" s="363"/>
      <c r="R125" s="363"/>
      <c r="S125" s="363"/>
      <c r="T125" s="363"/>
      <c r="U125" s="363"/>
    </row>
    <row r="126" spans="1:21" ht="18">
      <c r="A126" s="363"/>
      <c r="B126" s="363"/>
      <c r="C126" s="363"/>
      <c r="D126" s="363"/>
      <c r="E126" s="363"/>
      <c r="F126" s="363"/>
      <c r="G126" s="363"/>
      <c r="H126" s="363"/>
      <c r="I126" s="363"/>
      <c r="J126" s="363"/>
      <c r="K126" s="363"/>
      <c r="L126" s="363"/>
      <c r="M126" s="363"/>
      <c r="N126" s="363"/>
      <c r="O126" s="363"/>
      <c r="P126" s="363"/>
      <c r="Q126" s="363"/>
      <c r="R126" s="363"/>
      <c r="S126" s="363"/>
      <c r="T126" s="363"/>
      <c r="U126" s="363"/>
    </row>
    <row r="127" spans="1:21" ht="18">
      <c r="A127" s="363"/>
      <c r="B127" s="363"/>
      <c r="C127" s="363"/>
      <c r="D127" s="363"/>
      <c r="E127" s="363"/>
      <c r="F127" s="363"/>
      <c r="G127" s="363"/>
      <c r="H127" s="363"/>
      <c r="I127" s="363"/>
      <c r="J127" s="363"/>
      <c r="K127" s="363"/>
      <c r="L127" s="363"/>
      <c r="M127" s="363"/>
      <c r="N127" s="363"/>
      <c r="O127" s="363"/>
      <c r="P127" s="363"/>
      <c r="Q127" s="363"/>
      <c r="R127" s="363"/>
      <c r="S127" s="363"/>
      <c r="T127" s="363"/>
      <c r="U127" s="363"/>
    </row>
    <row r="128" spans="1:21" ht="18">
      <c r="A128" s="363"/>
      <c r="B128" s="363"/>
      <c r="C128" s="363"/>
      <c r="D128" s="363"/>
      <c r="E128" s="363"/>
      <c r="F128" s="363"/>
      <c r="G128" s="363"/>
      <c r="H128" s="363"/>
      <c r="I128" s="363"/>
      <c r="J128" s="363"/>
      <c r="K128" s="363"/>
      <c r="L128" s="363"/>
      <c r="M128" s="363"/>
      <c r="N128" s="363"/>
      <c r="O128" s="363"/>
      <c r="P128" s="363"/>
      <c r="Q128" s="363"/>
      <c r="R128" s="363"/>
      <c r="S128" s="363"/>
      <c r="T128" s="363"/>
      <c r="U128" s="363"/>
    </row>
    <row r="129" spans="1:21" ht="18">
      <c r="A129" s="363"/>
      <c r="B129" s="363"/>
      <c r="C129" s="363"/>
      <c r="D129" s="363"/>
      <c r="E129" s="363"/>
      <c r="F129" s="363"/>
      <c r="G129" s="363"/>
      <c r="H129" s="363"/>
      <c r="I129" s="363"/>
      <c r="J129" s="363"/>
      <c r="K129" s="363"/>
      <c r="L129" s="363"/>
      <c r="M129" s="363"/>
      <c r="N129" s="363"/>
      <c r="O129" s="363"/>
      <c r="P129" s="363"/>
      <c r="Q129" s="363"/>
      <c r="R129" s="363"/>
      <c r="S129" s="363"/>
      <c r="T129" s="363"/>
      <c r="U129" s="363"/>
    </row>
    <row r="130" spans="1:21" ht="18">
      <c r="A130" s="363"/>
      <c r="B130" s="363"/>
      <c r="C130" s="363"/>
      <c r="D130" s="363"/>
      <c r="E130" s="363"/>
      <c r="F130" s="363"/>
      <c r="G130" s="363"/>
      <c r="H130" s="363"/>
      <c r="I130" s="363"/>
      <c r="J130" s="363"/>
      <c r="K130" s="363"/>
      <c r="L130" s="363"/>
      <c r="M130" s="363"/>
      <c r="N130" s="363"/>
      <c r="O130" s="363"/>
      <c r="P130" s="363"/>
      <c r="Q130" s="363"/>
      <c r="R130" s="363"/>
      <c r="S130" s="363"/>
      <c r="T130" s="363"/>
      <c r="U130" s="363"/>
    </row>
    <row r="131" spans="1:21" ht="18">
      <c r="A131" s="363"/>
      <c r="B131" s="363"/>
      <c r="C131" s="363"/>
      <c r="D131" s="363"/>
      <c r="E131" s="363"/>
      <c r="F131" s="363"/>
      <c r="G131" s="363"/>
      <c r="H131" s="363"/>
      <c r="I131" s="363"/>
      <c r="J131" s="363"/>
      <c r="K131" s="363"/>
      <c r="L131" s="363"/>
      <c r="M131" s="363"/>
      <c r="N131" s="363"/>
      <c r="O131" s="363"/>
      <c r="P131" s="363"/>
      <c r="Q131" s="363"/>
      <c r="R131" s="363"/>
      <c r="S131" s="363"/>
      <c r="T131" s="363"/>
      <c r="U131" s="363"/>
    </row>
    <row r="132" spans="1:21" ht="18">
      <c r="A132" s="363"/>
      <c r="B132" s="363"/>
      <c r="C132" s="363"/>
      <c r="D132" s="363"/>
      <c r="E132" s="363"/>
      <c r="F132" s="363"/>
      <c r="G132" s="363"/>
      <c r="H132" s="363"/>
      <c r="I132" s="363"/>
      <c r="J132" s="363"/>
      <c r="K132" s="363"/>
      <c r="L132" s="363"/>
      <c r="M132" s="363"/>
      <c r="N132" s="363"/>
      <c r="O132" s="363"/>
      <c r="P132" s="363"/>
      <c r="Q132" s="363"/>
      <c r="R132" s="363"/>
      <c r="S132" s="363"/>
      <c r="T132" s="363"/>
      <c r="U132" s="363"/>
    </row>
    <row r="133" spans="1:21" ht="18">
      <c r="A133" s="363"/>
      <c r="B133" s="363"/>
      <c r="C133" s="363"/>
      <c r="D133" s="363"/>
      <c r="E133" s="363"/>
      <c r="F133" s="363"/>
      <c r="G133" s="363"/>
      <c r="H133" s="363"/>
      <c r="I133" s="363"/>
      <c r="J133" s="363"/>
      <c r="K133" s="363"/>
      <c r="L133" s="363"/>
      <c r="M133" s="363"/>
      <c r="N133" s="363"/>
      <c r="O133" s="363"/>
      <c r="P133" s="363"/>
      <c r="Q133" s="363"/>
      <c r="R133" s="363"/>
      <c r="S133" s="363"/>
      <c r="T133" s="363"/>
      <c r="U133" s="363"/>
    </row>
    <row r="134" spans="1:21" ht="18">
      <c r="A134" s="363"/>
      <c r="B134" s="363"/>
      <c r="C134" s="363"/>
      <c r="D134" s="363"/>
      <c r="E134" s="363"/>
      <c r="F134" s="363"/>
      <c r="G134" s="363"/>
      <c r="H134" s="363"/>
      <c r="I134" s="363"/>
      <c r="J134" s="363"/>
      <c r="K134" s="363"/>
      <c r="L134" s="363"/>
      <c r="M134" s="363"/>
      <c r="N134" s="363"/>
      <c r="O134" s="363"/>
      <c r="P134" s="363"/>
      <c r="Q134" s="363"/>
      <c r="R134" s="363"/>
      <c r="S134" s="363"/>
      <c r="T134" s="363"/>
      <c r="U134" s="363"/>
    </row>
    <row r="135" spans="1:21" ht="18">
      <c r="A135" s="363"/>
      <c r="B135" s="363"/>
      <c r="C135" s="363"/>
      <c r="D135" s="363"/>
      <c r="E135" s="363"/>
      <c r="F135" s="363"/>
      <c r="G135" s="363"/>
      <c r="H135" s="363"/>
      <c r="I135" s="363"/>
      <c r="J135" s="363"/>
      <c r="K135" s="363"/>
      <c r="L135" s="363"/>
      <c r="M135" s="363"/>
      <c r="N135" s="363"/>
      <c r="O135" s="363"/>
      <c r="P135" s="363"/>
      <c r="Q135" s="363"/>
      <c r="R135" s="363"/>
      <c r="S135" s="363"/>
      <c r="T135" s="363"/>
      <c r="U135" s="363"/>
    </row>
    <row r="136" spans="1:21" ht="18">
      <c r="A136" s="363"/>
      <c r="B136" s="363"/>
      <c r="C136" s="363"/>
      <c r="D136" s="363"/>
      <c r="E136" s="363"/>
      <c r="F136" s="363"/>
      <c r="G136" s="363"/>
      <c r="H136" s="363"/>
      <c r="I136" s="363"/>
      <c r="J136" s="363"/>
      <c r="K136" s="363"/>
      <c r="L136" s="363"/>
      <c r="M136" s="363"/>
      <c r="N136" s="363"/>
      <c r="O136" s="363"/>
      <c r="P136" s="363"/>
      <c r="Q136" s="363"/>
      <c r="R136" s="363"/>
      <c r="S136" s="363"/>
      <c r="T136" s="363"/>
      <c r="U136" s="363"/>
    </row>
    <row r="137" spans="1:21" ht="18">
      <c r="A137" s="363"/>
      <c r="B137" s="363"/>
      <c r="C137" s="363"/>
      <c r="D137" s="363"/>
      <c r="E137" s="363"/>
      <c r="F137" s="363"/>
      <c r="G137" s="363"/>
      <c r="H137" s="363"/>
      <c r="I137" s="363"/>
      <c r="J137" s="363"/>
      <c r="K137" s="363"/>
      <c r="L137" s="363"/>
      <c r="M137" s="363"/>
      <c r="N137" s="363"/>
      <c r="O137" s="363"/>
      <c r="P137" s="363"/>
      <c r="Q137" s="363"/>
      <c r="R137" s="363"/>
      <c r="S137" s="363"/>
      <c r="T137" s="363"/>
      <c r="U137" s="363"/>
    </row>
    <row r="138" spans="1:21" ht="18">
      <c r="A138" s="363"/>
      <c r="B138" s="363"/>
      <c r="C138" s="363"/>
      <c r="D138" s="363"/>
      <c r="E138" s="363"/>
      <c r="F138" s="363"/>
      <c r="G138" s="363"/>
      <c r="H138" s="363"/>
      <c r="I138" s="363"/>
      <c r="J138" s="363"/>
      <c r="K138" s="363"/>
      <c r="L138" s="363"/>
      <c r="M138" s="363"/>
      <c r="N138" s="363"/>
      <c r="O138" s="363"/>
      <c r="P138" s="363"/>
      <c r="Q138" s="363"/>
      <c r="R138" s="363"/>
      <c r="S138" s="363"/>
      <c r="T138" s="363"/>
      <c r="U138" s="363"/>
    </row>
    <row r="139" spans="1:21" ht="18">
      <c r="A139" s="363"/>
      <c r="B139" s="363"/>
      <c r="C139" s="363"/>
      <c r="D139" s="363"/>
      <c r="E139" s="363"/>
      <c r="F139" s="363"/>
      <c r="G139" s="363"/>
      <c r="H139" s="363"/>
      <c r="I139" s="363"/>
      <c r="J139" s="363"/>
      <c r="K139" s="363"/>
      <c r="L139" s="363"/>
      <c r="M139" s="363"/>
      <c r="N139" s="363"/>
      <c r="O139" s="363"/>
      <c r="P139" s="363"/>
      <c r="Q139" s="363"/>
      <c r="R139" s="363"/>
      <c r="S139" s="363"/>
      <c r="T139" s="363"/>
      <c r="U139" s="363"/>
    </row>
    <row r="140" spans="1:21" ht="18">
      <c r="A140" s="363"/>
      <c r="B140" s="363"/>
      <c r="C140" s="363"/>
      <c r="D140" s="363"/>
      <c r="E140" s="363"/>
      <c r="F140" s="363"/>
      <c r="G140" s="363"/>
      <c r="H140" s="363"/>
      <c r="I140" s="363"/>
      <c r="J140" s="363"/>
      <c r="K140" s="363"/>
      <c r="L140" s="363"/>
      <c r="M140" s="363"/>
      <c r="N140" s="363"/>
      <c r="O140" s="363"/>
      <c r="P140" s="363"/>
      <c r="Q140" s="363"/>
      <c r="R140" s="363"/>
      <c r="S140" s="363"/>
      <c r="T140" s="363"/>
      <c r="U140" s="363"/>
    </row>
    <row r="141" spans="1:21" ht="18">
      <c r="A141" s="363"/>
      <c r="B141" s="363"/>
      <c r="C141" s="363"/>
      <c r="D141" s="363"/>
      <c r="E141" s="363"/>
      <c r="F141" s="363"/>
      <c r="G141" s="363"/>
      <c r="H141" s="363"/>
      <c r="I141" s="363"/>
      <c r="J141" s="363"/>
      <c r="K141" s="363"/>
      <c r="L141" s="363"/>
      <c r="M141" s="363"/>
      <c r="N141" s="363"/>
      <c r="O141" s="363"/>
      <c r="P141" s="363"/>
      <c r="Q141" s="363"/>
      <c r="R141" s="363"/>
      <c r="S141" s="363"/>
      <c r="T141" s="363"/>
      <c r="U141" s="363"/>
    </row>
    <row r="142" spans="1:21" ht="18">
      <c r="A142" s="363"/>
      <c r="B142" s="363"/>
      <c r="C142" s="363"/>
      <c r="D142" s="363"/>
      <c r="E142" s="363"/>
      <c r="F142" s="363"/>
      <c r="G142" s="363"/>
      <c r="H142" s="363"/>
      <c r="I142" s="363"/>
      <c r="J142" s="363"/>
      <c r="K142" s="363"/>
      <c r="L142" s="363"/>
      <c r="M142" s="363"/>
      <c r="N142" s="363"/>
      <c r="O142" s="363"/>
      <c r="P142" s="363"/>
      <c r="Q142" s="363"/>
      <c r="R142" s="363"/>
      <c r="S142" s="363"/>
      <c r="T142" s="363"/>
      <c r="U142" s="363"/>
    </row>
    <row r="143" spans="1:21" ht="18">
      <c r="A143" s="363"/>
      <c r="B143" s="363"/>
      <c r="C143" s="363"/>
      <c r="D143" s="363"/>
      <c r="E143" s="363"/>
      <c r="F143" s="363"/>
      <c r="G143" s="363"/>
      <c r="H143" s="363"/>
      <c r="I143" s="363"/>
      <c r="J143" s="363"/>
      <c r="K143" s="363"/>
      <c r="L143" s="363"/>
      <c r="M143" s="363"/>
      <c r="N143" s="363"/>
      <c r="O143" s="363"/>
      <c r="P143" s="363"/>
      <c r="Q143" s="363"/>
      <c r="R143" s="363"/>
      <c r="S143" s="363"/>
      <c r="T143" s="363"/>
      <c r="U143" s="363"/>
    </row>
    <row r="144" spans="1:21" ht="18">
      <c r="A144" s="363"/>
      <c r="B144" s="363"/>
      <c r="C144" s="363"/>
      <c r="D144" s="363"/>
      <c r="E144" s="363"/>
      <c r="F144" s="363"/>
      <c r="G144" s="363"/>
      <c r="H144" s="363"/>
      <c r="I144" s="363"/>
      <c r="J144" s="363"/>
      <c r="K144" s="363"/>
      <c r="L144" s="363"/>
      <c r="M144" s="363"/>
      <c r="N144" s="363"/>
      <c r="O144" s="363"/>
      <c r="P144" s="363"/>
      <c r="Q144" s="363"/>
      <c r="R144" s="363"/>
      <c r="S144" s="363"/>
      <c r="T144" s="363"/>
      <c r="U144" s="363"/>
    </row>
    <row r="145" spans="1:21" ht="18">
      <c r="A145" s="363"/>
      <c r="B145" s="363"/>
      <c r="C145" s="363"/>
      <c r="D145" s="363"/>
      <c r="E145" s="363"/>
      <c r="F145" s="363"/>
      <c r="G145" s="363"/>
      <c r="H145" s="363"/>
      <c r="I145" s="363"/>
      <c r="J145" s="363"/>
      <c r="K145" s="363"/>
      <c r="L145" s="363"/>
      <c r="M145" s="363"/>
      <c r="N145" s="363"/>
      <c r="O145" s="363"/>
      <c r="P145" s="363"/>
      <c r="Q145" s="363"/>
      <c r="R145" s="363"/>
      <c r="S145" s="363"/>
      <c r="T145" s="363"/>
      <c r="U145" s="363"/>
    </row>
    <row r="146" spans="1:21" ht="18">
      <c r="A146" s="363"/>
      <c r="B146" s="363"/>
      <c r="C146" s="363"/>
      <c r="D146" s="363"/>
      <c r="E146" s="363"/>
      <c r="F146" s="363"/>
      <c r="G146" s="363"/>
      <c r="H146" s="363"/>
      <c r="I146" s="363"/>
      <c r="J146" s="363"/>
      <c r="K146" s="363"/>
      <c r="L146" s="363"/>
      <c r="M146" s="363"/>
      <c r="N146" s="363"/>
      <c r="O146" s="363"/>
      <c r="P146" s="363"/>
      <c r="Q146" s="363"/>
      <c r="R146" s="363"/>
      <c r="S146" s="363"/>
      <c r="T146" s="363"/>
      <c r="U146" s="363"/>
    </row>
    <row r="147" spans="1:21" ht="18">
      <c r="A147" s="363"/>
      <c r="B147" s="363"/>
      <c r="C147" s="363"/>
      <c r="D147" s="363"/>
      <c r="E147" s="363"/>
      <c r="F147" s="363"/>
      <c r="G147" s="363"/>
      <c r="H147" s="363"/>
      <c r="I147" s="363"/>
      <c r="J147" s="363"/>
      <c r="K147" s="363"/>
      <c r="L147" s="363"/>
      <c r="M147" s="363"/>
      <c r="N147" s="363"/>
      <c r="O147" s="363"/>
      <c r="P147" s="363"/>
      <c r="Q147" s="363"/>
      <c r="R147" s="363"/>
      <c r="S147" s="363"/>
      <c r="T147" s="363"/>
      <c r="U147" s="363"/>
    </row>
    <row r="148" spans="1:21" ht="18">
      <c r="A148" s="363"/>
      <c r="B148" s="363"/>
      <c r="C148" s="363"/>
      <c r="D148" s="363"/>
      <c r="E148" s="363"/>
      <c r="F148" s="363"/>
      <c r="G148" s="363"/>
      <c r="H148" s="363"/>
      <c r="I148" s="363"/>
      <c r="J148" s="363"/>
      <c r="K148" s="363"/>
      <c r="L148" s="363"/>
      <c r="M148" s="363"/>
      <c r="N148" s="363"/>
      <c r="O148" s="363"/>
      <c r="P148" s="363"/>
      <c r="Q148" s="363"/>
      <c r="R148" s="363"/>
      <c r="S148" s="363"/>
      <c r="T148" s="363"/>
      <c r="U148" s="363"/>
    </row>
    <row r="149" spans="1:21" ht="18">
      <c r="A149" s="363"/>
      <c r="B149" s="363"/>
      <c r="C149" s="363"/>
      <c r="D149" s="363"/>
      <c r="E149" s="363"/>
      <c r="F149" s="363"/>
      <c r="G149" s="363"/>
      <c r="H149" s="363"/>
      <c r="I149" s="363"/>
      <c r="J149" s="363"/>
      <c r="K149" s="363"/>
      <c r="L149" s="363"/>
      <c r="M149" s="363"/>
      <c r="N149" s="363"/>
      <c r="O149" s="363"/>
      <c r="P149" s="363"/>
      <c r="Q149" s="363"/>
      <c r="R149" s="363"/>
      <c r="S149" s="363"/>
      <c r="T149" s="363"/>
      <c r="U149" s="363"/>
    </row>
    <row r="150" spans="1:21" ht="18">
      <c r="A150" s="363"/>
      <c r="B150" s="363"/>
      <c r="C150" s="363"/>
      <c r="D150" s="363"/>
      <c r="E150" s="363"/>
      <c r="F150" s="363"/>
      <c r="G150" s="363"/>
      <c r="H150" s="363"/>
      <c r="I150" s="363"/>
      <c r="J150" s="363"/>
      <c r="K150" s="363"/>
      <c r="L150" s="363"/>
      <c r="M150" s="363"/>
      <c r="N150" s="363"/>
      <c r="O150" s="363"/>
      <c r="P150" s="363"/>
      <c r="Q150" s="363"/>
      <c r="R150" s="363"/>
      <c r="S150" s="363"/>
      <c r="T150" s="363"/>
      <c r="U150" s="363"/>
    </row>
    <row r="151" spans="1:21" ht="18">
      <c r="A151" s="363"/>
      <c r="B151" s="363"/>
      <c r="C151" s="363"/>
      <c r="D151" s="363"/>
      <c r="E151" s="363"/>
      <c r="F151" s="363"/>
      <c r="G151" s="363"/>
      <c r="H151" s="363"/>
      <c r="I151" s="363"/>
      <c r="J151" s="363"/>
      <c r="K151" s="363"/>
      <c r="L151" s="363"/>
      <c r="M151" s="363"/>
      <c r="N151" s="363"/>
      <c r="O151" s="363"/>
      <c r="P151" s="363"/>
      <c r="Q151" s="363"/>
      <c r="R151" s="363"/>
      <c r="S151" s="363"/>
      <c r="T151" s="363"/>
      <c r="U151" s="363"/>
    </row>
    <row r="152" spans="1:21" ht="18">
      <c r="A152" s="363"/>
      <c r="B152" s="363"/>
      <c r="C152" s="363"/>
      <c r="D152" s="363"/>
      <c r="E152" s="363"/>
      <c r="F152" s="363"/>
      <c r="G152" s="363"/>
      <c r="H152" s="363"/>
      <c r="I152" s="363"/>
      <c r="J152" s="363"/>
      <c r="K152" s="363"/>
      <c r="L152" s="363"/>
      <c r="M152" s="363"/>
      <c r="N152" s="363"/>
      <c r="O152" s="363"/>
      <c r="P152" s="363"/>
      <c r="Q152" s="363"/>
      <c r="R152" s="363"/>
      <c r="S152" s="363"/>
      <c r="T152" s="363"/>
      <c r="U152" s="363"/>
    </row>
    <row r="153" spans="1:21" ht="18">
      <c r="A153" s="363"/>
      <c r="B153" s="363"/>
      <c r="C153" s="363"/>
      <c r="D153" s="363"/>
      <c r="E153" s="363"/>
      <c r="F153" s="363"/>
      <c r="G153" s="363"/>
      <c r="H153" s="363"/>
      <c r="I153" s="363"/>
      <c r="J153" s="363"/>
      <c r="K153" s="363"/>
      <c r="L153" s="363"/>
      <c r="M153" s="363"/>
      <c r="N153" s="363"/>
      <c r="O153" s="363"/>
      <c r="P153" s="363"/>
      <c r="Q153" s="363"/>
      <c r="R153" s="363"/>
      <c r="S153" s="363"/>
      <c r="T153" s="363"/>
      <c r="U153" s="363"/>
    </row>
    <row r="154" spans="1:21" ht="18">
      <c r="A154" s="363"/>
      <c r="B154" s="363"/>
      <c r="C154" s="363"/>
      <c r="D154" s="363"/>
      <c r="E154" s="363"/>
      <c r="F154" s="363"/>
      <c r="G154" s="363"/>
      <c r="H154" s="363"/>
      <c r="I154" s="363"/>
      <c r="J154" s="363"/>
      <c r="K154" s="363"/>
      <c r="L154" s="363"/>
      <c r="M154" s="363"/>
      <c r="N154" s="363"/>
      <c r="O154" s="363"/>
      <c r="P154" s="363"/>
      <c r="Q154" s="363"/>
      <c r="R154" s="363"/>
      <c r="S154" s="363"/>
      <c r="T154" s="363"/>
      <c r="U154" s="363"/>
    </row>
    <row r="155" spans="1:21" ht="18">
      <c r="A155" s="363"/>
      <c r="B155" s="363"/>
      <c r="C155" s="363"/>
      <c r="D155" s="363"/>
      <c r="E155" s="363"/>
      <c r="F155" s="363"/>
      <c r="G155" s="363"/>
      <c r="H155" s="363"/>
      <c r="I155" s="363"/>
      <c r="J155" s="363"/>
      <c r="K155" s="363"/>
      <c r="L155" s="363"/>
      <c r="M155" s="363"/>
      <c r="N155" s="363"/>
      <c r="O155" s="363"/>
      <c r="P155" s="363"/>
      <c r="Q155" s="363"/>
      <c r="R155" s="363"/>
      <c r="S155" s="363"/>
      <c r="T155" s="363"/>
      <c r="U155" s="363"/>
    </row>
    <row r="156" spans="1:21" ht="18">
      <c r="A156" s="363"/>
      <c r="B156" s="363"/>
      <c r="C156" s="363"/>
      <c r="D156" s="363"/>
      <c r="E156" s="363"/>
      <c r="F156" s="363"/>
      <c r="G156" s="363"/>
      <c r="H156" s="363"/>
      <c r="I156" s="363"/>
      <c r="J156" s="363"/>
      <c r="K156" s="363"/>
      <c r="L156" s="363"/>
      <c r="M156" s="363"/>
      <c r="N156" s="363"/>
      <c r="O156" s="363"/>
      <c r="P156" s="363"/>
      <c r="Q156" s="363"/>
      <c r="R156" s="363"/>
      <c r="S156" s="363"/>
      <c r="T156" s="363"/>
      <c r="U156" s="363"/>
    </row>
    <row r="157" spans="1:21" ht="18">
      <c r="A157" s="363"/>
      <c r="B157" s="363"/>
      <c r="C157" s="363"/>
      <c r="D157" s="363"/>
      <c r="E157" s="363"/>
      <c r="F157" s="363"/>
      <c r="G157" s="363"/>
      <c r="H157" s="363"/>
      <c r="I157" s="363"/>
      <c r="J157" s="363"/>
      <c r="K157" s="363"/>
      <c r="L157" s="363"/>
      <c r="M157" s="363"/>
      <c r="N157" s="363"/>
      <c r="O157" s="363"/>
      <c r="P157" s="363"/>
      <c r="Q157" s="363"/>
      <c r="R157" s="363"/>
      <c r="S157" s="363"/>
      <c r="T157" s="363"/>
      <c r="U157" s="363"/>
    </row>
    <row r="158" spans="1:21" ht="18">
      <c r="A158" s="363"/>
      <c r="B158" s="363"/>
      <c r="C158" s="363"/>
      <c r="D158" s="363"/>
      <c r="E158" s="363"/>
      <c r="F158" s="363"/>
      <c r="G158" s="363"/>
      <c r="H158" s="363"/>
      <c r="I158" s="363"/>
      <c r="J158" s="363"/>
      <c r="K158" s="363"/>
      <c r="L158" s="363"/>
      <c r="M158" s="363"/>
      <c r="N158" s="363"/>
      <c r="O158" s="363"/>
      <c r="P158" s="363"/>
      <c r="Q158" s="363"/>
      <c r="R158" s="363"/>
      <c r="S158" s="363"/>
      <c r="T158" s="363"/>
      <c r="U158" s="363"/>
    </row>
    <row r="159" spans="1:21" ht="18">
      <c r="A159" s="363"/>
      <c r="B159" s="363"/>
      <c r="C159" s="363"/>
      <c r="D159" s="363"/>
      <c r="E159" s="363"/>
      <c r="F159" s="363"/>
      <c r="G159" s="363"/>
      <c r="H159" s="363"/>
      <c r="I159" s="363"/>
      <c r="J159" s="363"/>
      <c r="K159" s="363"/>
      <c r="L159" s="363"/>
      <c r="M159" s="363"/>
      <c r="N159" s="363"/>
      <c r="O159" s="363"/>
      <c r="P159" s="363"/>
      <c r="Q159" s="363"/>
      <c r="R159" s="363"/>
      <c r="S159" s="363"/>
      <c r="T159" s="363"/>
      <c r="U159" s="363"/>
    </row>
    <row r="160" spans="1:21" ht="18">
      <c r="A160" s="363"/>
      <c r="B160" s="363"/>
      <c r="C160" s="363"/>
      <c r="D160" s="363"/>
      <c r="E160" s="363"/>
      <c r="F160" s="363"/>
      <c r="G160" s="363"/>
      <c r="H160" s="363"/>
      <c r="I160" s="363"/>
      <c r="J160" s="363"/>
      <c r="K160" s="363"/>
      <c r="L160" s="363"/>
      <c r="M160" s="363"/>
      <c r="N160" s="363"/>
      <c r="O160" s="363"/>
      <c r="P160" s="363"/>
      <c r="Q160" s="363"/>
      <c r="R160" s="363"/>
      <c r="S160" s="363"/>
      <c r="T160" s="363"/>
      <c r="U160" s="363"/>
    </row>
    <row r="161" spans="1:21" ht="18">
      <c r="A161" s="363"/>
      <c r="B161" s="363"/>
      <c r="C161" s="363"/>
      <c r="D161" s="363"/>
      <c r="E161" s="363"/>
      <c r="F161" s="363"/>
      <c r="G161" s="363"/>
      <c r="H161" s="363"/>
      <c r="I161" s="363"/>
      <c r="J161" s="363"/>
      <c r="K161" s="363"/>
      <c r="L161" s="363"/>
      <c r="M161" s="363"/>
      <c r="N161" s="363"/>
      <c r="O161" s="363"/>
      <c r="P161" s="363"/>
      <c r="Q161" s="363"/>
      <c r="R161" s="363"/>
      <c r="S161" s="363"/>
      <c r="T161" s="363"/>
      <c r="U161" s="363"/>
    </row>
    <row r="162" spans="1:21" ht="18">
      <c r="A162" s="363"/>
      <c r="B162" s="363"/>
      <c r="C162" s="363"/>
      <c r="D162" s="363"/>
      <c r="E162" s="363"/>
      <c r="F162" s="363"/>
      <c r="G162" s="363"/>
      <c r="H162" s="363"/>
      <c r="I162" s="363"/>
      <c r="J162" s="363"/>
      <c r="K162" s="363"/>
      <c r="L162" s="363"/>
      <c r="M162" s="363"/>
      <c r="N162" s="363"/>
      <c r="O162" s="363"/>
      <c r="P162" s="363"/>
      <c r="Q162" s="363"/>
      <c r="R162" s="363"/>
      <c r="S162" s="363"/>
      <c r="T162" s="363"/>
      <c r="U162" s="363"/>
    </row>
    <row r="163" spans="1:21" ht="18">
      <c r="A163" s="363"/>
      <c r="B163" s="363"/>
      <c r="C163" s="363"/>
      <c r="D163" s="363"/>
      <c r="E163" s="363"/>
      <c r="F163" s="363"/>
      <c r="G163" s="363"/>
      <c r="H163" s="363"/>
      <c r="I163" s="363"/>
      <c r="J163" s="363"/>
      <c r="K163" s="363"/>
      <c r="L163" s="363"/>
      <c r="M163" s="363"/>
      <c r="N163" s="363"/>
      <c r="O163" s="363"/>
      <c r="P163" s="363"/>
      <c r="Q163" s="363"/>
      <c r="R163" s="363"/>
      <c r="S163" s="363"/>
      <c r="T163" s="363"/>
      <c r="U163" s="363"/>
    </row>
    <row r="164" spans="1:21" ht="18">
      <c r="A164" s="363"/>
      <c r="B164" s="363"/>
      <c r="C164" s="363"/>
      <c r="D164" s="363"/>
      <c r="E164" s="363"/>
      <c r="F164" s="363"/>
      <c r="G164" s="363"/>
      <c r="H164" s="363"/>
      <c r="I164" s="363"/>
      <c r="J164" s="363"/>
      <c r="K164" s="363"/>
      <c r="L164" s="363"/>
      <c r="M164" s="363"/>
      <c r="N164" s="363"/>
      <c r="O164" s="363"/>
      <c r="P164" s="363"/>
      <c r="Q164" s="363"/>
      <c r="R164" s="363"/>
      <c r="S164" s="363"/>
      <c r="T164" s="363"/>
      <c r="U164" s="363"/>
    </row>
    <row r="165" spans="1:21" ht="18">
      <c r="A165" s="363"/>
      <c r="B165" s="363"/>
      <c r="C165" s="363"/>
      <c r="D165" s="363"/>
      <c r="E165" s="363"/>
      <c r="F165" s="363"/>
      <c r="G165" s="363"/>
      <c r="H165" s="363"/>
      <c r="I165" s="363"/>
      <c r="J165" s="363"/>
      <c r="K165" s="363"/>
      <c r="L165" s="363"/>
      <c r="M165" s="363"/>
      <c r="N165" s="363"/>
      <c r="O165" s="363"/>
      <c r="P165" s="363"/>
      <c r="Q165" s="363"/>
      <c r="R165" s="363"/>
      <c r="S165" s="363"/>
      <c r="T165" s="363"/>
      <c r="U165" s="363"/>
    </row>
    <row r="166" spans="1:21" ht="18">
      <c r="A166" s="363"/>
      <c r="B166" s="363"/>
      <c r="C166" s="363"/>
      <c r="D166" s="363"/>
      <c r="E166" s="363"/>
      <c r="F166" s="363"/>
      <c r="G166" s="363"/>
      <c r="H166" s="363"/>
      <c r="I166" s="363"/>
      <c r="J166" s="363"/>
      <c r="K166" s="363"/>
      <c r="L166" s="363"/>
      <c r="M166" s="363"/>
      <c r="N166" s="363"/>
      <c r="O166" s="363"/>
      <c r="P166" s="363"/>
      <c r="Q166" s="363"/>
      <c r="R166" s="363"/>
      <c r="S166" s="363"/>
      <c r="T166" s="363"/>
      <c r="U166" s="363"/>
    </row>
    <row r="167" spans="1:21" ht="18">
      <c r="A167" s="363"/>
      <c r="B167" s="363"/>
      <c r="C167" s="363"/>
      <c r="D167" s="363"/>
      <c r="E167" s="363"/>
      <c r="F167" s="363"/>
      <c r="G167" s="363"/>
      <c r="H167" s="363"/>
      <c r="I167" s="363"/>
      <c r="J167" s="363"/>
      <c r="K167" s="363"/>
      <c r="L167" s="363"/>
      <c r="M167" s="363"/>
      <c r="N167" s="363"/>
      <c r="O167" s="363"/>
      <c r="P167" s="363"/>
      <c r="Q167" s="363"/>
      <c r="R167" s="363"/>
      <c r="S167" s="363"/>
      <c r="T167" s="363"/>
      <c r="U167" s="363"/>
    </row>
    <row r="168" spans="1:21" ht="18">
      <c r="A168" s="363"/>
      <c r="B168" s="363"/>
      <c r="C168" s="363"/>
      <c r="D168" s="363"/>
      <c r="E168" s="363"/>
      <c r="F168" s="363"/>
      <c r="G168" s="363"/>
      <c r="H168" s="363"/>
      <c r="I168" s="363"/>
      <c r="J168" s="363"/>
      <c r="K168" s="363"/>
      <c r="L168" s="363"/>
      <c r="M168" s="363"/>
      <c r="N168" s="363"/>
      <c r="O168" s="363"/>
      <c r="P168" s="363"/>
      <c r="Q168" s="363"/>
      <c r="R168" s="363"/>
      <c r="S168" s="363"/>
      <c r="T168" s="363"/>
      <c r="U168" s="363"/>
    </row>
    <row r="169" spans="1:21" ht="18">
      <c r="A169" s="363"/>
      <c r="B169" s="363"/>
      <c r="C169" s="363"/>
      <c r="D169" s="363"/>
      <c r="E169" s="363"/>
      <c r="F169" s="363"/>
      <c r="G169" s="363"/>
      <c r="H169" s="363"/>
      <c r="I169" s="363"/>
      <c r="J169" s="363"/>
      <c r="K169" s="363"/>
      <c r="L169" s="363"/>
      <c r="M169" s="363"/>
      <c r="N169" s="363"/>
      <c r="O169" s="363"/>
      <c r="P169" s="363"/>
      <c r="Q169" s="363"/>
      <c r="R169" s="363"/>
      <c r="S169" s="363"/>
      <c r="T169" s="363"/>
      <c r="U169" s="363"/>
    </row>
    <row r="170" spans="1:21" ht="18">
      <c r="A170" s="363"/>
      <c r="B170" s="363"/>
      <c r="C170" s="363"/>
      <c r="D170" s="363"/>
      <c r="E170" s="363"/>
      <c r="F170" s="363"/>
      <c r="G170" s="363"/>
      <c r="H170" s="363"/>
      <c r="I170" s="363"/>
      <c r="J170" s="363"/>
      <c r="K170" s="363"/>
      <c r="L170" s="363"/>
      <c r="M170" s="363"/>
      <c r="N170" s="363"/>
      <c r="O170" s="363"/>
      <c r="P170" s="363"/>
      <c r="Q170" s="363"/>
      <c r="R170" s="363"/>
      <c r="S170" s="363"/>
      <c r="T170" s="363"/>
      <c r="U170" s="363"/>
    </row>
    <row r="171" spans="1:21" ht="18">
      <c r="A171" s="363"/>
      <c r="B171" s="363"/>
      <c r="C171" s="363"/>
      <c r="D171" s="363"/>
      <c r="E171" s="363"/>
      <c r="F171" s="363"/>
      <c r="G171" s="363"/>
      <c r="H171" s="363"/>
      <c r="I171" s="363"/>
      <c r="J171" s="363"/>
      <c r="K171" s="363"/>
      <c r="L171" s="363"/>
      <c r="M171" s="363"/>
      <c r="N171" s="363"/>
      <c r="O171" s="363"/>
      <c r="P171" s="363"/>
      <c r="Q171" s="363"/>
      <c r="R171" s="363"/>
      <c r="S171" s="363"/>
      <c r="T171" s="363"/>
      <c r="U171" s="363"/>
    </row>
    <row r="172" spans="1:21" ht="18">
      <c r="A172" s="363"/>
      <c r="B172" s="363"/>
      <c r="C172" s="363"/>
      <c r="D172" s="363"/>
      <c r="E172" s="363"/>
      <c r="F172" s="363"/>
      <c r="G172" s="363"/>
      <c r="H172" s="363"/>
      <c r="I172" s="363"/>
      <c r="J172" s="363"/>
      <c r="K172" s="363"/>
      <c r="L172" s="363"/>
      <c r="M172" s="363"/>
      <c r="N172" s="363"/>
      <c r="O172" s="363"/>
      <c r="P172" s="363"/>
      <c r="Q172" s="363"/>
      <c r="R172" s="363"/>
      <c r="S172" s="363"/>
      <c r="T172" s="363"/>
      <c r="U172" s="363"/>
    </row>
    <row r="173" spans="1:21" ht="18">
      <c r="A173" s="363"/>
      <c r="B173" s="363"/>
      <c r="C173" s="363"/>
      <c r="D173" s="363"/>
      <c r="E173" s="363"/>
      <c r="F173" s="363"/>
      <c r="G173" s="363"/>
      <c r="H173" s="363"/>
      <c r="I173" s="363"/>
      <c r="J173" s="363"/>
      <c r="K173" s="363"/>
      <c r="L173" s="363"/>
      <c r="M173" s="363"/>
      <c r="N173" s="363"/>
      <c r="O173" s="363"/>
      <c r="P173" s="363"/>
      <c r="Q173" s="363"/>
      <c r="R173" s="363"/>
      <c r="S173" s="363"/>
      <c r="T173" s="363"/>
      <c r="U173" s="363"/>
    </row>
    <row r="174" spans="1:21" ht="18">
      <c r="A174" s="363"/>
      <c r="B174" s="363"/>
      <c r="C174" s="363"/>
      <c r="D174" s="363"/>
      <c r="E174" s="363"/>
      <c r="F174" s="363"/>
      <c r="G174" s="363"/>
      <c r="H174" s="363"/>
      <c r="I174" s="363"/>
      <c r="J174" s="363"/>
      <c r="K174" s="363"/>
      <c r="L174" s="363"/>
      <c r="M174" s="363"/>
      <c r="N174" s="363"/>
      <c r="O174" s="363"/>
      <c r="P174" s="363"/>
      <c r="Q174" s="363"/>
      <c r="R174" s="363"/>
      <c r="S174" s="363"/>
      <c r="T174" s="363"/>
      <c r="U174" s="363"/>
    </row>
    <row r="175" spans="1:21" ht="18">
      <c r="A175" s="363"/>
      <c r="B175" s="363"/>
      <c r="C175" s="363"/>
      <c r="D175" s="363"/>
      <c r="E175" s="363"/>
      <c r="F175" s="363"/>
      <c r="G175" s="363"/>
      <c r="H175" s="363"/>
      <c r="I175" s="363"/>
      <c r="J175" s="363"/>
      <c r="K175" s="363"/>
      <c r="L175" s="363"/>
      <c r="M175" s="363"/>
      <c r="N175" s="363"/>
      <c r="O175" s="363"/>
      <c r="P175" s="363"/>
      <c r="Q175" s="363"/>
      <c r="R175" s="363"/>
      <c r="S175" s="363"/>
      <c r="T175" s="363"/>
      <c r="U175" s="363"/>
    </row>
    <row r="176" spans="1:21" ht="18">
      <c r="A176" s="363"/>
      <c r="B176" s="363"/>
      <c r="C176" s="363"/>
      <c r="D176" s="363"/>
      <c r="E176" s="363"/>
      <c r="F176" s="363"/>
      <c r="G176" s="363"/>
      <c r="H176" s="363"/>
      <c r="I176" s="363"/>
      <c r="J176" s="363"/>
      <c r="K176" s="363"/>
      <c r="L176" s="363"/>
      <c r="M176" s="363"/>
      <c r="N176" s="363"/>
      <c r="O176" s="363"/>
      <c r="P176" s="363"/>
      <c r="Q176" s="363"/>
      <c r="R176" s="363"/>
      <c r="S176" s="363"/>
      <c r="T176" s="363"/>
      <c r="U176" s="363"/>
    </row>
    <row r="177" spans="1:21" ht="18">
      <c r="A177" s="363"/>
      <c r="B177" s="363"/>
      <c r="C177" s="363"/>
      <c r="D177" s="363"/>
      <c r="E177" s="363"/>
      <c r="F177" s="363"/>
      <c r="G177" s="363"/>
      <c r="H177" s="363"/>
      <c r="I177" s="363"/>
      <c r="J177" s="363"/>
      <c r="K177" s="363"/>
      <c r="L177" s="363"/>
      <c r="M177" s="363"/>
      <c r="N177" s="363"/>
      <c r="O177" s="363"/>
      <c r="P177" s="363"/>
      <c r="Q177" s="363"/>
      <c r="R177" s="363"/>
      <c r="S177" s="363"/>
      <c r="T177" s="363"/>
      <c r="U177" s="363"/>
    </row>
    <row r="178" spans="1:21" ht="18">
      <c r="A178" s="363"/>
      <c r="B178" s="363"/>
      <c r="C178" s="363"/>
      <c r="D178" s="363"/>
      <c r="E178" s="363"/>
      <c r="F178" s="363"/>
      <c r="G178" s="363"/>
      <c r="H178" s="363"/>
      <c r="I178" s="363"/>
      <c r="J178" s="363"/>
      <c r="K178" s="363"/>
      <c r="L178" s="363"/>
      <c r="M178" s="363"/>
      <c r="N178" s="363"/>
      <c r="O178" s="363"/>
      <c r="P178" s="363"/>
      <c r="Q178" s="363"/>
      <c r="R178" s="363"/>
      <c r="S178" s="363"/>
      <c r="T178" s="363"/>
      <c r="U178" s="363"/>
    </row>
    <row r="179" spans="1:21" ht="18">
      <c r="A179" s="363"/>
      <c r="B179" s="363"/>
      <c r="C179" s="363"/>
      <c r="D179" s="363"/>
      <c r="E179" s="363"/>
      <c r="F179" s="363"/>
      <c r="G179" s="363"/>
      <c r="H179" s="363"/>
      <c r="I179" s="363"/>
      <c r="J179" s="363"/>
      <c r="K179" s="363"/>
      <c r="L179" s="363"/>
      <c r="M179" s="363"/>
      <c r="N179" s="363"/>
      <c r="O179" s="363"/>
      <c r="P179" s="363"/>
      <c r="Q179" s="363"/>
      <c r="R179" s="363"/>
      <c r="S179" s="363"/>
      <c r="T179" s="363"/>
      <c r="U179" s="363"/>
    </row>
    <row r="180" spans="1:21" ht="18">
      <c r="A180" s="363"/>
      <c r="B180" s="363"/>
      <c r="C180" s="363"/>
      <c r="D180" s="363"/>
      <c r="E180" s="363"/>
      <c r="F180" s="363"/>
      <c r="G180" s="363"/>
      <c r="H180" s="363"/>
      <c r="I180" s="363"/>
      <c r="J180" s="363"/>
      <c r="K180" s="363"/>
      <c r="L180" s="363"/>
      <c r="M180" s="363"/>
      <c r="N180" s="363"/>
      <c r="O180" s="363"/>
      <c r="P180" s="363"/>
      <c r="Q180" s="363"/>
      <c r="R180" s="363"/>
      <c r="S180" s="363"/>
      <c r="T180" s="363"/>
      <c r="U180" s="363"/>
    </row>
    <row r="181" spans="1:21" ht="18">
      <c r="A181" s="363"/>
      <c r="B181" s="363"/>
      <c r="C181" s="363"/>
      <c r="D181" s="363"/>
      <c r="E181" s="363"/>
      <c r="F181" s="363"/>
      <c r="G181" s="363"/>
      <c r="H181" s="363"/>
      <c r="I181" s="363"/>
      <c r="J181" s="363"/>
      <c r="K181" s="363"/>
      <c r="L181" s="363"/>
      <c r="M181" s="363"/>
      <c r="N181" s="363"/>
      <c r="O181" s="363"/>
      <c r="P181" s="363"/>
      <c r="Q181" s="363"/>
      <c r="R181" s="363"/>
      <c r="S181" s="363"/>
      <c r="T181" s="363"/>
      <c r="U181" s="363"/>
    </row>
    <row r="182" spans="1:21" ht="18">
      <c r="A182" s="363"/>
      <c r="B182" s="363"/>
      <c r="C182" s="363"/>
      <c r="D182" s="363"/>
      <c r="E182" s="363"/>
      <c r="F182" s="363"/>
      <c r="G182" s="363"/>
      <c r="H182" s="363"/>
      <c r="I182" s="363"/>
      <c r="J182" s="363"/>
      <c r="K182" s="363"/>
      <c r="L182" s="363"/>
      <c r="M182" s="363"/>
      <c r="N182" s="363"/>
      <c r="O182" s="363"/>
      <c r="P182" s="363"/>
      <c r="Q182" s="363"/>
      <c r="R182" s="363"/>
      <c r="S182" s="363"/>
      <c r="T182" s="363"/>
      <c r="U182" s="363"/>
    </row>
    <row r="183" spans="1:21" ht="18">
      <c r="A183" s="363"/>
      <c r="B183" s="363"/>
      <c r="C183" s="363"/>
      <c r="D183" s="363"/>
      <c r="E183" s="363"/>
      <c r="F183" s="363"/>
      <c r="G183" s="363"/>
      <c r="H183" s="363"/>
      <c r="I183" s="363"/>
      <c r="J183" s="363"/>
      <c r="K183" s="363"/>
      <c r="L183" s="363"/>
      <c r="M183" s="363"/>
      <c r="N183" s="363"/>
      <c r="O183" s="363"/>
      <c r="P183" s="363"/>
      <c r="Q183" s="363"/>
      <c r="R183" s="363"/>
      <c r="S183" s="363"/>
      <c r="T183" s="363"/>
      <c r="U183" s="363"/>
    </row>
    <row r="184" spans="1:21" ht="18">
      <c r="A184" s="363"/>
      <c r="B184" s="363"/>
      <c r="C184" s="363"/>
      <c r="D184" s="363"/>
      <c r="E184" s="363"/>
      <c r="F184" s="363"/>
      <c r="G184" s="363"/>
      <c r="H184" s="363"/>
      <c r="I184" s="363"/>
      <c r="J184" s="363"/>
      <c r="K184" s="363"/>
      <c r="L184" s="363"/>
      <c r="M184" s="363"/>
      <c r="N184" s="363"/>
      <c r="O184" s="363"/>
      <c r="P184" s="363"/>
      <c r="Q184" s="363"/>
      <c r="R184" s="363"/>
      <c r="S184" s="363"/>
      <c r="T184" s="363"/>
      <c r="U184" s="363"/>
    </row>
    <row r="185" spans="1:21" ht="18">
      <c r="A185" s="363"/>
      <c r="B185" s="363"/>
      <c r="C185" s="363"/>
      <c r="D185" s="363"/>
      <c r="E185" s="363"/>
      <c r="F185" s="363"/>
      <c r="G185" s="363"/>
      <c r="H185" s="363"/>
      <c r="I185" s="363"/>
      <c r="J185" s="363"/>
      <c r="K185" s="363"/>
      <c r="L185" s="363"/>
      <c r="M185" s="363"/>
      <c r="N185" s="363"/>
      <c r="O185" s="363"/>
      <c r="P185" s="363"/>
      <c r="Q185" s="363"/>
      <c r="R185" s="363"/>
      <c r="S185" s="363"/>
      <c r="T185" s="363"/>
      <c r="U185" s="363"/>
    </row>
    <row r="186" spans="1:21" ht="18">
      <c r="A186" s="363"/>
      <c r="B186" s="363"/>
      <c r="C186" s="363"/>
      <c r="D186" s="363"/>
      <c r="E186" s="363"/>
      <c r="F186" s="363"/>
      <c r="G186" s="363"/>
      <c r="H186" s="363"/>
      <c r="I186" s="363"/>
      <c r="J186" s="363"/>
      <c r="K186" s="363"/>
      <c r="L186" s="363"/>
      <c r="M186" s="363"/>
      <c r="N186" s="363"/>
      <c r="O186" s="363"/>
      <c r="P186" s="363"/>
      <c r="Q186" s="363"/>
      <c r="R186" s="363"/>
      <c r="S186" s="363"/>
      <c r="T186" s="363"/>
      <c r="U186" s="363"/>
    </row>
    <row r="187" spans="1:21" ht="18">
      <c r="A187" s="363"/>
      <c r="B187" s="363"/>
      <c r="C187" s="363"/>
      <c r="D187" s="363"/>
      <c r="E187" s="363"/>
      <c r="F187" s="363"/>
      <c r="G187" s="363"/>
      <c r="H187" s="363"/>
      <c r="I187" s="363"/>
      <c r="J187" s="363"/>
      <c r="K187" s="363"/>
      <c r="L187" s="363"/>
      <c r="M187" s="363"/>
      <c r="N187" s="363"/>
      <c r="O187" s="363"/>
      <c r="P187" s="363"/>
      <c r="Q187" s="363"/>
      <c r="R187" s="363"/>
      <c r="S187" s="363"/>
      <c r="T187" s="363"/>
      <c r="U187" s="363"/>
    </row>
    <row r="188" spans="1:21" ht="18">
      <c r="A188" s="363"/>
      <c r="B188" s="363"/>
      <c r="C188" s="363"/>
      <c r="D188" s="363"/>
      <c r="E188" s="363"/>
      <c r="F188" s="363"/>
      <c r="G188" s="363"/>
      <c r="H188" s="363"/>
      <c r="I188" s="363"/>
      <c r="J188" s="363"/>
      <c r="K188" s="363"/>
      <c r="L188" s="363"/>
      <c r="M188" s="363"/>
      <c r="N188" s="363"/>
      <c r="O188" s="363"/>
      <c r="P188" s="363"/>
      <c r="Q188" s="363"/>
      <c r="R188" s="363"/>
      <c r="S188" s="363"/>
      <c r="T188" s="363"/>
      <c r="U188" s="363"/>
    </row>
    <row r="189" spans="1:21" ht="18">
      <c r="A189" s="363"/>
      <c r="B189" s="363"/>
      <c r="C189" s="363"/>
      <c r="D189" s="363"/>
      <c r="E189" s="363"/>
      <c r="F189" s="363"/>
      <c r="G189" s="363"/>
      <c r="H189" s="363"/>
      <c r="I189" s="363"/>
      <c r="J189" s="363"/>
      <c r="K189" s="363"/>
      <c r="L189" s="363"/>
      <c r="M189" s="363"/>
      <c r="N189" s="363"/>
      <c r="O189" s="363"/>
      <c r="P189" s="363"/>
      <c r="Q189" s="363"/>
      <c r="R189" s="363"/>
      <c r="S189" s="363"/>
      <c r="T189" s="363"/>
      <c r="U189" s="363"/>
    </row>
    <row r="190" spans="1:21" ht="18">
      <c r="A190" s="363"/>
      <c r="B190" s="363"/>
      <c r="C190" s="363"/>
      <c r="D190" s="363"/>
      <c r="E190" s="363"/>
      <c r="F190" s="363"/>
      <c r="G190" s="363"/>
      <c r="H190" s="363"/>
      <c r="I190" s="363"/>
      <c r="J190" s="363"/>
      <c r="K190" s="363"/>
      <c r="L190" s="363"/>
      <c r="M190" s="363"/>
      <c r="N190" s="363"/>
      <c r="O190" s="363"/>
      <c r="P190" s="363"/>
      <c r="Q190" s="363"/>
      <c r="R190" s="363"/>
      <c r="S190" s="363"/>
      <c r="T190" s="363"/>
      <c r="U190" s="363"/>
    </row>
    <row r="191" spans="1:21" ht="18">
      <c r="A191" s="363"/>
      <c r="B191" s="363"/>
      <c r="C191" s="363"/>
      <c r="D191" s="363"/>
      <c r="E191" s="363"/>
      <c r="F191" s="363"/>
      <c r="G191" s="363"/>
      <c r="H191" s="363"/>
      <c r="I191" s="363"/>
      <c r="J191" s="363"/>
      <c r="K191" s="363"/>
      <c r="L191" s="363"/>
      <c r="M191" s="363"/>
      <c r="N191" s="363"/>
      <c r="O191" s="363"/>
      <c r="P191" s="363"/>
      <c r="Q191" s="363"/>
      <c r="R191" s="363"/>
      <c r="S191" s="363"/>
      <c r="T191" s="363"/>
      <c r="U191" s="363"/>
    </row>
    <row r="192" spans="1:21" ht="18">
      <c r="A192" s="363"/>
      <c r="B192" s="363"/>
      <c r="C192" s="363"/>
      <c r="D192" s="363"/>
      <c r="E192" s="363"/>
      <c r="F192" s="363"/>
      <c r="G192" s="363"/>
      <c r="H192" s="363"/>
      <c r="I192" s="363"/>
      <c r="J192" s="363"/>
      <c r="K192" s="363"/>
      <c r="L192" s="363"/>
      <c r="M192" s="363"/>
      <c r="N192" s="363"/>
      <c r="O192" s="363"/>
      <c r="P192" s="363"/>
      <c r="Q192" s="363"/>
      <c r="R192" s="363"/>
      <c r="S192" s="363"/>
      <c r="T192" s="363"/>
      <c r="U192" s="363"/>
    </row>
    <row r="193" spans="1:21" ht="18">
      <c r="A193" s="363"/>
      <c r="B193" s="363"/>
      <c r="C193" s="363"/>
      <c r="D193" s="363"/>
      <c r="E193" s="363"/>
      <c r="F193" s="363"/>
      <c r="G193" s="363"/>
      <c r="H193" s="363"/>
      <c r="I193" s="363"/>
      <c r="J193" s="363"/>
      <c r="K193" s="363"/>
      <c r="L193" s="363"/>
      <c r="M193" s="363"/>
      <c r="N193" s="363"/>
      <c r="O193" s="363"/>
      <c r="P193" s="363"/>
      <c r="Q193" s="363"/>
      <c r="R193" s="363"/>
      <c r="S193" s="363"/>
      <c r="T193" s="363"/>
      <c r="U193" s="363"/>
    </row>
    <row r="194" spans="1:21" ht="18">
      <c r="A194" s="363"/>
      <c r="B194" s="363"/>
      <c r="C194" s="363"/>
      <c r="D194" s="363"/>
      <c r="E194" s="363"/>
      <c r="F194" s="363"/>
      <c r="G194" s="363"/>
      <c r="H194" s="363"/>
      <c r="I194" s="363"/>
      <c r="J194" s="363"/>
      <c r="K194" s="363"/>
      <c r="L194" s="363"/>
      <c r="M194" s="363"/>
      <c r="N194" s="363"/>
      <c r="O194" s="363"/>
      <c r="P194" s="363"/>
      <c r="Q194" s="363"/>
      <c r="R194" s="363"/>
      <c r="S194" s="363"/>
      <c r="T194" s="363"/>
      <c r="U194" s="363"/>
    </row>
    <row r="195" spans="1:21" ht="18">
      <c r="A195" s="363"/>
      <c r="B195" s="363"/>
      <c r="C195" s="363"/>
      <c r="D195" s="363"/>
      <c r="E195" s="363"/>
      <c r="F195" s="363"/>
      <c r="G195" s="363"/>
      <c r="H195" s="363"/>
      <c r="I195" s="363"/>
      <c r="J195" s="363"/>
      <c r="K195" s="363"/>
      <c r="L195" s="363"/>
      <c r="M195" s="363"/>
      <c r="N195" s="363"/>
      <c r="O195" s="363"/>
      <c r="P195" s="363"/>
      <c r="Q195" s="363"/>
      <c r="R195" s="363"/>
      <c r="S195" s="363"/>
      <c r="T195" s="363"/>
      <c r="U195" s="363"/>
    </row>
    <row r="196" spans="1:21" ht="18">
      <c r="A196" s="363"/>
      <c r="B196" s="363"/>
      <c r="C196" s="363"/>
      <c r="D196" s="363"/>
      <c r="E196" s="363"/>
      <c r="F196" s="363"/>
      <c r="G196" s="363"/>
      <c r="H196" s="363"/>
      <c r="I196" s="363"/>
      <c r="J196" s="363"/>
      <c r="K196" s="363"/>
      <c r="L196" s="363"/>
      <c r="M196" s="363"/>
      <c r="N196" s="363"/>
      <c r="O196" s="363"/>
      <c r="P196" s="363"/>
      <c r="Q196" s="363"/>
      <c r="R196" s="363"/>
      <c r="S196" s="363"/>
      <c r="T196" s="363"/>
      <c r="U196" s="363"/>
    </row>
    <row r="197" spans="1:21" ht="18">
      <c r="A197" s="363"/>
      <c r="B197" s="363"/>
      <c r="C197" s="363"/>
      <c r="D197" s="363"/>
      <c r="E197" s="363"/>
      <c r="F197" s="363"/>
      <c r="G197" s="363"/>
      <c r="H197" s="363"/>
      <c r="I197" s="363"/>
      <c r="J197" s="363"/>
      <c r="K197" s="363"/>
      <c r="L197" s="363"/>
      <c r="M197" s="363"/>
      <c r="N197" s="363"/>
      <c r="O197" s="363"/>
      <c r="P197" s="363"/>
      <c r="Q197" s="363"/>
      <c r="R197" s="363"/>
      <c r="S197" s="363"/>
      <c r="T197" s="363"/>
      <c r="U197" s="363"/>
    </row>
    <row r="198" spans="1:21" ht="18">
      <c r="A198" s="363"/>
      <c r="B198" s="363"/>
      <c r="C198" s="363"/>
      <c r="D198" s="363"/>
      <c r="E198" s="363"/>
      <c r="F198" s="363"/>
      <c r="G198" s="363"/>
      <c r="H198" s="363"/>
      <c r="I198" s="363"/>
      <c r="J198" s="363"/>
      <c r="K198" s="363"/>
      <c r="L198" s="363"/>
      <c r="M198" s="363"/>
      <c r="N198" s="363"/>
      <c r="O198" s="363"/>
      <c r="P198" s="363"/>
      <c r="Q198" s="363"/>
      <c r="R198" s="363"/>
      <c r="S198" s="363"/>
      <c r="T198" s="363"/>
      <c r="U198" s="363"/>
    </row>
    <row r="199" spans="1:21" ht="18">
      <c r="A199" s="363"/>
      <c r="B199" s="363"/>
      <c r="C199" s="363"/>
      <c r="D199" s="363"/>
      <c r="E199" s="363"/>
      <c r="F199" s="363"/>
      <c r="G199" s="363"/>
      <c r="H199" s="363"/>
      <c r="I199" s="363"/>
      <c r="J199" s="363"/>
      <c r="K199" s="363"/>
      <c r="L199" s="363"/>
      <c r="M199" s="363"/>
      <c r="N199" s="363"/>
      <c r="O199" s="363"/>
      <c r="P199" s="363"/>
      <c r="Q199" s="363"/>
      <c r="R199" s="363"/>
      <c r="S199" s="363"/>
      <c r="T199" s="363"/>
      <c r="U199" s="363"/>
    </row>
    <row r="200" spans="1:21" ht="18">
      <c r="A200" s="363"/>
      <c r="B200" s="363"/>
      <c r="C200" s="363"/>
      <c r="D200" s="363"/>
      <c r="E200" s="363"/>
      <c r="F200" s="363"/>
      <c r="G200" s="363"/>
      <c r="H200" s="363"/>
      <c r="I200" s="363"/>
      <c r="J200" s="363"/>
      <c r="K200" s="363"/>
      <c r="L200" s="363"/>
      <c r="M200" s="363"/>
      <c r="N200" s="363"/>
      <c r="O200" s="363"/>
      <c r="P200" s="363"/>
      <c r="Q200" s="363"/>
      <c r="R200" s="363"/>
      <c r="S200" s="363"/>
      <c r="T200" s="363"/>
      <c r="U200" s="363"/>
    </row>
    <row r="201" spans="1:21" ht="18">
      <c r="A201" s="363"/>
      <c r="B201" s="363"/>
      <c r="C201" s="363"/>
      <c r="D201" s="363"/>
      <c r="E201" s="363"/>
      <c r="F201" s="363"/>
      <c r="G201" s="363"/>
      <c r="H201" s="363"/>
      <c r="I201" s="363"/>
      <c r="J201" s="363"/>
      <c r="K201" s="363"/>
      <c r="L201" s="363"/>
      <c r="M201" s="363"/>
      <c r="N201" s="363"/>
      <c r="O201" s="363"/>
      <c r="P201" s="363"/>
      <c r="Q201" s="363"/>
      <c r="R201" s="363"/>
      <c r="S201" s="363"/>
      <c r="T201" s="363"/>
      <c r="U201" s="363"/>
    </row>
    <row r="202" spans="1:21" ht="18">
      <c r="A202" s="363"/>
      <c r="B202" s="363"/>
      <c r="C202" s="363"/>
      <c r="D202" s="363"/>
      <c r="E202" s="363"/>
      <c r="F202" s="363"/>
      <c r="G202" s="363"/>
      <c r="H202" s="363"/>
      <c r="I202" s="363"/>
      <c r="J202" s="363"/>
      <c r="K202" s="363"/>
      <c r="L202" s="363"/>
      <c r="M202" s="363"/>
      <c r="N202" s="363"/>
      <c r="O202" s="363"/>
      <c r="P202" s="363"/>
      <c r="Q202" s="363"/>
      <c r="R202" s="363"/>
      <c r="S202" s="363"/>
      <c r="T202" s="363"/>
      <c r="U202" s="363"/>
    </row>
    <row r="203" spans="1:21" ht="18">
      <c r="A203" s="363"/>
      <c r="B203" s="363"/>
      <c r="C203" s="363"/>
      <c r="D203" s="363"/>
      <c r="E203" s="363"/>
      <c r="F203" s="363"/>
      <c r="G203" s="363"/>
      <c r="H203" s="363"/>
      <c r="I203" s="363"/>
      <c r="J203" s="363"/>
      <c r="K203" s="363"/>
      <c r="L203" s="363"/>
      <c r="M203" s="363"/>
      <c r="N203" s="363"/>
      <c r="O203" s="363"/>
      <c r="P203" s="363"/>
      <c r="Q203" s="363"/>
      <c r="R203" s="363"/>
      <c r="S203" s="363"/>
      <c r="T203" s="363"/>
      <c r="U203" s="363"/>
    </row>
    <row r="204" spans="1:21" ht="18">
      <c r="A204" s="363"/>
      <c r="B204" s="363"/>
      <c r="C204" s="363"/>
      <c r="D204" s="363"/>
      <c r="E204" s="363"/>
      <c r="F204" s="363"/>
      <c r="G204" s="363"/>
      <c r="H204" s="363"/>
      <c r="I204" s="363"/>
      <c r="J204" s="363"/>
      <c r="K204" s="363"/>
      <c r="L204" s="363"/>
      <c r="M204" s="363"/>
      <c r="N204" s="363"/>
      <c r="O204" s="363"/>
      <c r="P204" s="363"/>
      <c r="Q204" s="363"/>
      <c r="R204" s="363"/>
      <c r="S204" s="363"/>
      <c r="T204" s="363"/>
      <c r="U204" s="363"/>
    </row>
    <row r="205" spans="1:21" ht="18">
      <c r="A205" s="363"/>
      <c r="B205" s="363"/>
      <c r="C205" s="363"/>
      <c r="D205" s="363"/>
      <c r="E205" s="363"/>
      <c r="F205" s="363"/>
      <c r="G205" s="363"/>
      <c r="H205" s="363"/>
      <c r="I205" s="363"/>
      <c r="J205" s="363"/>
      <c r="K205" s="363"/>
      <c r="L205" s="363"/>
      <c r="M205" s="363"/>
      <c r="N205" s="363"/>
      <c r="O205" s="363"/>
      <c r="P205" s="363"/>
      <c r="Q205" s="363"/>
      <c r="R205" s="363"/>
      <c r="S205" s="363"/>
      <c r="T205" s="363"/>
      <c r="U205" s="363"/>
    </row>
    <row r="206" spans="1:21" ht="18">
      <c r="A206" s="363"/>
      <c r="B206" s="363"/>
      <c r="C206" s="363"/>
      <c r="D206" s="363"/>
      <c r="E206" s="363"/>
      <c r="F206" s="363"/>
      <c r="G206" s="363"/>
      <c r="H206" s="363"/>
      <c r="I206" s="363"/>
      <c r="J206" s="363"/>
      <c r="K206" s="363"/>
      <c r="L206" s="363"/>
      <c r="M206" s="363"/>
      <c r="N206" s="363"/>
      <c r="O206" s="363"/>
      <c r="P206" s="363"/>
      <c r="Q206" s="363"/>
      <c r="R206" s="363"/>
      <c r="S206" s="363"/>
      <c r="T206" s="363"/>
      <c r="U206" s="363"/>
    </row>
    <row r="207" spans="1:21" ht="18">
      <c r="A207" s="363"/>
      <c r="B207" s="363"/>
      <c r="C207" s="363"/>
      <c r="D207" s="363"/>
      <c r="E207" s="363"/>
      <c r="F207" s="363"/>
      <c r="G207" s="363"/>
      <c r="H207" s="363"/>
      <c r="I207" s="363"/>
      <c r="J207" s="363"/>
      <c r="K207" s="363"/>
      <c r="L207" s="363"/>
      <c r="M207" s="363"/>
      <c r="N207" s="363"/>
      <c r="O207" s="363"/>
      <c r="P207" s="363"/>
      <c r="Q207" s="363"/>
      <c r="R207" s="363"/>
      <c r="S207" s="363"/>
      <c r="T207" s="363"/>
      <c r="U207" s="363"/>
    </row>
    <row r="208" spans="1:21" ht="18">
      <c r="A208" s="363"/>
      <c r="B208" s="363"/>
      <c r="C208" s="363"/>
      <c r="D208" s="363"/>
      <c r="E208" s="363"/>
      <c r="F208" s="363"/>
      <c r="G208" s="363"/>
      <c r="H208" s="363"/>
      <c r="I208" s="363"/>
      <c r="J208" s="363"/>
      <c r="K208" s="363"/>
      <c r="L208" s="363"/>
      <c r="M208" s="363"/>
      <c r="N208" s="363"/>
      <c r="O208" s="363"/>
      <c r="P208" s="363"/>
      <c r="Q208" s="363"/>
      <c r="R208" s="363"/>
      <c r="S208" s="363"/>
      <c r="T208" s="363"/>
      <c r="U208" s="363"/>
    </row>
    <row r="209" spans="1:21" ht="18">
      <c r="A209" s="363"/>
      <c r="B209" s="363"/>
      <c r="C209" s="363"/>
      <c r="D209" s="363"/>
      <c r="E209" s="363"/>
      <c r="F209" s="363"/>
      <c r="G209" s="363"/>
      <c r="H209" s="363"/>
      <c r="I209" s="363"/>
      <c r="J209" s="363"/>
      <c r="K209" s="363"/>
      <c r="L209" s="363"/>
      <c r="M209" s="363"/>
      <c r="N209" s="363"/>
      <c r="O209" s="363"/>
      <c r="P209" s="363"/>
      <c r="Q209" s="363"/>
      <c r="R209" s="363"/>
      <c r="S209" s="363"/>
      <c r="T209" s="363"/>
      <c r="U209" s="363"/>
    </row>
    <row r="210" spans="1:21" ht="18">
      <c r="A210" s="363"/>
      <c r="B210" s="363"/>
      <c r="C210" s="363"/>
      <c r="D210" s="363"/>
      <c r="E210" s="363"/>
      <c r="F210" s="363"/>
      <c r="G210" s="363"/>
      <c r="H210" s="363"/>
      <c r="I210" s="363"/>
      <c r="J210" s="363"/>
      <c r="K210" s="363"/>
      <c r="L210" s="363"/>
      <c r="M210" s="363"/>
      <c r="N210" s="363"/>
      <c r="O210" s="363"/>
      <c r="P210" s="363"/>
      <c r="Q210" s="363"/>
      <c r="R210" s="363"/>
      <c r="S210" s="363"/>
      <c r="T210" s="363"/>
      <c r="U210" s="363"/>
    </row>
    <row r="211" spans="1:21" ht="18">
      <c r="A211" s="363"/>
      <c r="B211" s="363"/>
      <c r="C211" s="363"/>
      <c r="D211" s="363"/>
      <c r="E211" s="363"/>
      <c r="F211" s="363"/>
      <c r="G211" s="363"/>
      <c r="H211" s="363"/>
      <c r="I211" s="363"/>
      <c r="J211" s="363"/>
      <c r="K211" s="363"/>
      <c r="L211" s="363"/>
      <c r="M211" s="363"/>
      <c r="N211" s="363"/>
      <c r="O211" s="363"/>
      <c r="P211" s="363"/>
      <c r="Q211" s="363"/>
      <c r="R211" s="363"/>
      <c r="S211" s="363"/>
      <c r="T211" s="363"/>
      <c r="U211" s="363"/>
    </row>
    <row r="212" spans="1:21" ht="18">
      <c r="A212" s="363"/>
      <c r="B212" s="363"/>
      <c r="C212" s="363"/>
      <c r="D212" s="363"/>
      <c r="E212" s="363"/>
      <c r="F212" s="363"/>
      <c r="G212" s="363"/>
      <c r="H212" s="363"/>
      <c r="I212" s="363"/>
      <c r="J212" s="363"/>
      <c r="K212" s="363"/>
      <c r="L212" s="363"/>
      <c r="M212" s="363"/>
      <c r="N212" s="363"/>
      <c r="O212" s="363"/>
      <c r="P212" s="363"/>
      <c r="Q212" s="363"/>
      <c r="R212" s="363"/>
      <c r="S212" s="363"/>
      <c r="T212" s="363"/>
      <c r="U212" s="363"/>
    </row>
    <row r="213" spans="1:21" ht="18">
      <c r="A213" s="363"/>
      <c r="B213" s="363"/>
      <c r="C213" s="363"/>
      <c r="D213" s="363"/>
      <c r="E213" s="363"/>
      <c r="F213" s="363"/>
      <c r="G213" s="363"/>
      <c r="H213" s="363"/>
      <c r="I213" s="363"/>
      <c r="J213" s="363"/>
      <c r="K213" s="363"/>
      <c r="L213" s="363"/>
      <c r="M213" s="363"/>
      <c r="N213" s="363"/>
      <c r="O213" s="363"/>
      <c r="P213" s="363"/>
      <c r="Q213" s="363"/>
      <c r="R213" s="363"/>
      <c r="S213" s="363"/>
      <c r="T213" s="363"/>
      <c r="U213" s="363"/>
    </row>
    <row r="214" spans="1:21" ht="18">
      <c r="A214" s="363"/>
      <c r="B214" s="363"/>
      <c r="C214" s="363"/>
      <c r="D214" s="363"/>
      <c r="E214" s="363"/>
      <c r="F214" s="363"/>
      <c r="G214" s="363"/>
      <c r="H214" s="363"/>
      <c r="I214" s="363"/>
      <c r="J214" s="363"/>
      <c r="K214" s="363"/>
      <c r="L214" s="363"/>
      <c r="M214" s="363"/>
      <c r="N214" s="363"/>
      <c r="O214" s="363"/>
      <c r="P214" s="363"/>
      <c r="Q214" s="363"/>
      <c r="R214" s="363"/>
      <c r="S214" s="363"/>
      <c r="T214" s="363"/>
      <c r="U214" s="363"/>
    </row>
    <row r="215" spans="1:21" ht="18">
      <c r="A215" s="363"/>
      <c r="B215" s="363"/>
      <c r="C215" s="363"/>
      <c r="D215" s="363"/>
      <c r="E215" s="363"/>
      <c r="F215" s="363"/>
      <c r="G215" s="363"/>
      <c r="H215" s="363"/>
      <c r="I215" s="363"/>
      <c r="J215" s="363"/>
      <c r="K215" s="363"/>
      <c r="L215" s="363"/>
      <c r="M215" s="363"/>
      <c r="N215" s="363"/>
      <c r="O215" s="363"/>
      <c r="P215" s="363"/>
      <c r="Q215" s="363"/>
      <c r="R215" s="363"/>
      <c r="S215" s="363"/>
      <c r="T215" s="363"/>
      <c r="U215" s="363"/>
    </row>
    <row r="216" spans="1:21" ht="18">
      <c r="A216" s="363"/>
      <c r="B216" s="363"/>
      <c r="C216" s="363"/>
      <c r="D216" s="363"/>
      <c r="E216" s="363"/>
      <c r="F216" s="363"/>
      <c r="G216" s="363"/>
      <c r="H216" s="363"/>
      <c r="I216" s="363"/>
      <c r="J216" s="363"/>
      <c r="K216" s="363"/>
      <c r="L216" s="363"/>
      <c r="M216" s="363"/>
      <c r="N216" s="363"/>
      <c r="O216" s="363"/>
      <c r="P216" s="363"/>
      <c r="Q216" s="363"/>
      <c r="R216" s="363"/>
      <c r="S216" s="363"/>
      <c r="T216" s="363"/>
      <c r="U216" s="363"/>
    </row>
    <row r="217" spans="1:21" ht="18">
      <c r="A217" s="363"/>
      <c r="B217" s="363"/>
      <c r="C217" s="363"/>
      <c r="D217" s="363"/>
      <c r="E217" s="363"/>
      <c r="F217" s="363"/>
      <c r="G217" s="363"/>
      <c r="H217" s="363"/>
      <c r="I217" s="363"/>
      <c r="J217" s="363"/>
      <c r="K217" s="363"/>
      <c r="L217" s="363"/>
      <c r="M217" s="363"/>
      <c r="N217" s="363"/>
      <c r="O217" s="363"/>
      <c r="P217" s="363"/>
      <c r="Q217" s="363"/>
      <c r="R217" s="363"/>
      <c r="S217" s="363"/>
      <c r="T217" s="363"/>
      <c r="U217" s="363"/>
    </row>
    <row r="218" spans="1:21" ht="18">
      <c r="A218" s="363"/>
      <c r="B218" s="363"/>
      <c r="C218" s="363"/>
      <c r="D218" s="363"/>
      <c r="E218" s="363"/>
      <c r="F218" s="363"/>
      <c r="G218" s="363"/>
      <c r="H218" s="363"/>
      <c r="I218" s="363"/>
      <c r="J218" s="363"/>
      <c r="K218" s="363"/>
      <c r="L218" s="363"/>
      <c r="M218" s="363"/>
      <c r="N218" s="363"/>
      <c r="O218" s="363"/>
      <c r="P218" s="363"/>
      <c r="Q218" s="363"/>
      <c r="R218" s="363"/>
      <c r="S218" s="363"/>
      <c r="T218" s="363"/>
      <c r="U218" s="363"/>
    </row>
    <row r="219" spans="1:21" ht="18">
      <c r="A219" s="363"/>
      <c r="B219" s="363"/>
      <c r="C219" s="363"/>
      <c r="D219" s="363"/>
      <c r="E219" s="363"/>
      <c r="F219" s="363"/>
      <c r="G219" s="363"/>
      <c r="H219" s="363"/>
      <c r="I219" s="363"/>
      <c r="J219" s="363"/>
      <c r="K219" s="363"/>
      <c r="L219" s="363"/>
      <c r="M219" s="363"/>
      <c r="N219" s="363"/>
      <c r="O219" s="363"/>
      <c r="P219" s="363"/>
      <c r="Q219" s="363"/>
      <c r="R219" s="363"/>
      <c r="S219" s="363"/>
      <c r="T219" s="363"/>
      <c r="U219" s="363"/>
    </row>
    <row r="220" spans="1:21" ht="18">
      <c r="A220" s="363"/>
      <c r="B220" s="363"/>
      <c r="C220" s="363"/>
      <c r="D220" s="363"/>
      <c r="E220" s="363"/>
      <c r="F220" s="363"/>
      <c r="G220" s="363"/>
      <c r="H220" s="363"/>
      <c r="I220" s="363"/>
      <c r="J220" s="363"/>
      <c r="K220" s="363"/>
      <c r="L220" s="363"/>
      <c r="M220" s="363"/>
      <c r="N220" s="363"/>
      <c r="O220" s="363"/>
      <c r="P220" s="363"/>
      <c r="Q220" s="363"/>
      <c r="R220" s="363"/>
      <c r="S220" s="363"/>
      <c r="T220" s="363"/>
      <c r="U220" s="363"/>
    </row>
    <row r="221" spans="1:21" ht="18">
      <c r="A221" s="363"/>
      <c r="B221" s="363"/>
      <c r="C221" s="363"/>
      <c r="D221" s="363"/>
      <c r="E221" s="363"/>
      <c r="F221" s="363"/>
      <c r="G221" s="363"/>
      <c r="H221" s="363"/>
      <c r="I221" s="363"/>
      <c r="J221" s="363"/>
      <c r="K221" s="363"/>
      <c r="L221" s="363"/>
      <c r="M221" s="363"/>
      <c r="N221" s="363"/>
      <c r="O221" s="363"/>
      <c r="P221" s="363"/>
      <c r="Q221" s="363"/>
      <c r="R221" s="363"/>
      <c r="S221" s="363"/>
      <c r="T221" s="363"/>
      <c r="U221" s="363"/>
    </row>
    <row r="222" spans="1:21" ht="18">
      <c r="A222" s="363"/>
      <c r="B222" s="363"/>
      <c r="C222" s="363"/>
      <c r="D222" s="363"/>
      <c r="E222" s="363"/>
      <c r="F222" s="363"/>
      <c r="G222" s="363"/>
      <c r="H222" s="363"/>
      <c r="I222" s="363"/>
      <c r="J222" s="363"/>
      <c r="K222" s="363"/>
      <c r="L222" s="363"/>
      <c r="M222" s="363"/>
      <c r="N222" s="363"/>
      <c r="O222" s="363"/>
      <c r="P222" s="363"/>
      <c r="Q222" s="363"/>
      <c r="R222" s="363"/>
      <c r="S222" s="363"/>
      <c r="T222" s="363"/>
      <c r="U222" s="363"/>
    </row>
    <row r="223" spans="1:21" ht="18">
      <c r="A223" s="363"/>
      <c r="B223" s="363"/>
      <c r="C223" s="363"/>
      <c r="D223" s="363"/>
      <c r="E223" s="363"/>
      <c r="F223" s="363"/>
      <c r="G223" s="363"/>
      <c r="H223" s="363"/>
      <c r="I223" s="363"/>
      <c r="J223" s="363"/>
      <c r="K223" s="363"/>
      <c r="L223" s="363"/>
      <c r="M223" s="363"/>
      <c r="N223" s="363"/>
      <c r="O223" s="363"/>
      <c r="P223" s="363"/>
      <c r="Q223" s="363"/>
      <c r="R223" s="363"/>
      <c r="S223" s="363"/>
      <c r="T223" s="363"/>
      <c r="U223" s="363"/>
    </row>
    <row r="224" spans="1:21" ht="18">
      <c r="A224" s="363"/>
      <c r="B224" s="363"/>
      <c r="C224" s="363"/>
      <c r="D224" s="363"/>
      <c r="E224" s="363"/>
      <c r="F224" s="363"/>
      <c r="G224" s="363"/>
      <c r="H224" s="363"/>
      <c r="I224" s="363"/>
      <c r="J224" s="363"/>
      <c r="K224" s="363"/>
      <c r="L224" s="363"/>
      <c r="M224" s="363"/>
      <c r="N224" s="363"/>
      <c r="O224" s="363"/>
      <c r="P224" s="363"/>
      <c r="Q224" s="363"/>
      <c r="R224" s="363"/>
      <c r="S224" s="363"/>
      <c r="T224" s="363"/>
      <c r="U224" s="363"/>
    </row>
    <row r="225" spans="1:21" ht="18">
      <c r="A225" s="363"/>
      <c r="B225" s="363"/>
      <c r="C225" s="363"/>
      <c r="D225" s="363"/>
      <c r="E225" s="363"/>
      <c r="F225" s="363"/>
      <c r="G225" s="363"/>
      <c r="H225" s="363"/>
      <c r="I225" s="363"/>
      <c r="J225" s="363"/>
      <c r="K225" s="363"/>
      <c r="L225" s="363"/>
      <c r="M225" s="363"/>
      <c r="N225" s="363"/>
      <c r="O225" s="363"/>
      <c r="P225" s="363"/>
      <c r="Q225" s="363"/>
      <c r="R225" s="363"/>
      <c r="S225" s="363"/>
      <c r="T225" s="363"/>
      <c r="U225" s="363"/>
    </row>
    <row r="226" spans="1:21" ht="18">
      <c r="A226" s="363"/>
      <c r="B226" s="363"/>
      <c r="C226" s="363"/>
      <c r="D226" s="363"/>
      <c r="E226" s="363"/>
      <c r="F226" s="363"/>
      <c r="G226" s="363"/>
      <c r="H226" s="363"/>
      <c r="I226" s="363"/>
      <c r="J226" s="363"/>
      <c r="K226" s="363"/>
      <c r="L226" s="363"/>
      <c r="M226" s="363"/>
      <c r="N226" s="363"/>
      <c r="O226" s="363"/>
      <c r="P226" s="363"/>
      <c r="Q226" s="363"/>
      <c r="R226" s="363"/>
      <c r="S226" s="363"/>
      <c r="T226" s="363"/>
      <c r="U226" s="363"/>
    </row>
    <row r="227" spans="1:21" ht="18">
      <c r="A227" s="363"/>
      <c r="B227" s="363"/>
      <c r="C227" s="363"/>
      <c r="D227" s="363"/>
      <c r="E227" s="363"/>
      <c r="F227" s="363"/>
      <c r="G227" s="363"/>
      <c r="H227" s="363"/>
      <c r="I227" s="363"/>
      <c r="J227" s="363"/>
      <c r="K227" s="363"/>
      <c r="L227" s="363"/>
      <c r="M227" s="363"/>
      <c r="N227" s="363"/>
      <c r="O227" s="363"/>
      <c r="P227" s="363"/>
      <c r="Q227" s="363"/>
      <c r="R227" s="363"/>
      <c r="S227" s="363"/>
      <c r="T227" s="363"/>
      <c r="U227" s="363"/>
    </row>
    <row r="228" spans="1:21" ht="18">
      <c r="A228" s="363"/>
      <c r="B228" s="363"/>
      <c r="C228" s="363"/>
      <c r="D228" s="363"/>
      <c r="E228" s="363"/>
      <c r="F228" s="363"/>
      <c r="G228" s="363"/>
      <c r="H228" s="363"/>
      <c r="I228" s="363"/>
      <c r="J228" s="363"/>
      <c r="K228" s="363"/>
      <c r="L228" s="363"/>
      <c r="M228" s="363"/>
      <c r="N228" s="363"/>
      <c r="O228" s="363"/>
      <c r="P228" s="363"/>
      <c r="Q228" s="363"/>
      <c r="R228" s="363"/>
      <c r="S228" s="363"/>
      <c r="T228" s="363"/>
      <c r="U228" s="363"/>
    </row>
    <row r="229" spans="1:21" ht="18">
      <c r="A229" s="363"/>
      <c r="B229" s="363"/>
      <c r="C229" s="363"/>
      <c r="D229" s="363"/>
      <c r="E229" s="363"/>
      <c r="F229" s="363"/>
      <c r="G229" s="363"/>
      <c r="H229" s="363"/>
      <c r="I229" s="363"/>
      <c r="J229" s="363"/>
      <c r="K229" s="363"/>
      <c r="L229" s="363"/>
      <c r="M229" s="363"/>
      <c r="N229" s="363"/>
      <c r="O229" s="363"/>
      <c r="P229" s="363"/>
      <c r="Q229" s="363"/>
      <c r="R229" s="363"/>
      <c r="S229" s="363"/>
      <c r="T229" s="363"/>
      <c r="U229" s="363"/>
    </row>
    <row r="230" spans="1:21" ht="18">
      <c r="A230" s="363"/>
      <c r="B230" s="363"/>
      <c r="C230" s="363"/>
      <c r="D230" s="363"/>
      <c r="E230" s="363"/>
      <c r="F230" s="363"/>
      <c r="G230" s="363"/>
      <c r="H230" s="363"/>
      <c r="I230" s="363"/>
      <c r="J230" s="363"/>
      <c r="K230" s="363"/>
      <c r="L230" s="363"/>
      <c r="M230" s="363"/>
      <c r="N230" s="363"/>
      <c r="O230" s="363"/>
      <c r="P230" s="363"/>
      <c r="Q230" s="363"/>
      <c r="R230" s="363"/>
      <c r="S230" s="363"/>
      <c r="T230" s="363"/>
      <c r="U230" s="363"/>
    </row>
    <row r="231" spans="1:21" ht="18">
      <c r="A231" s="363"/>
      <c r="B231" s="363"/>
      <c r="C231" s="363"/>
      <c r="D231" s="363"/>
      <c r="E231" s="363"/>
      <c r="F231" s="363"/>
      <c r="G231" s="363"/>
      <c r="H231" s="363"/>
      <c r="I231" s="363"/>
      <c r="J231" s="363"/>
      <c r="K231" s="363"/>
      <c r="L231" s="363"/>
      <c r="M231" s="363"/>
      <c r="N231" s="363"/>
      <c r="O231" s="363"/>
      <c r="P231" s="363"/>
      <c r="Q231" s="363"/>
      <c r="R231" s="363"/>
      <c r="S231" s="363"/>
      <c r="T231" s="363"/>
      <c r="U231" s="363"/>
    </row>
    <row r="232" spans="1:21" ht="18">
      <c r="A232" s="363"/>
      <c r="B232" s="363"/>
      <c r="C232" s="363"/>
      <c r="D232" s="363"/>
      <c r="E232" s="363"/>
      <c r="F232" s="363"/>
      <c r="G232" s="363"/>
      <c r="H232" s="363"/>
      <c r="I232" s="363"/>
      <c r="J232" s="363"/>
      <c r="K232" s="363"/>
      <c r="L232" s="363"/>
      <c r="M232" s="363"/>
      <c r="N232" s="363"/>
      <c r="O232" s="363"/>
      <c r="P232" s="363"/>
      <c r="Q232" s="363"/>
      <c r="R232" s="363"/>
      <c r="S232" s="363"/>
      <c r="T232" s="363"/>
      <c r="U232" s="363"/>
    </row>
    <row r="233" spans="1:21" ht="18">
      <c r="A233" s="363"/>
      <c r="B233" s="363"/>
      <c r="C233" s="363"/>
      <c r="D233" s="363"/>
      <c r="E233" s="363"/>
      <c r="F233" s="363"/>
      <c r="G233" s="363"/>
      <c r="H233" s="363"/>
      <c r="I233" s="363"/>
      <c r="J233" s="363"/>
      <c r="K233" s="363"/>
      <c r="L233" s="363"/>
      <c r="M233" s="363"/>
      <c r="N233" s="363"/>
      <c r="O233" s="363"/>
      <c r="P233" s="363"/>
      <c r="Q233" s="363"/>
      <c r="R233" s="363"/>
      <c r="S233" s="363"/>
      <c r="T233" s="363"/>
      <c r="U233" s="363"/>
    </row>
    <row r="234" spans="1:21" ht="18">
      <c r="A234" s="363"/>
      <c r="B234" s="363"/>
      <c r="C234" s="363"/>
      <c r="D234" s="363"/>
      <c r="E234" s="363"/>
      <c r="F234" s="363"/>
      <c r="G234" s="363"/>
      <c r="H234" s="363"/>
      <c r="I234" s="363"/>
      <c r="J234" s="363"/>
      <c r="K234" s="363"/>
      <c r="L234" s="363"/>
      <c r="M234" s="363"/>
      <c r="N234" s="363"/>
      <c r="O234" s="363"/>
      <c r="P234" s="363"/>
      <c r="Q234" s="363"/>
      <c r="R234" s="363"/>
      <c r="S234" s="363"/>
      <c r="T234" s="363"/>
      <c r="U234" s="363"/>
    </row>
    <row r="235" spans="1:21" ht="18">
      <c r="A235" s="363"/>
      <c r="B235" s="363"/>
      <c r="C235" s="363"/>
      <c r="D235" s="363"/>
      <c r="E235" s="363"/>
      <c r="F235" s="363"/>
      <c r="G235" s="363"/>
      <c r="H235" s="363"/>
      <c r="I235" s="363"/>
      <c r="J235" s="363"/>
      <c r="K235" s="363"/>
      <c r="L235" s="363"/>
      <c r="M235" s="363"/>
      <c r="N235" s="363"/>
      <c r="O235" s="363"/>
      <c r="P235" s="363"/>
      <c r="Q235" s="363"/>
      <c r="R235" s="363"/>
      <c r="S235" s="363"/>
      <c r="T235" s="363"/>
      <c r="U235" s="363"/>
    </row>
    <row r="236" spans="1:21" ht="18">
      <c r="A236" s="363"/>
      <c r="B236" s="363"/>
      <c r="C236" s="363"/>
      <c r="D236" s="363"/>
      <c r="E236" s="363"/>
      <c r="F236" s="363"/>
      <c r="G236" s="363"/>
      <c r="H236" s="363"/>
      <c r="I236" s="363"/>
      <c r="J236" s="363"/>
      <c r="K236" s="363"/>
      <c r="L236" s="363"/>
      <c r="M236" s="363"/>
      <c r="N236" s="363"/>
      <c r="O236" s="363"/>
      <c r="P236" s="363"/>
      <c r="Q236" s="363"/>
      <c r="R236" s="363"/>
      <c r="S236" s="363"/>
      <c r="T236" s="363"/>
      <c r="U236" s="363"/>
    </row>
    <row r="237" spans="1:21" ht="18">
      <c r="A237" s="363"/>
      <c r="B237" s="363"/>
      <c r="C237" s="363"/>
      <c r="D237" s="363"/>
      <c r="E237" s="363"/>
      <c r="F237" s="363"/>
      <c r="G237" s="363"/>
      <c r="H237" s="363"/>
      <c r="I237" s="363"/>
      <c r="J237" s="363"/>
      <c r="K237" s="363"/>
      <c r="L237" s="363"/>
      <c r="M237" s="363"/>
      <c r="N237" s="363"/>
      <c r="O237" s="363"/>
      <c r="P237" s="363"/>
      <c r="Q237" s="363"/>
      <c r="R237" s="363"/>
      <c r="S237" s="363"/>
      <c r="T237" s="363"/>
      <c r="U237" s="363"/>
    </row>
    <row r="238" spans="1:21" ht="18">
      <c r="A238" s="363"/>
      <c r="B238" s="363"/>
      <c r="C238" s="363"/>
      <c r="D238" s="363"/>
      <c r="E238" s="363"/>
      <c r="F238" s="363"/>
      <c r="G238" s="363"/>
      <c r="H238" s="363"/>
      <c r="I238" s="363"/>
      <c r="J238" s="363"/>
      <c r="K238" s="363"/>
      <c r="L238" s="363"/>
      <c r="M238" s="363"/>
      <c r="N238" s="363"/>
      <c r="O238" s="363"/>
      <c r="P238" s="363"/>
      <c r="Q238" s="363"/>
      <c r="R238" s="363"/>
      <c r="S238" s="363"/>
      <c r="T238" s="363"/>
      <c r="U238" s="363"/>
    </row>
    <row r="239" spans="1:21" ht="18">
      <c r="A239" s="363"/>
      <c r="B239" s="363"/>
      <c r="C239" s="363"/>
      <c r="D239" s="363"/>
      <c r="E239" s="363"/>
      <c r="F239" s="363"/>
      <c r="G239" s="363"/>
      <c r="H239" s="363"/>
      <c r="I239" s="363"/>
      <c r="J239" s="363"/>
      <c r="K239" s="363"/>
      <c r="L239" s="363"/>
      <c r="M239" s="363"/>
      <c r="N239" s="363"/>
      <c r="O239" s="363"/>
      <c r="P239" s="363"/>
      <c r="Q239" s="363"/>
      <c r="R239" s="363"/>
      <c r="S239" s="363"/>
      <c r="T239" s="363"/>
      <c r="U239" s="363"/>
    </row>
    <row r="240" spans="1:21" ht="18">
      <c r="A240" s="363"/>
      <c r="B240" s="363"/>
      <c r="C240" s="363"/>
      <c r="D240" s="363"/>
      <c r="E240" s="363"/>
      <c r="F240" s="363"/>
      <c r="G240" s="363"/>
      <c r="H240" s="363"/>
      <c r="I240" s="363"/>
      <c r="J240" s="363"/>
      <c r="K240" s="363"/>
      <c r="L240" s="363"/>
      <c r="M240" s="363"/>
      <c r="N240" s="363"/>
      <c r="O240" s="363"/>
      <c r="P240" s="363"/>
      <c r="Q240" s="363"/>
      <c r="R240" s="363"/>
      <c r="S240" s="363"/>
      <c r="T240" s="363"/>
      <c r="U240" s="363"/>
    </row>
    <row r="241" spans="1:21" ht="18">
      <c r="A241" s="363"/>
      <c r="B241" s="363"/>
      <c r="C241" s="363"/>
      <c r="D241" s="363"/>
      <c r="E241" s="363"/>
      <c r="F241" s="363"/>
      <c r="G241" s="363"/>
      <c r="H241" s="363"/>
      <c r="I241" s="363"/>
      <c r="J241" s="363"/>
      <c r="K241" s="363"/>
      <c r="L241" s="363"/>
      <c r="M241" s="363"/>
      <c r="N241" s="363"/>
      <c r="O241" s="363"/>
      <c r="P241" s="363"/>
      <c r="Q241" s="363"/>
      <c r="R241" s="363"/>
      <c r="S241" s="363"/>
      <c r="T241" s="363"/>
      <c r="U241" s="363"/>
    </row>
    <row r="242" spans="1:21" ht="18">
      <c r="A242" s="363"/>
      <c r="B242" s="363"/>
      <c r="C242" s="363"/>
      <c r="D242" s="363"/>
      <c r="E242" s="363"/>
      <c r="F242" s="363"/>
      <c r="G242" s="363"/>
      <c r="H242" s="363"/>
      <c r="I242" s="363"/>
      <c r="J242" s="363"/>
      <c r="K242" s="363"/>
      <c r="L242" s="363"/>
      <c r="M242" s="363"/>
      <c r="N242" s="363"/>
      <c r="O242" s="363"/>
      <c r="P242" s="363"/>
      <c r="Q242" s="363"/>
      <c r="R242" s="363"/>
      <c r="S242" s="363"/>
      <c r="T242" s="363"/>
      <c r="U242" s="363"/>
    </row>
    <row r="243" spans="1:21" ht="18">
      <c r="A243" s="363"/>
      <c r="B243" s="363"/>
      <c r="C243" s="363"/>
      <c r="D243" s="363"/>
      <c r="E243" s="363"/>
      <c r="F243" s="363"/>
      <c r="G243" s="363"/>
      <c r="H243" s="363"/>
      <c r="I243" s="363"/>
      <c r="J243" s="363"/>
      <c r="K243" s="363"/>
      <c r="L243" s="363"/>
      <c r="M243" s="363"/>
      <c r="N243" s="363"/>
      <c r="O243" s="363"/>
      <c r="P243" s="363"/>
      <c r="Q243" s="363"/>
      <c r="R243" s="363"/>
      <c r="S243" s="363"/>
      <c r="T243" s="363"/>
      <c r="U243" s="363"/>
    </row>
    <row r="244" spans="1:21" ht="18">
      <c r="A244" s="363"/>
      <c r="B244" s="363"/>
      <c r="C244" s="363"/>
      <c r="D244" s="363"/>
      <c r="E244" s="363"/>
      <c r="F244" s="363"/>
      <c r="G244" s="363"/>
      <c r="H244" s="363"/>
      <c r="I244" s="363"/>
      <c r="J244" s="363"/>
      <c r="K244" s="363"/>
      <c r="L244" s="363"/>
      <c r="M244" s="363"/>
      <c r="N244" s="363"/>
      <c r="O244" s="363"/>
      <c r="P244" s="363"/>
      <c r="Q244" s="363"/>
      <c r="R244" s="363"/>
      <c r="S244" s="363"/>
      <c r="T244" s="363"/>
      <c r="U244" s="363"/>
    </row>
    <row r="245" spans="1:21" ht="18">
      <c r="A245" s="363"/>
      <c r="B245" s="363"/>
      <c r="C245" s="363"/>
      <c r="D245" s="363"/>
      <c r="E245" s="363"/>
      <c r="F245" s="363"/>
      <c r="G245" s="363"/>
      <c r="H245" s="363"/>
      <c r="I245" s="363"/>
      <c r="J245" s="363"/>
      <c r="K245" s="363"/>
      <c r="L245" s="363"/>
      <c r="M245" s="363"/>
      <c r="N245" s="363"/>
      <c r="O245" s="363"/>
      <c r="P245" s="363"/>
      <c r="Q245" s="363"/>
      <c r="R245" s="363"/>
      <c r="S245" s="363"/>
      <c r="T245" s="363"/>
      <c r="U245" s="363"/>
    </row>
    <row r="246" spans="1:21" ht="18">
      <c r="A246" s="363"/>
      <c r="B246" s="363"/>
      <c r="C246" s="363"/>
      <c r="D246" s="363"/>
      <c r="E246" s="363"/>
      <c r="F246" s="363"/>
      <c r="G246" s="363"/>
      <c r="H246" s="363"/>
      <c r="I246" s="363"/>
      <c r="J246" s="363"/>
      <c r="K246" s="363"/>
      <c r="L246" s="363"/>
      <c r="M246" s="363"/>
      <c r="N246" s="363"/>
      <c r="O246" s="363"/>
      <c r="P246" s="363"/>
      <c r="Q246" s="363"/>
      <c r="R246" s="363"/>
      <c r="S246" s="363"/>
      <c r="T246" s="363"/>
      <c r="U246" s="363"/>
    </row>
    <row r="247" spans="1:21" ht="18">
      <c r="A247" s="363"/>
      <c r="B247" s="363"/>
      <c r="C247" s="363"/>
      <c r="D247" s="363"/>
      <c r="E247" s="363"/>
      <c r="F247" s="363"/>
      <c r="G247" s="363"/>
      <c r="H247" s="363"/>
      <c r="I247" s="363"/>
      <c r="J247" s="363"/>
      <c r="K247" s="363"/>
      <c r="L247" s="363"/>
      <c r="M247" s="363"/>
      <c r="N247" s="363"/>
      <c r="O247" s="363"/>
      <c r="P247" s="363"/>
      <c r="Q247" s="363"/>
      <c r="R247" s="363"/>
      <c r="S247" s="363"/>
      <c r="T247" s="363"/>
      <c r="U247" s="363"/>
    </row>
    <row r="248" spans="1:21" ht="18">
      <c r="A248" s="363"/>
      <c r="B248" s="363"/>
      <c r="C248" s="363"/>
      <c r="D248" s="363"/>
      <c r="E248" s="363"/>
      <c r="F248" s="363"/>
      <c r="G248" s="363"/>
      <c r="H248" s="363"/>
      <c r="I248" s="363"/>
      <c r="J248" s="363"/>
      <c r="K248" s="363"/>
      <c r="L248" s="363"/>
      <c r="M248" s="363"/>
      <c r="N248" s="363"/>
      <c r="O248" s="363"/>
      <c r="P248" s="363"/>
      <c r="Q248" s="363"/>
      <c r="R248" s="363"/>
      <c r="S248" s="363"/>
      <c r="T248" s="363"/>
      <c r="U248" s="363"/>
    </row>
    <row r="249" spans="1:21" ht="18">
      <c r="A249" s="363"/>
      <c r="B249" s="363"/>
      <c r="C249" s="363"/>
      <c r="D249" s="363"/>
      <c r="E249" s="363"/>
      <c r="F249" s="363"/>
      <c r="G249" s="363"/>
      <c r="H249" s="363"/>
      <c r="I249" s="363"/>
      <c r="J249" s="363"/>
      <c r="K249" s="363"/>
      <c r="L249" s="363"/>
      <c r="M249" s="363"/>
      <c r="N249" s="363"/>
      <c r="O249" s="363"/>
      <c r="P249" s="363"/>
      <c r="Q249" s="363"/>
      <c r="R249" s="363"/>
      <c r="S249" s="363"/>
      <c r="T249" s="363"/>
      <c r="U249" s="363"/>
    </row>
    <row r="250" spans="1:21" ht="18">
      <c r="A250" s="363"/>
      <c r="B250" s="363"/>
      <c r="C250" s="363"/>
      <c r="D250" s="363"/>
      <c r="E250" s="363"/>
      <c r="F250" s="363"/>
      <c r="G250" s="363"/>
      <c r="H250" s="363"/>
      <c r="I250" s="363"/>
      <c r="J250" s="363"/>
      <c r="K250" s="363"/>
      <c r="L250" s="363"/>
      <c r="M250" s="363"/>
      <c r="N250" s="363"/>
      <c r="O250" s="363"/>
      <c r="P250" s="363"/>
      <c r="Q250" s="363"/>
      <c r="R250" s="363"/>
      <c r="S250" s="363"/>
      <c r="T250" s="363"/>
      <c r="U250" s="363"/>
    </row>
    <row r="251" spans="1:21" ht="18">
      <c r="A251" s="363"/>
      <c r="B251" s="363"/>
      <c r="C251" s="363"/>
      <c r="D251" s="363"/>
      <c r="E251" s="363"/>
      <c r="F251" s="363"/>
      <c r="G251" s="363"/>
      <c r="H251" s="363"/>
      <c r="I251" s="363"/>
      <c r="J251" s="363"/>
      <c r="K251" s="363"/>
      <c r="L251" s="363"/>
      <c r="M251" s="363"/>
      <c r="N251" s="363"/>
      <c r="O251" s="363"/>
      <c r="P251" s="363"/>
      <c r="Q251" s="363"/>
      <c r="R251" s="363"/>
      <c r="S251" s="363"/>
      <c r="T251" s="363"/>
      <c r="U251" s="363"/>
    </row>
    <row r="252" spans="1:21" ht="18">
      <c r="A252" s="363"/>
      <c r="B252" s="363"/>
      <c r="C252" s="363"/>
      <c r="D252" s="363"/>
      <c r="E252" s="363"/>
      <c r="F252" s="363"/>
      <c r="G252" s="363"/>
      <c r="H252" s="363"/>
      <c r="I252" s="363"/>
      <c r="J252" s="363"/>
      <c r="K252" s="363"/>
      <c r="L252" s="363"/>
      <c r="M252" s="363"/>
      <c r="N252" s="363"/>
      <c r="O252" s="363"/>
      <c r="P252" s="363"/>
      <c r="Q252" s="363"/>
      <c r="R252" s="363"/>
      <c r="S252" s="363"/>
      <c r="T252" s="363"/>
      <c r="U252" s="363"/>
    </row>
    <row r="253" spans="1:21" ht="18">
      <c r="A253" s="363"/>
      <c r="B253" s="363"/>
      <c r="C253" s="363"/>
      <c r="D253" s="363"/>
      <c r="E253" s="363"/>
      <c r="F253" s="363"/>
      <c r="G253" s="363"/>
      <c r="H253" s="363"/>
      <c r="I253" s="363"/>
      <c r="J253" s="363"/>
      <c r="K253" s="363"/>
      <c r="L253" s="363"/>
      <c r="M253" s="363"/>
      <c r="N253" s="363"/>
      <c r="O253" s="363"/>
      <c r="P253" s="363"/>
      <c r="Q253" s="363"/>
      <c r="R253" s="363"/>
      <c r="S253" s="363"/>
      <c r="T253" s="363"/>
      <c r="U253" s="363"/>
    </row>
    <row r="254" spans="1:21" ht="18">
      <c r="A254" s="363"/>
      <c r="B254" s="363"/>
      <c r="C254" s="363"/>
      <c r="D254" s="363"/>
      <c r="E254" s="363"/>
      <c r="F254" s="363"/>
      <c r="G254" s="363"/>
      <c r="H254" s="363"/>
      <c r="I254" s="363"/>
      <c r="J254" s="363"/>
      <c r="K254" s="363"/>
      <c r="L254" s="363"/>
      <c r="M254" s="363"/>
      <c r="N254" s="363"/>
      <c r="O254" s="363"/>
      <c r="P254" s="363"/>
      <c r="Q254" s="363"/>
      <c r="R254" s="363"/>
      <c r="S254" s="363"/>
      <c r="T254" s="363"/>
      <c r="U254" s="363"/>
    </row>
    <row r="255" spans="1:21" ht="18">
      <c r="A255" s="363"/>
      <c r="B255" s="363"/>
      <c r="C255" s="363"/>
      <c r="D255" s="363"/>
      <c r="E255" s="363"/>
      <c r="F255" s="363"/>
      <c r="G255" s="363"/>
      <c r="H255" s="363"/>
      <c r="I255" s="363"/>
      <c r="J255" s="363"/>
      <c r="K255" s="363"/>
      <c r="L255" s="363"/>
      <c r="M255" s="363"/>
      <c r="N255" s="363"/>
      <c r="O255" s="363"/>
      <c r="P255" s="363"/>
      <c r="Q255" s="363"/>
      <c r="R255" s="363"/>
      <c r="S255" s="363"/>
      <c r="T255" s="363"/>
      <c r="U255" s="363"/>
    </row>
    <row r="256" spans="1:21" ht="18">
      <c r="A256" s="363"/>
      <c r="B256" s="363"/>
      <c r="C256" s="363"/>
      <c r="D256" s="363"/>
      <c r="E256" s="363"/>
      <c r="F256" s="363"/>
      <c r="G256" s="363"/>
      <c r="H256" s="363"/>
      <c r="I256" s="363"/>
      <c r="J256" s="363"/>
      <c r="K256" s="363"/>
      <c r="L256" s="363"/>
      <c r="M256" s="363"/>
      <c r="N256" s="363"/>
      <c r="O256" s="363"/>
      <c r="P256" s="363"/>
      <c r="Q256" s="363"/>
      <c r="R256" s="363"/>
      <c r="S256" s="363"/>
      <c r="T256" s="363"/>
      <c r="U256" s="363"/>
    </row>
    <row r="257" spans="1:21" ht="18">
      <c r="A257" s="363"/>
      <c r="B257" s="363"/>
      <c r="C257" s="363"/>
      <c r="D257" s="363"/>
      <c r="E257" s="363"/>
      <c r="F257" s="363"/>
      <c r="G257" s="363"/>
      <c r="H257" s="363"/>
      <c r="I257" s="363"/>
      <c r="J257" s="363"/>
      <c r="K257" s="363"/>
      <c r="L257" s="363"/>
      <c r="M257" s="363"/>
      <c r="N257" s="363"/>
      <c r="O257" s="363"/>
      <c r="P257" s="363"/>
      <c r="Q257" s="363"/>
      <c r="R257" s="363"/>
      <c r="S257" s="363"/>
      <c r="T257" s="363"/>
      <c r="U257" s="363"/>
    </row>
    <row r="258" spans="1:21" ht="18">
      <c r="A258" s="363"/>
      <c r="B258" s="363"/>
      <c r="C258" s="363"/>
      <c r="D258" s="363"/>
      <c r="E258" s="363"/>
      <c r="F258" s="363"/>
      <c r="G258" s="363"/>
      <c r="H258" s="363"/>
      <c r="I258" s="363"/>
      <c r="J258" s="363"/>
      <c r="K258" s="363"/>
      <c r="L258" s="363"/>
      <c r="M258" s="363"/>
      <c r="N258" s="363"/>
      <c r="O258" s="363"/>
      <c r="P258" s="363"/>
      <c r="Q258" s="363"/>
      <c r="R258" s="363"/>
      <c r="S258" s="363"/>
      <c r="T258" s="363"/>
      <c r="U258" s="363"/>
    </row>
    <row r="259" spans="1:21" ht="18">
      <c r="A259" s="363"/>
      <c r="B259" s="363"/>
      <c r="C259" s="363"/>
      <c r="D259" s="363"/>
      <c r="E259" s="363"/>
      <c r="F259" s="363"/>
      <c r="G259" s="363"/>
      <c r="H259" s="363"/>
      <c r="I259" s="363"/>
      <c r="J259" s="363"/>
      <c r="K259" s="363"/>
      <c r="L259" s="363"/>
      <c r="M259" s="363"/>
      <c r="N259" s="363"/>
      <c r="O259" s="363"/>
      <c r="P259" s="363"/>
      <c r="Q259" s="363"/>
      <c r="R259" s="363"/>
      <c r="S259" s="363"/>
      <c r="T259" s="363"/>
      <c r="U259" s="363"/>
    </row>
    <row r="260" spans="1:21" ht="18">
      <c r="A260" s="363"/>
      <c r="B260" s="363"/>
      <c r="C260" s="363"/>
      <c r="D260" s="363"/>
      <c r="E260" s="363"/>
      <c r="F260" s="363"/>
      <c r="G260" s="363"/>
      <c r="H260" s="363"/>
      <c r="I260" s="363"/>
      <c r="J260" s="363"/>
      <c r="K260" s="363"/>
      <c r="L260" s="363"/>
      <c r="M260" s="363"/>
      <c r="N260" s="363"/>
      <c r="O260" s="363"/>
      <c r="P260" s="363"/>
      <c r="Q260" s="363"/>
      <c r="R260" s="363"/>
      <c r="S260" s="363"/>
      <c r="T260" s="363"/>
      <c r="U260" s="363"/>
    </row>
    <row r="261" spans="1:21" ht="18">
      <c r="A261" s="363"/>
      <c r="B261" s="363"/>
      <c r="C261" s="363"/>
      <c r="D261" s="363"/>
      <c r="E261" s="363"/>
      <c r="F261" s="363"/>
      <c r="G261" s="363"/>
      <c r="H261" s="363"/>
      <c r="I261" s="363"/>
      <c r="J261" s="363"/>
      <c r="K261" s="363"/>
      <c r="L261" s="363"/>
      <c r="M261" s="363"/>
      <c r="N261" s="363"/>
      <c r="O261" s="363"/>
      <c r="P261" s="363"/>
      <c r="Q261" s="363"/>
      <c r="R261" s="363"/>
      <c r="S261" s="363"/>
      <c r="T261" s="363"/>
      <c r="U261" s="363"/>
    </row>
    <row r="262" spans="1:21" ht="18">
      <c r="A262" s="363"/>
      <c r="B262" s="363"/>
      <c r="C262" s="363"/>
      <c r="D262" s="363"/>
      <c r="E262" s="363"/>
      <c r="F262" s="363"/>
      <c r="G262" s="363"/>
      <c r="H262" s="363"/>
      <c r="I262" s="363"/>
      <c r="J262" s="363"/>
      <c r="K262" s="363"/>
      <c r="L262" s="363"/>
      <c r="M262" s="363"/>
      <c r="N262" s="363"/>
      <c r="O262" s="363"/>
      <c r="P262" s="363"/>
      <c r="Q262" s="363"/>
      <c r="R262" s="363"/>
      <c r="S262" s="363"/>
      <c r="T262" s="363"/>
      <c r="U262" s="363"/>
    </row>
    <row r="263" spans="1:21" ht="18">
      <c r="A263" s="363"/>
      <c r="B263" s="363"/>
      <c r="C263" s="363"/>
      <c r="D263" s="363"/>
      <c r="E263" s="363"/>
      <c r="F263" s="363"/>
      <c r="G263" s="363"/>
      <c r="H263" s="363"/>
      <c r="I263" s="363"/>
      <c r="J263" s="363"/>
      <c r="K263" s="363"/>
      <c r="L263" s="363"/>
      <c r="M263" s="363"/>
      <c r="N263" s="363"/>
      <c r="O263" s="363"/>
      <c r="P263" s="363"/>
      <c r="Q263" s="363"/>
      <c r="R263" s="363"/>
      <c r="S263" s="363"/>
      <c r="T263" s="363"/>
      <c r="U263" s="363"/>
    </row>
    <row r="264" spans="1:21" ht="18">
      <c r="A264" s="363"/>
      <c r="B264" s="363"/>
      <c r="C264" s="363"/>
      <c r="D264" s="363"/>
      <c r="E264" s="363"/>
      <c r="F264" s="363"/>
      <c r="G264" s="363"/>
      <c r="H264" s="363"/>
      <c r="I264" s="363"/>
      <c r="J264" s="363"/>
      <c r="K264" s="363"/>
      <c r="L264" s="363"/>
      <c r="M264" s="363"/>
      <c r="N264" s="363"/>
      <c r="O264" s="363"/>
      <c r="P264" s="363"/>
      <c r="Q264" s="363"/>
      <c r="R264" s="363"/>
      <c r="S264" s="363"/>
      <c r="T264" s="363"/>
      <c r="U264" s="363"/>
    </row>
    <row r="265" spans="1:21" ht="18">
      <c r="A265" s="363"/>
      <c r="B265" s="363"/>
      <c r="C265" s="363"/>
      <c r="D265" s="363"/>
      <c r="E265" s="363"/>
      <c r="F265" s="363"/>
      <c r="G265" s="363"/>
      <c r="H265" s="363"/>
      <c r="I265" s="363"/>
      <c r="J265" s="363"/>
      <c r="K265" s="363"/>
      <c r="L265" s="363"/>
      <c r="M265" s="363"/>
      <c r="N265" s="363"/>
      <c r="O265" s="363"/>
      <c r="P265" s="363"/>
      <c r="Q265" s="363"/>
      <c r="R265" s="363"/>
      <c r="S265" s="363"/>
      <c r="T265" s="363"/>
      <c r="U265" s="363"/>
    </row>
    <row r="266" spans="1:21" ht="18">
      <c r="A266" s="363"/>
      <c r="B266" s="363"/>
      <c r="C266" s="363"/>
      <c r="D266" s="363"/>
      <c r="E266" s="363"/>
      <c r="F266" s="363"/>
      <c r="G266" s="363"/>
      <c r="H266" s="363"/>
      <c r="I266" s="363"/>
      <c r="J266" s="363"/>
      <c r="K266" s="363"/>
      <c r="L266" s="363"/>
      <c r="M266" s="363"/>
      <c r="N266" s="363"/>
      <c r="O266" s="363"/>
      <c r="P266" s="363"/>
      <c r="Q266" s="363"/>
      <c r="R266" s="363"/>
      <c r="S266" s="363"/>
      <c r="T266" s="363"/>
      <c r="U266" s="363"/>
    </row>
    <row r="267" spans="1:21" ht="18">
      <c r="A267" s="363"/>
      <c r="B267" s="363"/>
      <c r="C267" s="363"/>
      <c r="D267" s="363"/>
      <c r="E267" s="363"/>
      <c r="F267" s="363"/>
      <c r="G267" s="363"/>
      <c r="H267" s="363"/>
      <c r="I267" s="363"/>
      <c r="J267" s="363"/>
      <c r="K267" s="363"/>
      <c r="L267" s="363"/>
      <c r="M267" s="363"/>
      <c r="N267" s="363"/>
      <c r="O267" s="363"/>
      <c r="P267" s="363"/>
      <c r="Q267" s="363"/>
      <c r="R267" s="363"/>
      <c r="S267" s="363"/>
      <c r="T267" s="363"/>
      <c r="U267" s="363"/>
    </row>
    <row r="268" spans="1:21" ht="18">
      <c r="A268" s="363"/>
      <c r="B268" s="363"/>
      <c r="C268" s="363"/>
      <c r="D268" s="363"/>
      <c r="E268" s="363"/>
      <c r="F268" s="363"/>
      <c r="G268" s="363"/>
      <c r="H268" s="363"/>
      <c r="I268" s="363"/>
      <c r="J268" s="363"/>
      <c r="K268" s="363"/>
      <c r="L268" s="363"/>
      <c r="M268" s="363"/>
      <c r="N268" s="363"/>
      <c r="O268" s="363"/>
      <c r="P268" s="363"/>
      <c r="Q268" s="363"/>
      <c r="R268" s="363"/>
      <c r="S268" s="363"/>
      <c r="T268" s="363"/>
      <c r="U268" s="363"/>
    </row>
    <row r="269" spans="1:21" ht="18">
      <c r="A269" s="363"/>
      <c r="B269" s="363"/>
      <c r="C269" s="363"/>
      <c r="D269" s="363"/>
      <c r="E269" s="363"/>
      <c r="F269" s="363"/>
      <c r="G269" s="363"/>
      <c r="H269" s="363"/>
      <c r="I269" s="363"/>
      <c r="J269" s="363"/>
      <c r="K269" s="363"/>
      <c r="L269" s="363"/>
      <c r="M269" s="363"/>
      <c r="N269" s="363"/>
      <c r="O269" s="363"/>
      <c r="P269" s="363"/>
      <c r="Q269" s="363"/>
      <c r="R269" s="363"/>
      <c r="S269" s="363"/>
      <c r="T269" s="363"/>
      <c r="U269" s="363"/>
    </row>
    <row r="270" spans="1:21" ht="18">
      <c r="A270" s="363"/>
      <c r="B270" s="363"/>
      <c r="C270" s="363"/>
      <c r="D270" s="363"/>
      <c r="E270" s="363"/>
      <c r="F270" s="363"/>
      <c r="G270" s="363"/>
      <c r="H270" s="363"/>
      <c r="I270" s="363"/>
      <c r="J270" s="363"/>
      <c r="K270" s="363"/>
      <c r="L270" s="363"/>
      <c r="M270" s="363"/>
      <c r="N270" s="363"/>
      <c r="O270" s="363"/>
      <c r="P270" s="363"/>
      <c r="Q270" s="363"/>
      <c r="R270" s="363"/>
      <c r="S270" s="363"/>
      <c r="T270" s="363"/>
      <c r="U270" s="363"/>
    </row>
    <row r="271" spans="1:21" ht="18">
      <c r="A271" s="363"/>
      <c r="B271" s="363"/>
      <c r="C271" s="363"/>
      <c r="D271" s="363"/>
      <c r="E271" s="363"/>
      <c r="F271" s="363"/>
      <c r="G271" s="363"/>
      <c r="H271" s="363"/>
      <c r="I271" s="363"/>
      <c r="J271" s="363"/>
      <c r="K271" s="363"/>
      <c r="L271" s="363"/>
      <c r="M271" s="363"/>
      <c r="N271" s="363"/>
      <c r="O271" s="363"/>
      <c r="P271" s="363"/>
      <c r="Q271" s="363"/>
      <c r="R271" s="363"/>
      <c r="S271" s="363"/>
      <c r="T271" s="363"/>
      <c r="U271" s="363"/>
    </row>
    <row r="272" spans="1:21" ht="18">
      <c r="A272" s="363"/>
      <c r="B272" s="363"/>
      <c r="C272" s="363"/>
      <c r="D272" s="363"/>
      <c r="E272" s="363"/>
      <c r="F272" s="363"/>
      <c r="G272" s="363"/>
      <c r="H272" s="363"/>
      <c r="I272" s="363"/>
      <c r="J272" s="363"/>
      <c r="K272" s="363"/>
      <c r="L272" s="363"/>
      <c r="M272" s="363"/>
      <c r="N272" s="363"/>
      <c r="O272" s="363"/>
      <c r="P272" s="363"/>
      <c r="Q272" s="363"/>
      <c r="R272" s="363"/>
      <c r="S272" s="363"/>
      <c r="T272" s="363"/>
      <c r="U272" s="363"/>
    </row>
    <row r="273" spans="1:21" ht="18">
      <c r="A273" s="363"/>
      <c r="B273" s="363"/>
      <c r="C273" s="363"/>
      <c r="D273" s="363"/>
      <c r="E273" s="363"/>
      <c r="F273" s="363"/>
      <c r="G273" s="363"/>
      <c r="H273" s="363"/>
      <c r="I273" s="363"/>
      <c r="J273" s="363"/>
      <c r="K273" s="363"/>
      <c r="L273" s="363"/>
      <c r="M273" s="363"/>
      <c r="N273" s="363"/>
      <c r="O273" s="363"/>
      <c r="P273" s="363"/>
      <c r="Q273" s="363"/>
      <c r="R273" s="363"/>
      <c r="S273" s="363"/>
      <c r="T273" s="363"/>
      <c r="U273" s="363"/>
    </row>
    <row r="274" spans="1:21" ht="18">
      <c r="A274" s="363"/>
      <c r="B274" s="363"/>
      <c r="C274" s="363"/>
      <c r="D274" s="363"/>
      <c r="E274" s="363"/>
      <c r="F274" s="363"/>
      <c r="G274" s="363"/>
      <c r="H274" s="363"/>
      <c r="I274" s="363"/>
      <c r="J274" s="363"/>
      <c r="K274" s="363"/>
      <c r="L274" s="363"/>
      <c r="M274" s="363"/>
      <c r="N274" s="363"/>
      <c r="O274" s="363"/>
      <c r="P274" s="363"/>
      <c r="Q274" s="363"/>
      <c r="R274" s="363"/>
      <c r="S274" s="363"/>
      <c r="T274" s="363"/>
      <c r="U274" s="363"/>
    </row>
    <row r="275" spans="1:21" ht="18">
      <c r="A275" s="363"/>
      <c r="B275" s="363"/>
      <c r="C275" s="363"/>
      <c r="D275" s="363"/>
      <c r="E275" s="363"/>
      <c r="F275" s="363"/>
      <c r="G275" s="363"/>
      <c r="H275" s="363"/>
      <c r="I275" s="363"/>
      <c r="J275" s="363"/>
      <c r="K275" s="363"/>
      <c r="L275" s="363"/>
      <c r="M275" s="363"/>
      <c r="N275" s="363"/>
      <c r="O275" s="363"/>
      <c r="P275" s="363"/>
      <c r="Q275" s="363"/>
      <c r="R275" s="363"/>
      <c r="S275" s="363"/>
      <c r="T275" s="363"/>
      <c r="U275" s="363"/>
    </row>
    <row r="276" spans="1:21" ht="18">
      <c r="A276" s="363"/>
      <c r="B276" s="363"/>
      <c r="C276" s="363"/>
      <c r="D276" s="363"/>
      <c r="E276" s="363"/>
      <c r="F276" s="363"/>
      <c r="G276" s="363"/>
      <c r="H276" s="363"/>
      <c r="I276" s="363"/>
      <c r="J276" s="363"/>
      <c r="K276" s="363"/>
      <c r="L276" s="363"/>
      <c r="M276" s="363"/>
      <c r="N276" s="363"/>
      <c r="O276" s="363"/>
      <c r="P276" s="363"/>
      <c r="Q276" s="363"/>
      <c r="R276" s="363"/>
      <c r="S276" s="363"/>
      <c r="T276" s="363"/>
      <c r="U276" s="363"/>
    </row>
    <row r="277" spans="1:21" ht="18">
      <c r="A277" s="363"/>
      <c r="B277" s="363"/>
      <c r="C277" s="363"/>
      <c r="D277" s="363"/>
      <c r="E277" s="363"/>
      <c r="F277" s="363"/>
      <c r="G277" s="363"/>
      <c r="H277" s="363"/>
      <c r="I277" s="363"/>
      <c r="J277" s="363"/>
      <c r="K277" s="363"/>
      <c r="L277" s="363"/>
      <c r="M277" s="363"/>
      <c r="N277" s="363"/>
      <c r="O277" s="363"/>
      <c r="P277" s="363"/>
      <c r="Q277" s="363"/>
      <c r="R277" s="363"/>
      <c r="S277" s="363"/>
      <c r="T277" s="363"/>
      <c r="U277" s="363"/>
    </row>
    <row r="278" spans="1:21" ht="18">
      <c r="A278" s="363"/>
      <c r="B278" s="363"/>
      <c r="C278" s="363"/>
      <c r="D278" s="363"/>
      <c r="E278" s="363"/>
      <c r="F278" s="363"/>
      <c r="G278" s="363"/>
      <c r="H278" s="363"/>
      <c r="I278" s="363"/>
      <c r="J278" s="363"/>
      <c r="K278" s="363"/>
      <c r="L278" s="363"/>
      <c r="M278" s="363"/>
      <c r="N278" s="363"/>
      <c r="O278" s="363"/>
      <c r="P278" s="363"/>
      <c r="Q278" s="363"/>
      <c r="R278" s="363"/>
      <c r="S278" s="363"/>
      <c r="T278" s="363"/>
      <c r="U278" s="363"/>
    </row>
    <row r="279" spans="1:21" ht="18">
      <c r="A279" s="363"/>
      <c r="B279" s="363"/>
      <c r="C279" s="363"/>
      <c r="D279" s="363"/>
      <c r="E279" s="363"/>
      <c r="F279" s="363"/>
      <c r="G279" s="363"/>
      <c r="H279" s="363"/>
      <c r="I279" s="363"/>
      <c r="J279" s="363"/>
      <c r="K279" s="363"/>
      <c r="L279" s="363"/>
      <c r="M279" s="363"/>
      <c r="N279" s="363"/>
      <c r="O279" s="363"/>
      <c r="P279" s="363"/>
      <c r="Q279" s="363"/>
      <c r="R279" s="363"/>
      <c r="S279" s="363"/>
      <c r="T279" s="363"/>
      <c r="U279" s="363"/>
    </row>
    <row r="280" spans="1:21" ht="18">
      <c r="A280" s="363"/>
      <c r="B280" s="363"/>
      <c r="C280" s="363"/>
      <c r="D280" s="363"/>
      <c r="E280" s="363"/>
      <c r="F280" s="363"/>
      <c r="G280" s="363"/>
      <c r="H280" s="363"/>
      <c r="I280" s="363"/>
      <c r="J280" s="363"/>
      <c r="K280" s="363"/>
      <c r="L280" s="363"/>
      <c r="M280" s="363"/>
      <c r="N280" s="363"/>
      <c r="O280" s="363"/>
      <c r="P280" s="363"/>
      <c r="Q280" s="363"/>
      <c r="R280" s="363"/>
      <c r="S280" s="363"/>
      <c r="T280" s="363"/>
      <c r="U280" s="363"/>
    </row>
    <row r="281" spans="1:21" ht="18">
      <c r="A281" s="363"/>
      <c r="B281" s="363"/>
      <c r="C281" s="363"/>
      <c r="D281" s="363"/>
      <c r="E281" s="363"/>
      <c r="F281" s="363"/>
      <c r="G281" s="363"/>
      <c r="H281" s="363"/>
      <c r="I281" s="363"/>
      <c r="J281" s="363"/>
      <c r="K281" s="363"/>
      <c r="L281" s="363"/>
      <c r="M281" s="363"/>
      <c r="N281" s="363"/>
      <c r="O281" s="363"/>
      <c r="P281" s="363"/>
      <c r="Q281" s="363"/>
      <c r="R281" s="363"/>
      <c r="S281" s="363"/>
      <c r="T281" s="363"/>
      <c r="U281" s="363"/>
    </row>
    <row r="282" spans="1:21" ht="18">
      <c r="A282" s="363"/>
      <c r="B282" s="363"/>
      <c r="C282" s="363"/>
      <c r="D282" s="363"/>
      <c r="E282" s="363"/>
      <c r="F282" s="363"/>
      <c r="G282" s="363"/>
      <c r="H282" s="363"/>
      <c r="I282" s="363"/>
      <c r="J282" s="363"/>
      <c r="K282" s="363"/>
      <c r="L282" s="363"/>
      <c r="M282" s="363"/>
      <c r="N282" s="363"/>
      <c r="O282" s="363"/>
      <c r="P282" s="363"/>
      <c r="Q282" s="363"/>
      <c r="R282" s="363"/>
      <c r="S282" s="363"/>
      <c r="T282" s="363"/>
      <c r="U282" s="363"/>
    </row>
    <row r="283" spans="1:21" ht="18">
      <c r="A283" s="363"/>
      <c r="B283" s="363"/>
      <c r="C283" s="363"/>
      <c r="D283" s="363"/>
      <c r="E283" s="363"/>
      <c r="F283" s="363"/>
      <c r="G283" s="363"/>
      <c r="H283" s="363"/>
      <c r="I283" s="363"/>
      <c r="J283" s="363"/>
      <c r="K283" s="363"/>
      <c r="L283" s="363"/>
      <c r="M283" s="363"/>
      <c r="N283" s="363"/>
      <c r="O283" s="363"/>
      <c r="P283" s="363"/>
      <c r="Q283" s="363"/>
      <c r="R283" s="363"/>
      <c r="S283" s="363"/>
      <c r="T283" s="363"/>
      <c r="U283" s="363"/>
    </row>
    <row r="284" spans="1:21" ht="18">
      <c r="A284" s="363"/>
      <c r="B284" s="363"/>
      <c r="C284" s="363"/>
      <c r="D284" s="363"/>
      <c r="E284" s="363"/>
      <c r="F284" s="363"/>
      <c r="G284" s="363"/>
      <c r="H284" s="363"/>
      <c r="I284" s="363"/>
      <c r="J284" s="363"/>
      <c r="K284" s="363"/>
      <c r="L284" s="363"/>
      <c r="M284" s="363"/>
      <c r="N284" s="363"/>
      <c r="O284" s="363"/>
      <c r="P284" s="363"/>
      <c r="Q284" s="363"/>
      <c r="R284" s="363"/>
      <c r="S284" s="363"/>
      <c r="T284" s="363"/>
      <c r="U284" s="363"/>
    </row>
    <row r="285" spans="1:21" ht="18">
      <c r="A285" s="363"/>
      <c r="B285" s="363"/>
      <c r="C285" s="363"/>
      <c r="D285" s="363"/>
      <c r="E285" s="363"/>
      <c r="F285" s="363"/>
      <c r="G285" s="363"/>
      <c r="H285" s="363"/>
      <c r="I285" s="363"/>
      <c r="J285" s="363"/>
      <c r="K285" s="363"/>
      <c r="L285" s="363"/>
      <c r="M285" s="363"/>
      <c r="N285" s="363"/>
      <c r="O285" s="363"/>
      <c r="P285" s="363"/>
      <c r="Q285" s="363"/>
      <c r="R285" s="363"/>
      <c r="S285" s="363"/>
      <c r="T285" s="363"/>
      <c r="U285" s="363"/>
    </row>
    <row r="286" spans="1:21" ht="18">
      <c r="A286" s="363"/>
      <c r="B286" s="363"/>
      <c r="C286" s="363"/>
      <c r="D286" s="363"/>
      <c r="E286" s="363"/>
      <c r="F286" s="363"/>
      <c r="G286" s="363"/>
      <c r="H286" s="363"/>
      <c r="I286" s="363"/>
      <c r="J286" s="363"/>
      <c r="K286" s="363"/>
      <c r="L286" s="363"/>
      <c r="M286" s="363"/>
      <c r="N286" s="363"/>
      <c r="O286" s="363"/>
      <c r="P286" s="363"/>
      <c r="Q286" s="363"/>
      <c r="R286" s="363"/>
      <c r="S286" s="363"/>
      <c r="T286" s="363"/>
      <c r="U286" s="363"/>
    </row>
    <row r="287" spans="1:21" ht="18">
      <c r="A287" s="363"/>
      <c r="B287" s="363"/>
      <c r="C287" s="363"/>
      <c r="D287" s="363"/>
      <c r="E287" s="363"/>
      <c r="F287" s="363"/>
      <c r="G287" s="363"/>
      <c r="H287" s="363"/>
      <c r="I287" s="363"/>
      <c r="J287" s="363"/>
      <c r="K287" s="363"/>
      <c r="L287" s="363"/>
      <c r="M287" s="363"/>
      <c r="N287" s="363"/>
      <c r="O287" s="363"/>
      <c r="P287" s="363"/>
      <c r="Q287" s="363"/>
      <c r="R287" s="363"/>
      <c r="S287" s="363"/>
      <c r="T287" s="363"/>
      <c r="U287" s="363"/>
    </row>
    <row r="288" spans="1:21" ht="18">
      <c r="A288" s="363"/>
      <c r="B288" s="363"/>
      <c r="C288" s="363"/>
      <c r="D288" s="363"/>
      <c r="E288" s="363"/>
      <c r="F288" s="363"/>
      <c r="G288" s="363"/>
      <c r="H288" s="363"/>
      <c r="I288" s="363"/>
      <c r="J288" s="363"/>
      <c r="K288" s="363"/>
      <c r="L288" s="363"/>
      <c r="M288" s="363"/>
      <c r="N288" s="363"/>
      <c r="O288" s="363"/>
      <c r="P288" s="363"/>
      <c r="Q288" s="363"/>
      <c r="R288" s="363"/>
      <c r="S288" s="363"/>
      <c r="T288" s="363"/>
      <c r="U288" s="363"/>
    </row>
    <row r="289" spans="1:21" ht="18">
      <c r="A289" s="363"/>
      <c r="B289" s="363"/>
      <c r="C289" s="363"/>
      <c r="D289" s="363"/>
      <c r="E289" s="363"/>
      <c r="F289" s="363"/>
      <c r="G289" s="363"/>
      <c r="H289" s="363"/>
      <c r="I289" s="363"/>
      <c r="J289" s="363"/>
      <c r="K289" s="363"/>
      <c r="L289" s="363"/>
      <c r="M289" s="363"/>
      <c r="N289" s="363"/>
      <c r="O289" s="363"/>
      <c r="P289" s="363"/>
      <c r="Q289" s="363"/>
      <c r="R289" s="363"/>
      <c r="S289" s="363"/>
      <c r="T289" s="363"/>
      <c r="U289" s="363"/>
    </row>
    <row r="290" spans="1:21" ht="18">
      <c r="A290" s="363"/>
      <c r="B290" s="363"/>
      <c r="C290" s="363"/>
      <c r="D290" s="363"/>
      <c r="E290" s="363"/>
      <c r="F290" s="363"/>
      <c r="G290" s="363"/>
      <c r="H290" s="363"/>
      <c r="I290" s="363"/>
      <c r="J290" s="363"/>
      <c r="K290" s="363"/>
      <c r="L290" s="363"/>
      <c r="M290" s="363"/>
      <c r="N290" s="363"/>
      <c r="O290" s="363"/>
      <c r="P290" s="363"/>
      <c r="Q290" s="363"/>
      <c r="R290" s="363"/>
      <c r="S290" s="363"/>
      <c r="T290" s="363"/>
      <c r="U290" s="363"/>
    </row>
    <row r="291" spans="1:21" ht="18">
      <c r="A291" s="363"/>
      <c r="B291" s="363"/>
      <c r="C291" s="363"/>
      <c r="D291" s="363"/>
      <c r="E291" s="363"/>
      <c r="F291" s="363"/>
      <c r="G291" s="363"/>
      <c r="H291" s="363"/>
      <c r="I291" s="363"/>
      <c r="J291" s="363"/>
      <c r="K291" s="363"/>
      <c r="L291" s="363"/>
      <c r="M291" s="363"/>
      <c r="N291" s="363"/>
      <c r="O291" s="363"/>
      <c r="P291" s="363"/>
      <c r="Q291" s="363"/>
      <c r="R291" s="363"/>
      <c r="S291" s="363"/>
      <c r="T291" s="363"/>
      <c r="U291" s="363"/>
    </row>
    <row r="292" spans="1:21" ht="18">
      <c r="A292" s="363"/>
      <c r="B292" s="363"/>
      <c r="C292" s="363"/>
      <c r="D292" s="363"/>
      <c r="E292" s="363"/>
      <c r="F292" s="363"/>
      <c r="G292" s="363"/>
      <c r="H292" s="363"/>
      <c r="I292" s="363"/>
      <c r="J292" s="363"/>
      <c r="K292" s="363"/>
      <c r="L292" s="363"/>
      <c r="M292" s="363"/>
      <c r="N292" s="363"/>
      <c r="O292" s="363"/>
      <c r="P292" s="363"/>
      <c r="Q292" s="363"/>
      <c r="R292" s="363"/>
      <c r="S292" s="363"/>
      <c r="T292" s="363"/>
      <c r="U292" s="363"/>
    </row>
    <row r="293" spans="1:21" ht="18">
      <c r="A293" s="363"/>
      <c r="B293" s="363"/>
      <c r="C293" s="363"/>
      <c r="D293" s="363"/>
      <c r="E293" s="363"/>
      <c r="F293" s="363"/>
      <c r="G293" s="363"/>
      <c r="H293" s="363"/>
      <c r="I293" s="363"/>
      <c r="J293" s="363"/>
      <c r="K293" s="363"/>
      <c r="L293" s="363"/>
      <c r="M293" s="363"/>
      <c r="N293" s="363"/>
      <c r="O293" s="363"/>
      <c r="P293" s="363"/>
      <c r="Q293" s="363"/>
      <c r="R293" s="363"/>
      <c r="S293" s="363"/>
      <c r="T293" s="363"/>
      <c r="U293" s="363"/>
    </row>
    <row r="294" spans="1:21" ht="18">
      <c r="A294" s="363"/>
      <c r="B294" s="363"/>
      <c r="C294" s="363"/>
      <c r="D294" s="363"/>
      <c r="E294" s="363"/>
      <c r="F294" s="363"/>
      <c r="G294" s="363"/>
      <c r="H294" s="363"/>
      <c r="I294" s="363"/>
      <c r="J294" s="363"/>
      <c r="K294" s="363"/>
      <c r="L294" s="363"/>
      <c r="M294" s="363"/>
      <c r="N294" s="363"/>
      <c r="O294" s="363"/>
      <c r="P294" s="363"/>
      <c r="Q294" s="363"/>
      <c r="R294" s="363"/>
      <c r="S294" s="363"/>
      <c r="T294" s="363"/>
      <c r="U294" s="363"/>
    </row>
    <row r="295" spans="1:21" ht="18">
      <c r="A295" s="363"/>
      <c r="B295" s="363"/>
      <c r="C295" s="363"/>
      <c r="D295" s="363"/>
      <c r="E295" s="363"/>
      <c r="F295" s="363"/>
      <c r="G295" s="363"/>
      <c r="H295" s="363"/>
      <c r="I295" s="363"/>
      <c r="J295" s="363"/>
      <c r="K295" s="363"/>
      <c r="L295" s="363"/>
      <c r="M295" s="363"/>
      <c r="N295" s="363"/>
      <c r="O295" s="363"/>
      <c r="P295" s="363"/>
      <c r="Q295" s="363"/>
      <c r="R295" s="363"/>
      <c r="S295" s="363"/>
      <c r="T295" s="363"/>
      <c r="U295" s="363"/>
    </row>
    <row r="296" spans="1:21" ht="18">
      <c r="A296" s="363"/>
      <c r="B296" s="363"/>
      <c r="C296" s="363"/>
      <c r="D296" s="363"/>
      <c r="E296" s="363"/>
      <c r="F296" s="363"/>
      <c r="G296" s="363"/>
      <c r="H296" s="363"/>
      <c r="I296" s="363"/>
      <c r="J296" s="363"/>
      <c r="K296" s="363"/>
      <c r="L296" s="363"/>
      <c r="M296" s="363"/>
      <c r="N296" s="363"/>
      <c r="O296" s="363"/>
      <c r="P296" s="363"/>
      <c r="Q296" s="363"/>
      <c r="R296" s="363"/>
      <c r="S296" s="363"/>
      <c r="T296" s="363"/>
      <c r="U296" s="363"/>
    </row>
    <row r="297" spans="1:21" ht="18">
      <c r="A297" s="363"/>
      <c r="B297" s="363"/>
      <c r="C297" s="363"/>
      <c r="D297" s="363"/>
      <c r="E297" s="363"/>
      <c r="F297" s="363"/>
      <c r="G297" s="363"/>
      <c r="H297" s="363"/>
      <c r="I297" s="363"/>
      <c r="J297" s="363"/>
      <c r="K297" s="363"/>
      <c r="L297" s="363"/>
      <c r="M297" s="363"/>
      <c r="N297" s="363"/>
      <c r="O297" s="363"/>
      <c r="P297" s="363"/>
      <c r="Q297" s="363"/>
      <c r="R297" s="363"/>
      <c r="S297" s="363"/>
      <c r="T297" s="363"/>
      <c r="U297" s="363"/>
    </row>
    <row r="298" spans="1:21" ht="18">
      <c r="A298" s="363"/>
      <c r="B298" s="363"/>
      <c r="C298" s="363"/>
      <c r="D298" s="363"/>
      <c r="E298" s="363"/>
      <c r="F298" s="363"/>
      <c r="G298" s="363"/>
      <c r="H298" s="363"/>
      <c r="I298" s="363"/>
      <c r="J298" s="363"/>
      <c r="K298" s="363"/>
      <c r="L298" s="363"/>
      <c r="M298" s="363"/>
      <c r="N298" s="363"/>
      <c r="O298" s="363"/>
      <c r="P298" s="363"/>
      <c r="Q298" s="363"/>
      <c r="R298" s="363"/>
      <c r="S298" s="363"/>
      <c r="T298" s="363"/>
      <c r="U298" s="363"/>
    </row>
    <row r="299" spans="1:21" ht="18">
      <c r="A299" s="363"/>
      <c r="B299" s="363"/>
      <c r="C299" s="363"/>
      <c r="D299" s="363"/>
      <c r="E299" s="363"/>
      <c r="F299" s="363"/>
      <c r="G299" s="363"/>
      <c r="H299" s="363"/>
      <c r="I299" s="363"/>
      <c r="J299" s="363"/>
      <c r="K299" s="363"/>
      <c r="L299" s="363"/>
      <c r="M299" s="363"/>
      <c r="N299" s="363"/>
      <c r="O299" s="363"/>
      <c r="P299" s="363"/>
      <c r="Q299" s="363"/>
      <c r="R299" s="363"/>
      <c r="S299" s="363"/>
      <c r="T299" s="363"/>
      <c r="U299" s="363"/>
    </row>
    <row r="300" spans="1:21" ht="18">
      <c r="A300" s="363"/>
      <c r="B300" s="363"/>
      <c r="C300" s="363"/>
      <c r="D300" s="363"/>
      <c r="E300" s="363"/>
      <c r="F300" s="363"/>
      <c r="G300" s="363"/>
      <c r="H300" s="363"/>
      <c r="I300" s="363"/>
      <c r="J300" s="363"/>
      <c r="K300" s="363"/>
      <c r="L300" s="363"/>
      <c r="M300" s="363"/>
      <c r="N300" s="363"/>
      <c r="O300" s="363"/>
      <c r="P300" s="363"/>
      <c r="Q300" s="363"/>
      <c r="R300" s="363"/>
      <c r="S300" s="363"/>
      <c r="T300" s="363"/>
      <c r="U300" s="363"/>
    </row>
    <row r="301" spans="1:21" ht="18">
      <c r="A301" s="363"/>
      <c r="B301" s="363"/>
      <c r="C301" s="363"/>
      <c r="D301" s="363"/>
      <c r="E301" s="363"/>
      <c r="F301" s="363"/>
      <c r="G301" s="363"/>
      <c r="H301" s="363"/>
      <c r="I301" s="363"/>
      <c r="J301" s="363"/>
      <c r="K301" s="363"/>
      <c r="L301" s="363"/>
      <c r="M301" s="363"/>
      <c r="N301" s="363"/>
      <c r="O301" s="363"/>
      <c r="P301" s="363"/>
      <c r="Q301" s="363"/>
      <c r="R301" s="363"/>
      <c r="S301" s="363"/>
      <c r="T301" s="363"/>
      <c r="U301" s="363"/>
    </row>
    <row r="302" spans="1:21" ht="18">
      <c r="A302" s="363"/>
      <c r="B302" s="363"/>
      <c r="C302" s="363"/>
      <c r="D302" s="363"/>
      <c r="E302" s="363"/>
      <c r="F302" s="363"/>
      <c r="G302" s="363"/>
      <c r="H302" s="363"/>
      <c r="I302" s="363"/>
      <c r="J302" s="363"/>
      <c r="K302" s="363"/>
      <c r="L302" s="363"/>
      <c r="M302" s="363"/>
      <c r="N302" s="363"/>
      <c r="O302" s="363"/>
      <c r="P302" s="363"/>
      <c r="Q302" s="363"/>
      <c r="R302" s="363"/>
      <c r="S302" s="363"/>
      <c r="T302" s="363"/>
      <c r="U302" s="363"/>
    </row>
    <row r="303" spans="1:21" ht="18">
      <c r="A303" s="363"/>
      <c r="B303" s="363"/>
      <c r="C303" s="363"/>
      <c r="D303" s="363"/>
      <c r="E303" s="363"/>
      <c r="F303" s="363"/>
      <c r="G303" s="363"/>
      <c r="H303" s="363"/>
      <c r="I303" s="363"/>
      <c r="J303" s="363"/>
      <c r="K303" s="363"/>
      <c r="L303" s="363"/>
      <c r="M303" s="363"/>
      <c r="N303" s="363"/>
      <c r="O303" s="363"/>
      <c r="P303" s="363"/>
      <c r="Q303" s="363"/>
      <c r="R303" s="363"/>
      <c r="S303" s="363"/>
      <c r="T303" s="363"/>
      <c r="U303" s="363"/>
    </row>
    <row r="304" spans="1:21" ht="18">
      <c r="A304" s="363"/>
      <c r="B304" s="363"/>
      <c r="C304" s="363"/>
      <c r="D304" s="363"/>
      <c r="E304" s="363"/>
      <c r="F304" s="363"/>
      <c r="G304" s="363"/>
      <c r="H304" s="363"/>
      <c r="I304" s="363"/>
      <c r="J304" s="363"/>
      <c r="K304" s="363"/>
      <c r="L304" s="363"/>
      <c r="M304" s="363"/>
      <c r="N304" s="363"/>
      <c r="O304" s="363"/>
      <c r="P304" s="363"/>
      <c r="Q304" s="363"/>
      <c r="R304" s="363"/>
      <c r="S304" s="363"/>
      <c r="T304" s="363"/>
      <c r="U304" s="363"/>
    </row>
    <row r="305" spans="1:21" ht="18">
      <c r="A305" s="363"/>
      <c r="B305" s="363"/>
      <c r="C305" s="363"/>
      <c r="D305" s="363"/>
      <c r="E305" s="363"/>
      <c r="F305" s="363"/>
      <c r="G305" s="363"/>
      <c r="H305" s="363"/>
      <c r="I305" s="363"/>
      <c r="J305" s="363"/>
      <c r="K305" s="363"/>
      <c r="L305" s="363"/>
      <c r="M305" s="363"/>
      <c r="N305" s="363"/>
      <c r="O305" s="363"/>
      <c r="P305" s="363"/>
      <c r="Q305" s="363"/>
      <c r="R305" s="363"/>
      <c r="S305" s="363"/>
      <c r="T305" s="363"/>
      <c r="U305" s="363"/>
    </row>
    <row r="306" spans="1:21" ht="18">
      <c r="A306" s="363"/>
      <c r="B306" s="363"/>
      <c r="C306" s="363"/>
      <c r="D306" s="363"/>
      <c r="E306" s="363"/>
      <c r="F306" s="363"/>
      <c r="G306" s="363"/>
      <c r="H306" s="363"/>
      <c r="I306" s="363"/>
      <c r="J306" s="363"/>
      <c r="K306" s="363"/>
      <c r="L306" s="363"/>
      <c r="M306" s="363"/>
      <c r="N306" s="363"/>
      <c r="O306" s="363"/>
      <c r="P306" s="363"/>
      <c r="Q306" s="363"/>
      <c r="R306" s="363"/>
      <c r="S306" s="363"/>
      <c r="T306" s="363"/>
      <c r="U306" s="363"/>
    </row>
    <row r="307" spans="1:21" ht="18">
      <c r="A307" s="363"/>
      <c r="B307" s="363"/>
      <c r="C307" s="363"/>
      <c r="D307" s="363"/>
      <c r="E307" s="363"/>
      <c r="F307" s="363"/>
      <c r="G307" s="363"/>
      <c r="H307" s="363"/>
      <c r="I307" s="363"/>
      <c r="J307" s="363"/>
      <c r="K307" s="363"/>
      <c r="L307" s="363"/>
      <c r="M307" s="363"/>
      <c r="N307" s="363"/>
      <c r="O307" s="363"/>
      <c r="P307" s="363"/>
      <c r="Q307" s="363"/>
      <c r="R307" s="363"/>
      <c r="S307" s="363"/>
      <c r="T307" s="363"/>
      <c r="U307" s="363"/>
    </row>
    <row r="308" spans="1:21" ht="18">
      <c r="A308" s="363"/>
      <c r="B308" s="363"/>
      <c r="C308" s="363"/>
      <c r="D308" s="363"/>
      <c r="E308" s="363"/>
      <c r="F308" s="363"/>
      <c r="G308" s="363"/>
      <c r="H308" s="363"/>
      <c r="I308" s="363"/>
      <c r="J308" s="363"/>
      <c r="K308" s="363"/>
      <c r="L308" s="363"/>
      <c r="M308" s="363"/>
      <c r="N308" s="363"/>
      <c r="O308" s="363"/>
      <c r="P308" s="363"/>
      <c r="Q308" s="363"/>
      <c r="R308" s="363"/>
      <c r="S308" s="363"/>
      <c r="T308" s="363"/>
      <c r="U308" s="363"/>
    </row>
    <row r="309" spans="1:21" ht="18">
      <c r="A309" s="363"/>
      <c r="B309" s="363"/>
      <c r="C309" s="363"/>
      <c r="D309" s="363"/>
      <c r="E309" s="363"/>
      <c r="F309" s="363"/>
      <c r="G309" s="363"/>
      <c r="H309" s="363"/>
      <c r="I309" s="363"/>
      <c r="J309" s="363"/>
      <c r="K309" s="363"/>
      <c r="L309" s="363"/>
      <c r="M309" s="363"/>
      <c r="N309" s="363"/>
      <c r="O309" s="363"/>
      <c r="P309" s="363"/>
      <c r="Q309" s="363"/>
      <c r="R309" s="363"/>
      <c r="S309" s="363"/>
      <c r="T309" s="363"/>
      <c r="U309" s="363"/>
    </row>
    <row r="310" spans="1:21" ht="18">
      <c r="A310" s="363"/>
      <c r="B310" s="363"/>
      <c r="C310" s="363"/>
      <c r="D310" s="363"/>
      <c r="E310" s="363"/>
      <c r="F310" s="363"/>
      <c r="G310" s="363"/>
      <c r="H310" s="363"/>
      <c r="I310" s="363"/>
      <c r="J310" s="363"/>
      <c r="K310" s="363"/>
      <c r="L310" s="363"/>
      <c r="M310" s="363"/>
      <c r="N310" s="363"/>
      <c r="O310" s="363"/>
      <c r="P310" s="363"/>
      <c r="Q310" s="363"/>
      <c r="R310" s="363"/>
      <c r="S310" s="363"/>
      <c r="T310" s="363"/>
      <c r="U310" s="363"/>
    </row>
    <row r="311" spans="1:21" ht="18">
      <c r="A311" s="363"/>
      <c r="B311" s="363"/>
      <c r="C311" s="363"/>
      <c r="D311" s="363"/>
      <c r="E311" s="363"/>
      <c r="F311" s="363"/>
      <c r="G311" s="363"/>
      <c r="H311" s="363"/>
      <c r="I311" s="363"/>
      <c r="J311" s="363"/>
      <c r="K311" s="363"/>
      <c r="L311" s="363"/>
      <c r="M311" s="363"/>
      <c r="N311" s="363"/>
      <c r="O311" s="363"/>
      <c r="P311" s="363"/>
      <c r="Q311" s="363"/>
      <c r="R311" s="363"/>
      <c r="S311" s="363"/>
      <c r="T311" s="363"/>
      <c r="U311" s="363"/>
    </row>
    <row r="312" spans="1:21" ht="18">
      <c r="A312" s="363"/>
      <c r="B312" s="363"/>
      <c r="C312" s="363"/>
      <c r="D312" s="363"/>
      <c r="E312" s="363"/>
      <c r="F312" s="363"/>
      <c r="G312" s="363"/>
      <c r="H312" s="363"/>
      <c r="I312" s="363"/>
      <c r="J312" s="363"/>
      <c r="K312" s="363"/>
      <c r="L312" s="363"/>
      <c r="M312" s="363"/>
      <c r="N312" s="363"/>
      <c r="O312" s="363"/>
      <c r="P312" s="363"/>
      <c r="Q312" s="363"/>
      <c r="R312" s="363"/>
      <c r="S312" s="363"/>
      <c r="T312" s="363"/>
      <c r="U312" s="363"/>
    </row>
    <row r="313" spans="1:21" ht="18">
      <c r="A313" s="363"/>
      <c r="B313" s="363"/>
      <c r="C313" s="363"/>
      <c r="D313" s="363"/>
      <c r="E313" s="363"/>
      <c r="F313" s="363"/>
      <c r="G313" s="363"/>
      <c r="H313" s="363"/>
      <c r="I313" s="363"/>
      <c r="J313" s="363"/>
      <c r="K313" s="363"/>
      <c r="L313" s="363"/>
      <c r="M313" s="363"/>
      <c r="N313" s="363"/>
      <c r="O313" s="363"/>
      <c r="P313" s="363"/>
      <c r="Q313" s="363"/>
      <c r="R313" s="363"/>
      <c r="S313" s="363"/>
      <c r="T313" s="363"/>
      <c r="U313" s="363"/>
    </row>
    <row r="314" spans="1:21" ht="18">
      <c r="A314" s="363"/>
      <c r="B314" s="363"/>
      <c r="C314" s="363"/>
      <c r="D314" s="363"/>
      <c r="E314" s="363"/>
      <c r="F314" s="363"/>
      <c r="G314" s="363"/>
      <c r="H314" s="363"/>
      <c r="I314" s="363"/>
      <c r="J314" s="363"/>
      <c r="K314" s="363"/>
      <c r="L314" s="363"/>
      <c r="M314" s="363"/>
      <c r="N314" s="363"/>
      <c r="O314" s="363"/>
      <c r="P314" s="363"/>
      <c r="Q314" s="363"/>
      <c r="R314" s="363"/>
      <c r="S314" s="363"/>
      <c r="T314" s="363"/>
      <c r="U314" s="363"/>
    </row>
    <row r="315" spans="1:21" ht="18">
      <c r="A315" s="363"/>
      <c r="B315" s="363"/>
      <c r="C315" s="363"/>
      <c r="D315" s="363"/>
      <c r="E315" s="363"/>
      <c r="F315" s="363"/>
      <c r="G315" s="363"/>
      <c r="H315" s="363"/>
      <c r="I315" s="363"/>
      <c r="J315" s="363"/>
      <c r="K315" s="363"/>
      <c r="L315" s="363"/>
      <c r="M315" s="363"/>
      <c r="N315" s="363"/>
      <c r="O315" s="363"/>
      <c r="P315" s="363"/>
      <c r="Q315" s="363"/>
      <c r="R315" s="363"/>
      <c r="S315" s="363"/>
      <c r="T315" s="363"/>
      <c r="U315" s="363"/>
    </row>
    <row r="316" spans="1:21" ht="18">
      <c r="A316" s="363"/>
      <c r="B316" s="363"/>
      <c r="C316" s="363"/>
      <c r="D316" s="363"/>
      <c r="E316" s="363"/>
      <c r="F316" s="363"/>
      <c r="G316" s="363"/>
      <c r="H316" s="363"/>
      <c r="I316" s="363"/>
      <c r="J316" s="363"/>
      <c r="K316" s="363"/>
      <c r="L316" s="363"/>
      <c r="M316" s="363"/>
      <c r="N316" s="363"/>
      <c r="O316" s="363"/>
      <c r="P316" s="363"/>
      <c r="Q316" s="363"/>
      <c r="R316" s="363"/>
      <c r="S316" s="363"/>
      <c r="T316" s="363"/>
      <c r="U316" s="363"/>
    </row>
    <row r="317" spans="1:21" ht="18">
      <c r="A317" s="363"/>
      <c r="B317" s="363"/>
      <c r="C317" s="363"/>
      <c r="D317" s="363"/>
      <c r="E317" s="363"/>
      <c r="F317" s="363"/>
      <c r="G317" s="363"/>
      <c r="H317" s="363"/>
      <c r="I317" s="363"/>
      <c r="J317" s="363"/>
      <c r="K317" s="363"/>
      <c r="L317" s="363"/>
      <c r="M317" s="363"/>
      <c r="N317" s="363"/>
      <c r="O317" s="363"/>
      <c r="P317" s="363"/>
      <c r="Q317" s="363"/>
      <c r="R317" s="363"/>
      <c r="S317" s="363"/>
      <c r="T317" s="363"/>
      <c r="U317" s="363"/>
    </row>
    <row r="318" spans="1:21" ht="18">
      <c r="A318" s="363"/>
      <c r="B318" s="363"/>
      <c r="C318" s="363"/>
      <c r="D318" s="363"/>
      <c r="E318" s="363"/>
      <c r="F318" s="363"/>
      <c r="G318" s="363"/>
      <c r="H318" s="363"/>
      <c r="I318" s="363"/>
      <c r="J318" s="363"/>
      <c r="K318" s="363"/>
      <c r="L318" s="363"/>
      <c r="M318" s="363"/>
      <c r="N318" s="363"/>
      <c r="O318" s="363"/>
      <c r="P318" s="363"/>
      <c r="Q318" s="363"/>
      <c r="R318" s="363"/>
      <c r="S318" s="363"/>
      <c r="T318" s="363"/>
      <c r="U318" s="363"/>
    </row>
    <row r="319" spans="1:21" ht="18">
      <c r="A319" s="363"/>
      <c r="B319" s="363"/>
      <c r="C319" s="363"/>
      <c r="D319" s="363"/>
      <c r="E319" s="363"/>
      <c r="F319" s="363"/>
      <c r="G319" s="363"/>
      <c r="H319" s="363"/>
      <c r="I319" s="363"/>
      <c r="J319" s="363"/>
      <c r="K319" s="363"/>
      <c r="L319" s="363"/>
      <c r="M319" s="363"/>
      <c r="N319" s="363"/>
      <c r="O319" s="363"/>
      <c r="P319" s="363"/>
      <c r="Q319" s="363"/>
      <c r="R319" s="363"/>
      <c r="S319" s="363"/>
      <c r="T319" s="363"/>
      <c r="U319" s="363"/>
    </row>
    <row r="320" spans="1:21" ht="18">
      <c r="A320" s="363"/>
      <c r="B320" s="363"/>
      <c r="C320" s="363"/>
      <c r="D320" s="363"/>
      <c r="E320" s="363"/>
      <c r="F320" s="363"/>
      <c r="G320" s="363"/>
      <c r="H320" s="363"/>
      <c r="I320" s="363"/>
      <c r="J320" s="363"/>
      <c r="K320" s="363"/>
      <c r="L320" s="363"/>
      <c r="M320" s="363"/>
      <c r="N320" s="363"/>
      <c r="O320" s="363"/>
      <c r="P320" s="363"/>
      <c r="Q320" s="363"/>
      <c r="R320" s="363"/>
      <c r="S320" s="363"/>
      <c r="T320" s="363"/>
      <c r="U320" s="363"/>
    </row>
    <row r="321" spans="1:21" ht="18">
      <c r="A321" s="363"/>
      <c r="B321" s="363"/>
      <c r="C321" s="363"/>
      <c r="D321" s="363"/>
      <c r="E321" s="363"/>
      <c r="F321" s="363"/>
      <c r="G321" s="363"/>
      <c r="H321" s="363"/>
      <c r="I321" s="363"/>
      <c r="J321" s="363"/>
      <c r="K321" s="363"/>
      <c r="L321" s="363"/>
      <c r="M321" s="363"/>
      <c r="N321" s="363"/>
      <c r="O321" s="363"/>
      <c r="P321" s="363"/>
      <c r="Q321" s="363"/>
      <c r="R321" s="363"/>
      <c r="S321" s="363"/>
      <c r="T321" s="363"/>
      <c r="U321" s="363"/>
    </row>
    <row r="322" spans="1:21" ht="18">
      <c r="A322" s="363"/>
      <c r="B322" s="363"/>
      <c r="C322" s="363"/>
      <c r="D322" s="363"/>
      <c r="E322" s="363"/>
      <c r="F322" s="363"/>
      <c r="G322" s="363"/>
      <c r="H322" s="363"/>
      <c r="I322" s="363"/>
      <c r="J322" s="363"/>
      <c r="K322" s="363"/>
      <c r="L322" s="363"/>
      <c r="M322" s="363"/>
      <c r="N322" s="363"/>
      <c r="O322" s="363"/>
      <c r="P322" s="363"/>
      <c r="Q322" s="363"/>
      <c r="R322" s="363"/>
      <c r="S322" s="363"/>
      <c r="T322" s="363"/>
      <c r="U322" s="363"/>
    </row>
    <row r="323" spans="1:21" ht="18">
      <c r="A323" s="363"/>
      <c r="B323" s="363"/>
      <c r="C323" s="363"/>
      <c r="D323" s="363"/>
      <c r="E323" s="363"/>
      <c r="F323" s="363"/>
      <c r="G323" s="363"/>
      <c r="H323" s="363"/>
      <c r="I323" s="363"/>
      <c r="J323" s="363"/>
      <c r="K323" s="363"/>
      <c r="L323" s="363"/>
      <c r="M323" s="363"/>
      <c r="N323" s="363"/>
      <c r="O323" s="363"/>
      <c r="P323" s="363"/>
      <c r="Q323" s="363"/>
      <c r="R323" s="363"/>
      <c r="S323" s="363"/>
      <c r="T323" s="363"/>
      <c r="U323" s="363"/>
    </row>
    <row r="324" spans="1:21" ht="18">
      <c r="A324" s="363"/>
      <c r="B324" s="363"/>
      <c r="C324" s="363"/>
      <c r="D324" s="363"/>
      <c r="E324" s="363"/>
      <c r="F324" s="363"/>
      <c r="G324" s="363"/>
      <c r="H324" s="363"/>
      <c r="I324" s="363"/>
      <c r="J324" s="363"/>
      <c r="K324" s="363"/>
      <c r="L324" s="363"/>
      <c r="M324" s="363"/>
      <c r="N324" s="363"/>
      <c r="O324" s="363"/>
      <c r="P324" s="363"/>
      <c r="Q324" s="363"/>
      <c r="R324" s="363"/>
      <c r="S324" s="363"/>
      <c r="T324" s="363"/>
      <c r="U324" s="363"/>
    </row>
    <row r="325" spans="1:21" ht="18">
      <c r="A325" s="363"/>
      <c r="B325" s="363"/>
      <c r="C325" s="363"/>
      <c r="D325" s="363"/>
      <c r="E325" s="363"/>
      <c r="F325" s="363"/>
      <c r="G325" s="363"/>
      <c r="H325" s="363"/>
      <c r="I325" s="363"/>
      <c r="J325" s="363"/>
      <c r="K325" s="363"/>
      <c r="L325" s="363"/>
      <c r="M325" s="363"/>
      <c r="N325" s="363"/>
      <c r="O325" s="363"/>
      <c r="P325" s="363"/>
      <c r="Q325" s="363"/>
      <c r="R325" s="363"/>
      <c r="S325" s="363"/>
      <c r="T325" s="363"/>
      <c r="U325" s="363"/>
    </row>
    <row r="326" spans="1:21" ht="18">
      <c r="A326" s="363"/>
      <c r="B326" s="363"/>
      <c r="C326" s="363"/>
      <c r="D326" s="363"/>
      <c r="E326" s="363"/>
      <c r="F326" s="363"/>
      <c r="G326" s="363"/>
      <c r="H326" s="363"/>
      <c r="I326" s="363"/>
      <c r="J326" s="363"/>
      <c r="K326" s="363"/>
      <c r="L326" s="363"/>
      <c r="M326" s="363"/>
      <c r="N326" s="363"/>
      <c r="O326" s="363"/>
      <c r="P326" s="363"/>
      <c r="Q326" s="363"/>
      <c r="R326" s="363"/>
      <c r="S326" s="363"/>
      <c r="T326" s="363"/>
      <c r="U326" s="363"/>
    </row>
    <row r="327" spans="1:21" ht="18">
      <c r="A327" s="363"/>
      <c r="B327" s="363"/>
      <c r="C327" s="363"/>
      <c r="D327" s="363"/>
      <c r="E327" s="363"/>
      <c r="F327" s="363"/>
      <c r="G327" s="363"/>
      <c r="H327" s="363"/>
      <c r="I327" s="363"/>
      <c r="J327" s="363"/>
      <c r="K327" s="363"/>
      <c r="L327" s="363"/>
      <c r="M327" s="363"/>
      <c r="N327" s="363"/>
      <c r="O327" s="363"/>
      <c r="P327" s="363"/>
      <c r="Q327" s="363"/>
      <c r="R327" s="363"/>
      <c r="S327" s="363"/>
      <c r="T327" s="363"/>
      <c r="U327" s="363"/>
    </row>
    <row r="328" spans="1:21" ht="18">
      <c r="A328" s="363"/>
      <c r="B328" s="363"/>
      <c r="C328" s="363"/>
      <c r="D328" s="363"/>
      <c r="E328" s="363"/>
      <c r="F328" s="363"/>
      <c r="G328" s="363"/>
      <c r="H328" s="363"/>
      <c r="I328" s="363"/>
      <c r="J328" s="363"/>
      <c r="K328" s="363"/>
      <c r="L328" s="363"/>
      <c r="M328" s="363"/>
      <c r="N328" s="363"/>
      <c r="O328" s="363"/>
      <c r="P328" s="363"/>
      <c r="Q328" s="363"/>
      <c r="R328" s="363"/>
      <c r="S328" s="363"/>
      <c r="T328" s="363"/>
      <c r="U328" s="363"/>
    </row>
    <row r="329" spans="1:21" ht="18">
      <c r="A329" s="363"/>
      <c r="B329" s="363"/>
      <c r="C329" s="363"/>
      <c r="D329" s="363"/>
      <c r="E329" s="363"/>
      <c r="F329" s="363"/>
      <c r="G329" s="363"/>
      <c r="H329" s="363"/>
      <c r="I329" s="363"/>
      <c r="J329" s="363"/>
      <c r="K329" s="363"/>
      <c r="L329" s="363"/>
      <c r="M329" s="363"/>
      <c r="N329" s="363"/>
      <c r="O329" s="363"/>
      <c r="P329" s="363"/>
      <c r="Q329" s="363"/>
      <c r="R329" s="363"/>
      <c r="S329" s="363"/>
      <c r="T329" s="363"/>
      <c r="U329" s="363"/>
    </row>
    <row r="330" spans="1:21" ht="18">
      <c r="A330" s="363"/>
      <c r="B330" s="363"/>
      <c r="C330" s="363"/>
      <c r="D330" s="363"/>
      <c r="E330" s="363"/>
      <c r="F330" s="363"/>
      <c r="G330" s="363"/>
      <c r="H330" s="363"/>
      <c r="I330" s="363"/>
      <c r="J330" s="363"/>
      <c r="K330" s="363"/>
      <c r="L330" s="363"/>
      <c r="M330" s="363"/>
      <c r="N330" s="363"/>
      <c r="O330" s="363"/>
      <c r="P330" s="363"/>
      <c r="Q330" s="363"/>
      <c r="R330" s="363"/>
      <c r="S330" s="363"/>
      <c r="T330" s="363"/>
      <c r="U330" s="363"/>
    </row>
    <row r="331" spans="1:21" ht="18">
      <c r="A331" s="363"/>
      <c r="B331" s="363"/>
      <c r="C331" s="363"/>
      <c r="D331" s="363"/>
      <c r="E331" s="363"/>
      <c r="F331" s="363"/>
      <c r="G331" s="363"/>
      <c r="H331" s="363"/>
      <c r="I331" s="363"/>
      <c r="J331" s="363"/>
      <c r="K331" s="363"/>
      <c r="L331" s="363"/>
      <c r="M331" s="363"/>
      <c r="N331" s="363"/>
      <c r="O331" s="363"/>
      <c r="P331" s="363"/>
      <c r="Q331" s="363"/>
      <c r="R331" s="363"/>
      <c r="S331" s="363"/>
      <c r="T331" s="363"/>
      <c r="U331" s="363"/>
    </row>
    <row r="332" spans="1:21" ht="18">
      <c r="A332" s="363"/>
      <c r="B332" s="363"/>
      <c r="C332" s="363"/>
      <c r="D332" s="363"/>
      <c r="E332" s="363"/>
      <c r="F332" s="363"/>
      <c r="G332" s="363"/>
      <c r="H332" s="363"/>
      <c r="I332" s="363"/>
      <c r="J332" s="363"/>
      <c r="K332" s="363"/>
      <c r="L332" s="363"/>
      <c r="M332" s="363"/>
      <c r="N332" s="363"/>
      <c r="O332" s="363"/>
      <c r="P332" s="363"/>
      <c r="Q332" s="363"/>
      <c r="R332" s="363"/>
      <c r="S332" s="363"/>
      <c r="T332" s="363"/>
      <c r="U332" s="363"/>
    </row>
    <row r="333" spans="1:21" ht="18">
      <c r="A333" s="363"/>
      <c r="B333" s="363"/>
      <c r="C333" s="363"/>
      <c r="D333" s="363"/>
      <c r="E333" s="363"/>
      <c r="F333" s="363"/>
      <c r="G333" s="363"/>
      <c r="H333" s="363"/>
      <c r="I333" s="363"/>
      <c r="J333" s="363"/>
      <c r="K333" s="363"/>
      <c r="L333" s="363"/>
      <c r="M333" s="363"/>
      <c r="N333" s="363"/>
      <c r="O333" s="363"/>
      <c r="P333" s="363"/>
      <c r="Q333" s="363"/>
      <c r="R333" s="363"/>
      <c r="S333" s="363"/>
      <c r="T333" s="363"/>
      <c r="U333" s="363"/>
    </row>
    <row r="334" spans="1:21" ht="18">
      <c r="A334" s="363"/>
      <c r="B334" s="363"/>
      <c r="C334" s="363"/>
      <c r="D334" s="363"/>
      <c r="E334" s="363"/>
      <c r="F334" s="363"/>
      <c r="G334" s="363"/>
      <c r="H334" s="363"/>
      <c r="I334" s="363"/>
      <c r="J334" s="363"/>
      <c r="K334" s="363"/>
      <c r="L334" s="363"/>
      <c r="M334" s="363"/>
      <c r="N334" s="363"/>
      <c r="O334" s="363"/>
      <c r="P334" s="363"/>
      <c r="Q334" s="363"/>
      <c r="R334" s="363"/>
      <c r="S334" s="363"/>
      <c r="T334" s="363"/>
      <c r="U334" s="363"/>
    </row>
    <row r="335" spans="1:21" ht="18">
      <c r="A335" s="363"/>
      <c r="B335" s="363"/>
      <c r="C335" s="363"/>
      <c r="D335" s="363"/>
      <c r="E335" s="363"/>
      <c r="F335" s="363"/>
      <c r="G335" s="363"/>
      <c r="H335" s="363"/>
      <c r="I335" s="363"/>
      <c r="J335" s="363"/>
      <c r="K335" s="363"/>
      <c r="L335" s="363"/>
      <c r="M335" s="363"/>
      <c r="N335" s="363"/>
      <c r="O335" s="363"/>
      <c r="P335" s="363"/>
      <c r="Q335" s="363"/>
      <c r="R335" s="363"/>
      <c r="S335" s="363"/>
      <c r="T335" s="363"/>
      <c r="U335" s="363"/>
    </row>
    <row r="336" spans="1:21" ht="18">
      <c r="A336" s="363"/>
      <c r="B336" s="363"/>
      <c r="C336" s="363"/>
      <c r="D336" s="363"/>
      <c r="E336" s="363"/>
      <c r="F336" s="363"/>
      <c r="G336" s="363"/>
      <c r="H336" s="363"/>
      <c r="I336" s="363"/>
      <c r="J336" s="363"/>
      <c r="K336" s="363"/>
      <c r="L336" s="363"/>
      <c r="M336" s="363"/>
      <c r="N336" s="363"/>
      <c r="O336" s="363"/>
      <c r="P336" s="363"/>
      <c r="Q336" s="363"/>
      <c r="R336" s="363"/>
      <c r="S336" s="363"/>
      <c r="T336" s="363"/>
      <c r="U336" s="363"/>
    </row>
    <row r="337" spans="1:21" ht="18">
      <c r="A337" s="363"/>
      <c r="B337" s="363"/>
      <c r="C337" s="363"/>
      <c r="D337" s="363"/>
      <c r="E337" s="363"/>
      <c r="F337" s="363"/>
      <c r="G337" s="363"/>
      <c r="H337" s="363"/>
      <c r="I337" s="363"/>
      <c r="J337" s="363"/>
      <c r="K337" s="363"/>
      <c r="L337" s="363"/>
      <c r="M337" s="363"/>
      <c r="N337" s="363"/>
      <c r="O337" s="363"/>
      <c r="P337" s="363"/>
      <c r="Q337" s="363"/>
      <c r="R337" s="363"/>
      <c r="S337" s="363"/>
      <c r="T337" s="363"/>
      <c r="U337" s="363"/>
    </row>
    <row r="338" spans="1:21" ht="18">
      <c r="A338" s="363"/>
      <c r="B338" s="363"/>
      <c r="C338" s="363"/>
      <c r="D338" s="363"/>
      <c r="E338" s="363"/>
      <c r="F338" s="363"/>
      <c r="G338" s="363"/>
      <c r="H338" s="363"/>
      <c r="I338" s="363"/>
      <c r="J338" s="363"/>
      <c r="K338" s="363"/>
      <c r="L338" s="363"/>
      <c r="M338" s="363"/>
      <c r="N338" s="363"/>
      <c r="O338" s="363"/>
      <c r="P338" s="363"/>
      <c r="Q338" s="363"/>
      <c r="R338" s="363"/>
      <c r="S338" s="363"/>
      <c r="T338" s="363"/>
      <c r="U338" s="363"/>
    </row>
    <row r="339" spans="1:21" ht="18">
      <c r="A339" s="363"/>
      <c r="B339" s="363"/>
      <c r="C339" s="363"/>
      <c r="D339" s="363"/>
      <c r="E339" s="363"/>
      <c r="F339" s="363"/>
      <c r="G339" s="363"/>
      <c r="H339" s="363"/>
      <c r="I339" s="363"/>
      <c r="J339" s="363"/>
      <c r="K339" s="363"/>
      <c r="L339" s="363"/>
      <c r="M339" s="363"/>
      <c r="N339" s="363"/>
      <c r="O339" s="363"/>
      <c r="P339" s="363"/>
      <c r="Q339" s="363"/>
      <c r="R339" s="363"/>
      <c r="S339" s="363"/>
      <c r="T339" s="363"/>
      <c r="U339" s="363"/>
    </row>
    <row r="340" spans="1:21" ht="18">
      <c r="A340" s="363"/>
      <c r="B340" s="363"/>
      <c r="C340" s="363"/>
      <c r="D340" s="363"/>
      <c r="E340" s="363"/>
      <c r="F340" s="363"/>
      <c r="G340" s="363"/>
      <c r="H340" s="363"/>
      <c r="I340" s="363"/>
      <c r="J340" s="363"/>
      <c r="K340" s="363"/>
      <c r="L340" s="363"/>
      <c r="M340" s="363"/>
      <c r="N340" s="363"/>
      <c r="O340" s="363"/>
      <c r="P340" s="363"/>
      <c r="Q340" s="363"/>
      <c r="R340" s="363"/>
      <c r="S340" s="363"/>
      <c r="T340" s="363"/>
      <c r="U340" s="363"/>
    </row>
    <row r="341" spans="1:21" ht="18">
      <c r="A341" s="363"/>
      <c r="B341" s="363"/>
      <c r="C341" s="363"/>
      <c r="D341" s="363"/>
      <c r="E341" s="363"/>
      <c r="F341" s="363"/>
      <c r="G341" s="363"/>
      <c r="H341" s="363"/>
      <c r="I341" s="363"/>
      <c r="J341" s="363"/>
      <c r="K341" s="363"/>
      <c r="L341" s="363"/>
      <c r="M341" s="363"/>
      <c r="N341" s="363"/>
      <c r="O341" s="363"/>
      <c r="P341" s="363"/>
      <c r="Q341" s="363"/>
      <c r="R341" s="363"/>
      <c r="S341" s="363"/>
      <c r="T341" s="363"/>
      <c r="U341" s="363"/>
    </row>
    <row r="342" spans="1:21" ht="18">
      <c r="A342" s="363"/>
      <c r="B342" s="363"/>
      <c r="C342" s="363"/>
      <c r="D342" s="363"/>
      <c r="E342" s="363"/>
      <c r="F342" s="363"/>
      <c r="G342" s="363"/>
      <c r="H342" s="363"/>
      <c r="I342" s="363"/>
      <c r="J342" s="363"/>
      <c r="K342" s="363"/>
      <c r="L342" s="363"/>
      <c r="M342" s="363"/>
      <c r="N342" s="363"/>
      <c r="O342" s="363"/>
      <c r="P342" s="363"/>
      <c r="Q342" s="363"/>
      <c r="R342" s="363"/>
      <c r="S342" s="363"/>
      <c r="T342" s="363"/>
      <c r="U342" s="363"/>
    </row>
    <row r="343" spans="1:21" ht="18">
      <c r="A343" s="363"/>
      <c r="B343" s="363"/>
      <c r="C343" s="363"/>
      <c r="D343" s="363"/>
      <c r="E343" s="363"/>
      <c r="F343" s="363"/>
      <c r="G343" s="363"/>
      <c r="H343" s="363"/>
      <c r="I343" s="363"/>
      <c r="J343" s="363"/>
      <c r="K343" s="363"/>
      <c r="L343" s="363"/>
      <c r="M343" s="363"/>
      <c r="N343" s="363"/>
      <c r="O343" s="363"/>
      <c r="P343" s="363"/>
      <c r="Q343" s="363"/>
      <c r="R343" s="363"/>
      <c r="S343" s="363"/>
      <c r="T343" s="363"/>
      <c r="U343" s="363"/>
    </row>
    <row r="344" spans="1:21" ht="18">
      <c r="A344" s="363"/>
      <c r="B344" s="363"/>
      <c r="C344" s="363"/>
      <c r="D344" s="363"/>
      <c r="E344" s="363"/>
      <c r="F344" s="363"/>
      <c r="G344" s="363"/>
      <c r="H344" s="363"/>
      <c r="I344" s="363"/>
      <c r="J344" s="363"/>
      <c r="K344" s="363"/>
      <c r="L344" s="363"/>
      <c r="M344" s="363"/>
      <c r="N344" s="363"/>
      <c r="O344" s="363"/>
      <c r="P344" s="363"/>
      <c r="Q344" s="363"/>
      <c r="R344" s="363"/>
      <c r="S344" s="363"/>
      <c r="T344" s="363"/>
      <c r="U344" s="363"/>
    </row>
    <row r="345" spans="1:21" ht="18">
      <c r="A345" s="363"/>
      <c r="B345" s="363"/>
      <c r="C345" s="363"/>
      <c r="D345" s="363"/>
      <c r="E345" s="363"/>
      <c r="F345" s="363"/>
      <c r="G345" s="363"/>
      <c r="H345" s="363"/>
      <c r="I345" s="363"/>
      <c r="J345" s="363"/>
      <c r="K345" s="363"/>
      <c r="L345" s="363"/>
      <c r="M345" s="363"/>
      <c r="N345" s="363"/>
      <c r="O345" s="363"/>
      <c r="P345" s="363"/>
      <c r="Q345" s="363"/>
      <c r="R345" s="363"/>
      <c r="S345" s="363"/>
      <c r="T345" s="363"/>
      <c r="U345" s="363"/>
    </row>
    <row r="346" spans="1:21" ht="18">
      <c r="A346" s="363"/>
      <c r="B346" s="363"/>
      <c r="C346" s="363"/>
      <c r="D346" s="363"/>
      <c r="E346" s="363"/>
      <c r="F346" s="363"/>
      <c r="G346" s="363"/>
      <c r="H346" s="363"/>
      <c r="I346" s="363"/>
      <c r="J346" s="363"/>
      <c r="K346" s="363"/>
      <c r="L346" s="363"/>
      <c r="M346" s="363"/>
      <c r="N346" s="363"/>
      <c r="O346" s="363"/>
      <c r="P346" s="363"/>
      <c r="Q346" s="363"/>
      <c r="R346" s="363"/>
      <c r="S346" s="363"/>
      <c r="T346" s="363"/>
      <c r="U346" s="363"/>
    </row>
    <row r="347" spans="1:21" ht="18">
      <c r="A347" s="363"/>
      <c r="B347" s="363"/>
      <c r="C347" s="363"/>
      <c r="D347" s="363"/>
      <c r="E347" s="363"/>
      <c r="F347" s="363"/>
      <c r="G347" s="363"/>
      <c r="H347" s="363"/>
      <c r="I347" s="363"/>
      <c r="J347" s="363"/>
      <c r="K347" s="363"/>
      <c r="L347" s="363"/>
      <c r="M347" s="363"/>
      <c r="N347" s="363"/>
      <c r="O347" s="363"/>
      <c r="P347" s="363"/>
      <c r="Q347" s="363"/>
      <c r="R347" s="363"/>
      <c r="S347" s="363"/>
      <c r="T347" s="363"/>
      <c r="U347" s="363"/>
    </row>
    <row r="348" spans="1:21" ht="18">
      <c r="A348" s="363"/>
      <c r="B348" s="363"/>
      <c r="C348" s="363"/>
      <c r="D348" s="363"/>
      <c r="E348" s="363"/>
      <c r="F348" s="363"/>
      <c r="G348" s="363"/>
      <c r="H348" s="363"/>
      <c r="I348" s="363"/>
      <c r="J348" s="363"/>
      <c r="K348" s="363"/>
      <c r="L348" s="363"/>
      <c r="M348" s="363"/>
      <c r="N348" s="363"/>
      <c r="O348" s="363"/>
      <c r="P348" s="363"/>
      <c r="Q348" s="363"/>
      <c r="R348" s="363"/>
      <c r="S348" s="363"/>
      <c r="T348" s="363"/>
      <c r="U348" s="363"/>
    </row>
    <row r="349" spans="1:21" ht="18">
      <c r="A349" s="363"/>
      <c r="B349" s="363"/>
      <c r="C349" s="363"/>
      <c r="D349" s="363"/>
      <c r="E349" s="363"/>
      <c r="F349" s="363"/>
      <c r="G349" s="363"/>
      <c r="H349" s="363"/>
      <c r="I349" s="363"/>
      <c r="J349" s="363"/>
      <c r="K349" s="363"/>
      <c r="L349" s="363"/>
      <c r="M349" s="363"/>
      <c r="N349" s="363"/>
      <c r="O349" s="363"/>
      <c r="P349" s="363"/>
      <c r="Q349" s="363"/>
      <c r="R349" s="363"/>
      <c r="S349" s="363"/>
      <c r="T349" s="363"/>
      <c r="U349" s="363"/>
    </row>
    <row r="350" spans="1:21" ht="18">
      <c r="A350" s="363"/>
      <c r="B350" s="363"/>
      <c r="C350" s="363"/>
      <c r="D350" s="363"/>
      <c r="E350" s="363"/>
      <c r="F350" s="363"/>
      <c r="G350" s="363"/>
      <c r="H350" s="363"/>
      <c r="I350" s="363"/>
      <c r="J350" s="363"/>
      <c r="K350" s="363"/>
      <c r="L350" s="363"/>
      <c r="M350" s="363"/>
      <c r="N350" s="363"/>
      <c r="O350" s="363"/>
      <c r="P350" s="363"/>
      <c r="Q350" s="363"/>
      <c r="R350" s="363"/>
      <c r="S350" s="363"/>
      <c r="T350" s="363"/>
      <c r="U350" s="363"/>
    </row>
    <row r="351" spans="1:21" ht="18">
      <c r="A351" s="363"/>
      <c r="B351" s="363"/>
      <c r="C351" s="363"/>
      <c r="D351" s="363"/>
      <c r="E351" s="363"/>
      <c r="F351" s="363"/>
      <c r="G351" s="363"/>
      <c r="H351" s="363"/>
      <c r="I351" s="363"/>
      <c r="J351" s="363"/>
      <c r="K351" s="363"/>
      <c r="L351" s="363"/>
      <c r="M351" s="363"/>
      <c r="N351" s="363"/>
      <c r="O351" s="363"/>
      <c r="P351" s="363"/>
      <c r="Q351" s="363"/>
      <c r="R351" s="363"/>
      <c r="S351" s="363"/>
      <c r="T351" s="363"/>
      <c r="U351" s="363"/>
    </row>
    <row r="352" spans="1:21" ht="18">
      <c r="A352" s="363"/>
      <c r="B352" s="363"/>
      <c r="C352" s="363"/>
      <c r="D352" s="363"/>
      <c r="E352" s="363"/>
      <c r="F352" s="363"/>
      <c r="G352" s="363"/>
      <c r="H352" s="363"/>
      <c r="I352" s="363"/>
      <c r="J352" s="363"/>
      <c r="K352" s="363"/>
      <c r="L352" s="363"/>
      <c r="M352" s="363"/>
      <c r="N352" s="363"/>
      <c r="O352" s="363"/>
      <c r="P352" s="363"/>
      <c r="Q352" s="363"/>
      <c r="R352" s="363"/>
      <c r="S352" s="363"/>
      <c r="T352" s="363"/>
      <c r="U352" s="363"/>
    </row>
    <row r="353" spans="1:21" ht="18">
      <c r="A353" s="363"/>
      <c r="B353" s="363"/>
      <c r="C353" s="363"/>
      <c r="D353" s="363"/>
      <c r="E353" s="363"/>
      <c r="F353" s="363"/>
      <c r="G353" s="363"/>
      <c r="H353" s="363"/>
      <c r="I353" s="363"/>
      <c r="J353" s="363"/>
      <c r="K353" s="363"/>
      <c r="L353" s="363"/>
      <c r="M353" s="363"/>
      <c r="N353" s="363"/>
      <c r="O353" s="363"/>
      <c r="P353" s="363"/>
      <c r="Q353" s="363"/>
      <c r="R353" s="363"/>
      <c r="S353" s="363"/>
      <c r="T353" s="363"/>
      <c r="U353" s="363"/>
    </row>
    <row r="354" spans="1:21" ht="18">
      <c r="A354" s="363"/>
      <c r="B354" s="363"/>
      <c r="C354" s="363"/>
      <c r="D354" s="363"/>
      <c r="E354" s="363"/>
      <c r="F354" s="363"/>
      <c r="G354" s="363"/>
      <c r="H354" s="363"/>
      <c r="I354" s="363"/>
      <c r="J354" s="363"/>
      <c r="K354" s="363"/>
      <c r="L354" s="363"/>
      <c r="M354" s="363"/>
      <c r="N354" s="363"/>
      <c r="O354" s="363"/>
      <c r="P354" s="363"/>
      <c r="Q354" s="363"/>
      <c r="R354" s="363"/>
      <c r="S354" s="363"/>
      <c r="T354" s="363"/>
      <c r="U354" s="363"/>
    </row>
    <row r="355" spans="1:21" ht="18">
      <c r="A355" s="363"/>
      <c r="B355" s="363"/>
      <c r="C355" s="363"/>
      <c r="D355" s="363"/>
      <c r="E355" s="363"/>
      <c r="F355" s="363"/>
      <c r="G355" s="363"/>
      <c r="H355" s="363"/>
      <c r="I355" s="363"/>
      <c r="J355" s="363"/>
      <c r="K355" s="363"/>
      <c r="L355" s="363"/>
      <c r="M355" s="363"/>
      <c r="N355" s="363"/>
      <c r="O355" s="363"/>
      <c r="P355" s="363"/>
      <c r="Q355" s="363"/>
      <c r="R355" s="363"/>
      <c r="S355" s="363"/>
      <c r="T355" s="363"/>
      <c r="U355" s="363"/>
    </row>
    <row r="356" spans="1:21" ht="18">
      <c r="A356" s="363"/>
      <c r="B356" s="363"/>
      <c r="C356" s="363"/>
      <c r="D356" s="363"/>
      <c r="E356" s="363"/>
      <c r="F356" s="363"/>
      <c r="G356" s="363"/>
      <c r="H356" s="363"/>
      <c r="I356" s="363"/>
      <c r="J356" s="363"/>
      <c r="K356" s="363"/>
      <c r="L356" s="363"/>
      <c r="M356" s="363"/>
      <c r="N356" s="363"/>
      <c r="O356" s="363"/>
      <c r="P356" s="363"/>
      <c r="Q356" s="363"/>
      <c r="R356" s="363"/>
      <c r="S356" s="363"/>
      <c r="T356" s="363"/>
      <c r="U356" s="363"/>
    </row>
    <row r="357" spans="1:21" ht="18">
      <c r="A357" s="363"/>
      <c r="B357" s="363"/>
      <c r="C357" s="363"/>
      <c r="D357" s="363"/>
      <c r="E357" s="363"/>
      <c r="F357" s="363"/>
      <c r="G357" s="363"/>
      <c r="H357" s="363"/>
      <c r="I357" s="363"/>
      <c r="J357" s="363"/>
      <c r="K357" s="363"/>
      <c r="L357" s="363"/>
      <c r="M357" s="363"/>
      <c r="N357" s="363"/>
      <c r="O357" s="363"/>
      <c r="P357" s="363"/>
      <c r="Q357" s="363"/>
      <c r="R357" s="363"/>
      <c r="S357" s="363"/>
      <c r="T357" s="363"/>
      <c r="U357" s="363"/>
    </row>
    <row r="358" spans="1:21" ht="18">
      <c r="A358" s="363"/>
      <c r="B358" s="363"/>
      <c r="C358" s="363"/>
      <c r="D358" s="363"/>
      <c r="E358" s="363"/>
      <c r="F358" s="363"/>
      <c r="G358" s="363"/>
      <c r="H358" s="363"/>
      <c r="I358" s="363"/>
      <c r="J358" s="363"/>
      <c r="K358" s="363"/>
      <c r="L358" s="363"/>
      <c r="M358" s="363"/>
      <c r="N358" s="363"/>
      <c r="O358" s="363"/>
      <c r="P358" s="363"/>
      <c r="Q358" s="363"/>
      <c r="R358" s="363"/>
      <c r="S358" s="363"/>
      <c r="T358" s="363"/>
      <c r="U358" s="363"/>
    </row>
    <row r="359" spans="1:21" ht="18">
      <c r="A359" s="363"/>
      <c r="B359" s="363"/>
      <c r="C359" s="363"/>
      <c r="D359" s="363"/>
      <c r="E359" s="363"/>
      <c r="F359" s="363"/>
      <c r="G359" s="363"/>
      <c r="H359" s="363"/>
      <c r="I359" s="363"/>
      <c r="J359" s="363"/>
      <c r="K359" s="363"/>
      <c r="L359" s="363"/>
      <c r="M359" s="363"/>
      <c r="N359" s="363"/>
      <c r="O359" s="363"/>
      <c r="P359" s="363"/>
      <c r="Q359" s="363"/>
      <c r="R359" s="363"/>
      <c r="S359" s="363"/>
      <c r="T359" s="363"/>
      <c r="U359" s="363"/>
    </row>
    <row r="360" spans="1:21" ht="18">
      <c r="A360" s="363"/>
      <c r="B360" s="363"/>
      <c r="C360" s="363"/>
      <c r="D360" s="363"/>
      <c r="E360" s="363"/>
      <c r="F360" s="363"/>
      <c r="G360" s="363"/>
      <c r="H360" s="363"/>
      <c r="I360" s="363"/>
      <c r="J360" s="363"/>
      <c r="K360" s="363"/>
      <c r="L360" s="363"/>
      <c r="M360" s="363"/>
      <c r="N360" s="363"/>
      <c r="O360" s="363"/>
      <c r="P360" s="363"/>
      <c r="Q360" s="363"/>
      <c r="R360" s="363"/>
      <c r="S360" s="363"/>
      <c r="T360" s="363"/>
      <c r="U360" s="363"/>
    </row>
    <row r="361" spans="1:21" ht="18">
      <c r="A361" s="363"/>
      <c r="B361" s="363"/>
      <c r="C361" s="363"/>
      <c r="D361" s="363"/>
      <c r="E361" s="363"/>
      <c r="F361" s="363"/>
      <c r="G361" s="363"/>
      <c r="H361" s="363"/>
      <c r="I361" s="363"/>
      <c r="J361" s="363"/>
      <c r="K361" s="363"/>
      <c r="L361" s="363"/>
      <c r="M361" s="363"/>
      <c r="N361" s="363"/>
      <c r="O361" s="363"/>
      <c r="P361" s="363"/>
      <c r="Q361" s="363"/>
      <c r="R361" s="363"/>
      <c r="S361" s="363"/>
      <c r="T361" s="363"/>
      <c r="U361" s="363"/>
    </row>
    <row r="362" spans="1:21" ht="18">
      <c r="A362" s="363"/>
      <c r="B362" s="363"/>
      <c r="C362" s="363"/>
      <c r="D362" s="363"/>
      <c r="E362" s="363"/>
      <c r="F362" s="363"/>
      <c r="G362" s="363"/>
      <c r="H362" s="363"/>
      <c r="I362" s="363"/>
      <c r="J362" s="363"/>
      <c r="K362" s="363"/>
      <c r="L362" s="363"/>
      <c r="M362" s="363"/>
      <c r="N362" s="363"/>
      <c r="O362" s="363"/>
      <c r="P362" s="363"/>
      <c r="Q362" s="363"/>
      <c r="R362" s="363"/>
      <c r="S362" s="363"/>
      <c r="T362" s="363"/>
      <c r="U362" s="363"/>
    </row>
    <row r="363" spans="1:21" ht="18">
      <c r="A363" s="363"/>
      <c r="B363" s="363"/>
      <c r="C363" s="363"/>
      <c r="D363" s="363"/>
      <c r="E363" s="363"/>
      <c r="F363" s="363"/>
      <c r="G363" s="363"/>
      <c r="H363" s="363"/>
      <c r="I363" s="363"/>
      <c r="J363" s="363"/>
      <c r="K363" s="363"/>
      <c r="L363" s="363"/>
      <c r="M363" s="363"/>
      <c r="N363" s="363"/>
      <c r="O363" s="363"/>
      <c r="P363" s="363"/>
      <c r="Q363" s="363"/>
      <c r="R363" s="363"/>
      <c r="S363" s="363"/>
      <c r="T363" s="363"/>
      <c r="U363" s="363"/>
    </row>
    <row r="364" spans="1:21" ht="18">
      <c r="A364" s="363"/>
      <c r="B364" s="363"/>
      <c r="C364" s="363"/>
      <c r="D364" s="363"/>
      <c r="E364" s="363"/>
      <c r="F364" s="363"/>
      <c r="G364" s="363"/>
      <c r="H364" s="363"/>
      <c r="I364" s="363"/>
      <c r="J364" s="363"/>
      <c r="K364" s="363"/>
      <c r="L364" s="363"/>
      <c r="M364" s="363"/>
      <c r="N364" s="363"/>
      <c r="O364" s="363"/>
      <c r="P364" s="363"/>
      <c r="Q364" s="363"/>
      <c r="R364" s="363"/>
      <c r="S364" s="363"/>
      <c r="T364" s="363"/>
      <c r="U364" s="363"/>
    </row>
    <row r="365" spans="1:21" ht="18">
      <c r="A365" s="363"/>
      <c r="B365" s="363"/>
      <c r="C365" s="363"/>
      <c r="D365" s="363"/>
      <c r="E365" s="363"/>
      <c r="F365" s="363"/>
      <c r="G365" s="363"/>
      <c r="H365" s="363"/>
      <c r="I365" s="363"/>
      <c r="J365" s="363"/>
      <c r="K365" s="363"/>
      <c r="L365" s="363"/>
      <c r="M365" s="363"/>
      <c r="N365" s="363"/>
      <c r="O365" s="363"/>
      <c r="P365" s="363"/>
      <c r="Q365" s="363"/>
      <c r="R365" s="363"/>
      <c r="S365" s="363"/>
      <c r="T365" s="363"/>
      <c r="U365" s="363"/>
    </row>
    <row r="366" spans="1:21" ht="18">
      <c r="A366" s="363"/>
      <c r="B366" s="363"/>
      <c r="C366" s="363"/>
      <c r="D366" s="363"/>
      <c r="E366" s="363"/>
      <c r="F366" s="363"/>
      <c r="G366" s="363"/>
      <c r="H366" s="363"/>
      <c r="I366" s="363"/>
      <c r="J366" s="363"/>
      <c r="K366" s="363"/>
      <c r="L366" s="363"/>
      <c r="M366" s="363"/>
      <c r="N366" s="363"/>
      <c r="O366" s="363"/>
      <c r="P366" s="363"/>
      <c r="Q366" s="363"/>
      <c r="R366" s="363"/>
      <c r="S366" s="363"/>
      <c r="T366" s="363"/>
      <c r="U366" s="363"/>
    </row>
    <row r="367" spans="1:21" ht="18">
      <c r="A367" s="363"/>
      <c r="B367" s="363"/>
      <c r="C367" s="363"/>
      <c r="D367" s="363"/>
      <c r="E367" s="363"/>
      <c r="F367" s="363"/>
      <c r="G367" s="363"/>
      <c r="H367" s="363"/>
      <c r="I367" s="363"/>
      <c r="J367" s="363"/>
      <c r="K367" s="363"/>
      <c r="L367" s="363"/>
      <c r="M367" s="363"/>
      <c r="N367" s="363"/>
      <c r="O367" s="363"/>
      <c r="P367" s="363"/>
      <c r="Q367" s="363"/>
      <c r="R367" s="363"/>
      <c r="S367" s="363"/>
      <c r="T367" s="363"/>
      <c r="U367" s="363"/>
    </row>
    <row r="368" spans="1:21" ht="18">
      <c r="A368" s="363"/>
      <c r="B368" s="363"/>
      <c r="C368" s="363"/>
      <c r="D368" s="363"/>
      <c r="E368" s="363"/>
      <c r="F368" s="363"/>
      <c r="G368" s="363"/>
      <c r="H368" s="363"/>
      <c r="I368" s="363"/>
      <c r="J368" s="363"/>
      <c r="K368" s="363"/>
      <c r="L368" s="363"/>
      <c r="M368" s="363"/>
      <c r="N368" s="363"/>
      <c r="O368" s="363"/>
      <c r="P368" s="363"/>
      <c r="Q368" s="363"/>
      <c r="R368" s="363"/>
      <c r="S368" s="363"/>
      <c r="T368" s="363"/>
      <c r="U368" s="363"/>
    </row>
    <row r="369" spans="1:21" ht="18">
      <c r="A369" s="363"/>
      <c r="B369" s="363"/>
      <c r="C369" s="363"/>
      <c r="D369" s="363"/>
      <c r="E369" s="363"/>
      <c r="F369" s="363"/>
      <c r="G369" s="363"/>
      <c r="H369" s="363"/>
      <c r="I369" s="363"/>
      <c r="J369" s="363"/>
      <c r="K369" s="363"/>
      <c r="L369" s="363"/>
      <c r="M369" s="363"/>
      <c r="N369" s="363"/>
      <c r="O369" s="363"/>
      <c r="P369" s="363"/>
      <c r="Q369" s="363"/>
      <c r="R369" s="363"/>
      <c r="S369" s="363"/>
      <c r="T369" s="363"/>
      <c r="U369" s="363"/>
    </row>
    <row r="370" spans="1:21" ht="18">
      <c r="A370" s="363"/>
      <c r="B370" s="363"/>
      <c r="C370" s="363"/>
      <c r="D370" s="363"/>
      <c r="E370" s="363"/>
      <c r="F370" s="363"/>
      <c r="G370" s="363"/>
      <c r="H370" s="363"/>
      <c r="I370" s="363"/>
      <c r="J370" s="363"/>
      <c r="K370" s="363"/>
      <c r="L370" s="363"/>
      <c r="M370" s="363"/>
      <c r="N370" s="363"/>
      <c r="O370" s="363"/>
      <c r="P370" s="363"/>
      <c r="Q370" s="363"/>
      <c r="R370" s="363"/>
      <c r="S370" s="363"/>
      <c r="T370" s="363"/>
      <c r="U370" s="363"/>
    </row>
    <row r="371" spans="1:21" ht="18">
      <c r="A371" s="363"/>
      <c r="B371" s="363"/>
      <c r="C371" s="363"/>
      <c r="D371" s="363"/>
      <c r="E371" s="363"/>
      <c r="F371" s="363"/>
      <c r="G371" s="363"/>
      <c r="H371" s="363"/>
      <c r="I371" s="363"/>
      <c r="J371" s="363"/>
      <c r="K371" s="363"/>
      <c r="L371" s="363"/>
      <c r="M371" s="363"/>
      <c r="N371" s="363"/>
      <c r="O371" s="363"/>
      <c r="P371" s="363"/>
      <c r="Q371" s="363"/>
      <c r="R371" s="363"/>
      <c r="S371" s="363"/>
      <c r="T371" s="363"/>
      <c r="U371" s="363"/>
    </row>
    <row r="372" spans="1:21" ht="18">
      <c r="A372" s="363"/>
      <c r="B372" s="363"/>
      <c r="C372" s="363"/>
      <c r="D372" s="363"/>
      <c r="E372" s="363"/>
      <c r="F372" s="363"/>
      <c r="G372" s="363"/>
      <c r="H372" s="363"/>
      <c r="I372" s="363"/>
      <c r="J372" s="363"/>
      <c r="K372" s="363"/>
      <c r="L372" s="363"/>
      <c r="M372" s="363"/>
      <c r="N372" s="363"/>
      <c r="O372" s="363"/>
      <c r="P372" s="363"/>
      <c r="Q372" s="363"/>
      <c r="R372" s="363"/>
      <c r="S372" s="363"/>
      <c r="T372" s="363"/>
      <c r="U372" s="363"/>
    </row>
    <row r="373" spans="1:21" ht="18">
      <c r="A373" s="363"/>
      <c r="B373" s="363"/>
      <c r="C373" s="363"/>
      <c r="D373" s="363"/>
      <c r="E373" s="363"/>
      <c r="F373" s="363"/>
      <c r="G373" s="363"/>
      <c r="H373" s="363"/>
      <c r="I373" s="363"/>
      <c r="J373" s="363"/>
      <c r="K373" s="363"/>
      <c r="L373" s="363"/>
      <c r="M373" s="363"/>
      <c r="N373" s="363"/>
      <c r="O373" s="363"/>
      <c r="P373" s="363"/>
      <c r="Q373" s="363"/>
      <c r="R373" s="363"/>
      <c r="S373" s="363"/>
      <c r="T373" s="363"/>
      <c r="U373" s="363"/>
    </row>
    <row r="374" spans="1:21" ht="18">
      <c r="A374" s="363"/>
      <c r="B374" s="363"/>
      <c r="C374" s="363"/>
      <c r="D374" s="363"/>
      <c r="E374" s="363"/>
      <c r="F374" s="363"/>
      <c r="G374" s="363"/>
      <c r="H374" s="363"/>
      <c r="I374" s="363"/>
      <c r="J374" s="363"/>
      <c r="K374" s="363"/>
      <c r="L374" s="363"/>
      <c r="M374" s="363"/>
      <c r="N374" s="363"/>
      <c r="O374" s="363"/>
      <c r="P374" s="363"/>
      <c r="Q374" s="363"/>
      <c r="R374" s="363"/>
      <c r="S374" s="363"/>
      <c r="T374" s="363"/>
      <c r="U374" s="363"/>
    </row>
    <row r="375" spans="1:21" ht="18">
      <c r="A375" s="363"/>
      <c r="B375" s="363"/>
      <c r="C375" s="363"/>
      <c r="D375" s="363"/>
      <c r="E375" s="363"/>
      <c r="F375" s="363"/>
      <c r="G375" s="363"/>
      <c r="H375" s="363"/>
      <c r="I375" s="363"/>
      <c r="J375" s="363"/>
      <c r="K375" s="363"/>
      <c r="L375" s="363"/>
      <c r="M375" s="363"/>
      <c r="N375" s="363"/>
      <c r="O375" s="363"/>
      <c r="P375" s="363"/>
      <c r="Q375" s="363"/>
      <c r="R375" s="363"/>
      <c r="S375" s="363"/>
      <c r="T375" s="363"/>
      <c r="U375" s="363"/>
    </row>
    <row r="376" spans="1:21" ht="18">
      <c r="A376" s="363"/>
      <c r="B376" s="363"/>
      <c r="C376" s="363"/>
      <c r="D376" s="363"/>
      <c r="E376" s="363"/>
      <c r="F376" s="363"/>
      <c r="G376" s="363"/>
      <c r="H376" s="363"/>
      <c r="I376" s="363"/>
      <c r="J376" s="363"/>
      <c r="K376" s="363"/>
      <c r="L376" s="363"/>
      <c r="M376" s="363"/>
      <c r="N376" s="363"/>
      <c r="O376" s="363"/>
      <c r="P376" s="363"/>
      <c r="Q376" s="363"/>
      <c r="R376" s="363"/>
      <c r="S376" s="363"/>
      <c r="T376" s="363"/>
      <c r="U376" s="363"/>
    </row>
    <row r="377" spans="1:21" ht="18">
      <c r="A377" s="363"/>
      <c r="B377" s="363"/>
      <c r="C377" s="363"/>
      <c r="D377" s="363"/>
      <c r="E377" s="363"/>
      <c r="F377" s="363"/>
      <c r="G377" s="363"/>
      <c r="H377" s="363"/>
      <c r="I377" s="363"/>
      <c r="J377" s="363"/>
      <c r="K377" s="363"/>
      <c r="L377" s="363"/>
      <c r="M377" s="363"/>
      <c r="N377" s="363"/>
      <c r="O377" s="363"/>
      <c r="P377" s="363"/>
      <c r="Q377" s="363"/>
      <c r="R377" s="363"/>
      <c r="S377" s="363"/>
      <c r="T377" s="363"/>
      <c r="U377" s="363"/>
    </row>
    <row r="378" spans="1:21" ht="18">
      <c r="A378" s="363"/>
      <c r="B378" s="363"/>
      <c r="C378" s="363"/>
      <c r="D378" s="363"/>
      <c r="E378" s="363"/>
      <c r="F378" s="363"/>
      <c r="G378" s="363"/>
      <c r="H378" s="363"/>
      <c r="I378" s="363"/>
      <c r="J378" s="363"/>
      <c r="K378" s="363"/>
      <c r="L378" s="363"/>
      <c r="M378" s="363"/>
      <c r="N378" s="363"/>
      <c r="O378" s="363"/>
      <c r="P378" s="363"/>
      <c r="Q378" s="363"/>
      <c r="R378" s="363"/>
      <c r="S378" s="363"/>
      <c r="T378" s="363"/>
      <c r="U378" s="363"/>
    </row>
    <row r="379" spans="1:21" ht="18">
      <c r="A379" s="363"/>
      <c r="B379" s="363"/>
      <c r="C379" s="363"/>
      <c r="D379" s="363"/>
      <c r="E379" s="363"/>
      <c r="F379" s="363"/>
      <c r="G379" s="363"/>
      <c r="H379" s="363"/>
      <c r="I379" s="363"/>
      <c r="J379" s="363"/>
      <c r="K379" s="363"/>
      <c r="L379" s="363"/>
      <c r="M379" s="363"/>
      <c r="N379" s="363"/>
      <c r="O379" s="363"/>
      <c r="P379" s="363"/>
      <c r="Q379" s="363"/>
      <c r="R379" s="363"/>
      <c r="S379" s="363"/>
      <c r="T379" s="363"/>
      <c r="U379" s="363"/>
    </row>
    <row r="380" spans="1:21" ht="18">
      <c r="A380" s="363"/>
      <c r="B380" s="363"/>
      <c r="C380" s="363"/>
      <c r="D380" s="363"/>
      <c r="E380" s="363"/>
      <c r="F380" s="363"/>
      <c r="G380" s="363"/>
      <c r="H380" s="363"/>
      <c r="I380" s="363"/>
      <c r="J380" s="363"/>
      <c r="K380" s="363"/>
      <c r="L380" s="363"/>
      <c r="M380" s="363"/>
      <c r="N380" s="363"/>
      <c r="O380" s="363"/>
      <c r="P380" s="363"/>
      <c r="Q380" s="363"/>
      <c r="R380" s="363"/>
      <c r="S380" s="363"/>
      <c r="T380" s="363"/>
      <c r="U380" s="363"/>
    </row>
    <row r="381" spans="1:21" ht="18">
      <c r="A381" s="363"/>
      <c r="B381" s="363"/>
      <c r="C381" s="363"/>
      <c r="D381" s="363"/>
      <c r="E381" s="363"/>
      <c r="F381" s="363"/>
      <c r="G381" s="363"/>
      <c r="H381" s="363"/>
      <c r="I381" s="363"/>
      <c r="J381" s="363"/>
      <c r="K381" s="363"/>
      <c r="L381" s="363"/>
      <c r="M381" s="363"/>
      <c r="N381" s="363"/>
      <c r="O381" s="363"/>
      <c r="P381" s="363"/>
      <c r="Q381" s="363"/>
      <c r="R381" s="363"/>
      <c r="S381" s="363"/>
      <c r="T381" s="363"/>
      <c r="U381" s="363"/>
    </row>
    <row r="382" spans="1:21" ht="18">
      <c r="A382" s="363"/>
      <c r="B382" s="363"/>
      <c r="C382" s="363"/>
      <c r="D382" s="363"/>
      <c r="E382" s="363"/>
      <c r="F382" s="363"/>
      <c r="G382" s="363"/>
      <c r="H382" s="363"/>
      <c r="I382" s="363"/>
      <c r="J382" s="363"/>
      <c r="K382" s="363"/>
      <c r="L382" s="363"/>
      <c r="M382" s="363"/>
      <c r="N382" s="363"/>
      <c r="O382" s="363"/>
      <c r="P382" s="363"/>
      <c r="Q382" s="363"/>
      <c r="R382" s="363"/>
      <c r="S382" s="363"/>
      <c r="T382" s="363"/>
      <c r="U382" s="363"/>
    </row>
    <row r="383" spans="1:21" ht="18">
      <c r="A383" s="363"/>
      <c r="B383" s="363"/>
      <c r="C383" s="363"/>
      <c r="D383" s="363"/>
      <c r="E383" s="363"/>
      <c r="F383" s="363"/>
      <c r="G383" s="363"/>
      <c r="H383" s="363"/>
      <c r="I383" s="363"/>
      <c r="J383" s="363"/>
      <c r="K383" s="363"/>
      <c r="L383" s="363"/>
      <c r="M383" s="363"/>
      <c r="N383" s="363"/>
      <c r="O383" s="363"/>
      <c r="P383" s="363"/>
      <c r="Q383" s="363"/>
      <c r="R383" s="363"/>
      <c r="S383" s="363"/>
      <c r="T383" s="363"/>
      <c r="U383" s="363"/>
    </row>
    <row r="384" spans="1:21" ht="18">
      <c r="A384" s="363"/>
      <c r="B384" s="363"/>
      <c r="C384" s="363"/>
      <c r="D384" s="363"/>
      <c r="E384" s="363"/>
      <c r="F384" s="363"/>
      <c r="G384" s="363"/>
      <c r="H384" s="363"/>
      <c r="I384" s="363"/>
      <c r="J384" s="363"/>
      <c r="K384" s="363"/>
      <c r="L384" s="363"/>
      <c r="M384" s="363"/>
      <c r="N384" s="363"/>
      <c r="O384" s="363"/>
      <c r="P384" s="363"/>
      <c r="Q384" s="363"/>
      <c r="R384" s="363"/>
      <c r="S384" s="363"/>
      <c r="T384" s="363"/>
      <c r="U384" s="363"/>
    </row>
    <row r="385" spans="1:21" ht="18">
      <c r="A385" s="363"/>
      <c r="B385" s="363"/>
      <c r="C385" s="363"/>
      <c r="D385" s="363"/>
      <c r="E385" s="363"/>
      <c r="F385" s="363"/>
      <c r="G385" s="363"/>
      <c r="H385" s="363"/>
      <c r="I385" s="363"/>
      <c r="J385" s="363"/>
      <c r="K385" s="363"/>
      <c r="L385" s="363"/>
      <c r="M385" s="363"/>
      <c r="N385" s="363"/>
      <c r="O385" s="363"/>
      <c r="P385" s="363"/>
      <c r="Q385" s="363"/>
      <c r="R385" s="363"/>
      <c r="S385" s="363"/>
      <c r="T385" s="363"/>
      <c r="U385" s="363"/>
    </row>
    <row r="386" spans="1:21" ht="18">
      <c r="A386" s="363"/>
      <c r="B386" s="363"/>
      <c r="C386" s="363"/>
      <c r="D386" s="363"/>
      <c r="E386" s="363"/>
      <c r="F386" s="363"/>
      <c r="G386" s="363"/>
      <c r="H386" s="363"/>
      <c r="I386" s="363"/>
      <c r="J386" s="363"/>
      <c r="K386" s="363"/>
      <c r="L386" s="363"/>
      <c r="M386" s="363"/>
      <c r="N386" s="363"/>
      <c r="O386" s="363"/>
      <c r="P386" s="363"/>
      <c r="Q386" s="363"/>
      <c r="R386" s="363"/>
      <c r="S386" s="363"/>
      <c r="T386" s="363"/>
      <c r="U386" s="363"/>
    </row>
    <row r="387" spans="1:21" ht="18">
      <c r="A387" s="363"/>
      <c r="B387" s="363"/>
      <c r="C387" s="363"/>
      <c r="D387" s="363"/>
      <c r="E387" s="363"/>
      <c r="F387" s="363"/>
      <c r="G387" s="363"/>
      <c r="H387" s="363"/>
      <c r="I387" s="363"/>
      <c r="J387" s="363"/>
      <c r="K387" s="363"/>
      <c r="L387" s="363"/>
      <c r="M387" s="363"/>
      <c r="N387" s="363"/>
      <c r="O387" s="363"/>
      <c r="P387" s="363"/>
      <c r="Q387" s="363"/>
      <c r="R387" s="363"/>
      <c r="S387" s="363"/>
      <c r="T387" s="363"/>
      <c r="U387" s="363"/>
    </row>
    <row r="388" spans="1:21" ht="18">
      <c r="A388" s="363"/>
      <c r="B388" s="363"/>
      <c r="C388" s="363"/>
      <c r="D388" s="363"/>
      <c r="E388" s="363"/>
      <c r="F388" s="363"/>
      <c r="G388" s="363"/>
      <c r="H388" s="363"/>
      <c r="I388" s="363"/>
      <c r="J388" s="363"/>
      <c r="K388" s="363"/>
      <c r="L388" s="363"/>
      <c r="M388" s="363"/>
      <c r="N388" s="363"/>
      <c r="O388" s="363"/>
      <c r="P388" s="363"/>
      <c r="Q388" s="363"/>
      <c r="R388" s="363"/>
      <c r="S388" s="363"/>
      <c r="T388" s="363"/>
      <c r="U388" s="363"/>
    </row>
    <row r="389" spans="1:21" ht="18">
      <c r="A389" s="363"/>
      <c r="B389" s="363"/>
      <c r="C389" s="363"/>
      <c r="D389" s="363"/>
      <c r="E389" s="363"/>
      <c r="F389" s="363"/>
      <c r="G389" s="363"/>
      <c r="H389" s="363"/>
      <c r="I389" s="363"/>
      <c r="J389" s="363"/>
      <c r="K389" s="363"/>
      <c r="L389" s="363"/>
      <c r="M389" s="363"/>
      <c r="N389" s="363"/>
      <c r="O389" s="363"/>
      <c r="P389" s="363"/>
      <c r="Q389" s="363"/>
      <c r="R389" s="363"/>
      <c r="S389" s="363"/>
      <c r="T389" s="363"/>
      <c r="U389" s="363"/>
    </row>
    <row r="390" spans="1:21" ht="18">
      <c r="A390" s="363"/>
      <c r="B390" s="363"/>
      <c r="C390" s="363"/>
      <c r="D390" s="363"/>
      <c r="E390" s="363"/>
      <c r="F390" s="363"/>
      <c r="G390" s="363"/>
      <c r="H390" s="363"/>
      <c r="I390" s="363"/>
      <c r="J390" s="363"/>
      <c r="K390" s="363"/>
      <c r="L390" s="363"/>
      <c r="M390" s="363"/>
      <c r="N390" s="363"/>
      <c r="O390" s="363"/>
      <c r="P390" s="363"/>
      <c r="Q390" s="363"/>
      <c r="R390" s="363"/>
      <c r="S390" s="363"/>
      <c r="T390" s="363"/>
      <c r="U390" s="363"/>
    </row>
    <row r="391" spans="1:21" ht="18">
      <c r="A391" s="363"/>
      <c r="B391" s="363"/>
      <c r="C391" s="363"/>
      <c r="D391" s="363"/>
      <c r="E391" s="363"/>
      <c r="F391" s="363"/>
      <c r="G391" s="363"/>
      <c r="H391" s="363"/>
      <c r="I391" s="363"/>
      <c r="J391" s="363"/>
      <c r="K391" s="363"/>
      <c r="L391" s="363"/>
      <c r="M391" s="363"/>
      <c r="N391" s="363"/>
      <c r="O391" s="363"/>
      <c r="P391" s="363"/>
      <c r="Q391" s="363"/>
      <c r="R391" s="363"/>
      <c r="S391" s="363"/>
      <c r="T391" s="363"/>
      <c r="U391" s="363"/>
    </row>
    <row r="392" spans="1:21" ht="18">
      <c r="A392" s="363"/>
      <c r="B392" s="363"/>
      <c r="C392" s="363"/>
      <c r="D392" s="363"/>
      <c r="E392" s="363"/>
      <c r="F392" s="363"/>
      <c r="G392" s="363"/>
      <c r="H392" s="363"/>
      <c r="I392" s="363"/>
      <c r="J392" s="363"/>
      <c r="K392" s="363"/>
      <c r="L392" s="363"/>
      <c r="M392" s="363"/>
      <c r="N392" s="363"/>
      <c r="O392" s="363"/>
      <c r="P392" s="363"/>
      <c r="Q392" s="363"/>
      <c r="R392" s="363"/>
      <c r="S392" s="363"/>
      <c r="T392" s="363"/>
      <c r="U392" s="363"/>
    </row>
    <row r="393" spans="1:21" ht="18">
      <c r="A393" s="363"/>
      <c r="B393" s="363"/>
      <c r="C393" s="363"/>
      <c r="D393" s="363"/>
      <c r="E393" s="363"/>
      <c r="F393" s="363"/>
      <c r="G393" s="363"/>
      <c r="H393" s="363"/>
      <c r="I393" s="363"/>
      <c r="J393" s="363"/>
      <c r="K393" s="363"/>
      <c r="L393" s="363"/>
      <c r="M393" s="363"/>
      <c r="N393" s="363"/>
      <c r="O393" s="363"/>
      <c r="P393" s="363"/>
      <c r="Q393" s="363"/>
      <c r="R393" s="363"/>
      <c r="S393" s="363"/>
      <c r="T393" s="363"/>
      <c r="U393" s="363"/>
    </row>
    <row r="394" spans="1:21" ht="18">
      <c r="A394" s="363"/>
      <c r="B394" s="363"/>
      <c r="C394" s="363"/>
      <c r="D394" s="363"/>
      <c r="E394" s="363"/>
      <c r="F394" s="363"/>
      <c r="G394" s="363"/>
      <c r="H394" s="363"/>
      <c r="I394" s="363"/>
      <c r="J394" s="363"/>
      <c r="K394" s="363"/>
      <c r="L394" s="363"/>
      <c r="M394" s="363"/>
      <c r="N394" s="363"/>
      <c r="O394" s="363"/>
      <c r="P394" s="363"/>
      <c r="Q394" s="363"/>
      <c r="R394" s="363"/>
      <c r="S394" s="363"/>
      <c r="T394" s="363"/>
      <c r="U394" s="363"/>
    </row>
    <row r="395" spans="1:21" ht="18">
      <c r="A395" s="363"/>
      <c r="B395" s="363"/>
      <c r="C395" s="363"/>
      <c r="D395" s="363"/>
      <c r="E395" s="363"/>
      <c r="F395" s="363"/>
      <c r="G395" s="363"/>
      <c r="H395" s="363"/>
      <c r="I395" s="363"/>
      <c r="J395" s="363"/>
      <c r="K395" s="363"/>
      <c r="L395" s="363"/>
      <c r="M395" s="363"/>
      <c r="N395" s="363"/>
      <c r="O395" s="363"/>
      <c r="P395" s="363"/>
      <c r="Q395" s="363"/>
      <c r="R395" s="363"/>
      <c r="S395" s="363"/>
      <c r="T395" s="363"/>
      <c r="U395" s="363"/>
    </row>
    <row r="396" spans="1:21" ht="18">
      <c r="A396" s="363"/>
      <c r="B396" s="363"/>
      <c r="C396" s="363"/>
      <c r="D396" s="363"/>
      <c r="E396" s="363"/>
      <c r="F396" s="363"/>
      <c r="G396" s="363"/>
      <c r="H396" s="363"/>
      <c r="I396" s="363"/>
      <c r="J396" s="363"/>
      <c r="K396" s="363"/>
      <c r="L396" s="363"/>
      <c r="M396" s="363"/>
      <c r="N396" s="363"/>
      <c r="O396" s="363"/>
      <c r="P396" s="363"/>
      <c r="Q396" s="363"/>
      <c r="R396" s="363"/>
      <c r="S396" s="363"/>
      <c r="T396" s="363"/>
      <c r="U396" s="363"/>
    </row>
    <row r="397" spans="1:21" ht="18">
      <c r="A397" s="363"/>
      <c r="B397" s="363"/>
      <c r="C397" s="363"/>
      <c r="D397" s="363"/>
      <c r="E397" s="363"/>
      <c r="F397" s="363"/>
      <c r="G397" s="363"/>
      <c r="H397" s="363"/>
      <c r="I397" s="363"/>
      <c r="J397" s="363"/>
      <c r="K397" s="363"/>
      <c r="L397" s="363"/>
      <c r="M397" s="363"/>
      <c r="N397" s="363"/>
      <c r="O397" s="363"/>
      <c r="P397" s="363"/>
      <c r="Q397" s="363"/>
      <c r="R397" s="363"/>
      <c r="S397" s="363"/>
      <c r="T397" s="363"/>
      <c r="U397" s="363"/>
    </row>
    <row r="398" spans="1:21" ht="18">
      <c r="A398" s="363"/>
      <c r="B398" s="363"/>
      <c r="C398" s="363"/>
      <c r="D398" s="363"/>
      <c r="E398" s="363"/>
      <c r="F398" s="363"/>
      <c r="G398" s="363"/>
      <c r="H398" s="363"/>
      <c r="I398" s="363"/>
      <c r="J398" s="363"/>
      <c r="K398" s="363"/>
      <c r="L398" s="363"/>
      <c r="M398" s="363"/>
      <c r="N398" s="363"/>
      <c r="O398" s="363"/>
      <c r="P398" s="363"/>
      <c r="Q398" s="363"/>
      <c r="R398" s="363"/>
      <c r="S398" s="363"/>
      <c r="T398" s="363"/>
      <c r="U398" s="363"/>
    </row>
    <row r="399" spans="1:21" ht="18">
      <c r="A399" s="363"/>
      <c r="B399" s="363"/>
      <c r="C399" s="363"/>
      <c r="D399" s="363"/>
      <c r="E399" s="363"/>
      <c r="F399" s="363"/>
      <c r="G399" s="363"/>
      <c r="H399" s="363"/>
      <c r="I399" s="363"/>
      <c r="J399" s="363"/>
      <c r="K399" s="363"/>
      <c r="L399" s="363"/>
      <c r="M399" s="363"/>
      <c r="N399" s="363"/>
      <c r="O399" s="363"/>
      <c r="P399" s="363"/>
      <c r="Q399" s="363"/>
      <c r="R399" s="363"/>
      <c r="S399" s="363"/>
      <c r="T399" s="363"/>
      <c r="U399" s="363"/>
    </row>
    <row r="400" spans="1:21" ht="18">
      <c r="A400" s="363"/>
      <c r="B400" s="363"/>
      <c r="C400" s="363"/>
      <c r="D400" s="363"/>
      <c r="E400" s="363"/>
      <c r="F400" s="363"/>
      <c r="G400" s="363"/>
      <c r="H400" s="363"/>
      <c r="I400" s="363"/>
      <c r="J400" s="363"/>
      <c r="K400" s="363"/>
      <c r="L400" s="363"/>
      <c r="M400" s="363"/>
      <c r="N400" s="363"/>
      <c r="O400" s="363"/>
      <c r="P400" s="363"/>
      <c r="Q400" s="363"/>
      <c r="R400" s="363"/>
      <c r="S400" s="363"/>
      <c r="T400" s="363"/>
      <c r="U400" s="363"/>
    </row>
    <row r="401" spans="1:21" ht="18">
      <c r="A401" s="363"/>
      <c r="B401" s="363"/>
      <c r="C401" s="363"/>
      <c r="D401" s="363"/>
      <c r="E401" s="363"/>
      <c r="F401" s="363"/>
      <c r="G401" s="363"/>
      <c r="H401" s="363"/>
      <c r="I401" s="363"/>
      <c r="J401" s="363"/>
      <c r="K401" s="363"/>
      <c r="L401" s="363"/>
      <c r="M401" s="363"/>
      <c r="N401" s="363"/>
      <c r="O401" s="363"/>
      <c r="P401" s="363"/>
      <c r="Q401" s="363"/>
      <c r="R401" s="363"/>
      <c r="S401" s="363"/>
      <c r="T401" s="363"/>
      <c r="U401" s="363"/>
    </row>
    <row r="402" spans="1:21" ht="18">
      <c r="A402" s="363"/>
      <c r="B402" s="363"/>
      <c r="C402" s="363"/>
      <c r="D402" s="363"/>
      <c r="E402" s="363"/>
      <c r="F402" s="363"/>
      <c r="G402" s="363"/>
      <c r="H402" s="363"/>
      <c r="I402" s="363"/>
      <c r="J402" s="363"/>
      <c r="K402" s="363"/>
      <c r="L402" s="363"/>
      <c r="M402" s="363"/>
      <c r="N402" s="363"/>
      <c r="O402" s="363"/>
      <c r="P402" s="363"/>
      <c r="Q402" s="363"/>
      <c r="R402" s="363"/>
      <c r="S402" s="363"/>
      <c r="T402" s="363"/>
      <c r="U402" s="363"/>
    </row>
    <row r="403" spans="1:21" ht="18">
      <c r="A403" s="363"/>
      <c r="B403" s="363"/>
      <c r="C403" s="363"/>
      <c r="D403" s="363"/>
      <c r="E403" s="363"/>
      <c r="F403" s="363"/>
      <c r="G403" s="363"/>
      <c r="H403" s="363"/>
      <c r="I403" s="363"/>
      <c r="J403" s="363"/>
      <c r="K403" s="363"/>
      <c r="L403" s="363"/>
      <c r="M403" s="363"/>
      <c r="N403" s="363"/>
      <c r="O403" s="363"/>
      <c r="P403" s="363"/>
      <c r="Q403" s="363"/>
      <c r="R403" s="363"/>
      <c r="S403" s="363"/>
      <c r="T403" s="363"/>
      <c r="U403" s="363"/>
    </row>
    <row r="404" spans="1:21" ht="18">
      <c r="A404" s="363"/>
      <c r="B404" s="363"/>
      <c r="C404" s="363"/>
      <c r="D404" s="363"/>
      <c r="E404" s="363"/>
      <c r="F404" s="363"/>
      <c r="G404" s="363"/>
      <c r="H404" s="363"/>
      <c r="I404" s="363"/>
      <c r="J404" s="363"/>
      <c r="K404" s="363"/>
      <c r="L404" s="363"/>
      <c r="M404" s="363"/>
      <c r="N404" s="363"/>
      <c r="O404" s="363"/>
      <c r="P404" s="363"/>
      <c r="Q404" s="363"/>
      <c r="R404" s="363"/>
      <c r="S404" s="363"/>
      <c r="T404" s="363"/>
      <c r="U404" s="363"/>
    </row>
    <row r="405" spans="1:21" ht="18">
      <c r="A405" s="363"/>
      <c r="B405" s="363"/>
      <c r="C405" s="363"/>
      <c r="D405" s="363"/>
      <c r="E405" s="363"/>
      <c r="F405" s="363"/>
      <c r="G405" s="363"/>
      <c r="H405" s="363"/>
      <c r="I405" s="363"/>
      <c r="J405" s="363"/>
      <c r="K405" s="363"/>
      <c r="L405" s="363"/>
      <c r="M405" s="363"/>
      <c r="N405" s="363"/>
      <c r="O405" s="363"/>
      <c r="P405" s="363"/>
      <c r="Q405" s="363"/>
      <c r="R405" s="363"/>
      <c r="S405" s="363"/>
      <c r="T405" s="363"/>
      <c r="U405" s="363"/>
    </row>
    <row r="406" spans="1:21" ht="18">
      <c r="A406" s="363"/>
      <c r="B406" s="363"/>
      <c r="C406" s="363"/>
      <c r="D406" s="363"/>
      <c r="E406" s="363"/>
      <c r="F406" s="363"/>
      <c r="G406" s="363"/>
      <c r="H406" s="363"/>
      <c r="I406" s="363"/>
      <c r="J406" s="363"/>
      <c r="K406" s="363"/>
      <c r="L406" s="363"/>
      <c r="M406" s="363"/>
      <c r="N406" s="363"/>
      <c r="O406" s="363"/>
      <c r="P406" s="363"/>
      <c r="Q406" s="363"/>
      <c r="R406" s="363"/>
      <c r="S406" s="363"/>
      <c r="T406" s="363"/>
      <c r="U406" s="363"/>
    </row>
    <row r="407" spans="1:21" ht="18">
      <c r="A407" s="363"/>
      <c r="B407" s="363"/>
      <c r="C407" s="363"/>
      <c r="D407" s="363"/>
      <c r="E407" s="363"/>
      <c r="F407" s="363"/>
      <c r="G407" s="363"/>
      <c r="H407" s="363"/>
      <c r="I407" s="363"/>
      <c r="J407" s="363"/>
      <c r="K407" s="363"/>
      <c r="L407" s="363"/>
      <c r="M407" s="363"/>
      <c r="N407" s="363"/>
      <c r="O407" s="363"/>
      <c r="P407" s="363"/>
      <c r="Q407" s="363"/>
      <c r="R407" s="363"/>
      <c r="S407" s="363"/>
      <c r="T407" s="363"/>
      <c r="U407" s="363"/>
    </row>
    <row r="408" spans="1:21" ht="18">
      <c r="A408" s="363"/>
      <c r="B408" s="363"/>
      <c r="C408" s="363"/>
      <c r="D408" s="363"/>
      <c r="E408" s="363"/>
      <c r="F408" s="363"/>
      <c r="G408" s="363"/>
      <c r="H408" s="363"/>
      <c r="I408" s="363"/>
      <c r="J408" s="363"/>
      <c r="K408" s="363"/>
      <c r="L408" s="363"/>
      <c r="M408" s="363"/>
      <c r="N408" s="363"/>
      <c r="O408" s="363"/>
      <c r="P408" s="363"/>
      <c r="Q408" s="363"/>
      <c r="R408" s="363"/>
      <c r="S408" s="363"/>
      <c r="T408" s="363"/>
      <c r="U408" s="363"/>
    </row>
    <row r="409" spans="1:21" ht="18">
      <c r="A409" s="363"/>
      <c r="B409" s="363"/>
      <c r="C409" s="363"/>
      <c r="D409" s="363"/>
      <c r="E409" s="363"/>
      <c r="F409" s="363"/>
      <c r="G409" s="363"/>
      <c r="H409" s="363"/>
      <c r="I409" s="363"/>
      <c r="J409" s="363"/>
      <c r="K409" s="363"/>
      <c r="L409" s="363"/>
      <c r="M409" s="363"/>
      <c r="N409" s="363"/>
      <c r="O409" s="363"/>
      <c r="P409" s="363"/>
      <c r="Q409" s="363"/>
      <c r="R409" s="363"/>
      <c r="S409" s="363"/>
      <c r="T409" s="363"/>
      <c r="U409" s="363"/>
    </row>
    <row r="410" spans="1:21" ht="18">
      <c r="A410" s="363"/>
      <c r="B410" s="363"/>
      <c r="C410" s="363"/>
      <c r="D410" s="363"/>
      <c r="E410" s="363"/>
      <c r="F410" s="363"/>
      <c r="G410" s="363"/>
      <c r="H410" s="363"/>
      <c r="I410" s="363"/>
      <c r="J410" s="363"/>
      <c r="K410" s="363"/>
      <c r="L410" s="363"/>
      <c r="M410" s="363"/>
      <c r="N410" s="363"/>
      <c r="O410" s="363"/>
      <c r="P410" s="363"/>
      <c r="Q410" s="363"/>
      <c r="R410" s="363"/>
      <c r="S410" s="363"/>
      <c r="T410" s="363"/>
      <c r="U410" s="363"/>
    </row>
    <row r="411" spans="1:21" ht="18">
      <c r="A411" s="363"/>
      <c r="B411" s="363"/>
      <c r="C411" s="363"/>
      <c r="D411" s="363"/>
      <c r="E411" s="363"/>
      <c r="F411" s="363"/>
      <c r="G411" s="363"/>
      <c r="H411" s="363"/>
      <c r="I411" s="363"/>
      <c r="J411" s="363"/>
      <c r="K411" s="363"/>
      <c r="L411" s="363"/>
      <c r="M411" s="363"/>
      <c r="N411" s="363"/>
      <c r="O411" s="363"/>
      <c r="P411" s="363"/>
      <c r="Q411" s="363"/>
      <c r="R411" s="363"/>
      <c r="S411" s="363"/>
      <c r="T411" s="363"/>
      <c r="U411" s="363"/>
    </row>
    <row r="412" spans="1:21" ht="18">
      <c r="A412" s="363"/>
      <c r="B412" s="363"/>
      <c r="C412" s="363"/>
      <c r="D412" s="363"/>
      <c r="E412" s="363"/>
      <c r="F412" s="363"/>
      <c r="G412" s="363"/>
      <c r="H412" s="363"/>
      <c r="I412" s="363"/>
      <c r="J412" s="363"/>
      <c r="K412" s="363"/>
      <c r="L412" s="363"/>
      <c r="M412" s="363"/>
      <c r="N412" s="363"/>
      <c r="O412" s="363"/>
      <c r="P412" s="363"/>
      <c r="Q412" s="363"/>
      <c r="R412" s="363"/>
      <c r="S412" s="363"/>
      <c r="T412" s="363"/>
      <c r="U412" s="363"/>
    </row>
    <row r="413" spans="1:21" ht="18">
      <c r="A413" s="363"/>
      <c r="B413" s="363"/>
      <c r="C413" s="363"/>
      <c r="D413" s="363"/>
      <c r="E413" s="363"/>
      <c r="F413" s="363"/>
      <c r="G413" s="363"/>
      <c r="H413" s="363"/>
      <c r="I413" s="363"/>
      <c r="J413" s="363"/>
      <c r="K413" s="363"/>
      <c r="L413" s="363"/>
      <c r="M413" s="363"/>
      <c r="N413" s="363"/>
      <c r="O413" s="363"/>
      <c r="P413" s="363"/>
      <c r="Q413" s="363"/>
      <c r="R413" s="363"/>
      <c r="S413" s="363"/>
      <c r="T413" s="363"/>
      <c r="U413" s="363"/>
    </row>
    <row r="414" spans="1:21" ht="18">
      <c r="A414" s="363"/>
      <c r="B414" s="363"/>
      <c r="C414" s="363"/>
      <c r="D414" s="363"/>
      <c r="E414" s="363"/>
      <c r="F414" s="363"/>
      <c r="G414" s="363"/>
      <c r="H414" s="363"/>
      <c r="I414" s="363"/>
      <c r="J414" s="363"/>
      <c r="K414" s="363"/>
      <c r="L414" s="363"/>
      <c r="M414" s="363"/>
      <c r="N414" s="363"/>
      <c r="O414" s="363"/>
      <c r="P414" s="363"/>
      <c r="Q414" s="363"/>
      <c r="R414" s="363"/>
      <c r="S414" s="363"/>
      <c r="T414" s="363"/>
      <c r="U414" s="363"/>
    </row>
    <row r="415" spans="1:21" ht="18">
      <c r="A415" s="363"/>
      <c r="B415" s="363"/>
      <c r="C415" s="363"/>
      <c r="D415" s="363"/>
      <c r="E415" s="363"/>
      <c r="F415" s="363"/>
      <c r="G415" s="363"/>
      <c r="H415" s="363"/>
      <c r="I415" s="363"/>
      <c r="J415" s="363"/>
      <c r="K415" s="363"/>
      <c r="L415" s="363"/>
      <c r="M415" s="363"/>
      <c r="N415" s="363"/>
      <c r="O415" s="363"/>
      <c r="P415" s="363"/>
      <c r="Q415" s="363"/>
      <c r="R415" s="363"/>
      <c r="S415" s="363"/>
      <c r="T415" s="363"/>
      <c r="U415" s="363"/>
    </row>
    <row r="416" spans="1:21" ht="18">
      <c r="A416" s="363"/>
      <c r="B416" s="363"/>
      <c r="C416" s="363"/>
      <c r="D416" s="363"/>
      <c r="E416" s="363"/>
      <c r="F416" s="363"/>
      <c r="G416" s="363"/>
      <c r="H416" s="363"/>
      <c r="I416" s="363"/>
      <c r="J416" s="363"/>
      <c r="K416" s="363"/>
      <c r="L416" s="363"/>
      <c r="M416" s="363"/>
      <c r="N416" s="363"/>
      <c r="O416" s="363"/>
      <c r="P416" s="363"/>
      <c r="Q416" s="363"/>
      <c r="R416" s="363"/>
      <c r="S416" s="363"/>
      <c r="T416" s="363"/>
      <c r="U416" s="363"/>
    </row>
    <row r="417" spans="1:21" ht="18">
      <c r="A417" s="363"/>
      <c r="B417" s="363"/>
      <c r="C417" s="363"/>
      <c r="D417" s="363"/>
      <c r="E417" s="363"/>
      <c r="F417" s="363"/>
      <c r="G417" s="363"/>
      <c r="H417" s="363"/>
      <c r="I417" s="363"/>
      <c r="J417" s="363"/>
      <c r="K417" s="363"/>
      <c r="L417" s="363"/>
      <c r="M417" s="363"/>
      <c r="N417" s="363"/>
      <c r="O417" s="363"/>
      <c r="P417" s="363"/>
      <c r="Q417" s="363"/>
      <c r="R417" s="363"/>
      <c r="S417" s="363"/>
      <c r="T417" s="363"/>
      <c r="U417" s="363"/>
    </row>
    <row r="418" spans="1:21" ht="18">
      <c r="A418" s="363"/>
      <c r="B418" s="363"/>
      <c r="C418" s="363"/>
      <c r="D418" s="363"/>
      <c r="E418" s="363"/>
      <c r="F418" s="363"/>
      <c r="G418" s="363"/>
      <c r="H418" s="363"/>
      <c r="I418" s="363"/>
      <c r="J418" s="363"/>
      <c r="K418" s="363"/>
      <c r="L418" s="363"/>
      <c r="M418" s="363"/>
      <c r="N418" s="363"/>
      <c r="O418" s="363"/>
      <c r="P418" s="363"/>
      <c r="Q418" s="363"/>
      <c r="R418" s="363"/>
      <c r="S418" s="363"/>
      <c r="T418" s="363"/>
      <c r="U418" s="363"/>
    </row>
    <row r="419" spans="1:21" ht="18">
      <c r="A419" s="363"/>
      <c r="B419" s="363"/>
      <c r="C419" s="363"/>
      <c r="D419" s="363"/>
      <c r="E419" s="363"/>
      <c r="F419" s="363"/>
      <c r="G419" s="363"/>
      <c r="H419" s="363"/>
      <c r="I419" s="363"/>
      <c r="J419" s="363"/>
      <c r="K419" s="363"/>
      <c r="L419" s="363"/>
      <c r="M419" s="363"/>
      <c r="N419" s="363"/>
      <c r="O419" s="363"/>
      <c r="P419" s="363"/>
      <c r="Q419" s="363"/>
      <c r="R419" s="363"/>
      <c r="S419" s="363"/>
      <c r="T419" s="363"/>
      <c r="U419" s="363"/>
    </row>
    <row r="420" spans="1:21" ht="18">
      <c r="A420" s="363"/>
      <c r="B420" s="363"/>
      <c r="C420" s="363"/>
      <c r="D420" s="363"/>
      <c r="E420" s="363"/>
      <c r="F420" s="363"/>
      <c r="G420" s="363"/>
      <c r="H420" s="363"/>
      <c r="I420" s="363"/>
      <c r="J420" s="363"/>
      <c r="K420" s="363"/>
      <c r="L420" s="363"/>
      <c r="M420" s="363"/>
      <c r="N420" s="363"/>
      <c r="O420" s="363"/>
      <c r="P420" s="363"/>
      <c r="Q420" s="363"/>
      <c r="R420" s="363"/>
      <c r="S420" s="363"/>
      <c r="T420" s="363"/>
      <c r="U420" s="363"/>
    </row>
    <row r="421" spans="1:21" ht="18">
      <c r="A421" s="363"/>
      <c r="B421" s="363"/>
      <c r="C421" s="363"/>
      <c r="D421" s="363"/>
      <c r="E421" s="363"/>
      <c r="F421" s="363"/>
      <c r="G421" s="363"/>
      <c r="H421" s="363"/>
      <c r="I421" s="363"/>
      <c r="J421" s="363"/>
      <c r="K421" s="363"/>
      <c r="L421" s="363"/>
      <c r="M421" s="363"/>
      <c r="N421" s="363"/>
      <c r="O421" s="363"/>
      <c r="P421" s="363"/>
      <c r="Q421" s="363"/>
      <c r="R421" s="363"/>
      <c r="S421" s="363"/>
      <c r="T421" s="363"/>
      <c r="U421" s="363"/>
    </row>
    <row r="422" spans="1:21" ht="18">
      <c r="A422" s="363"/>
      <c r="B422" s="363"/>
      <c r="C422" s="363"/>
      <c r="D422" s="363"/>
      <c r="E422" s="363"/>
      <c r="F422" s="363"/>
      <c r="G422" s="363"/>
      <c r="H422" s="363"/>
      <c r="I422" s="363"/>
      <c r="J422" s="363"/>
      <c r="K422" s="363"/>
      <c r="L422" s="363"/>
      <c r="M422" s="363"/>
      <c r="N422" s="363"/>
      <c r="O422" s="363"/>
      <c r="P422" s="363"/>
      <c r="Q422" s="363"/>
      <c r="R422" s="363"/>
      <c r="S422" s="363"/>
      <c r="T422" s="363"/>
      <c r="U422" s="363"/>
    </row>
    <row r="423" spans="1:21" ht="18">
      <c r="A423" s="363"/>
      <c r="B423" s="363"/>
      <c r="C423" s="363"/>
      <c r="D423" s="363"/>
      <c r="E423" s="363"/>
      <c r="F423" s="363"/>
      <c r="G423" s="363"/>
      <c r="H423" s="363"/>
      <c r="I423" s="363"/>
      <c r="J423" s="363"/>
      <c r="K423" s="363"/>
      <c r="L423" s="363"/>
      <c r="M423" s="363"/>
      <c r="N423" s="363"/>
      <c r="O423" s="363"/>
      <c r="P423" s="363"/>
      <c r="Q423" s="363"/>
      <c r="R423" s="363"/>
      <c r="S423" s="363"/>
      <c r="T423" s="363"/>
      <c r="U423" s="363"/>
    </row>
    <row r="424" spans="1:21" ht="18">
      <c r="A424" s="363"/>
      <c r="B424" s="363"/>
      <c r="C424" s="363"/>
      <c r="D424" s="363"/>
      <c r="E424" s="363"/>
      <c r="F424" s="363"/>
      <c r="G424" s="363"/>
      <c r="H424" s="363"/>
      <c r="I424" s="363"/>
      <c r="J424" s="363"/>
      <c r="K424" s="363"/>
      <c r="L424" s="363"/>
      <c r="M424" s="363"/>
      <c r="N424" s="363"/>
      <c r="O424" s="363"/>
      <c r="P424" s="363"/>
      <c r="Q424" s="363"/>
      <c r="R424" s="363"/>
      <c r="S424" s="363"/>
      <c r="T424" s="363"/>
      <c r="U424" s="363"/>
    </row>
    <row r="425" spans="1:21" ht="18">
      <c r="A425" s="363"/>
      <c r="B425" s="363"/>
      <c r="C425" s="363"/>
      <c r="D425" s="363"/>
      <c r="E425" s="363"/>
      <c r="F425" s="363"/>
      <c r="G425" s="363"/>
      <c r="H425" s="363"/>
      <c r="I425" s="363"/>
      <c r="J425" s="363"/>
      <c r="K425" s="363"/>
      <c r="L425" s="363"/>
      <c r="M425" s="363"/>
      <c r="N425" s="363"/>
      <c r="O425" s="363"/>
      <c r="P425" s="363"/>
      <c r="Q425" s="363"/>
      <c r="R425" s="363"/>
      <c r="S425" s="363"/>
      <c r="T425" s="363"/>
      <c r="U425" s="363"/>
    </row>
    <row r="426" spans="1:21" ht="18">
      <c r="A426" s="363"/>
      <c r="B426" s="363"/>
      <c r="C426" s="363"/>
      <c r="D426" s="363"/>
      <c r="E426" s="363"/>
      <c r="F426" s="363"/>
      <c r="G426" s="363"/>
      <c r="H426" s="363"/>
      <c r="I426" s="363"/>
      <c r="J426" s="363"/>
      <c r="K426" s="363"/>
      <c r="L426" s="363"/>
      <c r="M426" s="363"/>
      <c r="N426" s="363"/>
      <c r="O426" s="363"/>
      <c r="P426" s="363"/>
      <c r="Q426" s="363"/>
      <c r="R426" s="363"/>
      <c r="S426" s="363"/>
      <c r="T426" s="363"/>
      <c r="U426" s="363"/>
    </row>
    <row r="427" spans="1:21" ht="18">
      <c r="A427" s="363"/>
      <c r="B427" s="363"/>
      <c r="C427" s="363"/>
      <c r="D427" s="363"/>
      <c r="E427" s="363"/>
      <c r="F427" s="363"/>
      <c r="G427" s="363"/>
      <c r="H427" s="363"/>
      <c r="I427" s="363"/>
      <c r="J427" s="363"/>
      <c r="K427" s="363"/>
      <c r="L427" s="363"/>
      <c r="M427" s="363"/>
      <c r="N427" s="363"/>
      <c r="O427" s="363"/>
      <c r="P427" s="363"/>
      <c r="Q427" s="363"/>
      <c r="R427" s="363"/>
      <c r="S427" s="363"/>
      <c r="T427" s="363"/>
      <c r="U427" s="363"/>
    </row>
    <row r="428" spans="1:21" ht="18">
      <c r="A428" s="363"/>
      <c r="B428" s="363"/>
      <c r="C428" s="363"/>
      <c r="D428" s="363"/>
      <c r="E428" s="363"/>
      <c r="F428" s="363"/>
      <c r="G428" s="363"/>
      <c r="H428" s="363"/>
      <c r="I428" s="363"/>
      <c r="J428" s="363"/>
      <c r="K428" s="363"/>
      <c r="L428" s="363"/>
      <c r="M428" s="363"/>
      <c r="N428" s="363"/>
      <c r="O428" s="363"/>
      <c r="P428" s="363"/>
      <c r="Q428" s="363"/>
      <c r="R428" s="363"/>
      <c r="S428" s="363"/>
      <c r="T428" s="363"/>
      <c r="U428" s="363"/>
    </row>
    <row r="429" spans="1:21" ht="18">
      <c r="A429" s="363"/>
      <c r="B429" s="363"/>
      <c r="C429" s="363"/>
      <c r="D429" s="363"/>
      <c r="E429" s="363"/>
      <c r="F429" s="363"/>
      <c r="G429" s="363"/>
      <c r="H429" s="363"/>
      <c r="I429" s="363"/>
      <c r="J429" s="363"/>
      <c r="K429" s="363"/>
      <c r="L429" s="363"/>
      <c r="M429" s="363"/>
      <c r="N429" s="363"/>
      <c r="O429" s="363"/>
      <c r="P429" s="363"/>
      <c r="Q429" s="363"/>
      <c r="R429" s="363"/>
      <c r="S429" s="363"/>
      <c r="T429" s="363"/>
      <c r="U429" s="363"/>
    </row>
    <row r="430" spans="1:21" ht="18">
      <c r="A430" s="363"/>
      <c r="B430" s="363"/>
      <c r="C430" s="363"/>
      <c r="D430" s="363"/>
      <c r="E430" s="363"/>
      <c r="F430" s="363"/>
      <c r="G430" s="363"/>
      <c r="H430" s="363"/>
      <c r="I430" s="363"/>
      <c r="J430" s="363"/>
      <c r="K430" s="363"/>
      <c r="L430" s="363"/>
      <c r="M430" s="363"/>
      <c r="N430" s="363"/>
      <c r="O430" s="363"/>
      <c r="P430" s="363"/>
      <c r="Q430" s="363"/>
      <c r="R430" s="363"/>
      <c r="S430" s="363"/>
      <c r="T430" s="363"/>
      <c r="U430" s="363"/>
    </row>
    <row r="431" spans="1:21" ht="18">
      <c r="A431" s="363"/>
      <c r="B431" s="363"/>
      <c r="C431" s="363"/>
      <c r="D431" s="363"/>
      <c r="E431" s="363"/>
      <c r="F431" s="363"/>
      <c r="G431" s="363"/>
      <c r="H431" s="363"/>
      <c r="I431" s="363"/>
      <c r="J431" s="363"/>
      <c r="K431" s="363"/>
      <c r="L431" s="363"/>
      <c r="M431" s="363"/>
      <c r="N431" s="363"/>
      <c r="O431" s="363"/>
      <c r="P431" s="363"/>
      <c r="Q431" s="363"/>
      <c r="R431" s="363"/>
      <c r="S431" s="363"/>
      <c r="T431" s="363"/>
      <c r="U431" s="363"/>
    </row>
    <row r="432" spans="1:21" ht="18">
      <c r="A432" s="363"/>
      <c r="B432" s="363"/>
      <c r="C432" s="363"/>
      <c r="D432" s="363"/>
      <c r="E432" s="363"/>
      <c r="F432" s="363"/>
      <c r="G432" s="363"/>
      <c r="H432" s="363"/>
      <c r="I432" s="363"/>
      <c r="J432" s="363"/>
      <c r="K432" s="363"/>
      <c r="L432" s="363"/>
      <c r="M432" s="363"/>
      <c r="N432" s="363"/>
      <c r="O432" s="363"/>
      <c r="P432" s="363"/>
      <c r="Q432" s="363"/>
      <c r="R432" s="363"/>
      <c r="S432" s="363"/>
      <c r="T432" s="363"/>
      <c r="U432" s="363"/>
    </row>
    <row r="433" spans="1:21" ht="18">
      <c r="A433" s="363"/>
      <c r="B433" s="363"/>
      <c r="C433" s="363"/>
      <c r="D433" s="363"/>
      <c r="E433" s="363"/>
      <c r="F433" s="363"/>
      <c r="G433" s="363"/>
      <c r="H433" s="363"/>
      <c r="I433" s="363"/>
      <c r="J433" s="363"/>
      <c r="K433" s="363"/>
      <c r="L433" s="363"/>
      <c r="M433" s="363"/>
      <c r="N433" s="363"/>
      <c r="O433" s="363"/>
      <c r="P433" s="363"/>
      <c r="Q433" s="363"/>
      <c r="R433" s="363"/>
      <c r="S433" s="363"/>
      <c r="T433" s="363"/>
      <c r="U433" s="363"/>
    </row>
    <row r="434" spans="1:21" ht="18">
      <c r="A434" s="363"/>
      <c r="B434" s="363"/>
      <c r="C434" s="363"/>
      <c r="D434" s="363"/>
      <c r="E434" s="363"/>
      <c r="F434" s="363"/>
      <c r="G434" s="363"/>
      <c r="H434" s="363"/>
      <c r="I434" s="363"/>
      <c r="J434" s="363"/>
      <c r="K434" s="363"/>
      <c r="L434" s="363"/>
      <c r="M434" s="363"/>
      <c r="N434" s="363"/>
      <c r="O434" s="363"/>
      <c r="P434" s="363"/>
      <c r="Q434" s="363"/>
      <c r="R434" s="363"/>
      <c r="S434" s="363"/>
      <c r="T434" s="363"/>
      <c r="U434" s="363"/>
    </row>
    <row r="435" spans="1:21" ht="18">
      <c r="A435" s="363"/>
      <c r="B435" s="363"/>
      <c r="C435" s="363"/>
      <c r="D435" s="363"/>
      <c r="E435" s="363"/>
      <c r="F435" s="363"/>
      <c r="G435" s="363"/>
      <c r="H435" s="363"/>
      <c r="I435" s="363"/>
      <c r="J435" s="363"/>
      <c r="K435" s="363"/>
      <c r="L435" s="363"/>
      <c r="M435" s="363"/>
      <c r="N435" s="363"/>
      <c r="O435" s="363"/>
      <c r="P435" s="363"/>
      <c r="Q435" s="363"/>
      <c r="R435" s="363"/>
      <c r="S435" s="363"/>
      <c r="T435" s="363"/>
      <c r="U435" s="363"/>
    </row>
    <row r="436" spans="1:21" ht="18">
      <c r="A436" s="363"/>
      <c r="B436" s="363"/>
      <c r="C436" s="363"/>
      <c r="D436" s="363"/>
      <c r="E436" s="363"/>
      <c r="F436" s="363"/>
      <c r="G436" s="363"/>
      <c r="H436" s="363"/>
      <c r="I436" s="363"/>
      <c r="J436" s="363"/>
      <c r="K436" s="363"/>
      <c r="L436" s="363"/>
      <c r="M436" s="363"/>
      <c r="N436" s="363"/>
      <c r="O436" s="363"/>
      <c r="P436" s="363"/>
      <c r="Q436" s="363"/>
      <c r="R436" s="363"/>
      <c r="S436" s="363"/>
      <c r="T436" s="363"/>
      <c r="U436" s="363"/>
    </row>
    <row r="437" spans="1:21" ht="18">
      <c r="A437" s="363"/>
      <c r="B437" s="363"/>
      <c r="C437" s="363"/>
      <c r="D437" s="363"/>
      <c r="E437" s="363"/>
      <c r="F437" s="363"/>
      <c r="G437" s="363"/>
      <c r="H437" s="363"/>
      <c r="I437" s="363"/>
      <c r="J437" s="363"/>
      <c r="K437" s="363"/>
      <c r="L437" s="363"/>
      <c r="M437" s="363"/>
      <c r="N437" s="363"/>
      <c r="O437" s="363"/>
      <c r="P437" s="363"/>
      <c r="Q437" s="363"/>
      <c r="R437" s="363"/>
      <c r="S437" s="363"/>
      <c r="T437" s="363"/>
      <c r="U437" s="363"/>
    </row>
    <row r="438" spans="1:21" ht="18">
      <c r="A438" s="363"/>
      <c r="B438" s="363"/>
      <c r="C438" s="363"/>
      <c r="D438" s="363"/>
      <c r="E438" s="363"/>
      <c r="F438" s="363"/>
      <c r="G438" s="363"/>
      <c r="H438" s="363"/>
      <c r="I438" s="363"/>
      <c r="J438" s="363"/>
      <c r="K438" s="363"/>
      <c r="L438" s="363"/>
      <c r="M438" s="363"/>
      <c r="N438" s="363"/>
      <c r="O438" s="363"/>
      <c r="P438" s="363"/>
      <c r="Q438" s="363"/>
      <c r="R438" s="363"/>
      <c r="S438" s="363"/>
      <c r="T438" s="363"/>
      <c r="U438" s="363"/>
    </row>
    <row r="439" spans="1:21" ht="18">
      <c r="A439" s="363"/>
      <c r="B439" s="363"/>
      <c r="C439" s="363"/>
      <c r="D439" s="363"/>
      <c r="E439" s="363"/>
      <c r="F439" s="363"/>
      <c r="G439" s="363"/>
      <c r="H439" s="363"/>
      <c r="I439" s="363"/>
      <c r="J439" s="363"/>
      <c r="K439" s="363"/>
      <c r="L439" s="363"/>
      <c r="M439" s="363"/>
      <c r="N439" s="363"/>
      <c r="O439" s="363"/>
      <c r="P439" s="363"/>
      <c r="Q439" s="363"/>
      <c r="R439" s="363"/>
      <c r="S439" s="363"/>
      <c r="T439" s="363"/>
      <c r="U439" s="363"/>
    </row>
    <row r="440" spans="1:21" ht="18">
      <c r="A440" s="363"/>
      <c r="B440" s="363"/>
      <c r="C440" s="363"/>
      <c r="D440" s="363"/>
      <c r="E440" s="363"/>
      <c r="F440" s="363"/>
      <c r="G440" s="363"/>
      <c r="H440" s="363"/>
      <c r="I440" s="363"/>
      <c r="J440" s="363"/>
      <c r="K440" s="363"/>
      <c r="L440" s="363"/>
      <c r="M440" s="363"/>
      <c r="N440" s="363"/>
      <c r="O440" s="363"/>
      <c r="P440" s="363"/>
      <c r="Q440" s="363"/>
      <c r="R440" s="363"/>
      <c r="S440" s="363"/>
      <c r="T440" s="363"/>
      <c r="U440" s="363"/>
    </row>
    <row r="441" spans="1:21" ht="18">
      <c r="A441" s="363"/>
      <c r="B441" s="363"/>
      <c r="C441" s="363"/>
      <c r="D441" s="363"/>
      <c r="E441" s="363"/>
      <c r="F441" s="363"/>
      <c r="G441" s="363"/>
      <c r="H441" s="363"/>
      <c r="I441" s="363"/>
      <c r="J441" s="363"/>
      <c r="K441" s="363"/>
      <c r="L441" s="363"/>
      <c r="M441" s="363"/>
      <c r="N441" s="363"/>
      <c r="O441" s="363"/>
      <c r="P441" s="363"/>
      <c r="Q441" s="363"/>
      <c r="R441" s="363"/>
      <c r="S441" s="363"/>
      <c r="T441" s="363"/>
      <c r="U441" s="363"/>
    </row>
    <row r="442" spans="1:21" ht="18">
      <c r="A442" s="363"/>
      <c r="B442" s="363"/>
      <c r="C442" s="363"/>
      <c r="D442" s="363"/>
      <c r="E442" s="363"/>
      <c r="F442" s="363"/>
      <c r="G442" s="363"/>
      <c r="H442" s="363"/>
      <c r="I442" s="363"/>
      <c r="J442" s="363"/>
      <c r="K442" s="363"/>
      <c r="L442" s="363"/>
      <c r="M442" s="363"/>
      <c r="N442" s="363"/>
      <c r="O442" s="363"/>
      <c r="P442" s="363"/>
      <c r="Q442" s="363"/>
      <c r="R442" s="363"/>
      <c r="S442" s="363"/>
      <c r="T442" s="363"/>
      <c r="U442" s="363"/>
    </row>
    <row r="443" spans="1:21" ht="18">
      <c r="A443" s="363"/>
      <c r="B443" s="363"/>
      <c r="C443" s="363"/>
      <c r="D443" s="363"/>
      <c r="E443" s="363"/>
      <c r="F443" s="363"/>
      <c r="G443" s="363"/>
      <c r="H443" s="363"/>
      <c r="I443" s="363"/>
      <c r="J443" s="363"/>
      <c r="K443" s="363"/>
      <c r="L443" s="363"/>
      <c r="M443" s="363"/>
      <c r="N443" s="363"/>
      <c r="O443" s="363"/>
      <c r="P443" s="363"/>
      <c r="Q443" s="363"/>
      <c r="R443" s="363"/>
      <c r="S443" s="363"/>
      <c r="T443" s="363"/>
      <c r="U443" s="363"/>
    </row>
    <row r="444" spans="1:21" ht="18">
      <c r="A444" s="363"/>
      <c r="B444" s="363"/>
      <c r="C444" s="363"/>
      <c r="D444" s="363"/>
      <c r="E444" s="363"/>
      <c r="F444" s="363"/>
      <c r="G444" s="363"/>
      <c r="H444" s="363"/>
      <c r="I444" s="363"/>
      <c r="J444" s="363"/>
      <c r="K444" s="363"/>
      <c r="L444" s="363"/>
      <c r="M444" s="363"/>
      <c r="N444" s="363"/>
      <c r="O444" s="363"/>
      <c r="P444" s="363"/>
      <c r="Q444" s="363"/>
      <c r="R444" s="363"/>
      <c r="S444" s="363"/>
      <c r="T444" s="363"/>
      <c r="U444" s="363"/>
    </row>
    <row r="445" spans="1:21" ht="18">
      <c r="A445" s="363"/>
      <c r="B445" s="363"/>
      <c r="C445" s="363"/>
      <c r="D445" s="363"/>
      <c r="E445" s="363"/>
      <c r="F445" s="363"/>
      <c r="G445" s="363"/>
      <c r="H445" s="363"/>
      <c r="I445" s="363"/>
      <c r="J445" s="363"/>
      <c r="K445" s="363"/>
      <c r="L445" s="363"/>
      <c r="M445" s="363"/>
      <c r="N445" s="363"/>
      <c r="O445" s="363"/>
      <c r="P445" s="363"/>
      <c r="Q445" s="363"/>
      <c r="R445" s="363"/>
      <c r="S445" s="363"/>
      <c r="T445" s="363"/>
      <c r="U445" s="363"/>
    </row>
    <row r="446" spans="1:21" ht="18">
      <c r="A446" s="363"/>
      <c r="B446" s="363"/>
      <c r="C446" s="363"/>
      <c r="D446" s="363"/>
      <c r="E446" s="363"/>
      <c r="F446" s="363"/>
      <c r="G446" s="363"/>
      <c r="H446" s="363"/>
      <c r="I446" s="363"/>
      <c r="J446" s="363"/>
      <c r="K446" s="363"/>
      <c r="L446" s="363"/>
      <c r="M446" s="363"/>
      <c r="N446" s="363"/>
      <c r="O446" s="363"/>
      <c r="P446" s="363"/>
      <c r="Q446" s="363"/>
      <c r="R446" s="363"/>
      <c r="S446" s="363"/>
      <c r="T446" s="363"/>
      <c r="U446" s="363"/>
    </row>
    <row r="447" spans="1:21" ht="18">
      <c r="A447" s="363"/>
      <c r="B447" s="363"/>
      <c r="C447" s="363"/>
      <c r="D447" s="363"/>
      <c r="E447" s="363"/>
      <c r="F447" s="363"/>
      <c r="G447" s="363"/>
      <c r="H447" s="363"/>
      <c r="I447" s="363"/>
      <c r="J447" s="363"/>
      <c r="K447" s="363"/>
      <c r="L447" s="363"/>
      <c r="M447" s="363"/>
      <c r="N447" s="363"/>
      <c r="O447" s="363"/>
      <c r="P447" s="363"/>
      <c r="Q447" s="363"/>
      <c r="R447" s="363"/>
      <c r="S447" s="363"/>
      <c r="T447" s="363"/>
      <c r="U447" s="363"/>
    </row>
    <row r="448" spans="1:21" ht="18">
      <c r="A448" s="363"/>
      <c r="B448" s="363"/>
      <c r="C448" s="363"/>
      <c r="D448" s="363"/>
      <c r="E448" s="363"/>
      <c r="F448" s="363"/>
      <c r="G448" s="363"/>
      <c r="H448" s="363"/>
      <c r="I448" s="363"/>
      <c r="J448" s="363"/>
      <c r="K448" s="363"/>
      <c r="L448" s="363"/>
      <c r="M448" s="363"/>
      <c r="N448" s="363"/>
      <c r="O448" s="363"/>
      <c r="P448" s="363"/>
      <c r="Q448" s="363"/>
      <c r="R448" s="363"/>
      <c r="S448" s="363"/>
      <c r="T448" s="363"/>
      <c r="U448" s="363"/>
    </row>
    <row r="449" spans="1:21" ht="18">
      <c r="A449" s="363"/>
      <c r="B449" s="363"/>
      <c r="C449" s="363"/>
      <c r="D449" s="363"/>
      <c r="E449" s="363"/>
      <c r="F449" s="363"/>
      <c r="G449" s="363"/>
      <c r="H449" s="363"/>
      <c r="I449" s="363"/>
      <c r="J449" s="363"/>
      <c r="K449" s="363"/>
      <c r="L449" s="363"/>
      <c r="M449" s="363"/>
      <c r="N449" s="363"/>
      <c r="O449" s="363"/>
      <c r="P449" s="363"/>
      <c r="Q449" s="363"/>
      <c r="R449" s="363"/>
      <c r="S449" s="363"/>
      <c r="T449" s="363"/>
      <c r="U449" s="363"/>
    </row>
    <row r="450" spans="1:21" ht="18">
      <c r="A450" s="363"/>
      <c r="B450" s="363"/>
      <c r="C450" s="363"/>
      <c r="D450" s="363"/>
      <c r="E450" s="363"/>
      <c r="F450" s="363"/>
      <c r="G450" s="363"/>
      <c r="H450" s="363"/>
      <c r="I450" s="363"/>
      <c r="J450" s="363"/>
      <c r="K450" s="363"/>
      <c r="L450" s="363"/>
      <c r="M450" s="363"/>
      <c r="N450" s="363"/>
      <c r="O450" s="363"/>
      <c r="P450" s="363"/>
      <c r="Q450" s="363"/>
      <c r="R450" s="363"/>
      <c r="S450" s="363"/>
      <c r="T450" s="363"/>
      <c r="U450" s="363"/>
    </row>
    <row r="451" spans="1:21" ht="18">
      <c r="A451" s="363"/>
      <c r="B451" s="363"/>
      <c r="C451" s="363"/>
      <c r="D451" s="363"/>
      <c r="E451" s="363"/>
      <c r="F451" s="363"/>
      <c r="G451" s="363"/>
      <c r="H451" s="363"/>
      <c r="I451" s="363"/>
      <c r="J451" s="363"/>
      <c r="K451" s="363"/>
      <c r="L451" s="363"/>
      <c r="M451" s="363"/>
      <c r="N451" s="363"/>
      <c r="O451" s="363"/>
      <c r="P451" s="363"/>
      <c r="Q451" s="363"/>
      <c r="R451" s="363"/>
      <c r="S451" s="363"/>
      <c r="T451" s="363"/>
      <c r="U451" s="363"/>
    </row>
    <row r="452" spans="1:21" ht="18">
      <c r="A452" s="363"/>
      <c r="B452" s="363"/>
      <c r="C452" s="363"/>
      <c r="D452" s="363"/>
      <c r="E452" s="363"/>
      <c r="F452" s="363"/>
      <c r="G452" s="363"/>
      <c r="H452" s="363"/>
      <c r="I452" s="363"/>
      <c r="J452" s="363"/>
      <c r="K452" s="363"/>
      <c r="L452" s="363"/>
      <c r="M452" s="363"/>
      <c r="N452" s="363"/>
      <c r="O452" s="363"/>
      <c r="P452" s="363"/>
      <c r="Q452" s="363"/>
      <c r="R452" s="363"/>
      <c r="S452" s="363"/>
      <c r="T452" s="363"/>
      <c r="U452" s="363"/>
    </row>
    <row r="453" spans="1:21" ht="18">
      <c r="A453" s="363"/>
      <c r="B453" s="363"/>
      <c r="C453" s="363"/>
      <c r="D453" s="363"/>
      <c r="E453" s="363"/>
      <c r="F453" s="363"/>
      <c r="G453" s="363"/>
      <c r="H453" s="363"/>
      <c r="I453" s="363"/>
      <c r="J453" s="363"/>
      <c r="K453" s="363"/>
      <c r="L453" s="363"/>
      <c r="M453" s="363"/>
      <c r="N453" s="363"/>
      <c r="O453" s="363"/>
      <c r="P453" s="363"/>
      <c r="Q453" s="363"/>
      <c r="R453" s="363"/>
      <c r="S453" s="363"/>
      <c r="T453" s="363"/>
      <c r="U453" s="363"/>
    </row>
    <row r="454" spans="1:21" ht="18">
      <c r="A454" s="363"/>
      <c r="B454" s="363"/>
      <c r="C454" s="363"/>
      <c r="D454" s="363"/>
      <c r="E454" s="363"/>
      <c r="F454" s="363"/>
      <c r="G454" s="363"/>
      <c r="H454" s="363"/>
      <c r="I454" s="363"/>
      <c r="J454" s="363"/>
      <c r="K454" s="363"/>
      <c r="L454" s="363"/>
      <c r="M454" s="363"/>
      <c r="N454" s="363"/>
      <c r="O454" s="363"/>
      <c r="P454" s="363"/>
      <c r="Q454" s="363"/>
      <c r="R454" s="363"/>
      <c r="S454" s="363"/>
      <c r="T454" s="363"/>
      <c r="U454" s="363"/>
    </row>
    <row r="455" spans="1:21" ht="18">
      <c r="A455" s="363"/>
      <c r="B455" s="363"/>
      <c r="C455" s="363"/>
      <c r="D455" s="363"/>
      <c r="E455" s="363"/>
      <c r="F455" s="363"/>
      <c r="G455" s="363"/>
      <c r="H455" s="363"/>
      <c r="I455" s="363"/>
      <c r="J455" s="363"/>
      <c r="K455" s="363"/>
      <c r="L455" s="363"/>
      <c r="M455" s="363"/>
      <c r="N455" s="363"/>
      <c r="O455" s="363"/>
      <c r="P455" s="363"/>
      <c r="Q455" s="363"/>
      <c r="R455" s="363"/>
      <c r="S455" s="363"/>
      <c r="T455" s="363"/>
      <c r="U455" s="363"/>
    </row>
    <row r="456" spans="1:21" ht="18">
      <c r="A456" s="363"/>
      <c r="B456" s="363"/>
      <c r="C456" s="363"/>
      <c r="D456" s="363"/>
      <c r="E456" s="363"/>
      <c r="F456" s="363"/>
      <c r="G456" s="363"/>
      <c r="H456" s="363"/>
      <c r="I456" s="363"/>
      <c r="J456" s="363"/>
      <c r="K456" s="363"/>
      <c r="L456" s="363"/>
      <c r="M456" s="363"/>
      <c r="N456" s="363"/>
      <c r="O456" s="363"/>
      <c r="P456" s="363"/>
      <c r="Q456" s="363"/>
      <c r="R456" s="363"/>
      <c r="S456" s="363"/>
      <c r="T456" s="363"/>
      <c r="U456" s="363"/>
    </row>
    <row r="457" spans="1:21" ht="18">
      <c r="A457" s="363"/>
      <c r="B457" s="363"/>
      <c r="C457" s="363"/>
      <c r="D457" s="363"/>
      <c r="E457" s="363"/>
      <c r="F457" s="363"/>
      <c r="G457" s="363"/>
      <c r="H457" s="363"/>
      <c r="I457" s="363"/>
      <c r="J457" s="363"/>
      <c r="K457" s="363"/>
      <c r="L457" s="363"/>
      <c r="M457" s="363"/>
      <c r="N457" s="363"/>
      <c r="O457" s="363"/>
      <c r="P457" s="363"/>
      <c r="Q457" s="363"/>
      <c r="R457" s="363"/>
      <c r="S457" s="363"/>
      <c r="T457" s="363"/>
      <c r="U457" s="363"/>
    </row>
    <row r="458" spans="1:21" ht="18">
      <c r="A458" s="363"/>
      <c r="B458" s="363"/>
      <c r="C458" s="363"/>
      <c r="D458" s="363"/>
      <c r="E458" s="363"/>
      <c r="F458" s="363"/>
      <c r="G458" s="363"/>
      <c r="H458" s="363"/>
      <c r="I458" s="363"/>
      <c r="J458" s="363"/>
      <c r="K458" s="363"/>
      <c r="L458" s="363"/>
      <c r="M458" s="363"/>
      <c r="N458" s="363"/>
      <c r="O458" s="363"/>
      <c r="P458" s="363"/>
      <c r="Q458" s="363"/>
      <c r="R458" s="363"/>
      <c r="S458" s="363"/>
      <c r="T458" s="363"/>
      <c r="U458" s="363"/>
    </row>
    <row r="459" spans="1:21" ht="18">
      <c r="A459" s="363"/>
      <c r="B459" s="363"/>
      <c r="C459" s="363"/>
      <c r="D459" s="363"/>
      <c r="E459" s="363"/>
      <c r="F459" s="363"/>
      <c r="G459" s="363"/>
      <c r="H459" s="363"/>
      <c r="I459" s="363"/>
      <c r="J459" s="363"/>
      <c r="K459" s="363"/>
      <c r="L459" s="363"/>
      <c r="M459" s="363"/>
      <c r="N459" s="363"/>
      <c r="O459" s="363"/>
      <c r="P459" s="363"/>
      <c r="Q459" s="363"/>
      <c r="R459" s="363"/>
      <c r="S459" s="363"/>
      <c r="T459" s="363"/>
      <c r="U459" s="363"/>
    </row>
    <row r="460" spans="1:21" ht="18">
      <c r="A460" s="363"/>
      <c r="B460" s="363"/>
      <c r="C460" s="363"/>
      <c r="D460" s="363"/>
      <c r="E460" s="363"/>
      <c r="F460" s="363"/>
      <c r="G460" s="363"/>
      <c r="H460" s="363"/>
      <c r="I460" s="363"/>
      <c r="J460" s="363"/>
      <c r="K460" s="363"/>
      <c r="L460" s="363"/>
      <c r="M460" s="363"/>
      <c r="N460" s="363"/>
      <c r="O460" s="363"/>
      <c r="P460" s="363"/>
      <c r="Q460" s="363"/>
      <c r="R460" s="363"/>
      <c r="S460" s="363"/>
      <c r="T460" s="363"/>
      <c r="U460" s="363"/>
    </row>
    <row r="461" spans="1:21" ht="18">
      <c r="A461" s="363"/>
      <c r="B461" s="363"/>
      <c r="C461" s="363"/>
      <c r="D461" s="363"/>
      <c r="E461" s="363"/>
      <c r="F461" s="363"/>
      <c r="G461" s="363"/>
      <c r="H461" s="363"/>
      <c r="I461" s="363"/>
      <c r="J461" s="363"/>
      <c r="K461" s="363"/>
      <c r="L461" s="363"/>
      <c r="M461" s="363"/>
      <c r="N461" s="363"/>
      <c r="O461" s="363"/>
      <c r="P461" s="363"/>
      <c r="Q461" s="363"/>
      <c r="R461" s="363"/>
      <c r="S461" s="363"/>
      <c r="T461" s="363"/>
      <c r="U461" s="363"/>
    </row>
    <row r="462" spans="1:21" ht="18">
      <c r="A462" s="363"/>
      <c r="B462" s="363"/>
      <c r="C462" s="363"/>
      <c r="D462" s="363"/>
      <c r="E462" s="363"/>
      <c r="F462" s="363"/>
      <c r="G462" s="363"/>
      <c r="H462" s="363"/>
      <c r="I462" s="363"/>
      <c r="J462" s="363"/>
      <c r="K462" s="363"/>
      <c r="L462" s="363"/>
      <c r="M462" s="363"/>
      <c r="N462" s="363"/>
      <c r="O462" s="363"/>
      <c r="P462" s="363"/>
      <c r="Q462" s="363"/>
      <c r="R462" s="363"/>
      <c r="S462" s="363"/>
      <c r="T462" s="363"/>
      <c r="U462" s="363"/>
    </row>
    <row r="463" spans="1:21" ht="18">
      <c r="A463" s="363"/>
      <c r="B463" s="363"/>
      <c r="C463" s="363"/>
      <c r="D463" s="363"/>
      <c r="E463" s="363"/>
      <c r="F463" s="363"/>
      <c r="G463" s="363"/>
      <c r="H463" s="363"/>
      <c r="I463" s="363"/>
      <c r="J463" s="363"/>
      <c r="K463" s="363"/>
      <c r="L463" s="363"/>
      <c r="M463" s="363"/>
      <c r="N463" s="363"/>
      <c r="O463" s="363"/>
      <c r="P463" s="363"/>
      <c r="Q463" s="363"/>
      <c r="R463" s="363"/>
      <c r="S463" s="363"/>
      <c r="T463" s="363"/>
      <c r="U463" s="363"/>
    </row>
    <row r="464" spans="1:21" ht="18">
      <c r="A464" s="363"/>
      <c r="B464" s="363"/>
      <c r="C464" s="363"/>
      <c r="D464" s="363"/>
      <c r="E464" s="363"/>
      <c r="F464" s="363"/>
      <c r="G464" s="363"/>
      <c r="H464" s="363"/>
      <c r="I464" s="363"/>
      <c r="J464" s="363"/>
      <c r="K464" s="363"/>
      <c r="L464" s="363"/>
      <c r="M464" s="363"/>
      <c r="N464" s="363"/>
      <c r="O464" s="363"/>
      <c r="P464" s="363"/>
      <c r="Q464" s="363"/>
      <c r="R464" s="363"/>
      <c r="S464" s="363"/>
      <c r="T464" s="363"/>
      <c r="U464" s="363"/>
    </row>
    <row r="465" spans="1:21" ht="18">
      <c r="A465" s="363"/>
      <c r="B465" s="363"/>
      <c r="C465" s="363"/>
      <c r="D465" s="363"/>
      <c r="E465" s="363"/>
      <c r="F465" s="363"/>
      <c r="G465" s="363"/>
      <c r="H465" s="363"/>
      <c r="I465" s="363"/>
      <c r="J465" s="363"/>
      <c r="K465" s="363"/>
      <c r="L465" s="363"/>
      <c r="M465" s="363"/>
      <c r="N465" s="363"/>
      <c r="O465" s="363"/>
      <c r="P465" s="363"/>
      <c r="Q465" s="363"/>
      <c r="R465" s="363"/>
      <c r="S465" s="363"/>
      <c r="T465" s="363"/>
      <c r="U465" s="363"/>
    </row>
    <row r="466" spans="1:21" ht="18">
      <c r="A466" s="363"/>
      <c r="B466" s="363"/>
      <c r="C466" s="363"/>
      <c r="D466" s="363"/>
      <c r="E466" s="363"/>
      <c r="F466" s="363"/>
      <c r="G466" s="363"/>
      <c r="H466" s="363"/>
      <c r="I466" s="363"/>
      <c r="J466" s="363"/>
      <c r="K466" s="363"/>
      <c r="L466" s="363"/>
      <c r="M466" s="363"/>
      <c r="N466" s="363"/>
      <c r="O466" s="363"/>
      <c r="P466" s="363"/>
      <c r="Q466" s="363"/>
      <c r="R466" s="363"/>
      <c r="S466" s="363"/>
      <c r="T466" s="363"/>
      <c r="U466" s="363"/>
    </row>
    <row r="467" spans="1:21" ht="18">
      <c r="A467" s="363"/>
      <c r="B467" s="363"/>
      <c r="C467" s="363"/>
      <c r="D467" s="363"/>
      <c r="E467" s="363"/>
      <c r="F467" s="363"/>
      <c r="G467" s="363"/>
      <c r="H467" s="363"/>
      <c r="I467" s="363"/>
      <c r="J467" s="363"/>
      <c r="K467" s="363"/>
      <c r="L467" s="363"/>
      <c r="M467" s="363"/>
      <c r="N467" s="363"/>
      <c r="O467" s="363"/>
      <c r="P467" s="363"/>
      <c r="Q467" s="363"/>
      <c r="R467" s="363"/>
      <c r="S467" s="363"/>
      <c r="T467" s="363"/>
      <c r="U467" s="363"/>
    </row>
    <row r="468" spans="1:21" ht="18">
      <c r="A468" s="363"/>
      <c r="B468" s="363"/>
      <c r="C468" s="363"/>
      <c r="D468" s="363"/>
      <c r="E468" s="363"/>
      <c r="F468" s="363"/>
      <c r="G468" s="363"/>
      <c r="H468" s="363"/>
      <c r="I468" s="363"/>
      <c r="J468" s="363"/>
      <c r="K468" s="363"/>
      <c r="L468" s="363"/>
      <c r="M468" s="363"/>
      <c r="N468" s="363"/>
      <c r="O468" s="363"/>
      <c r="P468" s="363"/>
      <c r="Q468" s="363"/>
      <c r="R468" s="363"/>
      <c r="S468" s="363"/>
      <c r="T468" s="363"/>
      <c r="U468" s="363"/>
    </row>
    <row r="469" spans="1:21" ht="18">
      <c r="A469" s="363"/>
      <c r="B469" s="363"/>
      <c r="C469" s="363"/>
      <c r="D469" s="363"/>
      <c r="E469" s="363"/>
      <c r="F469" s="363"/>
      <c r="G469" s="363"/>
      <c r="H469" s="363"/>
      <c r="I469" s="363"/>
      <c r="J469" s="363"/>
      <c r="K469" s="363"/>
      <c r="L469" s="363"/>
      <c r="M469" s="363"/>
      <c r="N469" s="363"/>
      <c r="O469" s="363"/>
      <c r="P469" s="363"/>
      <c r="Q469" s="363"/>
      <c r="R469" s="363"/>
      <c r="S469" s="363"/>
      <c r="T469" s="363"/>
      <c r="U469" s="363"/>
    </row>
    <row r="470" spans="1:21" ht="18">
      <c r="A470" s="363"/>
      <c r="B470" s="363"/>
      <c r="C470" s="363"/>
      <c r="D470" s="363"/>
      <c r="E470" s="363"/>
      <c r="F470" s="363"/>
      <c r="G470" s="363"/>
      <c r="H470" s="363"/>
      <c r="I470" s="363"/>
      <c r="J470" s="363"/>
      <c r="K470" s="363"/>
      <c r="L470" s="363"/>
      <c r="M470" s="363"/>
      <c r="N470" s="363"/>
      <c r="O470" s="363"/>
      <c r="P470" s="363"/>
      <c r="Q470" s="363"/>
      <c r="R470" s="363"/>
      <c r="S470" s="363"/>
      <c r="T470" s="363"/>
      <c r="U470" s="363"/>
    </row>
    <row r="471" spans="1:21" ht="18">
      <c r="A471" s="363"/>
      <c r="B471" s="363"/>
      <c r="C471" s="363"/>
      <c r="D471" s="363"/>
      <c r="E471" s="363"/>
      <c r="F471" s="363"/>
      <c r="G471" s="363"/>
      <c r="H471" s="363"/>
      <c r="I471" s="363"/>
      <c r="J471" s="363"/>
      <c r="K471" s="363"/>
      <c r="L471" s="363"/>
      <c r="M471" s="363"/>
      <c r="N471" s="363"/>
      <c r="O471" s="363"/>
      <c r="P471" s="363"/>
      <c r="Q471" s="363"/>
      <c r="R471" s="363"/>
      <c r="S471" s="363"/>
      <c r="T471" s="363"/>
      <c r="U471" s="363"/>
    </row>
    <row r="472" spans="1:21" ht="18">
      <c r="A472" s="363"/>
      <c r="B472" s="363"/>
      <c r="C472" s="363"/>
      <c r="D472" s="363"/>
      <c r="E472" s="363"/>
      <c r="F472" s="363"/>
      <c r="G472" s="363"/>
      <c r="H472" s="363"/>
      <c r="I472" s="363"/>
      <c r="J472" s="363"/>
      <c r="K472" s="363"/>
      <c r="L472" s="363"/>
      <c r="M472" s="363"/>
      <c r="N472" s="363"/>
      <c r="O472" s="363"/>
      <c r="P472" s="363"/>
      <c r="Q472" s="363"/>
      <c r="R472" s="363"/>
      <c r="S472" s="363"/>
      <c r="T472" s="363"/>
      <c r="U472" s="363"/>
    </row>
    <row r="473" spans="1:21" ht="18">
      <c r="A473" s="363"/>
      <c r="B473" s="363"/>
      <c r="C473" s="363"/>
      <c r="D473" s="363"/>
      <c r="E473" s="363"/>
      <c r="F473" s="363"/>
      <c r="G473" s="363"/>
      <c r="H473" s="363"/>
      <c r="I473" s="363"/>
      <c r="J473" s="363"/>
      <c r="K473" s="363"/>
      <c r="L473" s="363"/>
      <c r="M473" s="363"/>
      <c r="N473" s="363"/>
      <c r="O473" s="363"/>
      <c r="P473" s="363"/>
      <c r="Q473" s="363"/>
      <c r="R473" s="363"/>
      <c r="S473" s="363"/>
      <c r="T473" s="363"/>
      <c r="U473" s="363"/>
    </row>
    <row r="474" spans="1:21" ht="18">
      <c r="A474" s="363"/>
      <c r="B474" s="363"/>
      <c r="C474" s="363"/>
      <c r="D474" s="363"/>
      <c r="E474" s="363"/>
      <c r="F474" s="363"/>
      <c r="G474" s="363"/>
      <c r="H474" s="363"/>
      <c r="I474" s="363"/>
      <c r="J474" s="363"/>
      <c r="K474" s="363"/>
      <c r="L474" s="363"/>
      <c r="M474" s="363"/>
      <c r="N474" s="363"/>
      <c r="O474" s="363"/>
      <c r="P474" s="363"/>
      <c r="Q474" s="363"/>
      <c r="R474" s="363"/>
      <c r="S474" s="363"/>
      <c r="T474" s="363"/>
      <c r="U474" s="363"/>
    </row>
    <row r="475" spans="1:21" ht="18">
      <c r="A475" s="363"/>
      <c r="B475" s="363"/>
      <c r="C475" s="363"/>
      <c r="D475" s="363"/>
      <c r="E475" s="363"/>
      <c r="F475" s="363"/>
      <c r="G475" s="363"/>
      <c r="H475" s="363"/>
      <c r="I475" s="363"/>
      <c r="J475" s="363"/>
      <c r="K475" s="363"/>
      <c r="L475" s="363"/>
      <c r="M475" s="363"/>
      <c r="N475" s="363"/>
      <c r="O475" s="363"/>
      <c r="P475" s="363"/>
      <c r="Q475" s="363"/>
      <c r="R475" s="363"/>
      <c r="S475" s="363"/>
      <c r="T475" s="363"/>
      <c r="U475" s="363"/>
    </row>
    <row r="476" spans="1:21" ht="18">
      <c r="A476" s="363"/>
      <c r="B476" s="363"/>
      <c r="C476" s="363"/>
      <c r="D476" s="363"/>
      <c r="E476" s="363"/>
      <c r="F476" s="363"/>
      <c r="G476" s="363"/>
      <c r="H476" s="363"/>
      <c r="I476" s="363"/>
      <c r="J476" s="363"/>
      <c r="K476" s="363"/>
      <c r="L476" s="363"/>
      <c r="M476" s="363"/>
      <c r="N476" s="363"/>
      <c r="O476" s="363"/>
      <c r="P476" s="363"/>
      <c r="Q476" s="363"/>
      <c r="R476" s="363"/>
      <c r="S476" s="363"/>
      <c r="T476" s="363"/>
      <c r="U476" s="363"/>
    </row>
    <row r="477" spans="1:21" ht="18">
      <c r="A477" s="363"/>
      <c r="B477" s="363"/>
      <c r="C477" s="363"/>
      <c r="D477" s="363"/>
      <c r="E477" s="363"/>
      <c r="F477" s="363"/>
      <c r="G477" s="363"/>
      <c r="H477" s="363"/>
      <c r="I477" s="363"/>
      <c r="J477" s="363"/>
      <c r="K477" s="363"/>
      <c r="L477" s="363"/>
      <c r="M477" s="363"/>
      <c r="N477" s="363"/>
      <c r="O477" s="363"/>
      <c r="P477" s="363"/>
      <c r="Q477" s="363"/>
      <c r="R477" s="363"/>
      <c r="S477" s="363"/>
      <c r="T477" s="363"/>
      <c r="U477" s="363"/>
    </row>
    <row r="478" spans="1:21" ht="18">
      <c r="A478" s="363"/>
      <c r="B478" s="363"/>
      <c r="C478" s="363"/>
      <c r="D478" s="363"/>
      <c r="E478" s="363"/>
      <c r="F478" s="363"/>
      <c r="G478" s="363"/>
      <c r="H478" s="363"/>
      <c r="I478" s="363"/>
      <c r="J478" s="363"/>
      <c r="K478" s="363"/>
      <c r="L478" s="363"/>
      <c r="M478" s="363"/>
      <c r="N478" s="363"/>
      <c r="O478" s="363"/>
      <c r="P478" s="363"/>
      <c r="Q478" s="363"/>
      <c r="R478" s="363"/>
      <c r="S478" s="363"/>
      <c r="T478" s="363"/>
      <c r="U478" s="363"/>
    </row>
    <row r="479" spans="1:21" ht="18">
      <c r="A479" s="363"/>
      <c r="B479" s="363"/>
      <c r="C479" s="363"/>
      <c r="D479" s="363"/>
      <c r="E479" s="363"/>
      <c r="F479" s="363"/>
      <c r="G479" s="363"/>
      <c r="H479" s="363"/>
      <c r="I479" s="363"/>
      <c r="J479" s="363"/>
      <c r="K479" s="363"/>
      <c r="L479" s="363"/>
      <c r="M479" s="363"/>
      <c r="N479" s="363"/>
      <c r="O479" s="363"/>
      <c r="P479" s="363"/>
      <c r="Q479" s="363"/>
      <c r="R479" s="363"/>
      <c r="S479" s="363"/>
      <c r="T479" s="363"/>
      <c r="U479" s="363"/>
    </row>
    <row r="480" spans="1:21" ht="18">
      <c r="A480" s="363"/>
      <c r="B480" s="363"/>
      <c r="C480" s="363"/>
      <c r="D480" s="363"/>
      <c r="E480" s="363"/>
      <c r="F480" s="363"/>
      <c r="G480" s="363"/>
      <c r="H480" s="363"/>
      <c r="I480" s="363"/>
      <c r="J480" s="363"/>
      <c r="K480" s="363"/>
      <c r="L480" s="363"/>
      <c r="M480" s="363"/>
      <c r="N480" s="363"/>
      <c r="O480" s="363"/>
      <c r="P480" s="363"/>
      <c r="Q480" s="363"/>
      <c r="R480" s="363"/>
      <c r="S480" s="363"/>
      <c r="T480" s="363"/>
      <c r="U480" s="363"/>
    </row>
    <row r="481" spans="1:21" ht="18">
      <c r="A481" s="363"/>
      <c r="B481" s="363"/>
      <c r="C481" s="363"/>
      <c r="D481" s="363"/>
      <c r="E481" s="363"/>
      <c r="F481" s="363"/>
      <c r="G481" s="363"/>
      <c r="H481" s="363"/>
      <c r="I481" s="363"/>
      <c r="J481" s="363"/>
      <c r="K481" s="363"/>
      <c r="L481" s="363"/>
      <c r="M481" s="363"/>
      <c r="N481" s="363"/>
      <c r="O481" s="363"/>
      <c r="P481" s="363"/>
      <c r="Q481" s="363"/>
      <c r="R481" s="363"/>
      <c r="S481" s="363"/>
      <c r="T481" s="363"/>
      <c r="U481" s="363"/>
    </row>
    <row r="482" spans="1:21" ht="18">
      <c r="A482" s="363"/>
      <c r="B482" s="363"/>
      <c r="C482" s="363"/>
      <c r="D482" s="363"/>
      <c r="E482" s="363"/>
      <c r="F482" s="363"/>
      <c r="G482" s="363"/>
      <c r="H482" s="363"/>
      <c r="I482" s="363"/>
      <c r="J482" s="363"/>
      <c r="K482" s="363"/>
      <c r="L482" s="363"/>
      <c r="M482" s="363"/>
      <c r="N482" s="363"/>
      <c r="O482" s="363"/>
      <c r="P482" s="363"/>
      <c r="Q482" s="363"/>
      <c r="R482" s="363"/>
      <c r="S482" s="363"/>
      <c r="T482" s="363"/>
      <c r="U482" s="363"/>
    </row>
    <row r="483" spans="1:21" ht="18">
      <c r="A483" s="363"/>
      <c r="B483" s="363"/>
      <c r="C483" s="363"/>
      <c r="D483" s="363"/>
      <c r="E483" s="363"/>
      <c r="F483" s="363"/>
      <c r="G483" s="363"/>
      <c r="H483" s="363"/>
      <c r="I483" s="363"/>
      <c r="J483" s="363"/>
      <c r="K483" s="363"/>
      <c r="L483" s="363"/>
      <c r="M483" s="363"/>
      <c r="N483" s="363"/>
      <c r="O483" s="363"/>
      <c r="P483" s="363"/>
      <c r="Q483" s="363"/>
      <c r="R483" s="363"/>
      <c r="S483" s="363"/>
      <c r="T483" s="363"/>
      <c r="U483" s="363"/>
    </row>
    <row r="484" spans="1:21" ht="18">
      <c r="A484" s="363"/>
      <c r="B484" s="363"/>
      <c r="C484" s="363"/>
      <c r="D484" s="363"/>
      <c r="E484" s="363"/>
      <c r="F484" s="363"/>
      <c r="G484" s="363"/>
      <c r="H484" s="363"/>
      <c r="I484" s="363"/>
      <c r="J484" s="363"/>
      <c r="K484" s="363"/>
      <c r="L484" s="363"/>
      <c r="M484" s="363"/>
      <c r="N484" s="363"/>
      <c r="O484" s="363"/>
      <c r="P484" s="363"/>
      <c r="Q484" s="363"/>
      <c r="R484" s="363"/>
      <c r="S484" s="363"/>
      <c r="T484" s="363"/>
      <c r="U484" s="363"/>
    </row>
    <row r="485" spans="1:21" ht="18">
      <c r="A485" s="363"/>
      <c r="B485" s="363"/>
      <c r="C485" s="363"/>
      <c r="D485" s="363"/>
      <c r="E485" s="363"/>
      <c r="F485" s="363"/>
      <c r="G485" s="363"/>
      <c r="H485" s="363"/>
      <c r="I485" s="363"/>
      <c r="J485" s="363"/>
      <c r="K485" s="363"/>
      <c r="L485" s="363"/>
      <c r="M485" s="363"/>
      <c r="N485" s="363"/>
      <c r="O485" s="363"/>
      <c r="P485" s="363"/>
      <c r="Q485" s="363"/>
      <c r="R485" s="363"/>
      <c r="S485" s="363"/>
      <c r="T485" s="363"/>
      <c r="U485" s="363"/>
    </row>
    <row r="486" spans="1:21" ht="18">
      <c r="A486" s="363"/>
      <c r="B486" s="363"/>
      <c r="C486" s="363"/>
      <c r="D486" s="363"/>
      <c r="E486" s="363"/>
      <c r="F486" s="363"/>
      <c r="G486" s="363"/>
      <c r="H486" s="363"/>
      <c r="I486" s="363"/>
      <c r="J486" s="363"/>
      <c r="K486" s="363"/>
      <c r="L486" s="363"/>
      <c r="M486" s="363"/>
      <c r="N486" s="363"/>
      <c r="O486" s="363"/>
      <c r="P486" s="363"/>
      <c r="Q486" s="363"/>
      <c r="R486" s="363"/>
      <c r="S486" s="363"/>
      <c r="T486" s="363"/>
      <c r="U486" s="363"/>
    </row>
    <row r="487" spans="1:21" ht="18">
      <c r="A487" s="363"/>
      <c r="B487" s="363"/>
      <c r="C487" s="363"/>
      <c r="D487" s="363"/>
      <c r="E487" s="363"/>
      <c r="F487" s="363"/>
      <c r="G487" s="363"/>
      <c r="H487" s="363"/>
      <c r="I487" s="363"/>
      <c r="J487" s="363"/>
      <c r="K487" s="363"/>
      <c r="L487" s="363"/>
      <c r="M487" s="363"/>
      <c r="N487" s="363"/>
      <c r="O487" s="363"/>
      <c r="P487" s="363"/>
      <c r="Q487" s="363"/>
      <c r="R487" s="363"/>
      <c r="S487" s="363"/>
      <c r="T487" s="363"/>
      <c r="U487" s="363"/>
    </row>
    <row r="488" spans="1:21" ht="18">
      <c r="A488" s="363"/>
      <c r="B488" s="363"/>
      <c r="C488" s="363"/>
      <c r="D488" s="363"/>
      <c r="E488" s="363"/>
      <c r="F488" s="363"/>
      <c r="G488" s="363"/>
      <c r="H488" s="363"/>
      <c r="I488" s="363"/>
      <c r="J488" s="363"/>
      <c r="K488" s="363"/>
      <c r="L488" s="363"/>
      <c r="M488" s="363"/>
      <c r="N488" s="363"/>
      <c r="O488" s="363"/>
      <c r="P488" s="363"/>
      <c r="Q488" s="363"/>
      <c r="R488" s="363"/>
      <c r="S488" s="363"/>
      <c r="T488" s="363"/>
      <c r="U488" s="363"/>
    </row>
    <row r="489" spans="1:21" ht="18">
      <c r="A489" s="363"/>
      <c r="B489" s="363"/>
      <c r="C489" s="363"/>
      <c r="D489" s="363"/>
      <c r="E489" s="363"/>
      <c r="F489" s="363"/>
      <c r="G489" s="363"/>
      <c r="H489" s="363"/>
      <c r="I489" s="363"/>
      <c r="J489" s="363"/>
      <c r="K489" s="363"/>
      <c r="L489" s="363"/>
      <c r="M489" s="363"/>
      <c r="N489" s="363"/>
      <c r="O489" s="363"/>
      <c r="P489" s="363"/>
      <c r="Q489" s="363"/>
      <c r="R489" s="363"/>
      <c r="S489" s="363"/>
      <c r="T489" s="363"/>
      <c r="U489" s="363"/>
    </row>
    <row r="490" spans="1:21" ht="18">
      <c r="A490" s="363"/>
      <c r="B490" s="363"/>
      <c r="C490" s="363"/>
      <c r="D490" s="363"/>
      <c r="E490" s="363"/>
      <c r="F490" s="363"/>
      <c r="G490" s="363"/>
      <c r="H490" s="363"/>
      <c r="I490" s="363"/>
      <c r="J490" s="363"/>
      <c r="K490" s="363"/>
      <c r="L490" s="363"/>
      <c r="M490" s="363"/>
      <c r="N490" s="363"/>
      <c r="O490" s="363"/>
      <c r="P490" s="363"/>
      <c r="Q490" s="363"/>
      <c r="R490" s="363"/>
      <c r="S490" s="363"/>
      <c r="T490" s="363"/>
      <c r="U490" s="363"/>
    </row>
    <row r="491" spans="1:21" ht="18">
      <c r="A491" s="363"/>
      <c r="B491" s="363"/>
      <c r="C491" s="363"/>
      <c r="D491" s="363"/>
      <c r="E491" s="363"/>
      <c r="F491" s="363"/>
      <c r="G491" s="363"/>
      <c r="H491" s="363"/>
      <c r="I491" s="363"/>
      <c r="J491" s="363"/>
      <c r="K491" s="363"/>
      <c r="L491" s="363"/>
      <c r="M491" s="363"/>
      <c r="N491" s="363"/>
      <c r="O491" s="363"/>
      <c r="P491" s="363"/>
      <c r="Q491" s="363"/>
      <c r="R491" s="363"/>
      <c r="S491" s="363"/>
      <c r="T491" s="363"/>
      <c r="U491" s="363"/>
    </row>
    <row r="492" spans="1:21" ht="18">
      <c r="A492" s="363"/>
      <c r="B492" s="363"/>
      <c r="C492" s="363"/>
      <c r="D492" s="363"/>
      <c r="E492" s="363"/>
      <c r="F492" s="363"/>
      <c r="G492" s="363"/>
      <c r="H492" s="363"/>
      <c r="I492" s="363"/>
      <c r="J492" s="363"/>
      <c r="K492" s="363"/>
      <c r="L492" s="363"/>
      <c r="M492" s="363"/>
      <c r="N492" s="363"/>
      <c r="O492" s="363"/>
      <c r="P492" s="363"/>
      <c r="Q492" s="363"/>
      <c r="R492" s="363"/>
      <c r="S492" s="363"/>
      <c r="T492" s="363"/>
      <c r="U492" s="363"/>
    </row>
    <row r="493" spans="1:21" ht="18">
      <c r="A493" s="363"/>
      <c r="B493" s="363"/>
      <c r="C493" s="363"/>
      <c r="D493" s="363"/>
      <c r="E493" s="363"/>
      <c r="F493" s="363"/>
      <c r="G493" s="363"/>
      <c r="H493" s="363"/>
      <c r="I493" s="363"/>
      <c r="J493" s="363"/>
      <c r="K493" s="363"/>
      <c r="L493" s="363"/>
      <c r="M493" s="363"/>
      <c r="N493" s="363"/>
      <c r="O493" s="363"/>
      <c r="P493" s="363"/>
      <c r="Q493" s="363"/>
      <c r="R493" s="363"/>
      <c r="S493" s="363"/>
      <c r="T493" s="363"/>
      <c r="U493" s="363"/>
    </row>
    <row r="494" spans="1:21" ht="18">
      <c r="A494" s="363"/>
      <c r="B494" s="363"/>
      <c r="C494" s="363"/>
      <c r="D494" s="363"/>
      <c r="E494" s="363"/>
      <c r="F494" s="363"/>
      <c r="G494" s="363"/>
      <c r="H494" s="363"/>
      <c r="I494" s="363"/>
      <c r="J494" s="363"/>
      <c r="K494" s="363"/>
      <c r="L494" s="363"/>
      <c r="M494" s="363"/>
      <c r="N494" s="363"/>
      <c r="O494" s="363"/>
      <c r="P494" s="363"/>
      <c r="Q494" s="363"/>
      <c r="R494" s="363"/>
      <c r="S494" s="363"/>
      <c r="T494" s="363"/>
      <c r="U494" s="363"/>
    </row>
    <row r="495" spans="1:21" ht="18">
      <c r="A495" s="363"/>
      <c r="B495" s="363"/>
      <c r="C495" s="363"/>
      <c r="D495" s="363"/>
      <c r="E495" s="363"/>
      <c r="F495" s="363"/>
      <c r="G495" s="363"/>
      <c r="H495" s="363"/>
      <c r="I495" s="363"/>
      <c r="J495" s="363"/>
      <c r="K495" s="363"/>
      <c r="L495" s="363"/>
      <c r="M495" s="363"/>
      <c r="N495" s="363"/>
      <c r="O495" s="363"/>
      <c r="P495" s="363"/>
      <c r="Q495" s="363"/>
      <c r="R495" s="363"/>
      <c r="S495" s="363"/>
      <c r="T495" s="363"/>
      <c r="U495" s="363"/>
    </row>
    <row r="496" spans="1:21" ht="18">
      <c r="A496" s="363"/>
      <c r="B496" s="363"/>
      <c r="C496" s="363"/>
      <c r="D496" s="363"/>
      <c r="E496" s="363"/>
      <c r="F496" s="363"/>
      <c r="G496" s="363"/>
      <c r="H496" s="363"/>
      <c r="I496" s="363"/>
      <c r="J496" s="363"/>
      <c r="K496" s="363"/>
      <c r="L496" s="363"/>
      <c r="M496" s="363"/>
      <c r="N496" s="363"/>
      <c r="O496" s="363"/>
      <c r="P496" s="363"/>
      <c r="Q496" s="363"/>
      <c r="R496" s="363"/>
      <c r="S496" s="363"/>
      <c r="T496" s="363"/>
      <c r="U496" s="363"/>
    </row>
    <row r="497" spans="1:21" ht="18">
      <c r="A497" s="363"/>
      <c r="B497" s="363"/>
      <c r="C497" s="363"/>
      <c r="D497" s="363"/>
      <c r="E497" s="363"/>
      <c r="F497" s="363"/>
      <c r="G497" s="363"/>
      <c r="H497" s="363"/>
      <c r="I497" s="363"/>
      <c r="J497" s="363"/>
      <c r="K497" s="363"/>
      <c r="L497" s="363"/>
      <c r="M497" s="363"/>
      <c r="N497" s="363"/>
      <c r="O497" s="363"/>
      <c r="P497" s="363"/>
      <c r="Q497" s="363"/>
      <c r="R497" s="363"/>
      <c r="S497" s="363"/>
      <c r="T497" s="363"/>
      <c r="U497" s="363"/>
    </row>
    <row r="498" spans="1:21" ht="18">
      <c r="A498" s="363"/>
      <c r="B498" s="363"/>
      <c r="C498" s="363"/>
      <c r="D498" s="363"/>
      <c r="E498" s="363"/>
      <c r="F498" s="363"/>
      <c r="G498" s="363"/>
      <c r="H498" s="363"/>
      <c r="I498" s="363"/>
      <c r="J498" s="363"/>
      <c r="K498" s="363"/>
      <c r="L498" s="363"/>
      <c r="M498" s="363"/>
      <c r="N498" s="363"/>
      <c r="O498" s="363"/>
      <c r="P498" s="363"/>
      <c r="Q498" s="363"/>
      <c r="R498" s="363"/>
      <c r="S498" s="363"/>
      <c r="T498" s="363"/>
      <c r="U498" s="363"/>
    </row>
    <row r="499" spans="1:21" ht="18">
      <c r="A499" s="363"/>
      <c r="B499" s="363"/>
      <c r="C499" s="363"/>
      <c r="D499" s="363"/>
      <c r="E499" s="363"/>
      <c r="F499" s="363"/>
      <c r="G499" s="363"/>
      <c r="H499" s="363"/>
      <c r="I499" s="363"/>
      <c r="J499" s="363"/>
      <c r="K499" s="363"/>
      <c r="L499" s="363"/>
      <c r="M499" s="363"/>
      <c r="N499" s="363"/>
      <c r="O499" s="363"/>
      <c r="P499" s="363"/>
      <c r="Q499" s="363"/>
      <c r="R499" s="363"/>
      <c r="S499" s="363"/>
      <c r="T499" s="363"/>
      <c r="U499" s="363"/>
    </row>
    <row r="500" spans="1:21" ht="18">
      <c r="A500" s="363"/>
      <c r="B500" s="363"/>
      <c r="C500" s="363"/>
      <c r="D500" s="363"/>
      <c r="E500" s="363"/>
      <c r="F500" s="363"/>
      <c r="G500" s="363"/>
      <c r="H500" s="363"/>
      <c r="I500" s="363"/>
      <c r="J500" s="363"/>
      <c r="K500" s="363"/>
      <c r="L500" s="363"/>
      <c r="M500" s="363"/>
      <c r="N500" s="363"/>
      <c r="O500" s="363"/>
      <c r="P500" s="363"/>
      <c r="Q500" s="363"/>
      <c r="R500" s="363"/>
      <c r="S500" s="363"/>
      <c r="T500" s="363"/>
      <c r="U500" s="363"/>
    </row>
    <row r="501" spans="1:21" ht="18">
      <c r="A501" s="363"/>
      <c r="B501" s="363"/>
      <c r="C501" s="363"/>
      <c r="D501" s="363"/>
      <c r="E501" s="363"/>
      <c r="F501" s="363"/>
      <c r="G501" s="363"/>
      <c r="H501" s="363"/>
      <c r="I501" s="363"/>
      <c r="J501" s="363"/>
      <c r="K501" s="363"/>
      <c r="L501" s="363"/>
      <c r="M501" s="363"/>
      <c r="N501" s="363"/>
      <c r="O501" s="363"/>
      <c r="P501" s="363"/>
      <c r="Q501" s="363"/>
      <c r="R501" s="363"/>
      <c r="S501" s="363"/>
      <c r="T501" s="363"/>
      <c r="U501" s="363"/>
    </row>
    <row r="502" spans="1:21" ht="18">
      <c r="A502" s="363"/>
      <c r="B502" s="363"/>
      <c r="C502" s="363"/>
      <c r="D502" s="363"/>
      <c r="E502" s="363"/>
      <c r="F502" s="363"/>
      <c r="G502" s="363"/>
      <c r="H502" s="363"/>
      <c r="I502" s="363"/>
      <c r="J502" s="363"/>
      <c r="K502" s="363"/>
      <c r="L502" s="363"/>
      <c r="M502" s="363"/>
      <c r="N502" s="363"/>
      <c r="O502" s="363"/>
      <c r="P502" s="363"/>
      <c r="Q502" s="363"/>
      <c r="R502" s="363"/>
      <c r="S502" s="363"/>
      <c r="T502" s="363"/>
      <c r="U502" s="363"/>
    </row>
    <row r="503" spans="1:21" ht="18">
      <c r="A503" s="363"/>
      <c r="B503" s="363"/>
      <c r="C503" s="363"/>
      <c r="D503" s="363"/>
      <c r="E503" s="363"/>
      <c r="F503" s="363"/>
      <c r="G503" s="363"/>
      <c r="H503" s="363"/>
      <c r="I503" s="363"/>
      <c r="J503" s="363"/>
      <c r="K503" s="363"/>
      <c r="L503" s="363"/>
      <c r="M503" s="363"/>
      <c r="N503" s="363"/>
      <c r="O503" s="363"/>
      <c r="P503" s="363"/>
      <c r="Q503" s="363"/>
      <c r="R503" s="363"/>
      <c r="S503" s="363"/>
      <c r="T503" s="363"/>
      <c r="U503" s="363"/>
    </row>
    <row r="504" spans="1:21" ht="18">
      <c r="A504" s="363"/>
      <c r="B504" s="363"/>
      <c r="C504" s="363"/>
      <c r="D504" s="363"/>
      <c r="E504" s="363"/>
      <c r="F504" s="363"/>
      <c r="G504" s="363"/>
      <c r="H504" s="363"/>
      <c r="I504" s="363"/>
      <c r="J504" s="363"/>
      <c r="K504" s="363"/>
      <c r="L504" s="363"/>
      <c r="M504" s="363"/>
      <c r="N504" s="363"/>
      <c r="O504" s="363"/>
      <c r="P504" s="363"/>
      <c r="Q504" s="363"/>
      <c r="R504" s="363"/>
      <c r="S504" s="363"/>
      <c r="T504" s="363"/>
      <c r="U504" s="363"/>
    </row>
    <row r="505" spans="1:21" ht="18">
      <c r="A505" s="363"/>
      <c r="B505" s="363"/>
      <c r="C505" s="363"/>
      <c r="D505" s="363"/>
      <c r="E505" s="363"/>
      <c r="F505" s="363"/>
      <c r="G505" s="363"/>
      <c r="H505" s="363"/>
      <c r="I505" s="363"/>
      <c r="J505" s="363"/>
      <c r="K505" s="363"/>
      <c r="L505" s="363"/>
      <c r="M505" s="363"/>
      <c r="N505" s="363"/>
      <c r="O505" s="363"/>
      <c r="P505" s="363"/>
      <c r="Q505" s="363"/>
      <c r="R505" s="363"/>
      <c r="S505" s="363"/>
      <c r="T505" s="363"/>
      <c r="U505" s="363"/>
    </row>
    <row r="506" spans="1:21" ht="18">
      <c r="A506" s="363"/>
      <c r="B506" s="363"/>
      <c r="C506" s="363"/>
      <c r="D506" s="363"/>
      <c r="E506" s="363"/>
      <c r="F506" s="363"/>
      <c r="G506" s="363"/>
      <c r="H506" s="363"/>
      <c r="I506" s="363"/>
      <c r="J506" s="363"/>
      <c r="K506" s="363"/>
      <c r="L506" s="363"/>
      <c r="M506" s="363"/>
      <c r="N506" s="363"/>
      <c r="O506" s="363"/>
      <c r="P506" s="363"/>
      <c r="Q506" s="363"/>
      <c r="R506" s="363"/>
      <c r="S506" s="363"/>
      <c r="T506" s="363"/>
      <c r="U506" s="363"/>
    </row>
    <row r="507" spans="1:21" ht="18">
      <c r="A507" s="363"/>
      <c r="B507" s="363"/>
      <c r="C507" s="363"/>
      <c r="D507" s="363"/>
      <c r="E507" s="363"/>
      <c r="F507" s="363"/>
      <c r="G507" s="363"/>
      <c r="H507" s="363"/>
      <c r="I507" s="363"/>
      <c r="J507" s="363"/>
      <c r="K507" s="363"/>
      <c r="L507" s="363"/>
      <c r="M507" s="363"/>
      <c r="N507" s="363"/>
      <c r="O507" s="363"/>
      <c r="P507" s="363"/>
      <c r="Q507" s="363"/>
      <c r="R507" s="363"/>
      <c r="S507" s="363"/>
      <c r="T507" s="363"/>
      <c r="U507" s="363"/>
    </row>
    <row r="508" spans="1:21" ht="18">
      <c r="A508" s="363"/>
      <c r="B508" s="363"/>
      <c r="C508" s="363"/>
      <c r="D508" s="363"/>
      <c r="E508" s="363"/>
      <c r="F508" s="363"/>
      <c r="G508" s="363"/>
      <c r="H508" s="363"/>
      <c r="I508" s="363"/>
      <c r="J508" s="363"/>
      <c r="K508" s="363"/>
      <c r="L508" s="363"/>
      <c r="M508" s="363"/>
      <c r="N508" s="363"/>
      <c r="O508" s="363"/>
      <c r="P508" s="363"/>
      <c r="Q508" s="363"/>
      <c r="R508" s="363"/>
      <c r="S508" s="363"/>
      <c r="T508" s="363"/>
      <c r="U508" s="363"/>
    </row>
    <row r="509" spans="1:21" ht="18">
      <c r="A509" s="363"/>
      <c r="B509" s="363"/>
      <c r="C509" s="363"/>
      <c r="D509" s="363"/>
      <c r="E509" s="363"/>
      <c r="F509" s="363"/>
      <c r="G509" s="363"/>
      <c r="H509" s="363"/>
      <c r="I509" s="363"/>
      <c r="J509" s="363"/>
      <c r="K509" s="363"/>
      <c r="L509" s="363"/>
      <c r="M509" s="363"/>
      <c r="N509" s="363"/>
      <c r="O509" s="363"/>
      <c r="P509" s="363"/>
      <c r="Q509" s="363"/>
      <c r="R509" s="363"/>
      <c r="S509" s="363"/>
      <c r="T509" s="363"/>
      <c r="U509" s="363"/>
    </row>
    <row r="510" spans="1:21" ht="18">
      <c r="A510" s="363"/>
      <c r="B510" s="363"/>
      <c r="C510" s="363"/>
      <c r="D510" s="363"/>
      <c r="E510" s="363"/>
      <c r="F510" s="363"/>
      <c r="G510" s="363"/>
      <c r="H510" s="363"/>
      <c r="I510" s="363"/>
      <c r="J510" s="363"/>
      <c r="K510" s="363"/>
      <c r="L510" s="363"/>
      <c r="M510" s="363"/>
      <c r="N510" s="363"/>
      <c r="O510" s="363"/>
      <c r="P510" s="363"/>
      <c r="Q510" s="363"/>
      <c r="R510" s="363"/>
      <c r="S510" s="363"/>
      <c r="T510" s="363"/>
      <c r="U510" s="363"/>
    </row>
    <row r="511" spans="1:21" ht="18">
      <c r="A511" s="363"/>
      <c r="B511" s="363"/>
      <c r="C511" s="363"/>
      <c r="D511" s="363"/>
      <c r="E511" s="363"/>
      <c r="F511" s="363"/>
      <c r="G511" s="363"/>
      <c r="H511" s="363"/>
      <c r="I511" s="363"/>
      <c r="J511" s="363"/>
      <c r="K511" s="363"/>
      <c r="L511" s="363"/>
      <c r="M511" s="363"/>
      <c r="N511" s="363"/>
      <c r="O511" s="363"/>
      <c r="P511" s="363"/>
      <c r="Q511" s="363"/>
      <c r="R511" s="363"/>
      <c r="S511" s="363"/>
      <c r="T511" s="363"/>
      <c r="U511" s="363"/>
    </row>
    <row r="512" spans="1:21" ht="18">
      <c r="A512" s="363"/>
      <c r="B512" s="363"/>
      <c r="C512" s="363"/>
      <c r="D512" s="363"/>
      <c r="E512" s="363"/>
      <c r="F512" s="363"/>
      <c r="G512" s="363"/>
      <c r="H512" s="363"/>
      <c r="I512" s="363"/>
      <c r="J512" s="363"/>
      <c r="K512" s="363"/>
      <c r="L512" s="363"/>
      <c r="M512" s="363"/>
      <c r="N512" s="363"/>
      <c r="O512" s="363"/>
      <c r="P512" s="363"/>
      <c r="Q512" s="363"/>
      <c r="R512" s="363"/>
      <c r="S512" s="363"/>
      <c r="T512" s="363"/>
      <c r="U512" s="363"/>
    </row>
    <row r="513" spans="1:21" ht="18">
      <c r="A513" s="363"/>
      <c r="B513" s="363"/>
      <c r="C513" s="363"/>
      <c r="D513" s="363"/>
      <c r="E513" s="363"/>
      <c r="F513" s="363"/>
      <c r="G513" s="363"/>
      <c r="H513" s="363"/>
      <c r="I513" s="363"/>
      <c r="J513" s="363"/>
      <c r="K513" s="363"/>
      <c r="L513" s="363"/>
      <c r="M513" s="363"/>
      <c r="N513" s="363"/>
      <c r="O513" s="363"/>
      <c r="P513" s="363"/>
      <c r="Q513" s="363"/>
      <c r="R513" s="363"/>
      <c r="S513" s="363"/>
      <c r="T513" s="363"/>
      <c r="U513" s="363"/>
    </row>
    <row r="514" spans="1:21" ht="18">
      <c r="A514" s="363"/>
      <c r="B514" s="363"/>
      <c r="C514" s="363"/>
      <c r="D514" s="363"/>
      <c r="E514" s="363"/>
      <c r="F514" s="363"/>
      <c r="G514" s="363"/>
      <c r="H514" s="363"/>
      <c r="I514" s="363"/>
      <c r="J514" s="363"/>
      <c r="K514" s="363"/>
      <c r="L514" s="363"/>
      <c r="M514" s="363"/>
      <c r="N514" s="363"/>
      <c r="O514" s="363"/>
      <c r="P514" s="363"/>
      <c r="Q514" s="363"/>
      <c r="R514" s="363"/>
      <c r="S514" s="363"/>
      <c r="T514" s="363"/>
      <c r="U514" s="363"/>
    </row>
    <row r="515" spans="1:21" ht="18">
      <c r="A515" s="363"/>
      <c r="B515" s="363"/>
      <c r="C515" s="363"/>
      <c r="D515" s="363"/>
      <c r="E515" s="363"/>
      <c r="F515" s="363"/>
      <c r="G515" s="363"/>
      <c r="H515" s="363"/>
      <c r="I515" s="363"/>
      <c r="J515" s="363"/>
      <c r="K515" s="363"/>
      <c r="L515" s="363"/>
      <c r="M515" s="363"/>
      <c r="N515" s="363"/>
      <c r="O515" s="363"/>
      <c r="P515" s="363"/>
      <c r="Q515" s="363"/>
      <c r="R515" s="363"/>
      <c r="S515" s="363"/>
      <c r="T515" s="363"/>
      <c r="U515" s="363"/>
    </row>
    <row r="516" spans="1:21" ht="18">
      <c r="A516" s="363"/>
      <c r="B516" s="363"/>
      <c r="C516" s="363"/>
      <c r="D516" s="363"/>
      <c r="E516" s="363"/>
      <c r="F516" s="363"/>
      <c r="G516" s="363"/>
      <c r="H516" s="363"/>
      <c r="I516" s="363"/>
      <c r="J516" s="363"/>
      <c r="K516" s="363"/>
      <c r="L516" s="363"/>
      <c r="M516" s="363"/>
      <c r="N516" s="363"/>
      <c r="O516" s="363"/>
      <c r="P516" s="363"/>
      <c r="Q516" s="363"/>
      <c r="R516" s="363"/>
      <c r="S516" s="363"/>
      <c r="T516" s="363"/>
      <c r="U516" s="363"/>
    </row>
    <row r="517" spans="1:21" ht="18">
      <c r="A517" s="363"/>
      <c r="B517" s="363"/>
      <c r="C517" s="363"/>
      <c r="D517" s="363"/>
      <c r="E517" s="363"/>
      <c r="F517" s="363"/>
      <c r="G517" s="363"/>
      <c r="H517" s="363"/>
      <c r="I517" s="363"/>
      <c r="J517" s="363"/>
      <c r="K517" s="363"/>
      <c r="L517" s="363"/>
      <c r="M517" s="363"/>
      <c r="N517" s="363"/>
      <c r="O517" s="363"/>
      <c r="P517" s="363"/>
      <c r="Q517" s="363"/>
      <c r="R517" s="363"/>
      <c r="S517" s="363"/>
      <c r="T517" s="363"/>
      <c r="U517" s="363"/>
    </row>
    <row r="518" spans="1:21" ht="18">
      <c r="A518" s="363"/>
      <c r="B518" s="363"/>
      <c r="C518" s="363"/>
      <c r="D518" s="363"/>
      <c r="E518" s="363"/>
      <c r="F518" s="363"/>
      <c r="G518" s="363"/>
      <c r="H518" s="363"/>
      <c r="I518" s="363"/>
      <c r="J518" s="363"/>
      <c r="K518" s="363"/>
      <c r="L518" s="363"/>
      <c r="M518" s="363"/>
      <c r="N518" s="363"/>
      <c r="O518" s="363"/>
      <c r="P518" s="363"/>
      <c r="Q518" s="363"/>
      <c r="R518" s="363"/>
      <c r="S518" s="363"/>
      <c r="T518" s="363"/>
      <c r="U518" s="363"/>
    </row>
    <row r="519" spans="1:21" ht="18">
      <c r="A519" s="363"/>
      <c r="B519" s="363"/>
      <c r="C519" s="363"/>
      <c r="D519" s="363"/>
      <c r="E519" s="363"/>
      <c r="F519" s="363"/>
      <c r="G519" s="363"/>
      <c r="H519" s="363"/>
      <c r="I519" s="363"/>
      <c r="J519" s="363"/>
      <c r="K519" s="363"/>
      <c r="L519" s="363"/>
      <c r="M519" s="363"/>
      <c r="N519" s="363"/>
      <c r="O519" s="363"/>
      <c r="P519" s="363"/>
      <c r="Q519" s="363"/>
      <c r="R519" s="363"/>
      <c r="S519" s="363"/>
      <c r="T519" s="363"/>
      <c r="U519" s="363"/>
    </row>
    <row r="520" spans="1:21" ht="18">
      <c r="A520" s="363"/>
      <c r="B520" s="363"/>
      <c r="C520" s="363"/>
      <c r="D520" s="363"/>
      <c r="E520" s="363"/>
      <c r="F520" s="363"/>
      <c r="G520" s="363"/>
      <c r="H520" s="363"/>
      <c r="I520" s="363"/>
      <c r="J520" s="363"/>
      <c r="K520" s="363"/>
      <c r="L520" s="363"/>
      <c r="M520" s="363"/>
      <c r="N520" s="363"/>
      <c r="O520" s="363"/>
      <c r="P520" s="363"/>
      <c r="Q520" s="363"/>
      <c r="R520" s="363"/>
      <c r="S520" s="363"/>
      <c r="T520" s="363"/>
      <c r="U520" s="363"/>
    </row>
    <row r="521" spans="1:21" ht="18">
      <c r="A521" s="363"/>
      <c r="B521" s="363"/>
      <c r="C521" s="363"/>
      <c r="D521" s="363"/>
      <c r="E521" s="363"/>
      <c r="F521" s="363"/>
      <c r="G521" s="363"/>
      <c r="H521" s="363"/>
      <c r="I521" s="363"/>
      <c r="J521" s="363"/>
      <c r="K521" s="363"/>
      <c r="L521" s="363"/>
      <c r="M521" s="363"/>
      <c r="N521" s="363"/>
      <c r="O521" s="363"/>
      <c r="P521" s="363"/>
      <c r="Q521" s="363"/>
      <c r="R521" s="363"/>
      <c r="S521" s="363"/>
      <c r="T521" s="363"/>
      <c r="U521" s="363"/>
    </row>
    <row r="522" spans="1:21" ht="18">
      <c r="A522" s="363"/>
      <c r="B522" s="363"/>
      <c r="C522" s="363"/>
      <c r="D522" s="363"/>
      <c r="E522" s="363"/>
      <c r="F522" s="363"/>
      <c r="G522" s="363"/>
      <c r="H522" s="363"/>
      <c r="I522" s="363"/>
      <c r="J522" s="363"/>
      <c r="K522" s="363"/>
      <c r="L522" s="363"/>
      <c r="M522" s="363"/>
      <c r="N522" s="363"/>
      <c r="O522" s="363"/>
      <c r="P522" s="363"/>
      <c r="Q522" s="363"/>
      <c r="R522" s="363"/>
      <c r="S522" s="363"/>
      <c r="T522" s="363"/>
      <c r="U522" s="363"/>
    </row>
    <row r="523" spans="1:21" ht="18">
      <c r="A523" s="363"/>
      <c r="B523" s="363"/>
      <c r="C523" s="363"/>
      <c r="D523" s="363"/>
      <c r="E523" s="363"/>
      <c r="F523" s="363"/>
      <c r="G523" s="363"/>
      <c r="H523" s="363"/>
      <c r="I523" s="363"/>
      <c r="J523" s="363"/>
      <c r="K523" s="363"/>
      <c r="L523" s="363"/>
      <c r="M523" s="363"/>
      <c r="N523" s="363"/>
      <c r="O523" s="363"/>
      <c r="P523" s="363"/>
      <c r="Q523" s="363"/>
      <c r="R523" s="363"/>
      <c r="S523" s="363"/>
      <c r="T523" s="363"/>
      <c r="U523" s="363"/>
    </row>
    <row r="524" spans="1:21" ht="18">
      <c r="A524" s="363"/>
      <c r="B524" s="363"/>
      <c r="C524" s="363"/>
      <c r="D524" s="363"/>
      <c r="E524" s="363"/>
      <c r="F524" s="363"/>
      <c r="G524" s="363"/>
      <c r="H524" s="363"/>
      <c r="I524" s="363"/>
      <c r="J524" s="363"/>
      <c r="K524" s="363"/>
      <c r="L524" s="363"/>
      <c r="M524" s="363"/>
      <c r="N524" s="363"/>
      <c r="O524" s="363"/>
      <c r="P524" s="363"/>
      <c r="Q524" s="363"/>
      <c r="R524" s="363"/>
      <c r="S524" s="363"/>
      <c r="T524" s="363"/>
      <c r="U524" s="363"/>
    </row>
    <row r="525" spans="1:21" ht="18">
      <c r="A525" s="363"/>
      <c r="B525" s="363"/>
      <c r="C525" s="363"/>
      <c r="D525" s="363"/>
      <c r="E525" s="363"/>
      <c r="F525" s="363"/>
      <c r="G525" s="363"/>
      <c r="H525" s="363"/>
      <c r="I525" s="363"/>
      <c r="J525" s="363"/>
      <c r="K525" s="363"/>
      <c r="L525" s="363"/>
      <c r="M525" s="363"/>
      <c r="N525" s="363"/>
      <c r="O525" s="363"/>
      <c r="P525" s="363"/>
      <c r="Q525" s="363"/>
      <c r="R525" s="363"/>
      <c r="S525" s="363"/>
      <c r="T525" s="363"/>
      <c r="U525" s="363"/>
    </row>
    <row r="526" spans="1:21" ht="18">
      <c r="A526" s="363"/>
      <c r="B526" s="363"/>
      <c r="C526" s="363"/>
      <c r="D526" s="363"/>
      <c r="E526" s="363"/>
      <c r="F526" s="363"/>
      <c r="G526" s="363"/>
      <c r="H526" s="363"/>
      <c r="I526" s="363"/>
      <c r="J526" s="363"/>
      <c r="K526" s="363"/>
      <c r="L526" s="363"/>
      <c r="M526" s="363"/>
      <c r="N526" s="363"/>
      <c r="O526" s="363"/>
      <c r="P526" s="363"/>
      <c r="Q526" s="363"/>
      <c r="R526" s="363"/>
      <c r="S526" s="363"/>
      <c r="T526" s="363"/>
      <c r="U526" s="363"/>
    </row>
    <row r="527" spans="1:21" ht="18">
      <c r="A527" s="363"/>
      <c r="B527" s="363"/>
      <c r="C527" s="363"/>
      <c r="D527" s="363"/>
      <c r="E527" s="363"/>
      <c r="F527" s="363"/>
      <c r="G527" s="363"/>
      <c r="H527" s="363"/>
      <c r="I527" s="363"/>
      <c r="J527" s="363"/>
      <c r="K527" s="363"/>
      <c r="L527" s="363"/>
      <c r="M527" s="363"/>
      <c r="N527" s="363"/>
      <c r="O527" s="363"/>
      <c r="P527" s="363"/>
      <c r="Q527" s="363"/>
      <c r="R527" s="363"/>
      <c r="S527" s="363"/>
      <c r="T527" s="363"/>
      <c r="U527" s="363"/>
    </row>
    <row r="528" spans="1:21" ht="18">
      <c r="A528" s="363"/>
      <c r="B528" s="363"/>
      <c r="C528" s="363"/>
      <c r="D528" s="363"/>
      <c r="E528" s="363"/>
      <c r="F528" s="363"/>
      <c r="G528" s="363"/>
      <c r="H528" s="363"/>
      <c r="I528" s="363"/>
      <c r="J528" s="363"/>
      <c r="K528" s="363"/>
      <c r="L528" s="363"/>
      <c r="M528" s="363"/>
      <c r="N528" s="363"/>
      <c r="O528" s="363"/>
      <c r="P528" s="363"/>
      <c r="Q528" s="363"/>
      <c r="R528" s="363"/>
      <c r="S528" s="363"/>
      <c r="T528" s="363"/>
      <c r="U528" s="363"/>
    </row>
    <row r="529" spans="1:21" ht="18">
      <c r="A529" s="363"/>
      <c r="B529" s="363"/>
      <c r="C529" s="363"/>
      <c r="D529" s="363"/>
      <c r="E529" s="363"/>
      <c r="F529" s="363"/>
      <c r="G529" s="363"/>
      <c r="H529" s="363"/>
      <c r="I529" s="363"/>
      <c r="J529" s="363"/>
      <c r="K529" s="363"/>
      <c r="L529" s="363"/>
      <c r="M529" s="363"/>
      <c r="N529" s="363"/>
      <c r="O529" s="363"/>
      <c r="P529" s="363"/>
      <c r="Q529" s="363"/>
      <c r="R529" s="363"/>
      <c r="S529" s="363"/>
      <c r="T529" s="363"/>
      <c r="U529" s="363"/>
    </row>
    <row r="530" spans="1:21" ht="18">
      <c r="A530" s="363"/>
      <c r="B530" s="363"/>
      <c r="C530" s="363"/>
      <c r="D530" s="363"/>
      <c r="E530" s="363"/>
      <c r="F530" s="363"/>
      <c r="G530" s="363"/>
      <c r="H530" s="363"/>
      <c r="I530" s="363"/>
      <c r="J530" s="363"/>
      <c r="K530" s="363"/>
      <c r="L530" s="363"/>
      <c r="M530" s="363"/>
      <c r="N530" s="363"/>
      <c r="O530" s="363"/>
      <c r="P530" s="363"/>
      <c r="Q530" s="363"/>
      <c r="R530" s="363"/>
      <c r="S530" s="363"/>
      <c r="T530" s="363"/>
      <c r="U530" s="363"/>
    </row>
    <row r="531" spans="1:21" ht="18">
      <c r="A531" s="363"/>
      <c r="B531" s="363"/>
      <c r="C531" s="363"/>
      <c r="D531" s="363"/>
      <c r="E531" s="363"/>
      <c r="F531" s="363"/>
      <c r="G531" s="363"/>
      <c r="H531" s="363"/>
      <c r="I531" s="363"/>
      <c r="J531" s="363"/>
      <c r="K531" s="363"/>
      <c r="L531" s="363"/>
      <c r="M531" s="363"/>
      <c r="N531" s="363"/>
      <c r="O531" s="363"/>
      <c r="P531" s="363"/>
      <c r="Q531" s="363"/>
      <c r="R531" s="363"/>
      <c r="S531" s="363"/>
      <c r="T531" s="363"/>
      <c r="U531" s="363"/>
    </row>
    <row r="532" spans="1:21" ht="18">
      <c r="A532" s="363"/>
      <c r="B532" s="363"/>
      <c r="C532" s="363"/>
      <c r="D532" s="363"/>
      <c r="E532" s="363"/>
      <c r="F532" s="363"/>
      <c r="G532" s="363"/>
      <c r="H532" s="363"/>
      <c r="I532" s="363"/>
      <c r="J532" s="363"/>
      <c r="K532" s="363"/>
      <c r="L532" s="363"/>
      <c r="M532" s="363"/>
      <c r="N532" s="363"/>
      <c r="O532" s="363"/>
      <c r="P532" s="363"/>
      <c r="Q532" s="363"/>
      <c r="R532" s="363"/>
      <c r="S532" s="363"/>
      <c r="T532" s="363"/>
      <c r="U532" s="363"/>
    </row>
    <row r="533" spans="1:21" ht="18">
      <c r="A533" s="363"/>
      <c r="B533" s="363"/>
      <c r="C533" s="363"/>
      <c r="D533" s="363"/>
      <c r="E533" s="363"/>
      <c r="F533" s="363"/>
      <c r="G533" s="363"/>
      <c r="H533" s="363"/>
      <c r="I533" s="363"/>
      <c r="J533" s="363"/>
      <c r="K533" s="363"/>
      <c r="L533" s="363"/>
      <c r="M533" s="363"/>
      <c r="N533" s="363"/>
      <c r="O533" s="363"/>
      <c r="P533" s="363"/>
      <c r="Q533" s="363"/>
      <c r="R533" s="363"/>
      <c r="S533" s="363"/>
      <c r="T533" s="363"/>
      <c r="U533" s="363"/>
    </row>
    <row r="534" spans="1:21" ht="18">
      <c r="A534" s="363"/>
      <c r="B534" s="363"/>
      <c r="C534" s="363"/>
      <c r="D534" s="363"/>
      <c r="E534" s="363"/>
      <c r="F534" s="363"/>
      <c r="G534" s="363"/>
      <c r="H534" s="363"/>
      <c r="I534" s="363"/>
      <c r="J534" s="363"/>
      <c r="K534" s="363"/>
      <c r="L534" s="363"/>
      <c r="M534" s="363"/>
      <c r="N534" s="363"/>
      <c r="O534" s="363"/>
      <c r="P534" s="363"/>
      <c r="Q534" s="363"/>
      <c r="R534" s="363"/>
      <c r="S534" s="363"/>
      <c r="T534" s="363"/>
      <c r="U534" s="363"/>
    </row>
    <row r="535" spans="1:21" ht="18">
      <c r="A535" s="363"/>
      <c r="B535" s="363"/>
      <c r="C535" s="363"/>
      <c r="D535" s="363"/>
      <c r="E535" s="363"/>
      <c r="F535" s="363"/>
      <c r="G535" s="363"/>
      <c r="H535" s="363"/>
      <c r="I535" s="363"/>
      <c r="J535" s="363"/>
      <c r="K535" s="363"/>
      <c r="L535" s="363"/>
      <c r="M535" s="363"/>
      <c r="N535" s="363"/>
      <c r="O535" s="363"/>
      <c r="P535" s="363"/>
      <c r="Q535" s="363"/>
      <c r="R535" s="363"/>
      <c r="S535" s="363"/>
      <c r="T535" s="363"/>
      <c r="U535" s="363"/>
    </row>
    <row r="536" spans="1:21" ht="18">
      <c r="A536" s="363"/>
      <c r="B536" s="363"/>
      <c r="C536" s="363"/>
      <c r="D536" s="363"/>
      <c r="E536" s="363"/>
      <c r="F536" s="363"/>
      <c r="G536" s="363"/>
      <c r="H536" s="363"/>
      <c r="I536" s="363"/>
      <c r="J536" s="363"/>
      <c r="K536" s="363"/>
      <c r="L536" s="363"/>
      <c r="M536" s="363"/>
      <c r="N536" s="363"/>
      <c r="O536" s="363"/>
      <c r="P536" s="363"/>
      <c r="Q536" s="363"/>
      <c r="R536" s="363"/>
      <c r="S536" s="363"/>
      <c r="T536" s="363"/>
      <c r="U536" s="363"/>
    </row>
    <row r="537" spans="1:21" ht="18">
      <c r="A537" s="363"/>
      <c r="B537" s="363"/>
      <c r="C537" s="363"/>
      <c r="D537" s="363"/>
      <c r="E537" s="363"/>
      <c r="F537" s="363"/>
      <c r="G537" s="363"/>
      <c r="H537" s="363"/>
      <c r="I537" s="363"/>
      <c r="J537" s="363"/>
      <c r="K537" s="363"/>
      <c r="L537" s="363"/>
      <c r="M537" s="363"/>
      <c r="N537" s="363"/>
      <c r="O537" s="363"/>
      <c r="P537" s="363"/>
      <c r="Q537" s="363"/>
      <c r="R537" s="363"/>
      <c r="S537" s="363"/>
      <c r="T537" s="363"/>
      <c r="U537" s="363"/>
    </row>
    <row r="538" spans="1:21" ht="18">
      <c r="A538" s="363"/>
      <c r="B538" s="363"/>
      <c r="C538" s="363"/>
      <c r="D538" s="363"/>
      <c r="E538" s="363"/>
      <c r="F538" s="363"/>
      <c r="G538" s="363"/>
      <c r="H538" s="363"/>
      <c r="I538" s="363"/>
      <c r="J538" s="363"/>
      <c r="K538" s="363"/>
      <c r="L538" s="363"/>
      <c r="M538" s="363"/>
      <c r="N538" s="363"/>
      <c r="O538" s="363"/>
      <c r="P538" s="363"/>
      <c r="Q538" s="363"/>
      <c r="R538" s="363"/>
      <c r="S538" s="363"/>
      <c r="T538" s="363"/>
      <c r="U538" s="363"/>
    </row>
    <row r="539" spans="1:21" ht="18">
      <c r="A539" s="363"/>
      <c r="B539" s="363"/>
      <c r="C539" s="363"/>
      <c r="D539" s="363"/>
      <c r="E539" s="363"/>
      <c r="F539" s="363"/>
      <c r="G539" s="363"/>
      <c r="H539" s="363"/>
      <c r="I539" s="363"/>
      <c r="J539" s="363"/>
      <c r="K539" s="363"/>
      <c r="L539" s="363"/>
      <c r="M539" s="363"/>
      <c r="N539" s="363"/>
      <c r="O539" s="363"/>
      <c r="P539" s="363"/>
      <c r="Q539" s="363"/>
      <c r="R539" s="363"/>
      <c r="S539" s="363"/>
      <c r="T539" s="363"/>
      <c r="U539" s="363"/>
    </row>
    <row r="540" spans="1:21" ht="18">
      <c r="A540" s="363"/>
      <c r="B540" s="363"/>
      <c r="C540" s="363"/>
      <c r="D540" s="363"/>
      <c r="E540" s="363"/>
      <c r="F540" s="363"/>
      <c r="G540" s="363"/>
      <c r="H540" s="363"/>
      <c r="I540" s="363"/>
      <c r="J540" s="363"/>
      <c r="K540" s="363"/>
      <c r="L540" s="363"/>
      <c r="M540" s="363"/>
      <c r="N540" s="363"/>
      <c r="O540" s="363"/>
      <c r="P540" s="363"/>
      <c r="Q540" s="363"/>
      <c r="R540" s="363"/>
      <c r="S540" s="363"/>
      <c r="T540" s="363"/>
      <c r="U540" s="363"/>
    </row>
    <row r="541" spans="1:21" ht="18">
      <c r="A541" s="363"/>
      <c r="B541" s="363"/>
      <c r="C541" s="363"/>
      <c r="D541" s="363"/>
      <c r="E541" s="363"/>
      <c r="F541" s="363"/>
      <c r="G541" s="363"/>
      <c r="H541" s="363"/>
      <c r="I541" s="363"/>
      <c r="J541" s="363"/>
      <c r="K541" s="363"/>
      <c r="L541" s="363"/>
      <c r="M541" s="363"/>
      <c r="N541" s="363"/>
      <c r="O541" s="363"/>
      <c r="P541" s="363"/>
      <c r="Q541" s="363"/>
      <c r="R541" s="363"/>
      <c r="S541" s="363"/>
      <c r="T541" s="363"/>
      <c r="U541" s="363"/>
    </row>
    <row r="542" spans="1:21" ht="18">
      <c r="A542" s="363"/>
      <c r="B542" s="363"/>
      <c r="C542" s="363"/>
      <c r="D542" s="363"/>
      <c r="E542" s="363"/>
      <c r="F542" s="363"/>
      <c r="G542" s="363"/>
      <c r="H542" s="363"/>
      <c r="I542" s="363"/>
      <c r="J542" s="363"/>
      <c r="K542" s="363"/>
      <c r="L542" s="363"/>
      <c r="M542" s="363"/>
      <c r="N542" s="363"/>
      <c r="O542" s="363"/>
      <c r="P542" s="363"/>
      <c r="Q542" s="363"/>
      <c r="R542" s="363"/>
      <c r="S542" s="363"/>
      <c r="T542" s="363"/>
      <c r="U542" s="363"/>
    </row>
    <row r="543" spans="1:21" ht="18">
      <c r="A543" s="363"/>
      <c r="B543" s="363"/>
      <c r="C543" s="363"/>
      <c r="D543" s="363"/>
      <c r="E543" s="363"/>
      <c r="F543" s="363"/>
      <c r="G543" s="363"/>
      <c r="H543" s="363"/>
      <c r="I543" s="363"/>
      <c r="J543" s="363"/>
      <c r="K543" s="363"/>
      <c r="L543" s="363"/>
      <c r="M543" s="363"/>
      <c r="N543" s="363"/>
      <c r="O543" s="363"/>
      <c r="P543" s="363"/>
      <c r="Q543" s="363"/>
      <c r="R543" s="363"/>
      <c r="S543" s="363"/>
      <c r="T543" s="363"/>
      <c r="U543" s="363"/>
    </row>
    <row r="544" spans="1:21" ht="18">
      <c r="A544" s="363"/>
      <c r="B544" s="363"/>
      <c r="C544" s="363"/>
      <c r="D544" s="363"/>
      <c r="E544" s="363"/>
      <c r="F544" s="363"/>
      <c r="G544" s="363"/>
      <c r="H544" s="363"/>
      <c r="I544" s="363"/>
      <c r="J544" s="363"/>
      <c r="K544" s="363"/>
      <c r="L544" s="363"/>
      <c r="M544" s="363"/>
      <c r="N544" s="363"/>
      <c r="O544" s="363"/>
      <c r="P544" s="363"/>
      <c r="Q544" s="363"/>
      <c r="R544" s="363"/>
      <c r="S544" s="363"/>
      <c r="T544" s="363"/>
      <c r="U544" s="363"/>
    </row>
    <row r="545" spans="1:21" ht="18">
      <c r="A545" s="363"/>
      <c r="B545" s="363"/>
      <c r="C545" s="363"/>
      <c r="D545" s="363"/>
      <c r="E545" s="363"/>
      <c r="F545" s="363"/>
      <c r="G545" s="363"/>
      <c r="H545" s="363"/>
      <c r="I545" s="363"/>
      <c r="J545" s="363"/>
      <c r="K545" s="363"/>
      <c r="L545" s="363"/>
      <c r="M545" s="363"/>
      <c r="N545" s="363"/>
      <c r="O545" s="363"/>
      <c r="P545" s="363"/>
      <c r="Q545" s="363"/>
      <c r="R545" s="363"/>
      <c r="S545" s="363"/>
      <c r="T545" s="363"/>
      <c r="U545" s="363"/>
    </row>
    <row r="546" spans="1:21" ht="18">
      <c r="A546" s="363"/>
      <c r="B546" s="363"/>
      <c r="C546" s="363"/>
      <c r="D546" s="363"/>
      <c r="E546" s="363"/>
      <c r="F546" s="363"/>
      <c r="G546" s="363"/>
      <c r="H546" s="363"/>
      <c r="I546" s="363"/>
      <c r="J546" s="363"/>
      <c r="K546" s="363"/>
      <c r="L546" s="363"/>
      <c r="M546" s="363"/>
      <c r="N546" s="363"/>
      <c r="O546" s="363"/>
      <c r="P546" s="363"/>
      <c r="Q546" s="363"/>
      <c r="R546" s="363"/>
      <c r="S546" s="363"/>
      <c r="T546" s="363"/>
      <c r="U546" s="363"/>
    </row>
    <row r="547" spans="1:21" ht="18">
      <c r="A547" s="363"/>
      <c r="B547" s="363"/>
      <c r="C547" s="363"/>
      <c r="D547" s="363"/>
      <c r="E547" s="363"/>
      <c r="F547" s="363"/>
      <c r="G547" s="363"/>
      <c r="H547" s="363"/>
      <c r="I547" s="363"/>
      <c r="J547" s="363"/>
      <c r="K547" s="363"/>
      <c r="L547" s="363"/>
      <c r="M547" s="363"/>
      <c r="N547" s="363"/>
      <c r="O547" s="363"/>
      <c r="P547" s="363"/>
      <c r="Q547" s="363"/>
      <c r="R547" s="363"/>
      <c r="S547" s="363"/>
      <c r="T547" s="363"/>
      <c r="U547" s="363"/>
    </row>
    <row r="548" spans="1:21" ht="18">
      <c r="A548" s="363"/>
      <c r="B548" s="363"/>
      <c r="C548" s="363"/>
      <c r="D548" s="363"/>
      <c r="E548" s="363"/>
      <c r="F548" s="363"/>
      <c r="G548" s="363"/>
      <c r="H548" s="363"/>
      <c r="I548" s="363"/>
      <c r="J548" s="363"/>
      <c r="K548" s="363"/>
      <c r="L548" s="363"/>
      <c r="M548" s="363"/>
      <c r="N548" s="363"/>
      <c r="O548" s="363"/>
      <c r="P548" s="363"/>
      <c r="Q548" s="363"/>
      <c r="R548" s="363"/>
      <c r="S548" s="363"/>
      <c r="T548" s="363"/>
      <c r="U548" s="363"/>
    </row>
    <row r="549" spans="1:21" ht="18">
      <c r="A549" s="363"/>
      <c r="B549" s="363"/>
      <c r="C549" s="363"/>
      <c r="D549" s="363"/>
      <c r="E549" s="363"/>
      <c r="F549" s="363"/>
      <c r="G549" s="363"/>
      <c r="H549" s="363"/>
      <c r="I549" s="363"/>
      <c r="J549" s="363"/>
      <c r="K549" s="363"/>
      <c r="L549" s="363"/>
      <c r="M549" s="363"/>
      <c r="N549" s="363"/>
      <c r="O549" s="363"/>
      <c r="P549" s="363"/>
      <c r="Q549" s="363"/>
      <c r="R549" s="363"/>
      <c r="S549" s="363"/>
      <c r="T549" s="363"/>
      <c r="U549" s="363"/>
    </row>
    <row r="550" spans="1:21" ht="18">
      <c r="A550" s="363"/>
      <c r="B550" s="363"/>
      <c r="C550" s="363"/>
      <c r="D550" s="363"/>
      <c r="E550" s="363"/>
      <c r="F550" s="363"/>
      <c r="G550" s="363"/>
      <c r="H550" s="363"/>
      <c r="I550" s="363"/>
      <c r="J550" s="363"/>
      <c r="K550" s="363"/>
      <c r="L550" s="363"/>
      <c r="M550" s="363"/>
      <c r="N550" s="363"/>
      <c r="O550" s="363"/>
      <c r="P550" s="363"/>
      <c r="Q550" s="363"/>
      <c r="R550" s="363"/>
      <c r="S550" s="363"/>
      <c r="T550" s="363"/>
      <c r="U550" s="363"/>
    </row>
    <row r="551" spans="1:21" ht="18">
      <c r="A551" s="363"/>
      <c r="B551" s="363"/>
      <c r="C551" s="363"/>
      <c r="D551" s="363"/>
      <c r="E551" s="363"/>
      <c r="F551" s="363"/>
      <c r="G551" s="363"/>
      <c r="H551" s="363"/>
      <c r="I551" s="363"/>
      <c r="J551" s="363"/>
      <c r="K551" s="363"/>
      <c r="L551" s="363"/>
      <c r="M551" s="363"/>
      <c r="N551" s="363"/>
      <c r="O551" s="363"/>
      <c r="P551" s="363"/>
      <c r="Q551" s="363"/>
      <c r="R551" s="363"/>
      <c r="S551" s="363"/>
      <c r="T551" s="363"/>
      <c r="U551" s="363"/>
    </row>
    <row r="552" spans="1:21" ht="18">
      <c r="A552" s="363"/>
      <c r="B552" s="363"/>
      <c r="C552" s="363"/>
      <c r="D552" s="363"/>
      <c r="E552" s="363"/>
      <c r="F552" s="363"/>
      <c r="G552" s="363"/>
      <c r="H552" s="363"/>
      <c r="I552" s="363"/>
      <c r="J552" s="363"/>
      <c r="K552" s="363"/>
      <c r="L552" s="363"/>
      <c r="M552" s="363"/>
      <c r="N552" s="363"/>
      <c r="O552" s="363"/>
      <c r="P552" s="363"/>
      <c r="Q552" s="363"/>
      <c r="R552" s="363"/>
      <c r="S552" s="363"/>
      <c r="T552" s="363"/>
      <c r="U552" s="363"/>
    </row>
    <row r="553" spans="1:21" ht="18">
      <c r="A553" s="363"/>
      <c r="B553" s="363"/>
      <c r="C553" s="363"/>
      <c r="D553" s="363"/>
      <c r="E553" s="363"/>
      <c r="F553" s="363"/>
      <c r="G553" s="363"/>
      <c r="H553" s="363"/>
      <c r="I553" s="363"/>
      <c r="J553" s="363"/>
      <c r="K553" s="363"/>
      <c r="L553" s="363"/>
      <c r="M553" s="363"/>
      <c r="N553" s="363"/>
      <c r="O553" s="363"/>
      <c r="P553" s="363"/>
      <c r="Q553" s="363"/>
      <c r="R553" s="363"/>
      <c r="S553" s="363"/>
      <c r="T553" s="363"/>
      <c r="U553" s="363"/>
    </row>
    <row r="554" spans="1:21" ht="18">
      <c r="A554" s="363"/>
      <c r="B554" s="363"/>
      <c r="C554" s="363"/>
      <c r="D554" s="363"/>
      <c r="E554" s="363"/>
      <c r="F554" s="363"/>
      <c r="G554" s="363"/>
      <c r="H554" s="363"/>
      <c r="I554" s="363"/>
      <c r="J554" s="363"/>
      <c r="K554" s="363"/>
      <c r="L554" s="363"/>
      <c r="M554" s="363"/>
      <c r="N554" s="363"/>
      <c r="O554" s="363"/>
      <c r="P554" s="363"/>
      <c r="Q554" s="363"/>
      <c r="R554" s="363"/>
      <c r="S554" s="363"/>
      <c r="T554" s="363"/>
      <c r="U554" s="363"/>
    </row>
    <row r="555" spans="1:21" ht="18">
      <c r="A555" s="363"/>
      <c r="B555" s="363"/>
      <c r="C555" s="363"/>
      <c r="D555" s="363"/>
      <c r="E555" s="363"/>
      <c r="F555" s="363"/>
      <c r="G555" s="363"/>
      <c r="H555" s="363"/>
      <c r="I555" s="363"/>
      <c r="J555" s="363"/>
      <c r="K555" s="363"/>
      <c r="L555" s="363"/>
      <c r="M555" s="363"/>
      <c r="N555" s="363"/>
      <c r="O555" s="363"/>
      <c r="P555" s="363"/>
      <c r="Q555" s="363"/>
      <c r="R555" s="363"/>
      <c r="S555" s="363"/>
      <c r="T555" s="363"/>
      <c r="U555" s="363"/>
    </row>
    <row r="556" spans="1:21" ht="18">
      <c r="A556" s="363"/>
      <c r="B556" s="363"/>
      <c r="C556" s="363"/>
      <c r="D556" s="363"/>
      <c r="E556" s="363"/>
      <c r="F556" s="363"/>
      <c r="G556" s="363"/>
      <c r="H556" s="363"/>
      <c r="I556" s="363"/>
      <c r="J556" s="363"/>
      <c r="K556" s="363"/>
      <c r="L556" s="363"/>
      <c r="M556" s="363"/>
      <c r="N556" s="363"/>
      <c r="O556" s="363"/>
      <c r="P556" s="363"/>
      <c r="Q556" s="363"/>
      <c r="R556" s="363"/>
      <c r="S556" s="363"/>
      <c r="T556" s="363"/>
      <c r="U556" s="363"/>
    </row>
    <row r="557" spans="1:21" ht="18">
      <c r="A557" s="363"/>
      <c r="B557" s="363"/>
      <c r="C557" s="363"/>
      <c r="D557" s="363"/>
      <c r="E557" s="363"/>
      <c r="F557" s="363"/>
      <c r="G557" s="363"/>
      <c r="H557" s="363"/>
      <c r="I557" s="363"/>
      <c r="J557" s="363"/>
      <c r="K557" s="363"/>
      <c r="L557" s="363"/>
      <c r="M557" s="363"/>
      <c r="N557" s="363"/>
      <c r="O557" s="363"/>
      <c r="P557" s="363"/>
      <c r="Q557" s="363"/>
      <c r="R557" s="363"/>
      <c r="S557" s="363"/>
      <c r="T557" s="363"/>
      <c r="U557" s="363"/>
    </row>
    <row r="558" spans="1:21" ht="18">
      <c r="A558" s="363"/>
      <c r="B558" s="363"/>
      <c r="C558" s="363"/>
      <c r="D558" s="363"/>
      <c r="E558" s="363"/>
      <c r="F558" s="363"/>
      <c r="G558" s="363"/>
      <c r="H558" s="363"/>
      <c r="I558" s="363"/>
      <c r="J558" s="363"/>
      <c r="K558" s="363"/>
      <c r="L558" s="363"/>
      <c r="M558" s="363"/>
      <c r="N558" s="363"/>
      <c r="O558" s="363"/>
      <c r="P558" s="363"/>
      <c r="Q558" s="363"/>
      <c r="R558" s="363"/>
      <c r="S558" s="363"/>
      <c r="T558" s="363"/>
      <c r="U558" s="363"/>
    </row>
    <row r="559" spans="1:21" ht="18">
      <c r="A559" s="363"/>
      <c r="B559" s="363"/>
      <c r="C559" s="363"/>
      <c r="D559" s="363"/>
      <c r="E559" s="363"/>
      <c r="F559" s="363"/>
      <c r="G559" s="363"/>
      <c r="H559" s="363"/>
      <c r="I559" s="363"/>
      <c r="J559" s="363"/>
      <c r="K559" s="363"/>
      <c r="L559" s="363"/>
      <c r="M559" s="363"/>
      <c r="N559" s="363"/>
      <c r="O559" s="363"/>
      <c r="P559" s="363"/>
      <c r="Q559" s="363"/>
      <c r="R559" s="363"/>
      <c r="S559" s="363"/>
      <c r="T559" s="363"/>
      <c r="U559" s="363"/>
    </row>
    <row r="560" spans="1:21" ht="18">
      <c r="A560" s="363"/>
      <c r="B560" s="363"/>
      <c r="C560" s="363"/>
      <c r="D560" s="363"/>
      <c r="E560" s="363"/>
      <c r="F560" s="363"/>
      <c r="G560" s="363"/>
      <c r="H560" s="363"/>
      <c r="I560" s="363"/>
      <c r="J560" s="363"/>
      <c r="K560" s="363"/>
      <c r="L560" s="363"/>
      <c r="M560" s="363"/>
      <c r="N560" s="363"/>
      <c r="O560" s="363"/>
      <c r="P560" s="363"/>
      <c r="Q560" s="363"/>
      <c r="R560" s="363"/>
      <c r="S560" s="363"/>
      <c r="T560" s="363"/>
      <c r="U560" s="363"/>
    </row>
    <row r="561" spans="1:21" ht="18">
      <c r="A561" s="363"/>
      <c r="B561" s="363"/>
      <c r="C561" s="363"/>
      <c r="D561" s="363"/>
      <c r="E561" s="363"/>
      <c r="F561" s="363"/>
      <c r="G561" s="363"/>
      <c r="H561" s="363"/>
      <c r="I561" s="363"/>
      <c r="J561" s="363"/>
      <c r="K561" s="363"/>
      <c r="L561" s="363"/>
      <c r="M561" s="363"/>
      <c r="N561" s="363"/>
      <c r="O561" s="363"/>
      <c r="P561" s="363"/>
      <c r="Q561" s="363"/>
      <c r="R561" s="363"/>
      <c r="S561" s="363"/>
      <c r="T561" s="363"/>
      <c r="U561" s="363"/>
    </row>
    <row r="562" spans="1:21" ht="18">
      <c r="A562" s="363"/>
      <c r="B562" s="363"/>
      <c r="C562" s="363"/>
      <c r="D562" s="363"/>
      <c r="E562" s="363"/>
      <c r="F562" s="363"/>
      <c r="G562" s="363"/>
      <c r="H562" s="363"/>
      <c r="I562" s="363"/>
      <c r="J562" s="363"/>
      <c r="K562" s="363"/>
      <c r="L562" s="363"/>
      <c r="M562" s="363"/>
      <c r="N562" s="363"/>
      <c r="O562" s="363"/>
      <c r="P562" s="363"/>
      <c r="Q562" s="363"/>
      <c r="R562" s="363"/>
      <c r="S562" s="363"/>
      <c r="T562" s="363"/>
      <c r="U562" s="363"/>
    </row>
    <row r="563" spans="1:21" ht="18">
      <c r="A563" s="363"/>
      <c r="B563" s="363"/>
      <c r="C563" s="363"/>
      <c r="D563" s="363"/>
      <c r="E563" s="363"/>
      <c r="F563" s="363"/>
      <c r="G563" s="363"/>
      <c r="H563" s="363"/>
      <c r="I563" s="363"/>
      <c r="J563" s="363"/>
      <c r="K563" s="363"/>
      <c r="L563" s="363"/>
      <c r="M563" s="363"/>
      <c r="N563" s="363"/>
      <c r="O563" s="363"/>
      <c r="P563" s="363"/>
      <c r="Q563" s="363"/>
      <c r="R563" s="363"/>
      <c r="S563" s="363"/>
      <c r="T563" s="363"/>
      <c r="U563" s="363"/>
    </row>
    <row r="564" spans="1:21" ht="18">
      <c r="A564" s="363"/>
      <c r="B564" s="363"/>
      <c r="C564" s="363"/>
      <c r="D564" s="363"/>
      <c r="E564" s="363"/>
      <c r="F564" s="363"/>
      <c r="G564" s="363"/>
      <c r="H564" s="363"/>
      <c r="I564" s="363"/>
      <c r="J564" s="363"/>
      <c r="K564" s="363"/>
      <c r="L564" s="363"/>
      <c r="M564" s="363"/>
      <c r="N564" s="363"/>
      <c r="O564" s="363"/>
      <c r="P564" s="363"/>
      <c r="Q564" s="363"/>
      <c r="R564" s="363"/>
      <c r="S564" s="363"/>
      <c r="T564" s="363"/>
      <c r="U564" s="363"/>
    </row>
    <row r="565" spans="1:21" ht="18">
      <c r="A565" s="363"/>
      <c r="B565" s="363"/>
      <c r="C565" s="363"/>
      <c r="D565" s="363"/>
      <c r="E565" s="363"/>
      <c r="F565" s="363"/>
      <c r="G565" s="363"/>
      <c r="H565" s="363"/>
      <c r="I565" s="363"/>
      <c r="J565" s="363"/>
      <c r="K565" s="363"/>
      <c r="L565" s="363"/>
      <c r="M565" s="363"/>
      <c r="N565" s="363"/>
      <c r="O565" s="363"/>
      <c r="P565" s="363"/>
      <c r="Q565" s="363"/>
      <c r="R565" s="363"/>
      <c r="S565" s="363"/>
      <c r="T565" s="363"/>
      <c r="U565" s="363"/>
    </row>
    <row r="566" spans="1:21" ht="18">
      <c r="A566" s="363"/>
      <c r="B566" s="363"/>
      <c r="C566" s="363"/>
      <c r="D566" s="363"/>
      <c r="E566" s="363"/>
      <c r="F566" s="363"/>
      <c r="G566" s="363"/>
      <c r="H566" s="363"/>
      <c r="I566" s="363"/>
      <c r="J566" s="363"/>
      <c r="K566" s="363"/>
      <c r="L566" s="363"/>
      <c r="M566" s="363"/>
      <c r="N566" s="363"/>
      <c r="O566" s="363"/>
      <c r="P566" s="363"/>
      <c r="Q566" s="363"/>
      <c r="R566" s="363"/>
      <c r="S566" s="363"/>
      <c r="T566" s="363"/>
      <c r="U566" s="363"/>
    </row>
    <row r="567" spans="1:21" ht="18">
      <c r="A567" s="363"/>
      <c r="B567" s="363"/>
      <c r="C567" s="363"/>
      <c r="D567" s="363"/>
      <c r="E567" s="363"/>
      <c r="F567" s="363"/>
      <c r="G567" s="363"/>
      <c r="H567" s="363"/>
      <c r="I567" s="363"/>
      <c r="J567" s="363"/>
      <c r="K567" s="363"/>
      <c r="L567" s="363"/>
      <c r="M567" s="363"/>
      <c r="N567" s="363"/>
      <c r="O567" s="363"/>
      <c r="P567" s="363"/>
      <c r="Q567" s="363"/>
      <c r="R567" s="363"/>
      <c r="S567" s="363"/>
      <c r="T567" s="363"/>
      <c r="U567" s="363"/>
    </row>
    <row r="568" spans="1:21" ht="18">
      <c r="A568" s="363"/>
      <c r="B568" s="363"/>
      <c r="C568" s="363"/>
      <c r="D568" s="363"/>
      <c r="E568" s="363"/>
      <c r="F568" s="363"/>
      <c r="G568" s="363"/>
      <c r="H568" s="363"/>
      <c r="I568" s="363"/>
      <c r="J568" s="363"/>
      <c r="K568" s="363"/>
      <c r="L568" s="363"/>
      <c r="M568" s="363"/>
      <c r="N568" s="363"/>
      <c r="O568" s="363"/>
      <c r="P568" s="363"/>
      <c r="Q568" s="363"/>
      <c r="R568" s="363"/>
      <c r="S568" s="363"/>
      <c r="T568" s="363"/>
      <c r="U568" s="363"/>
    </row>
    <row r="569" spans="1:21" ht="18">
      <c r="A569" s="363"/>
      <c r="B569" s="363"/>
      <c r="C569" s="363"/>
      <c r="D569" s="363"/>
      <c r="E569" s="363"/>
      <c r="F569" s="363"/>
      <c r="G569" s="363"/>
      <c r="H569" s="363"/>
      <c r="I569" s="363"/>
      <c r="J569" s="363"/>
      <c r="K569" s="363"/>
      <c r="L569" s="363"/>
      <c r="M569" s="363"/>
      <c r="N569" s="363"/>
      <c r="O569" s="363"/>
      <c r="P569" s="363"/>
      <c r="Q569" s="363"/>
      <c r="R569" s="363"/>
      <c r="S569" s="363"/>
      <c r="T569" s="363"/>
      <c r="U569" s="363"/>
    </row>
    <row r="570" spans="1:21" ht="18">
      <c r="A570" s="363"/>
      <c r="B570" s="363"/>
      <c r="C570" s="363"/>
      <c r="D570" s="363"/>
      <c r="E570" s="363"/>
      <c r="F570" s="363"/>
      <c r="G570" s="363"/>
      <c r="H570" s="363"/>
      <c r="I570" s="363"/>
      <c r="J570" s="363"/>
      <c r="K570" s="363"/>
      <c r="L570" s="363"/>
      <c r="M570" s="363"/>
      <c r="N570" s="363"/>
      <c r="O570" s="363"/>
      <c r="P570" s="363"/>
      <c r="Q570" s="363"/>
      <c r="R570" s="363"/>
      <c r="S570" s="363"/>
      <c r="T570" s="363"/>
      <c r="U570" s="363"/>
    </row>
    <row r="571" spans="1:21" ht="18">
      <c r="A571" s="363"/>
      <c r="B571" s="363"/>
      <c r="C571" s="363"/>
      <c r="D571" s="363"/>
      <c r="E571" s="363"/>
      <c r="F571" s="363"/>
      <c r="G571" s="363"/>
      <c r="H571" s="363"/>
      <c r="I571" s="363"/>
      <c r="J571" s="363"/>
      <c r="K571" s="363"/>
      <c r="L571" s="363"/>
      <c r="M571" s="363"/>
      <c r="N571" s="363"/>
      <c r="O571" s="363"/>
      <c r="P571" s="363"/>
      <c r="Q571" s="363"/>
      <c r="R571" s="363"/>
      <c r="S571" s="363"/>
      <c r="T571" s="363"/>
      <c r="U571" s="363"/>
    </row>
    <row r="572" spans="1:21" ht="18">
      <c r="A572" s="363"/>
      <c r="B572" s="363"/>
      <c r="C572" s="363"/>
      <c r="D572" s="363"/>
      <c r="E572" s="363"/>
      <c r="F572" s="363"/>
      <c r="G572" s="363"/>
      <c r="H572" s="363"/>
      <c r="I572" s="363"/>
      <c r="J572" s="363"/>
      <c r="K572" s="363"/>
      <c r="L572" s="363"/>
      <c r="M572" s="363"/>
      <c r="N572" s="363"/>
      <c r="O572" s="363"/>
      <c r="P572" s="363"/>
      <c r="Q572" s="363"/>
      <c r="R572" s="363"/>
      <c r="S572" s="363"/>
      <c r="T572" s="363"/>
      <c r="U572" s="363"/>
    </row>
    <row r="573" spans="1:21" ht="18">
      <c r="A573" s="363"/>
      <c r="B573" s="363"/>
      <c r="C573" s="363"/>
      <c r="D573" s="363"/>
      <c r="E573" s="363"/>
      <c r="F573" s="363"/>
      <c r="G573" s="363"/>
      <c r="H573" s="363"/>
      <c r="I573" s="363"/>
      <c r="J573" s="363"/>
      <c r="K573" s="363"/>
      <c r="L573" s="363"/>
      <c r="M573" s="363"/>
      <c r="N573" s="363"/>
      <c r="O573" s="363"/>
      <c r="P573" s="363"/>
      <c r="Q573" s="363"/>
      <c r="R573" s="363"/>
      <c r="S573" s="363"/>
      <c r="T573" s="363"/>
      <c r="U573" s="363"/>
    </row>
    <row r="574" spans="1:21" ht="18">
      <c r="A574" s="363"/>
      <c r="B574" s="363"/>
      <c r="C574" s="363"/>
      <c r="D574" s="363"/>
      <c r="E574" s="363"/>
      <c r="F574" s="363"/>
      <c r="G574" s="363"/>
      <c r="H574" s="363"/>
      <c r="I574" s="363"/>
      <c r="J574" s="363"/>
      <c r="K574" s="363"/>
      <c r="L574" s="363"/>
      <c r="M574" s="363"/>
      <c r="N574" s="363"/>
      <c r="O574" s="363"/>
      <c r="P574" s="363"/>
      <c r="Q574" s="363"/>
      <c r="R574" s="363"/>
      <c r="S574" s="363"/>
      <c r="T574" s="363"/>
      <c r="U574" s="363"/>
    </row>
    <row r="575" spans="1:21" ht="18">
      <c r="A575" s="363"/>
      <c r="B575" s="363"/>
      <c r="C575" s="363"/>
      <c r="D575" s="363"/>
      <c r="E575" s="363"/>
      <c r="F575" s="363"/>
      <c r="G575" s="363"/>
      <c r="H575" s="363"/>
      <c r="I575" s="363"/>
      <c r="J575" s="363"/>
      <c r="K575" s="363"/>
      <c r="L575" s="363"/>
      <c r="M575" s="363"/>
      <c r="N575" s="363"/>
      <c r="O575" s="363"/>
      <c r="P575" s="363"/>
      <c r="Q575" s="363"/>
      <c r="R575" s="363"/>
      <c r="S575" s="363"/>
      <c r="T575" s="363"/>
      <c r="U575" s="363"/>
    </row>
    <row r="576" spans="1:21" ht="18">
      <c r="A576" s="363"/>
      <c r="B576" s="363"/>
      <c r="C576" s="363"/>
      <c r="D576" s="363"/>
      <c r="E576" s="363"/>
      <c r="F576" s="363"/>
      <c r="G576" s="363"/>
      <c r="H576" s="363"/>
      <c r="I576" s="363"/>
      <c r="J576" s="363"/>
      <c r="K576" s="363"/>
      <c r="L576" s="363"/>
      <c r="M576" s="363"/>
      <c r="N576" s="363"/>
      <c r="O576" s="363"/>
      <c r="P576" s="363"/>
      <c r="Q576" s="363"/>
      <c r="R576" s="363"/>
      <c r="S576" s="363"/>
      <c r="T576" s="363"/>
      <c r="U576" s="363"/>
    </row>
    <row r="577" spans="1:21" ht="18">
      <c r="A577" s="363"/>
      <c r="B577" s="363"/>
      <c r="C577" s="363"/>
      <c r="D577" s="363"/>
      <c r="E577" s="363"/>
      <c r="F577" s="363"/>
      <c r="G577" s="363"/>
      <c r="H577" s="363"/>
      <c r="I577" s="363"/>
      <c r="J577" s="363"/>
      <c r="K577" s="363"/>
      <c r="L577" s="363"/>
      <c r="M577" s="363"/>
      <c r="N577" s="363"/>
      <c r="O577" s="363"/>
      <c r="P577" s="363"/>
      <c r="Q577" s="363"/>
      <c r="R577" s="363"/>
      <c r="S577" s="363"/>
      <c r="T577" s="363"/>
      <c r="U577" s="363"/>
    </row>
    <row r="578" spans="1:21" ht="18">
      <c r="A578" s="363"/>
      <c r="B578" s="363"/>
      <c r="C578" s="363"/>
      <c r="D578" s="363"/>
      <c r="E578" s="363"/>
      <c r="F578" s="363"/>
      <c r="G578" s="363"/>
      <c r="H578" s="363"/>
      <c r="I578" s="363"/>
      <c r="J578" s="363"/>
      <c r="K578" s="363"/>
      <c r="L578" s="363"/>
      <c r="M578" s="363"/>
      <c r="N578" s="363"/>
      <c r="O578" s="363"/>
      <c r="P578" s="363"/>
      <c r="Q578" s="363"/>
      <c r="R578" s="363"/>
      <c r="S578" s="363"/>
      <c r="T578" s="363"/>
      <c r="U578" s="363"/>
    </row>
    <row r="579" spans="1:21" ht="18">
      <c r="A579" s="363"/>
      <c r="B579" s="363"/>
      <c r="C579" s="363"/>
      <c r="D579" s="363"/>
      <c r="E579" s="363"/>
      <c r="F579" s="363"/>
      <c r="G579" s="363"/>
      <c r="H579" s="363"/>
      <c r="I579" s="363"/>
      <c r="J579" s="363"/>
      <c r="K579" s="363"/>
      <c r="L579" s="363"/>
      <c r="M579" s="363"/>
      <c r="N579" s="363"/>
      <c r="O579" s="363"/>
      <c r="P579" s="363"/>
      <c r="Q579" s="363"/>
      <c r="R579" s="363"/>
      <c r="S579" s="363"/>
      <c r="T579" s="363"/>
      <c r="U579" s="363"/>
    </row>
    <row r="580" spans="1:21" ht="18">
      <c r="A580" s="363"/>
      <c r="B580" s="363"/>
      <c r="C580" s="363"/>
      <c r="D580" s="363"/>
      <c r="E580" s="363"/>
      <c r="F580" s="363"/>
      <c r="G580" s="363"/>
      <c r="H580" s="363"/>
      <c r="I580" s="363"/>
      <c r="J580" s="363"/>
      <c r="K580" s="363"/>
      <c r="L580" s="363"/>
      <c r="M580" s="363"/>
      <c r="N580" s="363"/>
      <c r="O580" s="363"/>
      <c r="P580" s="363"/>
      <c r="Q580" s="363"/>
      <c r="R580" s="363"/>
      <c r="S580" s="363"/>
      <c r="T580" s="363"/>
      <c r="U580" s="363"/>
    </row>
    <row r="581" spans="1:21" ht="18">
      <c r="A581" s="363"/>
      <c r="B581" s="363"/>
      <c r="C581" s="363"/>
      <c r="D581" s="363"/>
      <c r="E581" s="363"/>
      <c r="F581" s="363"/>
      <c r="G581" s="363"/>
      <c r="H581" s="363"/>
      <c r="I581" s="363"/>
      <c r="J581" s="363"/>
      <c r="K581" s="363"/>
      <c r="L581" s="363"/>
      <c r="M581" s="363"/>
      <c r="N581" s="363"/>
      <c r="O581" s="363"/>
      <c r="P581" s="363"/>
      <c r="Q581" s="363"/>
      <c r="R581" s="363"/>
      <c r="S581" s="363"/>
      <c r="T581" s="363"/>
      <c r="U581" s="363"/>
    </row>
    <row r="582" spans="1:21" ht="18">
      <c r="A582" s="363"/>
      <c r="B582" s="363"/>
      <c r="C582" s="363"/>
      <c r="D582" s="363"/>
      <c r="E582" s="363"/>
      <c r="F582" s="363"/>
      <c r="G582" s="363"/>
      <c r="H582" s="363"/>
      <c r="I582" s="363"/>
      <c r="J582" s="363"/>
      <c r="K582" s="363"/>
      <c r="L582" s="363"/>
      <c r="M582" s="363"/>
      <c r="N582" s="363"/>
      <c r="O582" s="363"/>
      <c r="P582" s="363"/>
      <c r="Q582" s="363"/>
      <c r="R582" s="363"/>
      <c r="S582" s="363"/>
      <c r="T582" s="363"/>
      <c r="U582" s="363"/>
    </row>
    <row r="583" spans="1:21" ht="18">
      <c r="A583" s="363"/>
      <c r="B583" s="363"/>
      <c r="C583" s="363"/>
      <c r="D583" s="363"/>
      <c r="E583" s="363"/>
      <c r="F583" s="363"/>
      <c r="G583" s="363"/>
      <c r="H583" s="363"/>
      <c r="I583" s="363"/>
      <c r="J583" s="363"/>
      <c r="K583" s="363"/>
      <c r="L583" s="363"/>
      <c r="M583" s="363"/>
      <c r="N583" s="363"/>
      <c r="O583" s="363"/>
      <c r="P583" s="363"/>
      <c r="Q583" s="363"/>
      <c r="R583" s="363"/>
      <c r="S583" s="363"/>
      <c r="T583" s="363"/>
      <c r="U583" s="363"/>
    </row>
    <row r="584" spans="1:21" ht="18">
      <c r="A584" s="363"/>
      <c r="B584" s="363"/>
      <c r="C584" s="363"/>
      <c r="D584" s="363"/>
      <c r="E584" s="363"/>
      <c r="F584" s="363"/>
      <c r="G584" s="363"/>
      <c r="H584" s="363"/>
      <c r="I584" s="363"/>
      <c r="J584" s="363"/>
      <c r="K584" s="363"/>
      <c r="L584" s="363"/>
      <c r="M584" s="363"/>
      <c r="N584" s="363"/>
      <c r="O584" s="363"/>
      <c r="P584" s="363"/>
      <c r="Q584" s="363"/>
      <c r="R584" s="363"/>
      <c r="S584" s="363"/>
      <c r="T584" s="363"/>
      <c r="U584" s="363"/>
    </row>
    <row r="585" spans="1:21" ht="18">
      <c r="A585" s="363"/>
      <c r="B585" s="363"/>
      <c r="C585" s="363"/>
      <c r="D585" s="363"/>
      <c r="E585" s="363"/>
      <c r="F585" s="363"/>
      <c r="G585" s="363"/>
      <c r="H585" s="363"/>
      <c r="I585" s="363"/>
      <c r="J585" s="363"/>
      <c r="K585" s="363"/>
      <c r="L585" s="363"/>
      <c r="M585" s="363"/>
      <c r="N585" s="363"/>
      <c r="O585" s="363"/>
      <c r="P585" s="363"/>
      <c r="Q585" s="363"/>
      <c r="R585" s="363"/>
      <c r="S585" s="363"/>
      <c r="T585" s="363"/>
      <c r="U585" s="363"/>
    </row>
    <row r="586" spans="1:21" ht="18">
      <c r="A586" s="363"/>
      <c r="B586" s="363"/>
      <c r="C586" s="363"/>
      <c r="D586" s="363"/>
      <c r="E586" s="363"/>
      <c r="F586" s="363"/>
      <c r="G586" s="363"/>
      <c r="H586" s="363"/>
      <c r="I586" s="363"/>
      <c r="J586" s="363"/>
      <c r="K586" s="363"/>
      <c r="L586" s="363"/>
      <c r="M586" s="363"/>
      <c r="N586" s="363"/>
      <c r="O586" s="363"/>
      <c r="P586" s="363"/>
      <c r="Q586" s="363"/>
      <c r="R586" s="363"/>
      <c r="S586" s="363"/>
      <c r="T586" s="363"/>
      <c r="U586" s="363"/>
    </row>
    <row r="587" spans="1:21" ht="18">
      <c r="A587" s="363"/>
      <c r="B587" s="363"/>
      <c r="C587" s="363"/>
      <c r="D587" s="363"/>
      <c r="E587" s="363"/>
      <c r="F587" s="363"/>
      <c r="G587" s="363"/>
      <c r="H587" s="363"/>
      <c r="I587" s="363"/>
      <c r="J587" s="363"/>
      <c r="K587" s="363"/>
      <c r="L587" s="363"/>
      <c r="M587" s="363"/>
      <c r="N587" s="363"/>
      <c r="O587" s="363"/>
      <c r="P587" s="363"/>
      <c r="Q587" s="363"/>
      <c r="R587" s="363"/>
      <c r="S587" s="363"/>
      <c r="T587" s="363"/>
      <c r="U587" s="363"/>
    </row>
    <row r="588" spans="1:21" ht="18">
      <c r="A588" s="363"/>
      <c r="B588" s="363"/>
      <c r="C588" s="363"/>
      <c r="D588" s="363"/>
      <c r="E588" s="363"/>
      <c r="F588" s="363"/>
      <c r="G588" s="363"/>
      <c r="H588" s="363"/>
      <c r="I588" s="363"/>
      <c r="J588" s="363"/>
      <c r="K588" s="363"/>
      <c r="L588" s="363"/>
      <c r="M588" s="363"/>
      <c r="N588" s="363"/>
      <c r="O588" s="363"/>
      <c r="P588" s="363"/>
      <c r="Q588" s="363"/>
      <c r="R588" s="363"/>
      <c r="S588" s="363"/>
      <c r="T588" s="363"/>
      <c r="U588" s="363"/>
    </row>
    <row r="589" spans="1:21" ht="18">
      <c r="A589" s="363"/>
      <c r="B589" s="363"/>
      <c r="C589" s="363"/>
      <c r="D589" s="363"/>
      <c r="E589" s="363"/>
      <c r="F589" s="363"/>
      <c r="G589" s="363"/>
      <c r="H589" s="363"/>
      <c r="I589" s="363"/>
      <c r="J589" s="363"/>
      <c r="K589" s="363"/>
      <c r="L589" s="363"/>
      <c r="M589" s="363"/>
      <c r="N589" s="363"/>
      <c r="O589" s="363"/>
      <c r="P589" s="363"/>
      <c r="Q589" s="363"/>
      <c r="R589" s="363"/>
      <c r="S589" s="363"/>
      <c r="T589" s="363"/>
      <c r="U589" s="363"/>
    </row>
    <row r="590" spans="1:21" ht="18">
      <c r="A590" s="363"/>
      <c r="B590" s="363"/>
      <c r="C590" s="363"/>
      <c r="D590" s="363"/>
      <c r="E590" s="363"/>
      <c r="F590" s="363"/>
      <c r="G590" s="363"/>
      <c r="H590" s="363"/>
      <c r="I590" s="363"/>
      <c r="J590" s="363"/>
      <c r="K590" s="363"/>
      <c r="L590" s="363"/>
      <c r="M590" s="363"/>
      <c r="N590" s="363"/>
      <c r="O590" s="363"/>
      <c r="P590" s="363"/>
      <c r="Q590" s="363"/>
      <c r="R590" s="363"/>
      <c r="S590" s="363"/>
      <c r="T590" s="363"/>
      <c r="U590" s="363"/>
    </row>
    <row r="591" spans="1:21" ht="18">
      <c r="A591" s="363"/>
      <c r="B591" s="363"/>
      <c r="C591" s="363"/>
      <c r="D591" s="363"/>
      <c r="E591" s="363"/>
      <c r="F591" s="363"/>
      <c r="G591" s="363"/>
      <c r="H591" s="363"/>
      <c r="I591" s="363"/>
      <c r="J591" s="363"/>
      <c r="K591" s="363"/>
      <c r="L591" s="363"/>
      <c r="M591" s="363"/>
      <c r="N591" s="363"/>
      <c r="O591" s="363"/>
      <c r="P591" s="363"/>
      <c r="Q591" s="363"/>
      <c r="R591" s="363"/>
      <c r="S591" s="363"/>
      <c r="T591" s="363"/>
      <c r="U591" s="363"/>
    </row>
    <row r="592" spans="1:21" ht="18">
      <c r="A592" s="363"/>
      <c r="B592" s="363"/>
      <c r="C592" s="363"/>
      <c r="D592" s="363"/>
      <c r="E592" s="363"/>
      <c r="F592" s="363"/>
      <c r="G592" s="363"/>
      <c r="H592" s="363"/>
      <c r="I592" s="363"/>
      <c r="J592" s="363"/>
      <c r="K592" s="363"/>
      <c r="L592" s="363"/>
      <c r="M592" s="363"/>
      <c r="N592" s="363"/>
      <c r="O592" s="363"/>
      <c r="P592" s="363"/>
      <c r="Q592" s="363"/>
      <c r="R592" s="363"/>
      <c r="S592" s="363"/>
      <c r="T592" s="363"/>
      <c r="U592" s="363"/>
    </row>
    <row r="593" spans="1:21" ht="18">
      <c r="A593" s="363"/>
      <c r="B593" s="363"/>
      <c r="C593" s="363"/>
      <c r="D593" s="363"/>
      <c r="E593" s="363"/>
      <c r="F593" s="363"/>
      <c r="G593" s="363"/>
      <c r="H593" s="363"/>
      <c r="I593" s="363"/>
      <c r="J593" s="363"/>
      <c r="K593" s="363"/>
      <c r="L593" s="363"/>
      <c r="M593" s="363"/>
      <c r="N593" s="363"/>
      <c r="O593" s="363"/>
      <c r="P593" s="363"/>
      <c r="Q593" s="363"/>
      <c r="R593" s="363"/>
      <c r="S593" s="363"/>
      <c r="T593" s="363"/>
      <c r="U593" s="363"/>
    </row>
    <row r="594" spans="1:21" ht="18">
      <c r="A594" s="363"/>
      <c r="B594" s="363"/>
      <c r="C594" s="363"/>
      <c r="D594" s="363"/>
      <c r="E594" s="363"/>
      <c r="F594" s="363"/>
      <c r="G594" s="363"/>
      <c r="H594" s="363"/>
      <c r="I594" s="363"/>
      <c r="J594" s="363"/>
      <c r="K594" s="363"/>
      <c r="L594" s="363"/>
      <c r="M594" s="363"/>
      <c r="N594" s="363"/>
      <c r="O594" s="363"/>
      <c r="P594" s="363"/>
      <c r="Q594" s="363"/>
      <c r="R594" s="363"/>
      <c r="S594" s="363"/>
      <c r="T594" s="363"/>
      <c r="U594" s="363"/>
    </row>
    <row r="595" spans="1:21" ht="18">
      <c r="A595" s="363"/>
      <c r="B595" s="363"/>
      <c r="C595" s="363"/>
      <c r="D595" s="363"/>
      <c r="E595" s="363"/>
      <c r="F595" s="363"/>
      <c r="G595" s="363"/>
      <c r="H595" s="363"/>
      <c r="I595" s="363"/>
      <c r="J595" s="363"/>
      <c r="K595" s="363"/>
      <c r="L595" s="363"/>
      <c r="M595" s="363"/>
      <c r="N595" s="363"/>
      <c r="O595" s="363"/>
      <c r="P595" s="363"/>
      <c r="Q595" s="363"/>
      <c r="R595" s="363"/>
      <c r="S595" s="363"/>
      <c r="T595" s="363"/>
      <c r="U595" s="363"/>
    </row>
    <row r="596" spans="1:21" ht="18">
      <c r="A596" s="363"/>
      <c r="B596" s="363"/>
      <c r="C596" s="363"/>
      <c r="D596" s="363"/>
      <c r="E596" s="363"/>
      <c r="F596" s="363"/>
      <c r="G596" s="363"/>
      <c r="H596" s="363"/>
      <c r="I596" s="363"/>
      <c r="J596" s="363"/>
      <c r="K596" s="363"/>
      <c r="L596" s="363"/>
      <c r="M596" s="363"/>
      <c r="N596" s="363"/>
      <c r="O596" s="363"/>
      <c r="P596" s="363"/>
      <c r="Q596" s="363"/>
      <c r="R596" s="363"/>
      <c r="S596" s="363"/>
      <c r="T596" s="363"/>
      <c r="U596" s="363"/>
    </row>
    <row r="597" spans="1:21" ht="18">
      <c r="A597" s="363"/>
      <c r="B597" s="363"/>
      <c r="C597" s="363"/>
      <c r="D597" s="363"/>
      <c r="E597" s="363"/>
      <c r="F597" s="363"/>
      <c r="G597" s="363"/>
      <c r="H597" s="363"/>
      <c r="I597" s="363"/>
      <c r="J597" s="363"/>
      <c r="K597" s="363"/>
      <c r="L597" s="363"/>
      <c r="M597" s="363"/>
      <c r="N597" s="363"/>
      <c r="O597" s="363"/>
      <c r="P597" s="363"/>
      <c r="Q597" s="363"/>
      <c r="R597" s="363"/>
      <c r="S597" s="363"/>
      <c r="T597" s="363"/>
      <c r="U597" s="363"/>
    </row>
    <row r="598" spans="1:21" ht="18">
      <c r="A598" s="363"/>
      <c r="B598" s="363"/>
      <c r="C598" s="363"/>
      <c r="D598" s="363"/>
      <c r="E598" s="363"/>
      <c r="F598" s="363"/>
      <c r="G598" s="363"/>
      <c r="H598" s="363"/>
      <c r="I598" s="363"/>
      <c r="J598" s="363"/>
      <c r="K598" s="363"/>
      <c r="L598" s="363"/>
      <c r="M598" s="363"/>
      <c r="N598" s="363"/>
      <c r="O598" s="363"/>
      <c r="P598" s="363"/>
      <c r="Q598" s="363"/>
      <c r="R598" s="363"/>
      <c r="S598" s="363"/>
      <c r="T598" s="363"/>
      <c r="U598" s="363"/>
    </row>
    <row r="599" spans="1:21" ht="18">
      <c r="A599" s="363"/>
      <c r="B599" s="363"/>
      <c r="C599" s="363"/>
      <c r="D599" s="363"/>
      <c r="E599" s="363"/>
      <c r="F599" s="363"/>
      <c r="G599" s="363"/>
      <c r="H599" s="363"/>
      <c r="I599" s="363"/>
      <c r="J599" s="363"/>
      <c r="K599" s="363"/>
      <c r="L599" s="363"/>
      <c r="M599" s="363"/>
      <c r="N599" s="363"/>
      <c r="O599" s="363"/>
      <c r="P599" s="363"/>
      <c r="Q599" s="363"/>
      <c r="R599" s="363"/>
      <c r="S599" s="363"/>
      <c r="T599" s="363"/>
      <c r="U599" s="363"/>
    </row>
    <row r="600" spans="1:21" ht="18">
      <c r="A600" s="363"/>
      <c r="B600" s="363"/>
      <c r="C600" s="363"/>
      <c r="D600" s="363"/>
      <c r="E600" s="363"/>
      <c r="F600" s="363"/>
      <c r="G600" s="363"/>
      <c r="H600" s="363"/>
      <c r="I600" s="363"/>
      <c r="J600" s="363"/>
      <c r="K600" s="363"/>
      <c r="L600" s="363"/>
      <c r="M600" s="363"/>
      <c r="N600" s="363"/>
      <c r="O600" s="363"/>
      <c r="P600" s="363"/>
      <c r="Q600" s="363"/>
      <c r="R600" s="363"/>
      <c r="S600" s="363"/>
      <c r="T600" s="363"/>
      <c r="U600" s="363"/>
    </row>
    <row r="601" spans="1:21" ht="18">
      <c r="A601" s="363"/>
      <c r="B601" s="363"/>
      <c r="C601" s="363"/>
      <c r="D601" s="363"/>
      <c r="E601" s="363"/>
      <c r="F601" s="363"/>
      <c r="G601" s="363"/>
      <c r="H601" s="363"/>
      <c r="I601" s="363"/>
      <c r="J601" s="363"/>
      <c r="K601" s="363"/>
      <c r="L601" s="363"/>
      <c r="M601" s="363"/>
      <c r="N601" s="363"/>
      <c r="O601" s="363"/>
      <c r="P601" s="363"/>
      <c r="Q601" s="363"/>
      <c r="R601" s="363"/>
      <c r="S601" s="363"/>
      <c r="T601" s="363"/>
      <c r="U601" s="363"/>
    </row>
    <row r="602" spans="1:21" ht="18">
      <c r="A602" s="363"/>
      <c r="B602" s="363"/>
      <c r="C602" s="363"/>
      <c r="D602" s="363"/>
      <c r="E602" s="363"/>
      <c r="F602" s="363"/>
      <c r="G602" s="363"/>
      <c r="H602" s="363"/>
      <c r="I602" s="363"/>
      <c r="J602" s="363"/>
      <c r="K602" s="363"/>
      <c r="L602" s="363"/>
      <c r="M602" s="363"/>
      <c r="N602" s="363"/>
      <c r="O602" s="363"/>
      <c r="P602" s="363"/>
      <c r="Q602" s="363"/>
      <c r="R602" s="363"/>
      <c r="S602" s="363"/>
      <c r="T602" s="363"/>
      <c r="U602" s="363"/>
    </row>
    <row r="603" spans="1:21" ht="18">
      <c r="A603" s="363"/>
      <c r="B603" s="363"/>
      <c r="C603" s="363"/>
      <c r="D603" s="363"/>
      <c r="E603" s="363"/>
      <c r="F603" s="363"/>
      <c r="G603" s="363"/>
      <c r="H603" s="363"/>
      <c r="I603" s="363"/>
      <c r="J603" s="363"/>
      <c r="K603" s="363"/>
      <c r="L603" s="363"/>
      <c r="M603" s="363"/>
      <c r="N603" s="363"/>
      <c r="O603" s="363"/>
      <c r="P603" s="363"/>
      <c r="Q603" s="363"/>
      <c r="R603" s="363"/>
      <c r="S603" s="363"/>
      <c r="T603" s="363"/>
      <c r="U603" s="363"/>
    </row>
    <row r="604" spans="1:21" ht="18">
      <c r="A604" s="363"/>
      <c r="B604" s="363"/>
      <c r="C604" s="363"/>
      <c r="D604" s="363"/>
      <c r="E604" s="363"/>
      <c r="F604" s="363"/>
      <c r="G604" s="363"/>
      <c r="H604" s="363"/>
      <c r="I604" s="363"/>
      <c r="J604" s="363"/>
      <c r="K604" s="363"/>
      <c r="L604" s="363"/>
      <c r="M604" s="363"/>
      <c r="N604" s="363"/>
      <c r="O604" s="363"/>
      <c r="P604" s="363"/>
      <c r="Q604" s="363"/>
      <c r="R604" s="363"/>
      <c r="S604" s="363"/>
      <c r="T604" s="363"/>
      <c r="U604" s="363"/>
    </row>
    <row r="605" spans="1:21" ht="18">
      <c r="A605" s="363"/>
      <c r="B605" s="363"/>
      <c r="C605" s="363"/>
      <c r="D605" s="363"/>
      <c r="E605" s="363"/>
      <c r="F605" s="363"/>
      <c r="G605" s="363"/>
      <c r="H605" s="363"/>
      <c r="I605" s="363"/>
      <c r="J605" s="363"/>
      <c r="K605" s="363"/>
      <c r="L605" s="363"/>
      <c r="M605" s="363"/>
      <c r="N605" s="363"/>
      <c r="O605" s="363"/>
      <c r="P605" s="363"/>
      <c r="Q605" s="363"/>
      <c r="R605" s="363"/>
      <c r="S605" s="363"/>
      <c r="T605" s="363"/>
      <c r="U605" s="363"/>
    </row>
    <row r="606" spans="1:21" ht="18">
      <c r="A606" s="363"/>
      <c r="B606" s="363"/>
      <c r="C606" s="363"/>
      <c r="D606" s="363"/>
      <c r="E606" s="363"/>
      <c r="F606" s="363"/>
      <c r="G606" s="363"/>
      <c r="H606" s="363"/>
      <c r="I606" s="363"/>
      <c r="J606" s="363"/>
      <c r="K606" s="363"/>
      <c r="L606" s="363"/>
      <c r="M606" s="363"/>
      <c r="N606" s="363"/>
      <c r="O606" s="363"/>
      <c r="P606" s="363"/>
      <c r="Q606" s="363"/>
      <c r="R606" s="363"/>
      <c r="S606" s="363"/>
      <c r="T606" s="363"/>
      <c r="U606" s="363"/>
    </row>
    <row r="607" spans="1:21" ht="18">
      <c r="A607" s="363"/>
      <c r="B607" s="363"/>
      <c r="C607" s="363"/>
      <c r="D607" s="363"/>
      <c r="E607" s="363"/>
      <c r="F607" s="363"/>
      <c r="G607" s="363"/>
      <c r="H607" s="363"/>
      <c r="I607" s="363"/>
      <c r="J607" s="363"/>
      <c r="K607" s="363"/>
      <c r="L607" s="363"/>
      <c r="M607" s="363"/>
      <c r="N607" s="363"/>
      <c r="O607" s="363"/>
      <c r="P607" s="363"/>
      <c r="Q607" s="363"/>
      <c r="R607" s="363"/>
      <c r="S607" s="363"/>
      <c r="T607" s="363"/>
      <c r="U607" s="363"/>
    </row>
    <row r="608" spans="1:21" ht="18">
      <c r="A608" s="363"/>
      <c r="B608" s="363"/>
      <c r="C608" s="363"/>
      <c r="D608" s="363"/>
      <c r="E608" s="363"/>
      <c r="F608" s="363"/>
      <c r="G608" s="363"/>
      <c r="H608" s="363"/>
      <c r="I608" s="363"/>
      <c r="J608" s="363"/>
      <c r="K608" s="363"/>
      <c r="L608" s="363"/>
      <c r="M608" s="363"/>
      <c r="N608" s="363"/>
      <c r="O608" s="363"/>
      <c r="P608" s="363"/>
      <c r="Q608" s="363"/>
      <c r="R608" s="363"/>
      <c r="S608" s="363"/>
      <c r="T608" s="363"/>
      <c r="U608" s="363"/>
    </row>
    <row r="609" spans="1:21" ht="18">
      <c r="A609" s="363"/>
      <c r="B609" s="363"/>
      <c r="C609" s="363"/>
      <c r="D609" s="363"/>
      <c r="E609" s="363"/>
      <c r="F609" s="363"/>
      <c r="G609" s="363"/>
      <c r="H609" s="363"/>
      <c r="I609" s="363"/>
      <c r="J609" s="363"/>
      <c r="K609" s="363"/>
      <c r="L609" s="363"/>
      <c r="M609" s="363"/>
      <c r="N609" s="363"/>
      <c r="O609" s="363"/>
      <c r="P609" s="363"/>
      <c r="Q609" s="363"/>
      <c r="R609" s="363"/>
      <c r="S609" s="363"/>
      <c r="T609" s="363"/>
      <c r="U609" s="363"/>
    </row>
    <row r="610" spans="1:21" ht="18">
      <c r="A610" s="363"/>
      <c r="B610" s="363"/>
      <c r="C610" s="363"/>
      <c r="D610" s="363"/>
      <c r="E610" s="363"/>
      <c r="F610" s="363"/>
      <c r="G610" s="363"/>
      <c r="H610" s="363"/>
      <c r="I610" s="363"/>
      <c r="J610" s="363"/>
      <c r="K610" s="363"/>
      <c r="L610" s="363"/>
      <c r="M610" s="363"/>
      <c r="N610" s="363"/>
      <c r="O610" s="363"/>
      <c r="P610" s="363"/>
      <c r="Q610" s="363"/>
      <c r="R610" s="363"/>
      <c r="S610" s="363"/>
      <c r="T610" s="363"/>
      <c r="U610" s="363"/>
    </row>
    <row r="611" spans="1:21" ht="18">
      <c r="A611" s="363"/>
      <c r="B611" s="363"/>
      <c r="C611" s="363"/>
      <c r="D611" s="363"/>
      <c r="E611" s="363"/>
      <c r="F611" s="363"/>
      <c r="G611" s="363"/>
      <c r="H611" s="363"/>
      <c r="I611" s="363"/>
      <c r="J611" s="363"/>
      <c r="K611" s="363"/>
      <c r="L611" s="363"/>
      <c r="M611" s="363"/>
      <c r="N611" s="363"/>
      <c r="O611" s="363"/>
      <c r="P611" s="363"/>
      <c r="Q611" s="363"/>
      <c r="R611" s="363"/>
      <c r="S611" s="363"/>
      <c r="T611" s="363"/>
      <c r="U611" s="363"/>
    </row>
    <row r="612" spans="1:21" ht="18">
      <c r="A612" s="363"/>
      <c r="B612" s="363"/>
      <c r="C612" s="363"/>
      <c r="D612" s="363"/>
      <c r="E612" s="363"/>
      <c r="F612" s="363"/>
      <c r="G612" s="363"/>
      <c r="H612" s="363"/>
      <c r="I612" s="363"/>
      <c r="J612" s="363"/>
      <c r="K612" s="363"/>
      <c r="L612" s="363"/>
      <c r="M612" s="363"/>
      <c r="N612" s="363"/>
      <c r="O612" s="363"/>
      <c r="P612" s="363"/>
      <c r="Q612" s="363"/>
      <c r="R612" s="363"/>
      <c r="S612" s="363"/>
      <c r="T612" s="363"/>
      <c r="U612" s="363"/>
    </row>
    <row r="613" spans="1:21" ht="18">
      <c r="A613" s="363"/>
      <c r="B613" s="363"/>
      <c r="C613" s="363"/>
      <c r="D613" s="363"/>
      <c r="E613" s="363"/>
      <c r="F613" s="363"/>
      <c r="G613" s="363"/>
      <c r="H613" s="363"/>
      <c r="I613" s="363"/>
      <c r="J613" s="363"/>
      <c r="K613" s="363"/>
      <c r="L613" s="363"/>
      <c r="M613" s="363"/>
      <c r="N613" s="363"/>
      <c r="O613" s="363"/>
      <c r="P613" s="363"/>
      <c r="Q613" s="363"/>
      <c r="R613" s="363"/>
      <c r="S613" s="363"/>
      <c r="T613" s="363"/>
      <c r="U613" s="363"/>
    </row>
    <row r="614" spans="1:21" ht="18">
      <c r="A614" s="363"/>
      <c r="B614" s="363"/>
      <c r="C614" s="363"/>
      <c r="D614" s="363"/>
      <c r="E614" s="363"/>
      <c r="F614" s="363"/>
      <c r="G614" s="363"/>
      <c r="H614" s="363"/>
      <c r="I614" s="363"/>
      <c r="J614" s="363"/>
      <c r="K614" s="363"/>
      <c r="L614" s="363"/>
      <c r="M614" s="363"/>
      <c r="N614" s="363"/>
      <c r="O614" s="363"/>
      <c r="P614" s="363"/>
      <c r="Q614" s="363"/>
      <c r="R614" s="363"/>
      <c r="S614" s="363"/>
      <c r="T614" s="363"/>
      <c r="U614" s="363"/>
    </row>
    <row r="615" spans="1:21" ht="18">
      <c r="A615" s="363"/>
      <c r="B615" s="363"/>
      <c r="C615" s="363"/>
      <c r="D615" s="363"/>
      <c r="E615" s="363"/>
      <c r="F615" s="363"/>
      <c r="G615" s="363"/>
      <c r="H615" s="363"/>
      <c r="I615" s="363"/>
      <c r="J615" s="363"/>
      <c r="K615" s="363"/>
      <c r="L615" s="363"/>
      <c r="M615" s="363"/>
      <c r="N615" s="363"/>
      <c r="O615" s="363"/>
      <c r="P615" s="363"/>
      <c r="Q615" s="363"/>
      <c r="R615" s="363"/>
      <c r="S615" s="363"/>
      <c r="T615" s="363"/>
      <c r="U615" s="363"/>
    </row>
    <row r="616" spans="1:21" ht="18">
      <c r="A616" s="363"/>
      <c r="B616" s="363"/>
      <c r="C616" s="363"/>
      <c r="D616" s="363"/>
      <c r="E616" s="363"/>
      <c r="F616" s="363"/>
      <c r="G616" s="363"/>
      <c r="H616" s="363"/>
      <c r="I616" s="363"/>
      <c r="J616" s="363"/>
      <c r="K616" s="363"/>
      <c r="L616" s="363"/>
      <c r="M616" s="363"/>
      <c r="N616" s="363"/>
      <c r="O616" s="363"/>
      <c r="P616" s="363"/>
      <c r="Q616" s="363"/>
      <c r="R616" s="363"/>
      <c r="S616" s="363"/>
      <c r="T616" s="363"/>
      <c r="U616" s="363"/>
    </row>
    <row r="617" spans="1:21" ht="18">
      <c r="A617" s="363"/>
      <c r="B617" s="363"/>
      <c r="C617" s="363"/>
      <c r="D617" s="363"/>
      <c r="E617" s="363"/>
      <c r="F617" s="363"/>
      <c r="G617" s="363"/>
      <c r="H617" s="363"/>
      <c r="I617" s="363"/>
      <c r="J617" s="363"/>
      <c r="K617" s="363"/>
      <c r="L617" s="363"/>
      <c r="M617" s="363"/>
      <c r="N617" s="363"/>
      <c r="O617" s="363"/>
      <c r="P617" s="363"/>
      <c r="Q617" s="363"/>
      <c r="R617" s="363"/>
      <c r="S617" s="363"/>
      <c r="T617" s="363"/>
      <c r="U617" s="363"/>
    </row>
    <row r="618" spans="1:21" ht="18">
      <c r="A618" s="363"/>
      <c r="B618" s="363"/>
      <c r="C618" s="363"/>
      <c r="D618" s="363"/>
      <c r="E618" s="363"/>
      <c r="F618" s="363"/>
      <c r="G618" s="363"/>
      <c r="H618" s="363"/>
      <c r="I618" s="363"/>
      <c r="J618" s="363"/>
      <c r="K618" s="363"/>
      <c r="L618" s="363"/>
      <c r="M618" s="363"/>
      <c r="N618" s="363"/>
      <c r="O618" s="363"/>
      <c r="P618" s="363"/>
      <c r="Q618" s="363"/>
      <c r="R618" s="363"/>
      <c r="S618" s="363"/>
      <c r="T618" s="363"/>
      <c r="U618" s="363"/>
    </row>
    <row r="619" spans="1:21" ht="18">
      <c r="A619" s="363"/>
      <c r="B619" s="363"/>
      <c r="C619" s="363"/>
      <c r="D619" s="363"/>
      <c r="E619" s="363"/>
      <c r="F619" s="363"/>
      <c r="G619" s="363"/>
      <c r="H619" s="363"/>
      <c r="I619" s="363"/>
      <c r="J619" s="363"/>
      <c r="K619" s="363"/>
      <c r="L619" s="363"/>
      <c r="M619" s="363"/>
      <c r="N619" s="363"/>
      <c r="O619" s="363"/>
      <c r="P619" s="363"/>
      <c r="Q619" s="363"/>
      <c r="R619" s="363"/>
      <c r="S619" s="363"/>
      <c r="T619" s="363"/>
      <c r="U619" s="363"/>
    </row>
    <row r="620" spans="1:21" ht="18">
      <c r="A620" s="363"/>
      <c r="B620" s="363"/>
      <c r="C620" s="363"/>
      <c r="D620" s="363"/>
      <c r="E620" s="363"/>
      <c r="F620" s="363"/>
      <c r="G620" s="363"/>
      <c r="H620" s="363"/>
      <c r="I620" s="363"/>
      <c r="J620" s="363"/>
      <c r="K620" s="363"/>
      <c r="L620" s="363"/>
      <c r="M620" s="363"/>
      <c r="N620" s="363"/>
      <c r="O620" s="363"/>
      <c r="P620" s="363"/>
      <c r="Q620" s="363"/>
      <c r="R620" s="363"/>
      <c r="S620" s="363"/>
      <c r="T620" s="363"/>
      <c r="U620" s="363"/>
    </row>
    <row r="621" spans="1:21" ht="18">
      <c r="A621" s="363"/>
      <c r="B621" s="363"/>
      <c r="C621" s="363"/>
      <c r="D621" s="363"/>
      <c r="E621" s="363"/>
      <c r="F621" s="363"/>
      <c r="G621" s="363"/>
      <c r="H621" s="363"/>
      <c r="I621" s="363"/>
      <c r="J621" s="363"/>
      <c r="K621" s="363"/>
      <c r="L621" s="363"/>
      <c r="M621" s="363"/>
      <c r="N621" s="363"/>
      <c r="O621" s="363"/>
      <c r="P621" s="363"/>
      <c r="Q621" s="363"/>
      <c r="R621" s="363"/>
      <c r="S621" s="363"/>
      <c r="T621" s="363"/>
      <c r="U621" s="363"/>
    </row>
    <row r="622" spans="1:21" ht="18">
      <c r="A622" s="363"/>
      <c r="B622" s="363"/>
      <c r="C622" s="363"/>
      <c r="D622" s="363"/>
      <c r="E622" s="363"/>
      <c r="F622" s="363"/>
      <c r="G622" s="363"/>
      <c r="H622" s="363"/>
      <c r="I622" s="363"/>
      <c r="J622" s="363"/>
      <c r="K622" s="363"/>
      <c r="L622" s="363"/>
      <c r="M622" s="363"/>
      <c r="N622" s="363"/>
      <c r="O622" s="363"/>
      <c r="P622" s="363"/>
      <c r="Q622" s="363"/>
      <c r="R622" s="363"/>
      <c r="S622" s="363"/>
      <c r="T622" s="363"/>
      <c r="U622" s="363"/>
    </row>
    <row r="623" spans="1:21" ht="18">
      <c r="A623" s="363"/>
      <c r="B623" s="363"/>
      <c r="C623" s="363"/>
      <c r="D623" s="363"/>
      <c r="E623" s="363"/>
      <c r="F623" s="363"/>
      <c r="G623" s="363"/>
      <c r="H623" s="363"/>
      <c r="I623" s="363"/>
      <c r="J623" s="363"/>
      <c r="K623" s="363"/>
      <c r="L623" s="363"/>
      <c r="M623" s="363"/>
      <c r="N623" s="363"/>
      <c r="O623" s="363"/>
      <c r="P623" s="363"/>
      <c r="Q623" s="363"/>
      <c r="R623" s="363"/>
      <c r="S623" s="363"/>
      <c r="T623" s="363"/>
      <c r="U623" s="363"/>
    </row>
    <row r="624" spans="1:21" ht="18">
      <c r="A624" s="363"/>
      <c r="B624" s="363"/>
      <c r="C624" s="363"/>
      <c r="D624" s="363"/>
      <c r="E624" s="363"/>
      <c r="F624" s="363"/>
      <c r="G624" s="363"/>
      <c r="H624" s="363"/>
      <c r="I624" s="363"/>
      <c r="J624" s="363"/>
      <c r="K624" s="363"/>
      <c r="L624" s="363"/>
      <c r="M624" s="363"/>
      <c r="N624" s="363"/>
      <c r="O624" s="363"/>
      <c r="P624" s="363"/>
      <c r="Q624" s="363"/>
      <c r="R624" s="363"/>
      <c r="S624" s="363"/>
      <c r="T624" s="363"/>
      <c r="U624" s="363"/>
    </row>
    <row r="625" spans="1:21" ht="18">
      <c r="A625" s="363"/>
      <c r="B625" s="363"/>
      <c r="C625" s="363"/>
      <c r="D625" s="363"/>
      <c r="E625" s="363"/>
      <c r="F625" s="363"/>
      <c r="G625" s="363"/>
      <c r="H625" s="363"/>
      <c r="I625" s="363"/>
      <c r="J625" s="363"/>
      <c r="K625" s="363"/>
      <c r="L625" s="363"/>
      <c r="M625" s="363"/>
      <c r="N625" s="363"/>
      <c r="O625" s="363"/>
      <c r="P625" s="363"/>
      <c r="Q625" s="363"/>
      <c r="R625" s="363"/>
      <c r="S625" s="363"/>
      <c r="T625" s="363"/>
      <c r="U625" s="363"/>
    </row>
    <row r="626" spans="1:21" ht="18">
      <c r="A626" s="363"/>
      <c r="B626" s="363"/>
      <c r="C626" s="363"/>
      <c r="D626" s="363"/>
      <c r="E626" s="363"/>
      <c r="F626" s="363"/>
      <c r="G626" s="363"/>
      <c r="H626" s="363"/>
      <c r="I626" s="363"/>
      <c r="J626" s="363"/>
      <c r="K626" s="363"/>
      <c r="L626" s="363"/>
      <c r="M626" s="363"/>
      <c r="N626" s="363"/>
      <c r="O626" s="363"/>
      <c r="P626" s="363"/>
      <c r="Q626" s="363"/>
      <c r="R626" s="363"/>
      <c r="S626" s="363"/>
      <c r="T626" s="363"/>
      <c r="U626" s="363"/>
    </row>
    <row r="627" spans="1:21" ht="18">
      <c r="A627" s="363"/>
      <c r="B627" s="363"/>
      <c r="C627" s="363"/>
      <c r="D627" s="363"/>
      <c r="E627" s="363"/>
      <c r="F627" s="363"/>
      <c r="G627" s="363"/>
      <c r="H627" s="363"/>
      <c r="I627" s="363"/>
      <c r="J627" s="363"/>
      <c r="K627" s="363"/>
      <c r="L627" s="363"/>
      <c r="M627" s="363"/>
      <c r="N627" s="363"/>
      <c r="O627" s="363"/>
      <c r="P627" s="363"/>
      <c r="Q627" s="363"/>
      <c r="R627" s="363"/>
      <c r="S627" s="363"/>
      <c r="T627" s="363"/>
      <c r="U627" s="363"/>
    </row>
    <row r="628" spans="1:21" ht="18">
      <c r="A628" s="363"/>
      <c r="B628" s="363"/>
      <c r="C628" s="363"/>
      <c r="D628" s="363"/>
      <c r="E628" s="363"/>
      <c r="F628" s="363"/>
      <c r="G628" s="363"/>
      <c r="H628" s="363"/>
      <c r="I628" s="363"/>
      <c r="J628" s="363"/>
      <c r="K628" s="363"/>
      <c r="L628" s="363"/>
      <c r="M628" s="363"/>
      <c r="N628" s="363"/>
      <c r="O628" s="363"/>
      <c r="P628" s="363"/>
      <c r="Q628" s="363"/>
      <c r="R628" s="363"/>
      <c r="S628" s="363"/>
      <c r="T628" s="363"/>
      <c r="U628" s="363"/>
    </row>
    <row r="629" spans="1:21" ht="18">
      <c r="A629" s="363"/>
      <c r="B629" s="363"/>
      <c r="C629" s="363"/>
      <c r="D629" s="363"/>
      <c r="E629" s="363"/>
      <c r="F629" s="363"/>
      <c r="G629" s="363"/>
      <c r="H629" s="363"/>
      <c r="I629" s="363"/>
      <c r="J629" s="363"/>
      <c r="K629" s="363"/>
      <c r="L629" s="363"/>
      <c r="M629" s="363"/>
      <c r="N629" s="363"/>
      <c r="O629" s="363"/>
      <c r="P629" s="363"/>
      <c r="Q629" s="363"/>
      <c r="R629" s="363"/>
      <c r="S629" s="363"/>
      <c r="T629" s="363"/>
      <c r="U629" s="363"/>
    </row>
    <row r="630" spans="1:21" ht="18">
      <c r="A630" s="363"/>
      <c r="B630" s="363"/>
      <c r="C630" s="363"/>
      <c r="D630" s="363"/>
      <c r="E630" s="363"/>
      <c r="F630" s="363"/>
      <c r="G630" s="363"/>
      <c r="H630" s="363"/>
      <c r="I630" s="363"/>
      <c r="J630" s="363"/>
      <c r="K630" s="363"/>
      <c r="L630" s="363"/>
      <c r="M630" s="363"/>
      <c r="N630" s="363"/>
      <c r="O630" s="363"/>
      <c r="P630" s="363"/>
      <c r="Q630" s="363"/>
      <c r="R630" s="363"/>
      <c r="S630" s="363"/>
      <c r="T630" s="363"/>
      <c r="U630" s="363"/>
    </row>
    <row r="631" spans="1:21" ht="18">
      <c r="A631" s="363"/>
      <c r="B631" s="363"/>
      <c r="C631" s="363"/>
      <c r="D631" s="363"/>
      <c r="E631" s="363"/>
      <c r="F631" s="363"/>
      <c r="G631" s="363"/>
      <c r="H631" s="363"/>
      <c r="I631" s="363"/>
      <c r="J631" s="363"/>
      <c r="K631" s="363"/>
      <c r="L631" s="363"/>
      <c r="M631" s="363"/>
      <c r="N631" s="363"/>
      <c r="O631" s="363"/>
      <c r="P631" s="363"/>
      <c r="Q631" s="363"/>
      <c r="R631" s="363"/>
      <c r="S631" s="363"/>
      <c r="T631" s="363"/>
      <c r="U631" s="363"/>
    </row>
    <row r="632" spans="1:21" ht="18">
      <c r="A632" s="363"/>
      <c r="B632" s="363"/>
      <c r="C632" s="363"/>
      <c r="D632" s="363"/>
      <c r="E632" s="363"/>
      <c r="F632" s="363"/>
      <c r="G632" s="363"/>
      <c r="H632" s="363"/>
      <c r="I632" s="363"/>
      <c r="J632" s="363"/>
      <c r="K632" s="363"/>
      <c r="L632" s="363"/>
      <c r="M632" s="363"/>
      <c r="N632" s="363"/>
      <c r="O632" s="363"/>
      <c r="P632" s="363"/>
      <c r="Q632" s="363"/>
      <c r="R632" s="363"/>
      <c r="S632" s="363"/>
      <c r="T632" s="363"/>
      <c r="U632" s="363"/>
    </row>
    <row r="633" spans="1:21" ht="18">
      <c r="A633" s="363"/>
      <c r="B633" s="363"/>
      <c r="C633" s="363"/>
      <c r="D633" s="363"/>
      <c r="E633" s="363"/>
      <c r="F633" s="363"/>
      <c r="G633" s="363"/>
      <c r="H633" s="363"/>
      <c r="I633" s="363"/>
      <c r="J633" s="363"/>
      <c r="K633" s="363"/>
      <c r="L633" s="363"/>
      <c r="M633" s="363"/>
      <c r="N633" s="363"/>
      <c r="O633" s="363"/>
      <c r="P633" s="363"/>
      <c r="Q633" s="363"/>
      <c r="R633" s="363"/>
      <c r="S633" s="363"/>
      <c r="T633" s="363"/>
      <c r="U633" s="363"/>
    </row>
    <row r="634" spans="1:21" ht="18">
      <c r="A634" s="363"/>
      <c r="B634" s="363"/>
      <c r="C634" s="363"/>
      <c r="D634" s="363"/>
      <c r="E634" s="363"/>
      <c r="F634" s="363"/>
      <c r="G634" s="363"/>
      <c r="H634" s="363"/>
      <c r="I634" s="363"/>
      <c r="J634" s="363"/>
      <c r="K634" s="363"/>
      <c r="L634" s="363"/>
      <c r="M634" s="363"/>
      <c r="N634" s="363"/>
      <c r="O634" s="363"/>
      <c r="P634" s="363"/>
      <c r="Q634" s="363"/>
      <c r="R634" s="363"/>
      <c r="S634" s="363"/>
      <c r="T634" s="363"/>
      <c r="U634" s="363"/>
    </row>
    <row r="635" spans="1:21" ht="18">
      <c r="A635" s="363"/>
      <c r="B635" s="363"/>
      <c r="C635" s="363"/>
      <c r="D635" s="363"/>
      <c r="E635" s="363"/>
      <c r="F635" s="363"/>
      <c r="G635" s="363"/>
      <c r="H635" s="363"/>
      <c r="I635" s="363"/>
      <c r="J635" s="363"/>
      <c r="K635" s="363"/>
      <c r="L635" s="363"/>
      <c r="M635" s="363"/>
      <c r="N635" s="363"/>
      <c r="O635" s="363"/>
      <c r="P635" s="363"/>
      <c r="Q635" s="363"/>
      <c r="R635" s="363"/>
      <c r="S635" s="363"/>
      <c r="T635" s="363"/>
      <c r="U635" s="363"/>
    </row>
    <row r="636" spans="1:21" ht="18">
      <c r="A636" s="363"/>
      <c r="B636" s="363"/>
      <c r="C636" s="363"/>
      <c r="D636" s="363"/>
      <c r="E636" s="363"/>
      <c r="F636" s="363"/>
      <c r="G636" s="363"/>
      <c r="H636" s="363"/>
      <c r="I636" s="363"/>
      <c r="J636" s="363"/>
      <c r="K636" s="363"/>
      <c r="L636" s="363"/>
      <c r="M636" s="363"/>
      <c r="N636" s="363"/>
      <c r="O636" s="363"/>
      <c r="P636" s="363"/>
      <c r="Q636" s="363"/>
      <c r="R636" s="363"/>
      <c r="S636" s="363"/>
      <c r="T636" s="363"/>
      <c r="U636" s="363"/>
    </row>
    <row r="637" spans="1:21" ht="18">
      <c r="A637" s="363"/>
      <c r="B637" s="363"/>
      <c r="C637" s="363"/>
      <c r="D637" s="363"/>
      <c r="E637" s="363"/>
      <c r="F637" s="363"/>
      <c r="G637" s="363"/>
      <c r="H637" s="363"/>
      <c r="I637" s="363"/>
      <c r="J637" s="363"/>
      <c r="K637" s="363"/>
      <c r="L637" s="363"/>
      <c r="M637" s="363"/>
      <c r="N637" s="363"/>
      <c r="O637" s="363"/>
      <c r="P637" s="363"/>
      <c r="Q637" s="363"/>
      <c r="R637" s="363"/>
      <c r="S637" s="363"/>
      <c r="T637" s="363"/>
      <c r="U637" s="363"/>
    </row>
    <row r="638" spans="1:21" ht="18">
      <c r="A638" s="363"/>
      <c r="B638" s="363"/>
      <c r="C638" s="363"/>
      <c r="D638" s="363"/>
      <c r="E638" s="363"/>
      <c r="F638" s="363"/>
      <c r="G638" s="363"/>
      <c r="H638" s="363"/>
      <c r="I638" s="363"/>
      <c r="J638" s="363"/>
      <c r="K638" s="363"/>
      <c r="L638" s="363"/>
      <c r="M638" s="363"/>
      <c r="N638" s="363"/>
      <c r="O638" s="363"/>
      <c r="P638" s="363"/>
      <c r="Q638" s="363"/>
      <c r="R638" s="363"/>
      <c r="S638" s="363"/>
      <c r="T638" s="363"/>
      <c r="U638" s="363"/>
    </row>
    <row r="639" spans="1:21" ht="18">
      <c r="A639" s="363"/>
      <c r="B639" s="363"/>
      <c r="C639" s="363"/>
      <c r="D639" s="363"/>
      <c r="E639" s="363"/>
      <c r="F639" s="363"/>
      <c r="G639" s="363"/>
      <c r="H639" s="363"/>
      <c r="I639" s="363"/>
      <c r="J639" s="363"/>
      <c r="K639" s="363"/>
      <c r="L639" s="363"/>
      <c r="M639" s="363"/>
      <c r="N639" s="363"/>
      <c r="O639" s="363"/>
      <c r="P639" s="363"/>
      <c r="Q639" s="363"/>
      <c r="R639" s="363"/>
      <c r="S639" s="363"/>
      <c r="T639" s="363"/>
      <c r="U639" s="363"/>
    </row>
    <row r="640" spans="1:21" ht="18">
      <c r="A640" s="363"/>
      <c r="B640" s="363"/>
      <c r="C640" s="363"/>
      <c r="D640" s="363"/>
      <c r="E640" s="363"/>
      <c r="F640" s="363"/>
      <c r="G640" s="363"/>
      <c r="H640" s="363"/>
      <c r="I640" s="363"/>
      <c r="J640" s="363"/>
      <c r="K640" s="363"/>
      <c r="L640" s="363"/>
      <c r="M640" s="363"/>
      <c r="N640" s="363"/>
      <c r="O640" s="363"/>
      <c r="P640" s="363"/>
      <c r="Q640" s="363"/>
      <c r="R640" s="363"/>
      <c r="S640" s="363"/>
      <c r="T640" s="363"/>
      <c r="U640" s="363"/>
    </row>
    <row r="641" spans="1:21" ht="18">
      <c r="A641" s="363"/>
      <c r="B641" s="363"/>
      <c r="C641" s="363"/>
      <c r="D641" s="363"/>
      <c r="E641" s="363"/>
      <c r="F641" s="363"/>
      <c r="G641" s="363"/>
      <c r="H641" s="363"/>
      <c r="I641" s="363"/>
      <c r="J641" s="363"/>
      <c r="K641" s="363"/>
      <c r="L641" s="363"/>
      <c r="M641" s="363"/>
      <c r="N641" s="363"/>
      <c r="O641" s="363"/>
      <c r="P641" s="363"/>
      <c r="Q641" s="363"/>
      <c r="R641" s="363"/>
      <c r="S641" s="363"/>
      <c r="T641" s="363"/>
      <c r="U641" s="363"/>
    </row>
    <row r="642" spans="1:21" ht="18">
      <c r="A642" s="363"/>
      <c r="B642" s="363"/>
      <c r="C642" s="363"/>
      <c r="D642" s="363"/>
      <c r="E642" s="363"/>
      <c r="F642" s="363"/>
      <c r="G642" s="363"/>
      <c r="H642" s="363"/>
      <c r="I642" s="363"/>
      <c r="J642" s="363"/>
      <c r="K642" s="363"/>
      <c r="L642" s="363"/>
      <c r="M642" s="363"/>
      <c r="N642" s="363"/>
      <c r="O642" s="363"/>
      <c r="P642" s="363"/>
      <c r="Q642" s="363"/>
      <c r="R642" s="363"/>
      <c r="S642" s="363"/>
      <c r="T642" s="363"/>
      <c r="U642" s="363"/>
    </row>
    <row r="643" spans="1:21" ht="18">
      <c r="A643" s="363"/>
      <c r="B643" s="363"/>
      <c r="C643" s="363"/>
      <c r="D643" s="363"/>
      <c r="E643" s="363"/>
      <c r="F643" s="363"/>
      <c r="G643" s="363"/>
      <c r="H643" s="363"/>
      <c r="I643" s="363"/>
      <c r="J643" s="363"/>
      <c r="K643" s="363"/>
      <c r="L643" s="363"/>
      <c r="M643" s="363"/>
      <c r="N643" s="363"/>
      <c r="O643" s="363"/>
      <c r="P643" s="363"/>
      <c r="Q643" s="363"/>
      <c r="R643" s="363"/>
      <c r="S643" s="363"/>
      <c r="T643" s="363"/>
      <c r="U643" s="363"/>
    </row>
    <row r="644" spans="1:21" ht="18">
      <c r="A644" s="363"/>
      <c r="B644" s="363"/>
      <c r="C644" s="363"/>
      <c r="D644" s="363"/>
      <c r="E644" s="363"/>
      <c r="F644" s="363"/>
      <c r="G644" s="363"/>
      <c r="H644" s="363"/>
      <c r="I644" s="363"/>
      <c r="J644" s="363"/>
      <c r="K644" s="363"/>
      <c r="L644" s="363"/>
      <c r="M644" s="363"/>
      <c r="N644" s="363"/>
      <c r="O644" s="363"/>
      <c r="P644" s="363"/>
      <c r="Q644" s="363"/>
      <c r="R644" s="363"/>
      <c r="S644" s="363"/>
      <c r="T644" s="363"/>
      <c r="U644" s="363"/>
    </row>
    <row r="645" spans="1:21" ht="18">
      <c r="A645" s="363"/>
      <c r="B645" s="363"/>
      <c r="C645" s="363"/>
      <c r="D645" s="363"/>
      <c r="E645" s="363"/>
      <c r="F645" s="363"/>
      <c r="G645" s="363"/>
      <c r="H645" s="363"/>
      <c r="I645" s="363"/>
      <c r="J645" s="363"/>
      <c r="K645" s="363"/>
      <c r="L645" s="363"/>
      <c r="M645" s="363"/>
      <c r="N645" s="363"/>
      <c r="O645" s="363"/>
      <c r="P645" s="363"/>
      <c r="Q645" s="363"/>
      <c r="R645" s="363"/>
      <c r="S645" s="363"/>
      <c r="T645" s="363"/>
      <c r="U645" s="363"/>
    </row>
    <row r="646" spans="1:21" ht="18">
      <c r="A646" s="363"/>
      <c r="B646" s="363"/>
      <c r="C646" s="363"/>
      <c r="D646" s="363"/>
      <c r="E646" s="363"/>
      <c r="F646" s="363"/>
      <c r="G646" s="363"/>
      <c r="H646" s="363"/>
      <c r="I646" s="363"/>
      <c r="J646" s="363"/>
      <c r="K646" s="363"/>
      <c r="L646" s="363"/>
      <c r="M646" s="363"/>
      <c r="N646" s="363"/>
      <c r="O646" s="363"/>
      <c r="P646" s="363"/>
      <c r="Q646" s="363"/>
      <c r="R646" s="363"/>
      <c r="S646" s="363"/>
      <c r="T646" s="363"/>
      <c r="U646" s="363"/>
    </row>
    <row r="647" spans="1:21" ht="18">
      <c r="A647" s="363"/>
      <c r="B647" s="363"/>
      <c r="C647" s="363"/>
      <c r="D647" s="363"/>
      <c r="E647" s="363"/>
      <c r="F647" s="363"/>
      <c r="G647" s="363"/>
      <c r="H647" s="363"/>
      <c r="I647" s="363"/>
      <c r="J647" s="363"/>
      <c r="K647" s="363"/>
      <c r="L647" s="363"/>
      <c r="M647" s="363"/>
      <c r="N647" s="363"/>
      <c r="O647" s="363"/>
      <c r="P647" s="363"/>
      <c r="Q647" s="363"/>
      <c r="R647" s="363"/>
      <c r="S647" s="363"/>
      <c r="T647" s="363"/>
      <c r="U647" s="363"/>
    </row>
    <row r="648" spans="1:21" ht="18">
      <c r="A648" s="363"/>
      <c r="B648" s="363"/>
      <c r="C648" s="363"/>
      <c r="D648" s="363"/>
      <c r="E648" s="363"/>
      <c r="F648" s="363"/>
      <c r="G648" s="363"/>
      <c r="H648" s="363"/>
      <c r="I648" s="363"/>
      <c r="J648" s="363"/>
      <c r="K648" s="363"/>
      <c r="L648" s="363"/>
      <c r="M648" s="363"/>
      <c r="N648" s="363"/>
      <c r="O648" s="363"/>
      <c r="P648" s="363"/>
      <c r="Q648" s="363"/>
      <c r="R648" s="363"/>
      <c r="S648" s="363"/>
      <c r="T648" s="363"/>
      <c r="U648" s="363"/>
    </row>
    <row r="649" spans="1:21" ht="18">
      <c r="A649" s="363"/>
      <c r="B649" s="363"/>
      <c r="C649" s="363"/>
      <c r="D649" s="363"/>
      <c r="E649" s="363"/>
      <c r="F649" s="363"/>
      <c r="G649" s="363"/>
      <c r="H649" s="363"/>
      <c r="I649" s="363"/>
      <c r="J649" s="363"/>
      <c r="K649" s="363"/>
      <c r="L649" s="363"/>
      <c r="M649" s="363"/>
      <c r="N649" s="363"/>
      <c r="O649" s="363"/>
      <c r="P649" s="363"/>
      <c r="Q649" s="363"/>
      <c r="R649" s="363"/>
      <c r="S649" s="363"/>
      <c r="T649" s="363"/>
      <c r="U649" s="363"/>
    </row>
    <row r="650" spans="1:21" ht="18">
      <c r="A650" s="363"/>
      <c r="B650" s="363"/>
      <c r="C650" s="363"/>
      <c r="D650" s="363"/>
      <c r="E650" s="363"/>
      <c r="F650" s="363"/>
      <c r="G650" s="363"/>
      <c r="H650" s="363"/>
      <c r="I650" s="363"/>
      <c r="J650" s="363"/>
      <c r="K650" s="363"/>
      <c r="L650" s="363"/>
      <c r="M650" s="363"/>
      <c r="N650" s="363"/>
      <c r="O650" s="363"/>
      <c r="P650" s="363"/>
      <c r="Q650" s="363"/>
      <c r="R650" s="363"/>
      <c r="S650" s="363"/>
      <c r="T650" s="363"/>
      <c r="U650" s="363"/>
    </row>
    <row r="651" spans="1:21" ht="18">
      <c r="A651" s="363"/>
      <c r="B651" s="363"/>
      <c r="C651" s="363"/>
      <c r="D651" s="363"/>
      <c r="E651" s="363"/>
      <c r="F651" s="363"/>
      <c r="G651" s="363"/>
      <c r="H651" s="363"/>
      <c r="I651" s="363"/>
      <c r="J651" s="363"/>
      <c r="K651" s="363"/>
      <c r="L651" s="363"/>
      <c r="M651" s="363"/>
      <c r="N651" s="363"/>
      <c r="O651" s="363"/>
      <c r="P651" s="363"/>
      <c r="Q651" s="363"/>
      <c r="R651" s="363"/>
      <c r="S651" s="363"/>
      <c r="T651" s="363"/>
      <c r="U651" s="363"/>
    </row>
    <row r="652" spans="1:21" ht="18">
      <c r="A652" s="363"/>
      <c r="B652" s="363"/>
      <c r="C652" s="363"/>
      <c r="D652" s="363"/>
      <c r="E652" s="363"/>
      <c r="F652" s="363"/>
      <c r="G652" s="363"/>
      <c r="H652" s="363"/>
      <c r="I652" s="363"/>
      <c r="J652" s="363"/>
      <c r="K652" s="363"/>
      <c r="L652" s="363"/>
      <c r="M652" s="363"/>
      <c r="N652" s="363"/>
      <c r="O652" s="363"/>
      <c r="P652" s="363"/>
      <c r="Q652" s="363"/>
      <c r="R652" s="363"/>
      <c r="S652" s="363"/>
      <c r="T652" s="363"/>
      <c r="U652" s="363"/>
    </row>
    <row r="653" spans="1:21" ht="18">
      <c r="A653" s="363"/>
      <c r="B653" s="363"/>
      <c r="C653" s="363"/>
      <c r="D653" s="363"/>
      <c r="E653" s="363"/>
      <c r="F653" s="363"/>
      <c r="G653" s="363"/>
      <c r="H653" s="363"/>
      <c r="I653" s="363"/>
      <c r="J653" s="363"/>
      <c r="K653" s="363"/>
      <c r="L653" s="363"/>
      <c r="M653" s="363"/>
      <c r="N653" s="363"/>
      <c r="O653" s="363"/>
      <c r="P653" s="363"/>
      <c r="Q653" s="363"/>
      <c r="R653" s="363"/>
      <c r="S653" s="363"/>
      <c r="T653" s="363"/>
      <c r="U653" s="363"/>
    </row>
    <row r="654" spans="1:21" ht="18">
      <c r="A654" s="363"/>
      <c r="B654" s="363"/>
      <c r="C654" s="363"/>
      <c r="D654" s="363"/>
      <c r="E654" s="363"/>
      <c r="F654" s="363"/>
      <c r="G654" s="363"/>
      <c r="H654" s="363"/>
      <c r="I654" s="363"/>
      <c r="J654" s="363"/>
      <c r="K654" s="363"/>
      <c r="L654" s="363"/>
      <c r="M654" s="363"/>
      <c r="N654" s="363"/>
      <c r="O654" s="363"/>
      <c r="P654" s="363"/>
      <c r="Q654" s="363"/>
      <c r="R654" s="363"/>
      <c r="S654" s="363"/>
      <c r="T654" s="363"/>
      <c r="U654" s="363"/>
    </row>
    <row r="655" spans="1:21" ht="18">
      <c r="A655" s="363"/>
      <c r="B655" s="363"/>
      <c r="C655" s="363"/>
      <c r="D655" s="363"/>
      <c r="E655" s="363"/>
      <c r="F655" s="363"/>
      <c r="G655" s="363"/>
      <c r="H655" s="363"/>
      <c r="I655" s="363"/>
      <c r="J655" s="363"/>
      <c r="K655" s="363"/>
      <c r="L655" s="363"/>
      <c r="M655" s="363"/>
      <c r="N655" s="363"/>
      <c r="O655" s="363"/>
      <c r="P655" s="363"/>
      <c r="Q655" s="363"/>
      <c r="R655" s="363"/>
      <c r="S655" s="363"/>
      <c r="T655" s="363"/>
      <c r="U655" s="363"/>
    </row>
    <row r="656" spans="1:21" ht="18">
      <c r="A656" s="363"/>
      <c r="B656" s="363"/>
      <c r="C656" s="363"/>
      <c r="D656" s="363"/>
      <c r="E656" s="363"/>
      <c r="F656" s="363"/>
      <c r="G656" s="363"/>
      <c r="H656" s="363"/>
      <c r="I656" s="363"/>
      <c r="J656" s="363"/>
      <c r="K656" s="363"/>
      <c r="L656" s="363"/>
      <c r="M656" s="363"/>
      <c r="N656" s="363"/>
      <c r="O656" s="363"/>
      <c r="P656" s="363"/>
      <c r="Q656" s="363"/>
      <c r="R656" s="363"/>
      <c r="S656" s="363"/>
      <c r="T656" s="363"/>
      <c r="U656" s="363"/>
    </row>
    <row r="657" spans="1:21" ht="18">
      <c r="A657" s="363"/>
      <c r="B657" s="363"/>
      <c r="C657" s="363"/>
      <c r="D657" s="363"/>
      <c r="E657" s="363"/>
      <c r="F657" s="363"/>
      <c r="G657" s="363"/>
      <c r="H657" s="363"/>
      <c r="I657" s="363"/>
      <c r="J657" s="363"/>
      <c r="K657" s="363"/>
      <c r="L657" s="363"/>
      <c r="M657" s="363"/>
      <c r="N657" s="363"/>
      <c r="O657" s="363"/>
      <c r="P657" s="363"/>
      <c r="Q657" s="363"/>
      <c r="R657" s="363"/>
      <c r="S657" s="363"/>
      <c r="T657" s="363"/>
      <c r="U657" s="363"/>
    </row>
    <row r="658" spans="1:21" ht="18">
      <c r="A658" s="363"/>
      <c r="B658" s="363"/>
      <c r="C658" s="363"/>
      <c r="D658" s="363"/>
      <c r="E658" s="363"/>
      <c r="F658" s="363"/>
      <c r="G658" s="363"/>
      <c r="H658" s="363"/>
      <c r="I658" s="363"/>
      <c r="J658" s="363"/>
      <c r="K658" s="363"/>
      <c r="L658" s="363"/>
      <c r="M658" s="363"/>
      <c r="N658" s="363"/>
      <c r="O658" s="363"/>
      <c r="P658" s="363"/>
      <c r="Q658" s="363"/>
      <c r="R658" s="363"/>
      <c r="S658" s="363"/>
      <c r="T658" s="363"/>
      <c r="U658" s="363"/>
    </row>
    <row r="659" spans="1:21" ht="18">
      <c r="A659" s="363"/>
      <c r="B659" s="363"/>
      <c r="C659" s="363"/>
      <c r="D659" s="363"/>
      <c r="E659" s="363"/>
      <c r="F659" s="363"/>
      <c r="G659" s="363"/>
      <c r="H659" s="363"/>
      <c r="I659" s="363"/>
      <c r="J659" s="363"/>
      <c r="K659" s="363"/>
      <c r="L659" s="363"/>
      <c r="M659" s="363"/>
      <c r="N659" s="363"/>
      <c r="O659" s="363"/>
      <c r="P659" s="363"/>
      <c r="Q659" s="363"/>
      <c r="R659" s="363"/>
      <c r="S659" s="363"/>
      <c r="T659" s="363"/>
      <c r="U659" s="363"/>
    </row>
    <row r="660" spans="1:21" ht="18">
      <c r="A660" s="363"/>
      <c r="B660" s="363"/>
      <c r="C660" s="363"/>
      <c r="D660" s="363"/>
      <c r="E660" s="363"/>
      <c r="F660" s="363"/>
      <c r="G660" s="363"/>
      <c r="H660" s="363"/>
      <c r="I660" s="363"/>
      <c r="J660" s="363"/>
      <c r="K660" s="363"/>
      <c r="L660" s="363"/>
      <c r="M660" s="363"/>
      <c r="N660" s="363"/>
      <c r="O660" s="363"/>
      <c r="P660" s="363"/>
      <c r="Q660" s="363"/>
      <c r="R660" s="363"/>
      <c r="S660" s="363"/>
      <c r="T660" s="363"/>
      <c r="U660" s="363"/>
    </row>
    <row r="661" spans="1:21" ht="18">
      <c r="A661" s="363"/>
      <c r="B661" s="363"/>
      <c r="C661" s="363"/>
      <c r="D661" s="363"/>
      <c r="E661" s="363"/>
      <c r="F661" s="363"/>
      <c r="G661" s="363"/>
      <c r="H661" s="363"/>
      <c r="I661" s="363"/>
      <c r="J661" s="363"/>
      <c r="K661" s="363"/>
      <c r="L661" s="363"/>
      <c r="M661" s="363"/>
      <c r="N661" s="363"/>
      <c r="O661" s="363"/>
      <c r="P661" s="363"/>
      <c r="Q661" s="363"/>
      <c r="R661" s="363"/>
      <c r="S661" s="363"/>
      <c r="T661" s="363"/>
      <c r="U661" s="363"/>
    </row>
    <row r="662" spans="1:21" ht="18">
      <c r="A662" s="363"/>
      <c r="B662" s="363"/>
      <c r="C662" s="363"/>
      <c r="D662" s="363"/>
      <c r="E662" s="363"/>
      <c r="F662" s="363"/>
      <c r="G662" s="363"/>
      <c r="H662" s="363"/>
      <c r="I662" s="363"/>
      <c r="J662" s="363"/>
      <c r="K662" s="363"/>
      <c r="L662" s="363"/>
      <c r="M662" s="363"/>
      <c r="N662" s="363"/>
      <c r="O662" s="363"/>
      <c r="P662" s="363"/>
      <c r="Q662" s="363"/>
      <c r="R662" s="363"/>
      <c r="S662" s="363"/>
      <c r="T662" s="363"/>
      <c r="U662" s="363"/>
    </row>
    <row r="663" spans="1:21" ht="18">
      <c r="A663" s="363"/>
      <c r="B663" s="363"/>
      <c r="C663" s="363"/>
      <c r="D663" s="363"/>
      <c r="E663" s="363"/>
      <c r="F663" s="363"/>
      <c r="G663" s="363"/>
      <c r="H663" s="363"/>
      <c r="I663" s="363"/>
      <c r="J663" s="363"/>
      <c r="K663" s="363"/>
      <c r="L663" s="363"/>
      <c r="M663" s="363"/>
      <c r="N663" s="363"/>
      <c r="O663" s="363"/>
      <c r="P663" s="363"/>
      <c r="Q663" s="363"/>
      <c r="R663" s="363"/>
      <c r="S663" s="363"/>
      <c r="T663" s="363"/>
      <c r="U663" s="363"/>
    </row>
    <row r="664" spans="1:21" ht="18">
      <c r="A664" s="363"/>
      <c r="B664" s="363"/>
      <c r="C664" s="363"/>
      <c r="D664" s="363"/>
      <c r="E664" s="363"/>
      <c r="F664" s="363"/>
      <c r="G664" s="363"/>
      <c r="H664" s="363"/>
      <c r="I664" s="363"/>
      <c r="J664" s="363"/>
      <c r="K664" s="363"/>
      <c r="L664" s="363"/>
      <c r="M664" s="363"/>
      <c r="N664" s="363"/>
      <c r="O664" s="363"/>
      <c r="P664" s="363"/>
      <c r="Q664" s="363"/>
      <c r="R664" s="363"/>
      <c r="S664" s="363"/>
      <c r="T664" s="363"/>
      <c r="U664" s="363"/>
    </row>
    <row r="665" spans="1:21" ht="18">
      <c r="A665" s="363"/>
      <c r="B665" s="363"/>
      <c r="C665" s="363"/>
      <c r="D665" s="363"/>
      <c r="E665" s="363"/>
      <c r="F665" s="363"/>
      <c r="G665" s="363"/>
      <c r="H665" s="363"/>
      <c r="I665" s="363"/>
      <c r="J665" s="363"/>
      <c r="K665" s="363"/>
      <c r="L665" s="363"/>
      <c r="M665" s="363"/>
      <c r="N665" s="363"/>
      <c r="O665" s="363"/>
      <c r="P665" s="363"/>
      <c r="Q665" s="363"/>
      <c r="R665" s="363"/>
      <c r="S665" s="363"/>
      <c r="T665" s="363"/>
      <c r="U665" s="363"/>
    </row>
    <row r="666" spans="1:21" ht="18">
      <c r="A666" s="363"/>
      <c r="B666" s="363"/>
      <c r="C666" s="363"/>
      <c r="D666" s="363"/>
      <c r="E666" s="363"/>
      <c r="F666" s="363"/>
      <c r="G666" s="363"/>
      <c r="H666" s="363"/>
      <c r="I666" s="363"/>
      <c r="J666" s="363"/>
      <c r="K666" s="363"/>
      <c r="L666" s="363"/>
      <c r="M666" s="363"/>
      <c r="N666" s="363"/>
      <c r="O666" s="363"/>
      <c r="P666" s="363"/>
      <c r="Q666" s="363"/>
      <c r="R666" s="363"/>
      <c r="S666" s="363"/>
      <c r="T666" s="363"/>
      <c r="U666" s="363"/>
    </row>
    <row r="667" spans="1:21" ht="18">
      <c r="A667" s="363"/>
      <c r="B667" s="363"/>
      <c r="C667" s="363"/>
      <c r="D667" s="363"/>
      <c r="E667" s="363"/>
      <c r="F667" s="363"/>
      <c r="G667" s="363"/>
      <c r="H667" s="363"/>
      <c r="I667" s="363"/>
      <c r="J667" s="363"/>
      <c r="K667" s="363"/>
      <c r="L667" s="363"/>
      <c r="M667" s="363"/>
      <c r="N667" s="363"/>
      <c r="O667" s="363"/>
      <c r="P667" s="363"/>
      <c r="Q667" s="363"/>
      <c r="R667" s="363"/>
      <c r="S667" s="363"/>
      <c r="T667" s="363"/>
      <c r="U667" s="363"/>
    </row>
    <row r="668" spans="1:21" ht="18">
      <c r="A668" s="363"/>
      <c r="B668" s="363"/>
      <c r="C668" s="363"/>
      <c r="D668" s="363"/>
      <c r="E668" s="363"/>
      <c r="F668" s="363"/>
      <c r="G668" s="363"/>
      <c r="H668" s="363"/>
      <c r="I668" s="363"/>
      <c r="J668" s="363"/>
      <c r="K668" s="363"/>
      <c r="L668" s="363"/>
      <c r="M668" s="363"/>
      <c r="N668" s="363"/>
      <c r="O668" s="363"/>
      <c r="P668" s="363"/>
      <c r="Q668" s="363"/>
      <c r="R668" s="363"/>
      <c r="S668" s="363"/>
      <c r="T668" s="363"/>
      <c r="U668" s="363"/>
    </row>
    <row r="669" spans="1:21" ht="18">
      <c r="A669" s="363"/>
      <c r="B669" s="363"/>
      <c r="C669" s="363"/>
      <c r="D669" s="363"/>
      <c r="E669" s="363"/>
      <c r="F669" s="363"/>
      <c r="G669" s="363"/>
      <c r="H669" s="363"/>
      <c r="I669" s="363"/>
      <c r="J669" s="363"/>
      <c r="K669" s="363"/>
      <c r="L669" s="363"/>
      <c r="M669" s="363"/>
      <c r="N669" s="363"/>
      <c r="O669" s="363"/>
      <c r="P669" s="363"/>
      <c r="Q669" s="363"/>
      <c r="R669" s="363"/>
      <c r="S669" s="363"/>
      <c r="T669" s="363"/>
      <c r="U669" s="363"/>
    </row>
    <row r="670" spans="1:21" ht="18">
      <c r="A670" s="363"/>
      <c r="B670" s="363"/>
      <c r="C670" s="363"/>
      <c r="D670" s="363"/>
      <c r="E670" s="363"/>
      <c r="F670" s="363"/>
      <c r="G670" s="363"/>
      <c r="H670" s="363"/>
      <c r="I670" s="363"/>
      <c r="J670" s="363"/>
      <c r="K670" s="363"/>
      <c r="L670" s="363"/>
      <c r="M670" s="363"/>
      <c r="N670" s="363"/>
      <c r="O670" s="363"/>
      <c r="P670" s="363"/>
      <c r="Q670" s="363"/>
      <c r="R670" s="363"/>
      <c r="S670" s="363"/>
      <c r="T670" s="363"/>
      <c r="U670" s="363"/>
    </row>
    <row r="671" spans="1:21" ht="18">
      <c r="A671" s="363"/>
      <c r="B671" s="363"/>
      <c r="C671" s="363"/>
      <c r="D671" s="363"/>
      <c r="E671" s="363"/>
      <c r="F671" s="363"/>
      <c r="G671" s="363"/>
      <c r="H671" s="363"/>
      <c r="I671" s="363"/>
      <c r="J671" s="363"/>
      <c r="K671" s="363"/>
      <c r="L671" s="363"/>
      <c r="M671" s="363"/>
      <c r="N671" s="363"/>
      <c r="O671" s="363"/>
      <c r="P671" s="363"/>
      <c r="Q671" s="363"/>
      <c r="R671" s="363"/>
      <c r="S671" s="363"/>
      <c r="T671" s="363"/>
      <c r="U671" s="363"/>
    </row>
    <row r="672" spans="1:21" ht="18">
      <c r="A672" s="363"/>
      <c r="B672" s="363"/>
      <c r="C672" s="363"/>
      <c r="D672" s="363"/>
      <c r="E672" s="363"/>
      <c r="F672" s="363"/>
      <c r="G672" s="363"/>
      <c r="H672" s="363"/>
      <c r="I672" s="363"/>
      <c r="J672" s="363"/>
      <c r="K672" s="363"/>
      <c r="L672" s="363"/>
      <c r="M672" s="363"/>
      <c r="N672" s="363"/>
      <c r="O672" s="363"/>
      <c r="P672" s="363"/>
      <c r="Q672" s="363"/>
      <c r="R672" s="363"/>
      <c r="S672" s="363"/>
      <c r="T672" s="363"/>
      <c r="U672" s="363"/>
    </row>
    <row r="673" spans="1:21" ht="18">
      <c r="A673" s="363"/>
      <c r="B673" s="363"/>
      <c r="C673" s="363"/>
      <c r="D673" s="363"/>
      <c r="E673" s="363"/>
      <c r="F673" s="363"/>
      <c r="G673" s="363"/>
      <c r="H673" s="363"/>
      <c r="I673" s="363"/>
      <c r="J673" s="363"/>
      <c r="K673" s="363"/>
      <c r="L673" s="363"/>
      <c r="M673" s="363"/>
      <c r="N673" s="363"/>
      <c r="O673" s="363"/>
      <c r="P673" s="363"/>
      <c r="Q673" s="363"/>
      <c r="R673" s="363"/>
      <c r="S673" s="363"/>
      <c r="T673" s="363"/>
      <c r="U673" s="363"/>
    </row>
    <row r="674" spans="1:21" ht="18">
      <c r="A674" s="363"/>
      <c r="B674" s="363"/>
      <c r="C674" s="363"/>
      <c r="D674" s="363"/>
      <c r="E674" s="363"/>
      <c r="F674" s="363"/>
      <c r="G674" s="363"/>
      <c r="H674" s="363"/>
      <c r="I674" s="363"/>
      <c r="J674" s="363"/>
      <c r="K674" s="363"/>
      <c r="L674" s="363"/>
      <c r="M674" s="363"/>
      <c r="N674" s="363"/>
      <c r="O674" s="363"/>
      <c r="P674" s="363"/>
      <c r="Q674" s="363"/>
      <c r="R674" s="363"/>
      <c r="S674" s="363"/>
      <c r="T674" s="363"/>
      <c r="U674" s="363"/>
    </row>
    <row r="675" spans="1:21" ht="18">
      <c r="A675" s="363"/>
      <c r="B675" s="363"/>
      <c r="C675" s="363"/>
      <c r="D675" s="363"/>
      <c r="E675" s="363"/>
      <c r="F675" s="363"/>
      <c r="G675" s="363"/>
      <c r="H675" s="363"/>
      <c r="I675" s="363"/>
      <c r="J675" s="363"/>
      <c r="K675" s="363"/>
      <c r="L675" s="363"/>
      <c r="M675" s="363"/>
      <c r="N675" s="363"/>
      <c r="O675" s="363"/>
      <c r="P675" s="363"/>
      <c r="Q675" s="363"/>
      <c r="R675" s="363"/>
      <c r="S675" s="363"/>
      <c r="T675" s="363"/>
      <c r="U675" s="363"/>
    </row>
    <row r="676" spans="1:21" ht="18">
      <c r="A676" s="363"/>
      <c r="B676" s="363"/>
      <c r="C676" s="363"/>
      <c r="D676" s="363"/>
      <c r="E676" s="363"/>
      <c r="F676" s="363"/>
      <c r="G676" s="363"/>
      <c r="H676" s="363"/>
      <c r="I676" s="363"/>
      <c r="J676" s="363"/>
      <c r="K676" s="363"/>
      <c r="L676" s="363"/>
      <c r="M676" s="363"/>
      <c r="N676" s="363"/>
      <c r="O676" s="363"/>
      <c r="P676" s="363"/>
      <c r="Q676" s="363"/>
      <c r="R676" s="363"/>
      <c r="S676" s="363"/>
      <c r="T676" s="363"/>
      <c r="U676" s="363"/>
    </row>
    <row r="677" spans="1:21" ht="18">
      <c r="A677" s="363"/>
      <c r="B677" s="363"/>
      <c r="C677" s="363"/>
      <c r="D677" s="363"/>
      <c r="E677" s="363"/>
      <c r="F677" s="363"/>
      <c r="G677" s="363"/>
      <c r="H677" s="363"/>
      <c r="I677" s="363"/>
      <c r="J677" s="363"/>
      <c r="K677" s="363"/>
      <c r="L677" s="363"/>
      <c r="M677" s="363"/>
      <c r="N677" s="363"/>
      <c r="O677" s="363"/>
      <c r="P677" s="363"/>
      <c r="Q677" s="363"/>
      <c r="R677" s="363"/>
      <c r="S677" s="363"/>
      <c r="T677" s="363"/>
      <c r="U677" s="363"/>
    </row>
    <row r="678" spans="1:21" ht="18">
      <c r="A678" s="363"/>
      <c r="B678" s="363"/>
      <c r="C678" s="363"/>
      <c r="D678" s="363"/>
      <c r="E678" s="363"/>
      <c r="F678" s="363"/>
      <c r="G678" s="363"/>
      <c r="H678" s="363"/>
      <c r="I678" s="363"/>
      <c r="J678" s="363"/>
      <c r="K678" s="363"/>
      <c r="L678" s="363"/>
      <c r="M678" s="363"/>
      <c r="N678" s="363"/>
      <c r="O678" s="363"/>
      <c r="P678" s="363"/>
      <c r="Q678" s="363"/>
      <c r="R678" s="363"/>
      <c r="S678" s="363"/>
      <c r="T678" s="363"/>
      <c r="U678" s="363"/>
    </row>
    <row r="679" spans="1:21" ht="18">
      <c r="A679" s="363"/>
      <c r="B679" s="363"/>
      <c r="C679" s="363"/>
      <c r="D679" s="363"/>
      <c r="E679" s="363"/>
      <c r="F679" s="363"/>
      <c r="G679" s="363"/>
      <c r="H679" s="363"/>
      <c r="I679" s="363"/>
      <c r="J679" s="363"/>
      <c r="K679" s="363"/>
      <c r="L679" s="363"/>
      <c r="M679" s="363"/>
      <c r="N679" s="363"/>
      <c r="O679" s="363"/>
      <c r="P679" s="363"/>
      <c r="Q679" s="363"/>
      <c r="R679" s="363"/>
      <c r="S679" s="363"/>
      <c r="T679" s="363"/>
      <c r="U679" s="363"/>
    </row>
    <row r="680" spans="1:21" ht="18">
      <c r="A680" s="363"/>
      <c r="B680" s="363"/>
      <c r="C680" s="363"/>
      <c r="D680" s="363"/>
      <c r="E680" s="363"/>
      <c r="F680" s="363"/>
      <c r="G680" s="363"/>
      <c r="H680" s="363"/>
      <c r="I680" s="363"/>
      <c r="J680" s="363"/>
      <c r="K680" s="363"/>
      <c r="L680" s="363"/>
      <c r="M680" s="363"/>
      <c r="N680" s="363"/>
      <c r="O680" s="363"/>
      <c r="P680" s="363"/>
      <c r="Q680" s="363"/>
      <c r="R680" s="363"/>
      <c r="S680" s="363"/>
      <c r="T680" s="363"/>
      <c r="U680" s="363"/>
    </row>
    <row r="681" spans="1:21" ht="18">
      <c r="A681" s="363"/>
      <c r="B681" s="363"/>
      <c r="C681" s="363"/>
      <c r="D681" s="363"/>
      <c r="E681" s="363"/>
      <c r="F681" s="363"/>
      <c r="G681" s="363"/>
      <c r="H681" s="363"/>
      <c r="I681" s="363"/>
      <c r="J681" s="363"/>
      <c r="K681" s="363"/>
      <c r="L681" s="363"/>
      <c r="M681" s="363"/>
      <c r="N681" s="363"/>
      <c r="O681" s="363"/>
      <c r="P681" s="363"/>
      <c r="Q681" s="363"/>
      <c r="R681" s="363"/>
      <c r="S681" s="363"/>
      <c r="T681" s="363"/>
      <c r="U681" s="363"/>
    </row>
    <row r="682" spans="1:21" ht="18">
      <c r="A682" s="363"/>
      <c r="B682" s="363"/>
      <c r="C682" s="363"/>
      <c r="D682" s="363"/>
      <c r="E682" s="363"/>
      <c r="F682" s="363"/>
      <c r="G682" s="363"/>
      <c r="H682" s="363"/>
      <c r="I682" s="363"/>
      <c r="J682" s="363"/>
      <c r="K682" s="363"/>
      <c r="L682" s="363"/>
      <c r="M682" s="363"/>
      <c r="N682" s="363"/>
      <c r="O682" s="363"/>
      <c r="P682" s="363"/>
      <c r="Q682" s="363"/>
      <c r="R682" s="363"/>
      <c r="S682" s="363"/>
      <c r="T682" s="363"/>
      <c r="U682" s="363"/>
    </row>
    <row r="683" spans="1:21" ht="18">
      <c r="A683" s="363"/>
      <c r="B683" s="363"/>
      <c r="C683" s="363"/>
      <c r="D683" s="363"/>
      <c r="E683" s="363"/>
      <c r="F683" s="363"/>
      <c r="G683" s="363"/>
      <c r="H683" s="363"/>
      <c r="I683" s="363"/>
      <c r="J683" s="363"/>
      <c r="K683" s="363"/>
      <c r="L683" s="363"/>
      <c r="M683" s="363"/>
      <c r="N683" s="363"/>
      <c r="O683" s="363"/>
      <c r="P683" s="363"/>
      <c r="Q683" s="363"/>
      <c r="R683" s="363"/>
      <c r="S683" s="363"/>
      <c r="T683" s="363"/>
      <c r="U683" s="363"/>
    </row>
    <row r="684" spans="1:21" ht="18">
      <c r="A684" s="363"/>
      <c r="B684" s="363"/>
      <c r="C684" s="363"/>
      <c r="D684" s="363"/>
      <c r="E684" s="363"/>
      <c r="F684" s="363"/>
      <c r="G684" s="363"/>
      <c r="H684" s="363"/>
      <c r="I684" s="363"/>
      <c r="J684" s="363"/>
      <c r="K684" s="363"/>
      <c r="L684" s="363"/>
      <c r="M684" s="363"/>
      <c r="N684" s="363"/>
      <c r="O684" s="363"/>
      <c r="P684" s="363"/>
      <c r="Q684" s="363"/>
      <c r="R684" s="363"/>
      <c r="S684" s="363"/>
      <c r="T684" s="363"/>
      <c r="U684" s="363"/>
    </row>
    <row r="685" spans="1:21" ht="18">
      <c r="A685" s="363"/>
      <c r="B685" s="363"/>
      <c r="C685" s="363"/>
      <c r="D685" s="363"/>
      <c r="E685" s="363"/>
      <c r="F685" s="363"/>
      <c r="G685" s="363"/>
      <c r="H685" s="363"/>
      <c r="I685" s="363"/>
      <c r="J685" s="363"/>
      <c r="K685" s="363"/>
      <c r="L685" s="363"/>
      <c r="M685" s="363"/>
      <c r="N685" s="363"/>
      <c r="O685" s="363"/>
      <c r="P685" s="363"/>
      <c r="Q685" s="363"/>
      <c r="R685" s="363"/>
      <c r="S685" s="363"/>
      <c r="T685" s="363"/>
      <c r="U685" s="363"/>
    </row>
    <row r="686" spans="1:21" ht="18">
      <c r="A686" s="363"/>
      <c r="B686" s="363"/>
      <c r="C686" s="363"/>
      <c r="D686" s="363"/>
      <c r="E686" s="363"/>
      <c r="F686" s="363"/>
      <c r="G686" s="363"/>
      <c r="H686" s="363"/>
      <c r="I686" s="363"/>
      <c r="J686" s="363"/>
      <c r="K686" s="363"/>
      <c r="L686" s="363"/>
      <c r="M686" s="363"/>
      <c r="N686" s="363"/>
      <c r="O686" s="363"/>
      <c r="P686" s="363"/>
      <c r="Q686" s="363"/>
      <c r="R686" s="363"/>
      <c r="S686" s="363"/>
      <c r="T686" s="363"/>
      <c r="U686" s="363"/>
    </row>
    <row r="687" spans="1:21" ht="18">
      <c r="A687" s="363"/>
      <c r="B687" s="363"/>
      <c r="C687" s="363"/>
      <c r="D687" s="363"/>
      <c r="E687" s="363"/>
      <c r="F687" s="363"/>
      <c r="G687" s="363"/>
      <c r="H687" s="363"/>
      <c r="I687" s="363"/>
      <c r="J687" s="363"/>
      <c r="K687" s="363"/>
      <c r="L687" s="363"/>
      <c r="M687" s="363"/>
      <c r="N687" s="363"/>
      <c r="O687" s="363"/>
      <c r="P687" s="363"/>
      <c r="Q687" s="363"/>
      <c r="R687" s="363"/>
      <c r="S687" s="363"/>
      <c r="T687" s="363"/>
      <c r="U687" s="363"/>
    </row>
    <row r="688" spans="1:21" ht="18">
      <c r="A688" s="363"/>
      <c r="B688" s="363"/>
      <c r="C688" s="363"/>
      <c r="D688" s="363"/>
      <c r="E688" s="363"/>
      <c r="F688" s="363"/>
      <c r="G688" s="363"/>
      <c r="H688" s="363"/>
      <c r="I688" s="363"/>
      <c r="J688" s="363"/>
      <c r="K688" s="363"/>
      <c r="L688" s="363"/>
      <c r="M688" s="363"/>
      <c r="N688" s="363"/>
      <c r="O688" s="363"/>
      <c r="P688" s="363"/>
      <c r="Q688" s="363"/>
      <c r="R688" s="363"/>
      <c r="S688" s="363"/>
      <c r="T688" s="363"/>
      <c r="U688" s="363"/>
    </row>
    <row r="689" spans="1:21" ht="18">
      <c r="A689" s="363"/>
      <c r="B689" s="363"/>
      <c r="C689" s="363"/>
      <c r="D689" s="363"/>
      <c r="E689" s="363"/>
      <c r="F689" s="363"/>
      <c r="G689" s="363"/>
      <c r="H689" s="363"/>
      <c r="I689" s="363"/>
      <c r="J689" s="363"/>
      <c r="K689" s="363"/>
      <c r="L689" s="363"/>
      <c r="M689" s="363"/>
      <c r="N689" s="363"/>
      <c r="O689" s="363"/>
      <c r="P689" s="363"/>
      <c r="Q689" s="363"/>
      <c r="R689" s="363"/>
      <c r="S689" s="363"/>
      <c r="T689" s="363"/>
      <c r="U689" s="363"/>
    </row>
    <row r="690" spans="1:21" ht="18">
      <c r="A690" s="363"/>
      <c r="B690" s="363"/>
      <c r="C690" s="363"/>
      <c r="D690" s="363"/>
      <c r="E690" s="363"/>
      <c r="F690" s="363"/>
      <c r="G690" s="363"/>
      <c r="H690" s="363"/>
      <c r="I690" s="363"/>
      <c r="J690" s="363"/>
      <c r="K690" s="363"/>
      <c r="L690" s="363"/>
      <c r="M690" s="363"/>
      <c r="N690" s="363"/>
      <c r="O690" s="363"/>
      <c r="P690" s="363"/>
      <c r="Q690" s="363"/>
      <c r="R690" s="363"/>
      <c r="S690" s="363"/>
      <c r="T690" s="363"/>
      <c r="U690" s="363"/>
    </row>
    <row r="691" spans="1:21" ht="18">
      <c r="A691" s="363"/>
      <c r="B691" s="363"/>
      <c r="C691" s="363"/>
      <c r="D691" s="363"/>
      <c r="E691" s="363"/>
      <c r="F691" s="363"/>
      <c r="G691" s="363"/>
      <c r="H691" s="363"/>
      <c r="I691" s="363"/>
      <c r="J691" s="363"/>
      <c r="K691" s="363"/>
      <c r="L691" s="363"/>
      <c r="M691" s="363"/>
      <c r="N691" s="363"/>
      <c r="O691" s="363"/>
      <c r="P691" s="363"/>
      <c r="Q691" s="363"/>
      <c r="R691" s="363"/>
      <c r="S691" s="363"/>
      <c r="T691" s="363"/>
      <c r="U691" s="363"/>
    </row>
    <row r="692" spans="1:21" ht="18">
      <c r="A692" s="363"/>
      <c r="B692" s="363"/>
      <c r="C692" s="363"/>
      <c r="D692" s="363"/>
      <c r="E692" s="363"/>
      <c r="F692" s="363"/>
      <c r="G692" s="363"/>
      <c r="H692" s="363"/>
      <c r="I692" s="363"/>
      <c r="J692" s="363"/>
      <c r="K692" s="363"/>
      <c r="L692" s="363"/>
      <c r="M692" s="363"/>
      <c r="N692" s="363"/>
      <c r="O692" s="363"/>
      <c r="P692" s="363"/>
      <c r="Q692" s="363"/>
      <c r="R692" s="363"/>
      <c r="S692" s="363"/>
      <c r="T692" s="363"/>
      <c r="U692" s="363"/>
    </row>
    <row r="693" spans="1:21" ht="18">
      <c r="A693" s="363"/>
      <c r="B693" s="363"/>
      <c r="C693" s="363"/>
      <c r="D693" s="363"/>
      <c r="E693" s="363"/>
      <c r="F693" s="363"/>
      <c r="G693" s="363"/>
      <c r="H693" s="363"/>
      <c r="I693" s="363"/>
      <c r="J693" s="363"/>
      <c r="K693" s="363"/>
      <c r="L693" s="363"/>
      <c r="M693" s="363"/>
      <c r="N693" s="363"/>
      <c r="O693" s="363"/>
      <c r="P693" s="363"/>
      <c r="Q693" s="363"/>
      <c r="R693" s="363"/>
      <c r="S693" s="363"/>
      <c r="T693" s="363"/>
      <c r="U693" s="363"/>
    </row>
    <row r="694" spans="1:21" ht="18">
      <c r="A694" s="363"/>
      <c r="B694" s="363"/>
      <c r="C694" s="363"/>
      <c r="D694" s="363"/>
      <c r="E694" s="363"/>
      <c r="F694" s="363"/>
      <c r="G694" s="363"/>
      <c r="H694" s="363"/>
      <c r="I694" s="363"/>
      <c r="J694" s="363"/>
      <c r="K694" s="363"/>
      <c r="L694" s="363"/>
      <c r="M694" s="363"/>
      <c r="N694" s="363"/>
      <c r="O694" s="363"/>
      <c r="P694" s="363"/>
      <c r="Q694" s="363"/>
      <c r="R694" s="363"/>
      <c r="S694" s="363"/>
      <c r="T694" s="363"/>
      <c r="U694" s="363"/>
    </row>
    <row r="695" spans="1:21" ht="18">
      <c r="A695" s="363"/>
      <c r="B695" s="363"/>
      <c r="C695" s="363"/>
      <c r="D695" s="363"/>
      <c r="E695" s="363"/>
      <c r="F695" s="363"/>
      <c r="G695" s="363"/>
      <c r="H695" s="363"/>
      <c r="I695" s="363"/>
      <c r="J695" s="363"/>
      <c r="K695" s="363"/>
      <c r="L695" s="363"/>
      <c r="M695" s="363"/>
      <c r="N695" s="363"/>
      <c r="O695" s="363"/>
      <c r="P695" s="363"/>
      <c r="Q695" s="363"/>
      <c r="R695" s="363"/>
      <c r="S695" s="363"/>
      <c r="T695" s="363"/>
      <c r="U695" s="363"/>
    </row>
    <row r="696" spans="1:21" ht="18">
      <c r="A696" s="363"/>
      <c r="B696" s="363"/>
      <c r="C696" s="363"/>
      <c r="D696" s="363"/>
      <c r="E696" s="363"/>
      <c r="F696" s="363"/>
      <c r="G696" s="363"/>
      <c r="H696" s="363"/>
      <c r="I696" s="363"/>
      <c r="J696" s="363"/>
      <c r="K696" s="363"/>
      <c r="L696" s="363"/>
      <c r="M696" s="363"/>
      <c r="N696" s="363"/>
      <c r="O696" s="363"/>
      <c r="P696" s="363"/>
      <c r="Q696" s="363"/>
      <c r="R696" s="363"/>
      <c r="S696" s="363"/>
      <c r="T696" s="363"/>
      <c r="U696" s="363"/>
    </row>
    <row r="697" spans="1:21" ht="18">
      <c r="A697" s="363"/>
      <c r="B697" s="363"/>
      <c r="C697" s="363"/>
      <c r="D697" s="363"/>
      <c r="E697" s="363"/>
      <c r="F697" s="363"/>
      <c r="G697" s="363"/>
      <c r="H697" s="363"/>
      <c r="I697" s="363"/>
      <c r="J697" s="363"/>
      <c r="K697" s="363"/>
      <c r="L697" s="363"/>
      <c r="M697" s="363"/>
      <c r="N697" s="363"/>
      <c r="O697" s="363"/>
      <c r="P697" s="363"/>
      <c r="Q697" s="363"/>
      <c r="R697" s="363"/>
      <c r="S697" s="363"/>
      <c r="T697" s="363"/>
      <c r="U697" s="363"/>
    </row>
    <row r="698" spans="1:21" ht="18">
      <c r="A698" s="363"/>
      <c r="B698" s="363"/>
      <c r="C698" s="363"/>
      <c r="D698" s="363"/>
      <c r="E698" s="363"/>
      <c r="F698" s="363"/>
      <c r="G698" s="363"/>
      <c r="H698" s="363"/>
      <c r="I698" s="363"/>
      <c r="J698" s="363"/>
      <c r="K698" s="363"/>
      <c r="L698" s="363"/>
      <c r="M698" s="363"/>
      <c r="N698" s="363"/>
      <c r="O698" s="363"/>
      <c r="P698" s="363"/>
      <c r="Q698" s="363"/>
      <c r="R698" s="363"/>
      <c r="S698" s="363"/>
      <c r="T698" s="363"/>
      <c r="U698" s="363"/>
    </row>
    <row r="699" spans="1:21" ht="18">
      <c r="A699" s="363"/>
      <c r="B699" s="363"/>
      <c r="C699" s="363"/>
      <c r="D699" s="363"/>
      <c r="E699" s="363"/>
      <c r="F699" s="363"/>
      <c r="G699" s="363"/>
      <c r="H699" s="363"/>
      <c r="I699" s="363"/>
      <c r="J699" s="363"/>
      <c r="K699" s="363"/>
      <c r="L699" s="363"/>
      <c r="M699" s="363"/>
      <c r="N699" s="363"/>
      <c r="O699" s="363"/>
      <c r="P699" s="363"/>
      <c r="Q699" s="363"/>
      <c r="R699" s="363"/>
      <c r="S699" s="363"/>
      <c r="T699" s="363"/>
      <c r="U699" s="363"/>
    </row>
    <row r="700" spans="1:21" ht="18">
      <c r="A700" s="363"/>
      <c r="B700" s="363"/>
      <c r="C700" s="363"/>
      <c r="D700" s="363"/>
      <c r="E700" s="363"/>
      <c r="F700" s="363"/>
      <c r="G700" s="363"/>
      <c r="H700" s="363"/>
      <c r="I700" s="363"/>
      <c r="J700" s="363"/>
      <c r="K700" s="363"/>
      <c r="L700" s="363"/>
      <c r="M700" s="363"/>
      <c r="N700" s="363"/>
      <c r="O700" s="363"/>
      <c r="P700" s="363"/>
      <c r="Q700" s="363"/>
      <c r="R700" s="363"/>
      <c r="S700" s="363"/>
      <c r="T700" s="363"/>
      <c r="U700" s="363"/>
    </row>
    <row r="701" spans="1:21" ht="18">
      <c r="A701" s="363"/>
      <c r="B701" s="363"/>
      <c r="C701" s="363"/>
      <c r="D701" s="363"/>
      <c r="E701" s="363"/>
      <c r="F701" s="363"/>
      <c r="G701" s="363"/>
      <c r="H701" s="363"/>
      <c r="I701" s="363"/>
      <c r="J701" s="363"/>
      <c r="K701" s="363"/>
      <c r="L701" s="363"/>
      <c r="M701" s="363"/>
      <c r="N701" s="363"/>
      <c r="O701" s="363"/>
      <c r="P701" s="363"/>
      <c r="Q701" s="363"/>
      <c r="R701" s="363"/>
      <c r="S701" s="363"/>
      <c r="T701" s="363"/>
      <c r="U701" s="363"/>
    </row>
    <row r="702" spans="1:21" ht="18">
      <c r="A702" s="363"/>
      <c r="B702" s="363"/>
      <c r="C702" s="363"/>
      <c r="D702" s="363"/>
      <c r="E702" s="363"/>
      <c r="F702" s="363"/>
      <c r="G702" s="363"/>
      <c r="H702" s="363"/>
      <c r="I702" s="363"/>
      <c r="J702" s="363"/>
      <c r="K702" s="363"/>
      <c r="L702" s="363"/>
      <c r="M702" s="363"/>
      <c r="N702" s="363"/>
      <c r="O702" s="363"/>
      <c r="P702" s="363"/>
      <c r="Q702" s="363"/>
      <c r="R702" s="363"/>
      <c r="S702" s="363"/>
      <c r="T702" s="363"/>
      <c r="U702" s="363"/>
    </row>
    <row r="703" spans="1:21" ht="18">
      <c r="A703" s="363"/>
      <c r="B703" s="363"/>
      <c r="C703" s="363"/>
      <c r="D703" s="363"/>
      <c r="E703" s="363"/>
      <c r="F703" s="363"/>
      <c r="G703" s="363"/>
      <c r="H703" s="363"/>
      <c r="I703" s="363"/>
      <c r="J703" s="363"/>
      <c r="K703" s="363"/>
      <c r="L703" s="363"/>
      <c r="M703" s="363"/>
      <c r="N703" s="363"/>
      <c r="O703" s="363"/>
      <c r="P703" s="363"/>
      <c r="Q703" s="363"/>
      <c r="R703" s="363"/>
      <c r="S703" s="363"/>
      <c r="T703" s="363"/>
      <c r="U703" s="363"/>
    </row>
    <row r="704" spans="1:21" ht="18">
      <c r="A704" s="363"/>
      <c r="B704" s="363"/>
      <c r="C704" s="363"/>
      <c r="D704" s="363"/>
      <c r="E704" s="363"/>
      <c r="F704" s="363"/>
      <c r="G704" s="363"/>
      <c r="H704" s="363"/>
      <c r="I704" s="363"/>
      <c r="J704" s="363"/>
      <c r="K704" s="363"/>
      <c r="L704" s="363"/>
      <c r="M704" s="363"/>
      <c r="N704" s="363"/>
      <c r="O704" s="363"/>
      <c r="P704" s="363"/>
      <c r="Q704" s="363"/>
      <c r="R704" s="363"/>
      <c r="S704" s="363"/>
      <c r="T704" s="363"/>
      <c r="U704" s="363"/>
    </row>
    <row r="705" spans="1:21" ht="18">
      <c r="A705" s="363"/>
      <c r="B705" s="363"/>
      <c r="C705" s="363"/>
      <c r="D705" s="363"/>
      <c r="E705" s="363"/>
      <c r="F705" s="363"/>
      <c r="G705" s="363"/>
      <c r="H705" s="363"/>
      <c r="I705" s="363"/>
      <c r="J705" s="363"/>
      <c r="K705" s="363"/>
      <c r="L705" s="363"/>
      <c r="M705" s="363"/>
      <c r="N705" s="363"/>
      <c r="O705" s="363"/>
      <c r="P705" s="363"/>
      <c r="Q705" s="363"/>
      <c r="R705" s="363"/>
      <c r="S705" s="363"/>
      <c r="T705" s="363"/>
      <c r="U705" s="363"/>
    </row>
    <row r="706" spans="1:21" ht="18">
      <c r="A706" s="363"/>
      <c r="B706" s="363"/>
      <c r="C706" s="363"/>
      <c r="D706" s="363"/>
      <c r="E706" s="363"/>
      <c r="F706" s="363"/>
      <c r="G706" s="363"/>
      <c r="H706" s="363"/>
      <c r="I706" s="363"/>
      <c r="J706" s="363"/>
      <c r="K706" s="363"/>
      <c r="L706" s="363"/>
      <c r="M706" s="363"/>
      <c r="N706" s="363"/>
      <c r="O706" s="363"/>
      <c r="P706" s="363"/>
      <c r="Q706" s="363"/>
      <c r="R706" s="363"/>
      <c r="S706" s="363"/>
      <c r="T706" s="363"/>
      <c r="U706" s="363"/>
    </row>
    <row r="707" spans="1:21" ht="18">
      <c r="A707" s="363"/>
      <c r="B707" s="363"/>
      <c r="C707" s="363"/>
      <c r="D707" s="363"/>
      <c r="E707" s="363"/>
      <c r="F707" s="363"/>
      <c r="G707" s="363"/>
      <c r="H707" s="363"/>
      <c r="I707" s="363"/>
      <c r="J707" s="363"/>
      <c r="K707" s="363"/>
      <c r="L707" s="363"/>
      <c r="M707" s="363"/>
      <c r="N707" s="363"/>
      <c r="O707" s="363"/>
      <c r="P707" s="363"/>
      <c r="Q707" s="363"/>
      <c r="R707" s="363"/>
      <c r="S707" s="363"/>
      <c r="T707" s="363"/>
      <c r="U707" s="363"/>
    </row>
    <row r="708" spans="1:21" ht="18">
      <c r="A708" s="363"/>
      <c r="B708" s="363"/>
      <c r="C708" s="363"/>
      <c r="D708" s="363"/>
      <c r="E708" s="363"/>
      <c r="F708" s="363"/>
      <c r="G708" s="363"/>
      <c r="H708" s="363"/>
      <c r="I708" s="363"/>
      <c r="J708" s="363"/>
      <c r="K708" s="363"/>
      <c r="L708" s="363"/>
      <c r="M708" s="363"/>
      <c r="N708" s="363"/>
      <c r="O708" s="363"/>
      <c r="P708" s="363"/>
      <c r="Q708" s="363"/>
      <c r="R708" s="363"/>
      <c r="S708" s="363"/>
      <c r="T708" s="363"/>
      <c r="U708" s="363"/>
    </row>
    <row r="709" spans="1:21" ht="18">
      <c r="A709" s="363"/>
      <c r="B709" s="363"/>
      <c r="C709" s="363"/>
      <c r="D709" s="363"/>
      <c r="E709" s="363"/>
      <c r="F709" s="363"/>
      <c r="G709" s="363"/>
      <c r="H709" s="363"/>
      <c r="I709" s="363"/>
      <c r="J709" s="363"/>
      <c r="K709" s="363"/>
      <c r="L709" s="363"/>
      <c r="M709" s="363"/>
      <c r="N709" s="363"/>
      <c r="O709" s="363"/>
      <c r="P709" s="363"/>
      <c r="Q709" s="363"/>
      <c r="R709" s="363"/>
      <c r="S709" s="363"/>
      <c r="T709" s="363"/>
      <c r="U709" s="363"/>
    </row>
    <row r="710" spans="1:21" ht="18">
      <c r="A710" s="363"/>
      <c r="B710" s="363"/>
      <c r="C710" s="363"/>
      <c r="D710" s="363"/>
      <c r="E710" s="363"/>
      <c r="F710" s="363"/>
      <c r="G710" s="363"/>
      <c r="H710" s="363"/>
      <c r="I710" s="363"/>
      <c r="J710" s="363"/>
      <c r="K710" s="363"/>
      <c r="L710" s="363"/>
      <c r="M710" s="363"/>
      <c r="N710" s="363"/>
      <c r="O710" s="363"/>
      <c r="P710" s="363"/>
      <c r="Q710" s="363"/>
      <c r="R710" s="363"/>
      <c r="S710" s="363"/>
      <c r="T710" s="363"/>
      <c r="U710" s="363"/>
    </row>
    <row r="711" spans="1:21" ht="18">
      <c r="A711" s="363"/>
      <c r="B711" s="363"/>
      <c r="C711" s="363"/>
      <c r="D711" s="363"/>
      <c r="E711" s="363"/>
      <c r="F711" s="363"/>
      <c r="G711" s="363"/>
      <c r="H711" s="363"/>
      <c r="I711" s="363"/>
      <c r="J711" s="363"/>
      <c r="K711" s="363"/>
      <c r="L711" s="363"/>
      <c r="M711" s="363"/>
      <c r="N711" s="363"/>
      <c r="O711" s="363"/>
      <c r="P711" s="363"/>
      <c r="Q711" s="363"/>
      <c r="R711" s="363"/>
      <c r="S711" s="363"/>
      <c r="T711" s="363"/>
      <c r="U711" s="363"/>
    </row>
    <row r="712" spans="1:21" ht="18">
      <c r="A712" s="363"/>
      <c r="B712" s="363"/>
      <c r="C712" s="363"/>
      <c r="D712" s="363"/>
      <c r="E712" s="363"/>
      <c r="F712" s="363"/>
      <c r="G712" s="363"/>
      <c r="H712" s="363"/>
      <c r="I712" s="363"/>
      <c r="J712" s="363"/>
      <c r="K712" s="363"/>
      <c r="L712" s="363"/>
      <c r="M712" s="363"/>
      <c r="N712" s="363"/>
      <c r="O712" s="363"/>
      <c r="P712" s="363"/>
      <c r="Q712" s="363"/>
      <c r="R712" s="363"/>
      <c r="S712" s="363"/>
      <c r="T712" s="363"/>
      <c r="U712" s="363"/>
    </row>
    <row r="713" spans="1:21" ht="18">
      <c r="A713" s="363"/>
      <c r="B713" s="363"/>
      <c r="C713" s="363"/>
      <c r="D713" s="363"/>
      <c r="E713" s="363"/>
      <c r="F713" s="363"/>
      <c r="G713" s="363"/>
      <c r="H713" s="363"/>
      <c r="I713" s="363"/>
      <c r="J713" s="363"/>
      <c r="K713" s="363"/>
      <c r="L713" s="363"/>
      <c r="M713" s="363"/>
      <c r="N713" s="363"/>
      <c r="O713" s="363"/>
      <c r="P713" s="363"/>
      <c r="Q713" s="363"/>
      <c r="R713" s="363"/>
      <c r="S713" s="363"/>
      <c r="T713" s="363"/>
      <c r="U713" s="363"/>
    </row>
    <row r="714" spans="1:21" ht="18">
      <c r="A714" s="363"/>
      <c r="B714" s="363"/>
      <c r="C714" s="363"/>
      <c r="D714" s="363"/>
      <c r="E714" s="363"/>
      <c r="F714" s="363"/>
      <c r="G714" s="363"/>
      <c r="H714" s="363"/>
      <c r="I714" s="363"/>
      <c r="J714" s="363"/>
      <c r="K714" s="363"/>
      <c r="L714" s="363"/>
      <c r="M714" s="363"/>
      <c r="N714" s="363"/>
      <c r="O714" s="363"/>
      <c r="P714" s="363"/>
      <c r="Q714" s="363"/>
      <c r="R714" s="363"/>
      <c r="S714" s="363"/>
      <c r="T714" s="363"/>
      <c r="U714" s="363"/>
    </row>
    <row r="715" spans="1:21" ht="18">
      <c r="A715" s="363"/>
      <c r="B715" s="363"/>
      <c r="C715" s="363"/>
      <c r="D715" s="363"/>
      <c r="E715" s="363"/>
      <c r="F715" s="363"/>
      <c r="G715" s="363"/>
      <c r="H715" s="363"/>
      <c r="I715" s="363"/>
      <c r="J715" s="363"/>
      <c r="K715" s="363"/>
      <c r="L715" s="363"/>
      <c r="M715" s="363"/>
      <c r="N715" s="363"/>
      <c r="O715" s="363"/>
      <c r="P715" s="363"/>
      <c r="Q715" s="363"/>
      <c r="R715" s="363"/>
      <c r="S715" s="363"/>
      <c r="T715" s="363"/>
      <c r="U715" s="363"/>
    </row>
    <row r="716" spans="1:21" ht="18">
      <c r="A716" s="363"/>
      <c r="B716" s="363"/>
      <c r="C716" s="363"/>
      <c r="D716" s="363"/>
      <c r="E716" s="363"/>
      <c r="F716" s="363"/>
      <c r="G716" s="363"/>
      <c r="H716" s="363"/>
      <c r="I716" s="363"/>
      <c r="J716" s="363"/>
      <c r="K716" s="363"/>
      <c r="L716" s="363"/>
      <c r="M716" s="363"/>
      <c r="N716" s="363"/>
      <c r="O716" s="363"/>
      <c r="P716" s="363"/>
      <c r="Q716" s="363"/>
      <c r="R716" s="363"/>
      <c r="S716" s="363"/>
      <c r="T716" s="363"/>
      <c r="U716" s="363"/>
    </row>
    <row r="717" spans="1:21" ht="18">
      <c r="A717" s="363"/>
      <c r="B717" s="363"/>
      <c r="C717" s="363"/>
      <c r="D717" s="363"/>
      <c r="E717" s="363"/>
      <c r="F717" s="363"/>
      <c r="G717" s="363"/>
      <c r="H717" s="363"/>
      <c r="I717" s="363"/>
      <c r="J717" s="363"/>
      <c r="K717" s="363"/>
      <c r="L717" s="363"/>
      <c r="M717" s="363"/>
      <c r="N717" s="363"/>
      <c r="O717" s="363"/>
      <c r="P717" s="363"/>
      <c r="Q717" s="363"/>
      <c r="R717" s="363"/>
      <c r="S717" s="363"/>
      <c r="T717" s="363"/>
      <c r="U717" s="363"/>
    </row>
    <row r="718" spans="1:21" ht="18">
      <c r="A718" s="363"/>
      <c r="B718" s="363"/>
      <c r="C718" s="363"/>
      <c r="D718" s="363"/>
      <c r="E718" s="363"/>
      <c r="F718" s="363"/>
      <c r="G718" s="363"/>
      <c r="H718" s="363"/>
      <c r="I718" s="363"/>
      <c r="J718" s="363"/>
      <c r="K718" s="363"/>
      <c r="L718" s="363"/>
      <c r="M718" s="363"/>
      <c r="N718" s="363"/>
      <c r="O718" s="363"/>
      <c r="P718" s="363"/>
      <c r="Q718" s="363"/>
      <c r="R718" s="363"/>
      <c r="S718" s="363"/>
      <c r="T718" s="363"/>
      <c r="U718" s="363"/>
    </row>
    <row r="719" spans="1:21" ht="18">
      <c r="A719" s="363"/>
      <c r="B719" s="363"/>
      <c r="C719" s="363"/>
      <c r="D719" s="363"/>
      <c r="E719" s="363"/>
      <c r="F719" s="363"/>
      <c r="G719" s="363"/>
      <c r="H719" s="363"/>
      <c r="I719" s="363"/>
      <c r="J719" s="363"/>
      <c r="K719" s="363"/>
      <c r="L719" s="363"/>
      <c r="M719" s="363"/>
      <c r="N719" s="363"/>
      <c r="O719" s="363"/>
      <c r="P719" s="363"/>
      <c r="Q719" s="363"/>
      <c r="R719" s="363"/>
      <c r="S719" s="363"/>
      <c r="T719" s="363"/>
      <c r="U719" s="363"/>
    </row>
    <row r="720" spans="1:21" ht="18">
      <c r="A720" s="363"/>
      <c r="B720" s="363"/>
      <c r="C720" s="363"/>
      <c r="D720" s="363"/>
      <c r="E720" s="363"/>
      <c r="F720" s="363"/>
      <c r="G720" s="363"/>
      <c r="H720" s="363"/>
      <c r="I720" s="363"/>
      <c r="J720" s="363"/>
      <c r="K720" s="363"/>
      <c r="L720" s="363"/>
      <c r="M720" s="363"/>
      <c r="N720" s="363"/>
      <c r="O720" s="363"/>
      <c r="P720" s="363"/>
      <c r="Q720" s="363"/>
      <c r="R720" s="363"/>
      <c r="S720" s="363"/>
      <c r="T720" s="363"/>
      <c r="U720" s="363"/>
    </row>
    <row r="721" spans="1:21" ht="18">
      <c r="A721" s="363"/>
      <c r="B721" s="363"/>
      <c r="C721" s="363"/>
      <c r="D721" s="363"/>
      <c r="E721" s="363"/>
      <c r="F721" s="363"/>
      <c r="G721" s="363"/>
      <c r="H721" s="363"/>
      <c r="I721" s="363"/>
      <c r="J721" s="363"/>
      <c r="K721" s="363"/>
      <c r="L721" s="363"/>
      <c r="M721" s="363"/>
      <c r="N721" s="363"/>
      <c r="O721" s="363"/>
      <c r="P721" s="363"/>
      <c r="Q721" s="363"/>
      <c r="R721" s="363"/>
      <c r="S721" s="363"/>
      <c r="T721" s="363"/>
      <c r="U721" s="363"/>
    </row>
    <row r="722" spans="1:21" ht="18">
      <c r="A722" s="363"/>
      <c r="B722" s="363"/>
      <c r="C722" s="363"/>
      <c r="D722" s="363"/>
      <c r="E722" s="363"/>
      <c r="F722" s="363"/>
      <c r="G722" s="363"/>
      <c r="H722" s="363"/>
      <c r="I722" s="363"/>
      <c r="J722" s="363"/>
      <c r="K722" s="363"/>
      <c r="L722" s="363"/>
      <c r="M722" s="363"/>
      <c r="N722" s="363"/>
      <c r="O722" s="363"/>
      <c r="P722" s="363"/>
      <c r="Q722" s="363"/>
      <c r="R722" s="363"/>
      <c r="S722" s="363"/>
      <c r="T722" s="363"/>
      <c r="U722" s="363"/>
    </row>
    <row r="723" spans="1:21" ht="18">
      <c r="A723" s="363"/>
      <c r="B723" s="363"/>
      <c r="C723" s="363"/>
      <c r="D723" s="363"/>
      <c r="E723" s="363"/>
      <c r="F723" s="363"/>
      <c r="G723" s="363"/>
      <c r="H723" s="363"/>
      <c r="I723" s="363"/>
      <c r="J723" s="363"/>
      <c r="K723" s="363"/>
      <c r="L723" s="363"/>
      <c r="M723" s="363"/>
      <c r="N723" s="363"/>
      <c r="O723" s="363"/>
      <c r="P723" s="363"/>
      <c r="Q723" s="363"/>
      <c r="R723" s="363"/>
      <c r="S723" s="363"/>
      <c r="T723" s="363"/>
      <c r="U723" s="363"/>
    </row>
    <row r="724" spans="1:21" ht="18">
      <c r="A724" s="363"/>
      <c r="B724" s="363"/>
      <c r="C724" s="363"/>
      <c r="D724" s="363"/>
      <c r="E724" s="363"/>
      <c r="F724" s="363"/>
      <c r="G724" s="363"/>
      <c r="H724" s="363"/>
      <c r="I724" s="363"/>
      <c r="J724" s="363"/>
      <c r="K724" s="363"/>
      <c r="L724" s="363"/>
      <c r="M724" s="363"/>
      <c r="N724" s="363"/>
      <c r="O724" s="363"/>
      <c r="P724" s="363"/>
      <c r="Q724" s="363"/>
      <c r="R724" s="363"/>
      <c r="S724" s="363"/>
      <c r="T724" s="363"/>
      <c r="U724" s="363"/>
    </row>
    <row r="725" spans="1:21" ht="18">
      <c r="A725" s="363"/>
      <c r="B725" s="363"/>
      <c r="C725" s="363"/>
      <c r="D725" s="363"/>
      <c r="E725" s="363"/>
      <c r="F725" s="363"/>
      <c r="G725" s="363"/>
      <c r="H725" s="363"/>
      <c r="I725" s="363"/>
      <c r="J725" s="363"/>
      <c r="K725" s="363"/>
      <c r="L725" s="363"/>
      <c r="M725" s="363"/>
      <c r="N725" s="363"/>
      <c r="O725" s="363"/>
      <c r="P725" s="363"/>
      <c r="Q725" s="363"/>
      <c r="R725" s="363"/>
      <c r="S725" s="363"/>
      <c r="T725" s="363"/>
      <c r="U725" s="363"/>
    </row>
    <row r="726" spans="1:21" ht="18">
      <c r="A726" s="363"/>
      <c r="B726" s="363"/>
      <c r="C726" s="363"/>
      <c r="D726" s="363"/>
      <c r="E726" s="363"/>
      <c r="F726" s="363"/>
      <c r="G726" s="363"/>
      <c r="H726" s="363"/>
      <c r="I726" s="363"/>
      <c r="J726" s="363"/>
      <c r="K726" s="363"/>
      <c r="L726" s="363"/>
      <c r="M726" s="363"/>
      <c r="N726" s="363"/>
      <c r="O726" s="363"/>
      <c r="P726" s="363"/>
      <c r="Q726" s="363"/>
      <c r="R726" s="363"/>
      <c r="S726" s="363"/>
      <c r="T726" s="363"/>
      <c r="U726" s="363"/>
    </row>
    <row r="727" spans="1:21" ht="18">
      <c r="A727" s="363"/>
      <c r="B727" s="363"/>
      <c r="C727" s="363"/>
      <c r="D727" s="363"/>
      <c r="E727" s="363"/>
      <c r="F727" s="363"/>
      <c r="G727" s="363"/>
      <c r="H727" s="363"/>
      <c r="I727" s="363"/>
      <c r="J727" s="363"/>
      <c r="K727" s="363"/>
      <c r="L727" s="363"/>
      <c r="M727" s="363"/>
      <c r="N727" s="363"/>
      <c r="O727" s="363"/>
      <c r="P727" s="363"/>
      <c r="Q727" s="363"/>
      <c r="R727" s="363"/>
      <c r="S727" s="363"/>
      <c r="T727" s="363"/>
      <c r="U727" s="363"/>
    </row>
    <row r="728" spans="1:21" ht="18">
      <c r="A728" s="363"/>
      <c r="B728" s="363"/>
      <c r="C728" s="363"/>
      <c r="D728" s="363"/>
      <c r="E728" s="363"/>
      <c r="F728" s="363"/>
      <c r="G728" s="363"/>
      <c r="H728" s="363"/>
      <c r="I728" s="363"/>
      <c r="J728" s="363"/>
      <c r="K728" s="363"/>
      <c r="L728" s="363"/>
      <c r="M728" s="363"/>
      <c r="N728" s="363"/>
      <c r="O728" s="363"/>
      <c r="P728" s="363"/>
      <c r="Q728" s="363"/>
      <c r="R728" s="363"/>
      <c r="S728" s="363"/>
      <c r="T728" s="363"/>
      <c r="U728" s="363"/>
    </row>
    <row r="729" spans="1:21" ht="18">
      <c r="A729" s="363"/>
      <c r="B729" s="363"/>
      <c r="C729" s="363"/>
      <c r="D729" s="363"/>
      <c r="E729" s="363"/>
      <c r="F729" s="363"/>
      <c r="G729" s="363"/>
      <c r="H729" s="363"/>
      <c r="I729" s="363"/>
      <c r="J729" s="363"/>
      <c r="K729" s="363"/>
      <c r="L729" s="363"/>
      <c r="M729" s="363"/>
      <c r="N729" s="363"/>
      <c r="O729" s="363"/>
      <c r="P729" s="363"/>
      <c r="Q729" s="363"/>
      <c r="R729" s="363"/>
      <c r="S729" s="363"/>
      <c r="T729" s="363"/>
      <c r="U729" s="363"/>
    </row>
    <row r="730" spans="1:21" ht="18">
      <c r="A730" s="363"/>
      <c r="B730" s="363"/>
      <c r="C730" s="363"/>
      <c r="D730" s="363"/>
      <c r="E730" s="363"/>
      <c r="F730" s="363"/>
      <c r="G730" s="363"/>
      <c r="H730" s="363"/>
      <c r="I730" s="363"/>
      <c r="J730" s="363"/>
      <c r="K730" s="363"/>
      <c r="L730" s="363"/>
      <c r="M730" s="363"/>
      <c r="N730" s="363"/>
      <c r="O730" s="363"/>
      <c r="P730" s="363"/>
      <c r="Q730" s="363"/>
      <c r="R730" s="363"/>
      <c r="S730" s="363"/>
      <c r="T730" s="363"/>
      <c r="U730" s="363"/>
    </row>
    <row r="731" spans="1:21" ht="18">
      <c r="A731" s="363"/>
      <c r="B731" s="363"/>
      <c r="C731" s="363"/>
      <c r="D731" s="363"/>
      <c r="E731" s="363"/>
      <c r="F731" s="363"/>
      <c r="G731" s="363"/>
      <c r="H731" s="363"/>
      <c r="I731" s="363"/>
      <c r="J731" s="363"/>
      <c r="K731" s="363"/>
      <c r="L731" s="363"/>
      <c r="M731" s="363"/>
      <c r="N731" s="363"/>
      <c r="O731" s="363"/>
      <c r="P731" s="363"/>
      <c r="Q731" s="363"/>
      <c r="R731" s="363"/>
      <c r="S731" s="363"/>
      <c r="T731" s="363"/>
      <c r="U731" s="363"/>
    </row>
    <row r="732" spans="1:21" ht="18">
      <c r="A732" s="363"/>
      <c r="B732" s="363"/>
      <c r="C732" s="363"/>
      <c r="D732" s="363"/>
      <c r="E732" s="363"/>
      <c r="F732" s="363"/>
      <c r="G732" s="363"/>
      <c r="H732" s="363"/>
      <c r="I732" s="363"/>
      <c r="J732" s="363"/>
      <c r="K732" s="363"/>
      <c r="L732" s="363"/>
      <c r="M732" s="363"/>
      <c r="N732" s="363"/>
      <c r="O732" s="363"/>
      <c r="P732" s="363"/>
      <c r="Q732" s="363"/>
      <c r="R732" s="363"/>
      <c r="S732" s="363"/>
      <c r="T732" s="363"/>
      <c r="U732" s="363"/>
    </row>
    <row r="733" spans="1:21" ht="18">
      <c r="A733" s="363"/>
      <c r="B733" s="363"/>
      <c r="C733" s="363"/>
      <c r="D733" s="363"/>
      <c r="E733" s="363"/>
      <c r="F733" s="363"/>
      <c r="G733" s="363"/>
      <c r="H733" s="363"/>
      <c r="I733" s="363"/>
      <c r="J733" s="363"/>
      <c r="K733" s="363"/>
      <c r="L733" s="363"/>
      <c r="M733" s="363"/>
      <c r="N733" s="363"/>
      <c r="O733" s="363"/>
      <c r="P733" s="363"/>
      <c r="Q733" s="363"/>
      <c r="R733" s="363"/>
      <c r="S733" s="363"/>
      <c r="T733" s="363"/>
      <c r="U733" s="363"/>
    </row>
    <row r="734" spans="1:21" ht="18">
      <c r="A734" s="363"/>
      <c r="B734" s="363"/>
      <c r="C734" s="363"/>
      <c r="D734" s="363"/>
      <c r="E734" s="363"/>
      <c r="F734" s="363"/>
      <c r="G734" s="363"/>
      <c r="H734" s="363"/>
      <c r="I734" s="363"/>
      <c r="J734" s="363"/>
      <c r="K734" s="363"/>
      <c r="L734" s="363"/>
      <c r="M734" s="363"/>
      <c r="N734" s="363"/>
      <c r="O734" s="363"/>
      <c r="P734" s="363"/>
      <c r="Q734" s="363"/>
      <c r="R734" s="363"/>
      <c r="S734" s="363"/>
      <c r="T734" s="363"/>
      <c r="U734" s="363"/>
    </row>
    <row r="735" spans="1:21" ht="18">
      <c r="A735" s="363"/>
      <c r="B735" s="363"/>
      <c r="C735" s="363"/>
      <c r="D735" s="363"/>
      <c r="E735" s="363"/>
      <c r="F735" s="363"/>
      <c r="G735" s="363"/>
      <c r="H735" s="363"/>
      <c r="I735" s="363"/>
      <c r="J735" s="363"/>
      <c r="K735" s="363"/>
      <c r="L735" s="363"/>
      <c r="M735" s="363"/>
      <c r="N735" s="363"/>
      <c r="O735" s="363"/>
      <c r="P735" s="363"/>
      <c r="Q735" s="363"/>
      <c r="R735" s="363"/>
      <c r="S735" s="363"/>
      <c r="T735" s="363"/>
      <c r="U735" s="363"/>
    </row>
    <row r="736" spans="1:21" ht="18">
      <c r="A736" s="363"/>
      <c r="B736" s="363"/>
      <c r="C736" s="363"/>
      <c r="D736" s="363"/>
      <c r="E736" s="363"/>
      <c r="F736" s="363"/>
      <c r="G736" s="363"/>
      <c r="H736" s="363"/>
      <c r="I736" s="363"/>
      <c r="J736" s="363"/>
      <c r="K736" s="363"/>
      <c r="L736" s="363"/>
      <c r="M736" s="363"/>
      <c r="N736" s="363"/>
      <c r="O736" s="363"/>
      <c r="P736" s="363"/>
      <c r="Q736" s="363"/>
      <c r="R736" s="363"/>
      <c r="S736" s="363"/>
      <c r="T736" s="363"/>
      <c r="U736" s="363"/>
    </row>
    <row r="737" spans="1:21" ht="18">
      <c r="A737" s="363"/>
      <c r="B737" s="363"/>
      <c r="C737" s="363"/>
      <c r="D737" s="363"/>
      <c r="E737" s="363"/>
      <c r="F737" s="363"/>
      <c r="G737" s="363"/>
      <c r="H737" s="363"/>
      <c r="I737" s="363"/>
      <c r="J737" s="363"/>
      <c r="K737" s="363"/>
      <c r="L737" s="363"/>
      <c r="M737" s="363"/>
      <c r="N737" s="363"/>
      <c r="O737" s="363"/>
      <c r="P737" s="363"/>
      <c r="Q737" s="363"/>
      <c r="R737" s="363"/>
      <c r="S737" s="363"/>
      <c r="T737" s="363"/>
      <c r="U737" s="363"/>
    </row>
    <row r="738" spans="1:21" ht="18">
      <c r="A738" s="363"/>
      <c r="B738" s="363"/>
      <c r="C738" s="363"/>
      <c r="D738" s="363"/>
      <c r="E738" s="363"/>
      <c r="F738" s="363"/>
      <c r="G738" s="363"/>
      <c r="H738" s="363"/>
      <c r="I738" s="363"/>
      <c r="J738" s="363"/>
      <c r="K738" s="363"/>
      <c r="L738" s="363"/>
      <c r="M738" s="363"/>
      <c r="N738" s="363"/>
      <c r="O738" s="363"/>
      <c r="P738" s="363"/>
      <c r="Q738" s="363"/>
      <c r="R738" s="363"/>
      <c r="S738" s="363"/>
      <c r="T738" s="363"/>
      <c r="U738" s="363"/>
    </row>
    <row r="739" spans="1:21" ht="18">
      <c r="A739" s="363"/>
      <c r="B739" s="363"/>
      <c r="C739" s="363"/>
      <c r="D739" s="363"/>
      <c r="E739" s="363"/>
      <c r="F739" s="363"/>
      <c r="G739" s="363"/>
      <c r="H739" s="363"/>
      <c r="I739" s="363"/>
      <c r="J739" s="363"/>
      <c r="K739" s="363"/>
      <c r="L739" s="363"/>
      <c r="M739" s="363"/>
      <c r="N739" s="363"/>
      <c r="O739" s="363"/>
      <c r="P739" s="363"/>
      <c r="Q739" s="363"/>
      <c r="R739" s="363"/>
      <c r="S739" s="363"/>
      <c r="T739" s="363"/>
      <c r="U739" s="363"/>
    </row>
    <row r="740" spans="1:21" ht="18">
      <c r="A740" s="363"/>
      <c r="B740" s="363"/>
      <c r="C740" s="363"/>
      <c r="D740" s="363"/>
      <c r="E740" s="363"/>
      <c r="F740" s="363"/>
      <c r="G740" s="363"/>
      <c r="H740" s="363"/>
      <c r="I740" s="363"/>
      <c r="J740" s="363"/>
      <c r="K740" s="363"/>
      <c r="L740" s="363"/>
      <c r="M740" s="363"/>
      <c r="N740" s="363"/>
      <c r="O740" s="363"/>
      <c r="P740" s="363"/>
      <c r="Q740" s="363"/>
      <c r="R740" s="363"/>
      <c r="S740" s="363"/>
      <c r="T740" s="363"/>
      <c r="U740" s="363"/>
    </row>
    <row r="741" spans="1:21" ht="18">
      <c r="A741" s="363"/>
      <c r="B741" s="363"/>
      <c r="C741" s="363"/>
      <c r="D741" s="363"/>
      <c r="E741" s="363"/>
      <c r="F741" s="363"/>
      <c r="G741" s="363"/>
      <c r="H741" s="363"/>
      <c r="I741" s="363"/>
      <c r="J741" s="363"/>
      <c r="K741" s="363"/>
      <c r="L741" s="363"/>
      <c r="M741" s="363"/>
      <c r="N741" s="363"/>
      <c r="O741" s="363"/>
      <c r="P741" s="363"/>
      <c r="Q741" s="363"/>
      <c r="R741" s="363"/>
      <c r="S741" s="363"/>
      <c r="T741" s="363"/>
      <c r="U741" s="363"/>
    </row>
    <row r="742" spans="1:21" ht="18">
      <c r="A742" s="363"/>
      <c r="B742" s="363"/>
      <c r="C742" s="363"/>
      <c r="D742" s="363"/>
      <c r="E742" s="363"/>
      <c r="F742" s="363"/>
      <c r="G742" s="363"/>
      <c r="H742" s="363"/>
      <c r="I742" s="363"/>
      <c r="J742" s="363"/>
      <c r="K742" s="363"/>
      <c r="L742" s="363"/>
      <c r="M742" s="363"/>
      <c r="N742" s="363"/>
      <c r="O742" s="363"/>
      <c r="P742" s="363"/>
      <c r="Q742" s="363"/>
      <c r="R742" s="363"/>
      <c r="S742" s="363"/>
      <c r="T742" s="363"/>
      <c r="U742" s="363"/>
    </row>
    <row r="743" spans="1:21" ht="18">
      <c r="A743" s="363"/>
      <c r="B743" s="363"/>
      <c r="C743" s="363"/>
      <c r="D743" s="363"/>
      <c r="E743" s="363"/>
      <c r="F743" s="363"/>
      <c r="G743" s="363"/>
      <c r="H743" s="363"/>
      <c r="I743" s="363"/>
      <c r="J743" s="363"/>
      <c r="K743" s="363"/>
      <c r="L743" s="363"/>
      <c r="M743" s="363"/>
      <c r="N743" s="363"/>
      <c r="O743" s="363"/>
      <c r="P743" s="363"/>
      <c r="Q743" s="363"/>
      <c r="R743" s="363"/>
      <c r="S743" s="363"/>
      <c r="T743" s="363"/>
      <c r="U743" s="363"/>
    </row>
    <row r="744" spans="1:21" ht="18">
      <c r="A744" s="363"/>
      <c r="B744" s="363"/>
      <c r="C744" s="363"/>
      <c r="D744" s="363"/>
      <c r="E744" s="363"/>
      <c r="F744" s="363"/>
      <c r="G744" s="363"/>
      <c r="H744" s="363"/>
      <c r="I744" s="363"/>
      <c r="J744" s="363"/>
      <c r="K744" s="363"/>
      <c r="L744" s="363"/>
      <c r="M744" s="363"/>
      <c r="N744" s="363"/>
      <c r="O744" s="363"/>
      <c r="P744" s="363"/>
      <c r="Q744" s="363"/>
      <c r="R744" s="363"/>
      <c r="S744" s="363"/>
      <c r="T744" s="363"/>
      <c r="U744" s="363"/>
    </row>
    <row r="745" spans="1:21" ht="18">
      <c r="A745" s="363"/>
      <c r="B745" s="363"/>
      <c r="C745" s="363"/>
      <c r="D745" s="363"/>
      <c r="E745" s="363"/>
      <c r="F745" s="363"/>
      <c r="G745" s="363"/>
      <c r="H745" s="363"/>
      <c r="I745" s="363"/>
      <c r="J745" s="363"/>
      <c r="K745" s="363"/>
      <c r="L745" s="363"/>
      <c r="M745" s="363"/>
      <c r="N745" s="363"/>
      <c r="O745" s="363"/>
      <c r="P745" s="363"/>
      <c r="Q745" s="363"/>
      <c r="R745" s="363"/>
      <c r="S745" s="363"/>
      <c r="T745" s="363"/>
      <c r="U745" s="363"/>
    </row>
    <row r="746" spans="1:21" ht="18">
      <c r="A746" s="363"/>
      <c r="B746" s="363"/>
      <c r="C746" s="363"/>
      <c r="D746" s="363"/>
      <c r="E746" s="363"/>
      <c r="F746" s="363"/>
      <c r="G746" s="363"/>
      <c r="H746" s="363"/>
      <c r="I746" s="363"/>
      <c r="J746" s="363"/>
      <c r="K746" s="363"/>
      <c r="L746" s="363"/>
      <c r="M746" s="363"/>
      <c r="N746" s="363"/>
      <c r="O746" s="363"/>
      <c r="P746" s="363"/>
      <c r="Q746" s="363"/>
      <c r="R746" s="363"/>
      <c r="S746" s="363"/>
      <c r="T746" s="363"/>
      <c r="U746" s="363"/>
    </row>
    <row r="747" spans="1:21" ht="18">
      <c r="A747" s="363"/>
      <c r="B747" s="363"/>
      <c r="C747" s="363"/>
      <c r="D747" s="363"/>
      <c r="E747" s="363"/>
      <c r="F747" s="363"/>
      <c r="G747" s="363"/>
      <c r="H747" s="363"/>
      <c r="I747" s="363"/>
      <c r="J747" s="363"/>
      <c r="K747" s="363"/>
      <c r="L747" s="363"/>
      <c r="M747" s="363"/>
      <c r="N747" s="363"/>
      <c r="O747" s="363"/>
      <c r="P747" s="363"/>
      <c r="Q747" s="363"/>
      <c r="R747" s="363"/>
      <c r="S747" s="363"/>
      <c r="T747" s="363"/>
      <c r="U747" s="363"/>
    </row>
    <row r="748" spans="1:21" ht="18">
      <c r="A748" s="363"/>
      <c r="B748" s="363"/>
      <c r="C748" s="363"/>
      <c r="D748" s="363"/>
      <c r="E748" s="363"/>
      <c r="F748" s="363"/>
      <c r="G748" s="363"/>
      <c r="H748" s="363"/>
      <c r="I748" s="363"/>
      <c r="J748" s="363"/>
      <c r="K748" s="363"/>
      <c r="L748" s="363"/>
      <c r="M748" s="363"/>
      <c r="N748" s="363"/>
      <c r="O748" s="363"/>
      <c r="P748" s="363"/>
      <c r="Q748" s="363"/>
      <c r="R748" s="363"/>
      <c r="S748" s="363"/>
      <c r="T748" s="363"/>
      <c r="U748" s="363"/>
    </row>
    <row r="749" spans="1:21" ht="18">
      <c r="A749" s="363"/>
      <c r="B749" s="363"/>
      <c r="C749" s="363"/>
      <c r="D749" s="363"/>
      <c r="E749" s="363"/>
      <c r="F749" s="363"/>
      <c r="G749" s="363"/>
      <c r="H749" s="363"/>
      <c r="I749" s="363"/>
      <c r="J749" s="363"/>
      <c r="K749" s="363"/>
      <c r="L749" s="363"/>
      <c r="M749" s="363"/>
      <c r="N749" s="363"/>
      <c r="O749" s="363"/>
      <c r="P749" s="363"/>
      <c r="Q749" s="363"/>
      <c r="R749" s="363"/>
      <c r="S749" s="363"/>
      <c r="T749" s="363"/>
      <c r="U749" s="363"/>
    </row>
    <row r="750" spans="1:21" ht="18">
      <c r="A750" s="363"/>
      <c r="B750" s="363"/>
      <c r="C750" s="363"/>
      <c r="D750" s="363"/>
      <c r="E750" s="363"/>
      <c r="F750" s="363"/>
      <c r="G750" s="363"/>
      <c r="H750" s="363"/>
      <c r="I750" s="363"/>
      <c r="J750" s="363"/>
      <c r="K750" s="363"/>
      <c r="L750" s="363"/>
      <c r="M750" s="363"/>
      <c r="N750" s="363"/>
      <c r="O750" s="363"/>
      <c r="P750" s="363"/>
      <c r="Q750" s="363"/>
      <c r="R750" s="363"/>
      <c r="S750" s="363"/>
      <c r="T750" s="363"/>
      <c r="U750" s="363"/>
    </row>
    <row r="751" spans="1:21" ht="18">
      <c r="A751" s="363"/>
      <c r="B751" s="363"/>
      <c r="C751" s="363"/>
      <c r="D751" s="363"/>
      <c r="E751" s="363"/>
      <c r="F751" s="363"/>
      <c r="G751" s="363"/>
      <c r="H751" s="363"/>
      <c r="I751" s="363"/>
      <c r="J751" s="363"/>
      <c r="K751" s="363"/>
      <c r="L751" s="363"/>
      <c r="M751" s="363"/>
      <c r="N751" s="363"/>
      <c r="O751" s="363"/>
      <c r="P751" s="363"/>
      <c r="Q751" s="363"/>
      <c r="R751" s="363"/>
      <c r="S751" s="363"/>
      <c r="T751" s="363"/>
      <c r="U751" s="363"/>
    </row>
    <row r="752" spans="1:21" ht="18">
      <c r="A752" s="363"/>
      <c r="B752" s="363"/>
      <c r="C752" s="363"/>
      <c r="D752" s="363"/>
      <c r="E752" s="363"/>
      <c r="F752" s="363"/>
      <c r="G752" s="363"/>
      <c r="H752" s="363"/>
      <c r="I752" s="363"/>
      <c r="J752" s="363"/>
      <c r="K752" s="363"/>
      <c r="L752" s="363"/>
      <c r="M752" s="363"/>
      <c r="N752" s="363"/>
      <c r="O752" s="363"/>
      <c r="P752" s="363"/>
      <c r="Q752" s="363"/>
      <c r="R752" s="363"/>
      <c r="S752" s="363"/>
      <c r="T752" s="363"/>
      <c r="U752" s="363"/>
    </row>
    <row r="753" spans="1:21" ht="18">
      <c r="A753" s="363"/>
      <c r="B753" s="363"/>
      <c r="C753" s="363"/>
      <c r="D753" s="363"/>
      <c r="E753" s="363"/>
      <c r="F753" s="363"/>
      <c r="G753" s="363"/>
      <c r="H753" s="363"/>
      <c r="I753" s="363"/>
      <c r="J753" s="363"/>
      <c r="K753" s="363"/>
      <c r="L753" s="363"/>
      <c r="M753" s="363"/>
      <c r="N753" s="363"/>
      <c r="O753" s="363"/>
      <c r="P753" s="363"/>
      <c r="Q753" s="363"/>
      <c r="R753" s="363"/>
      <c r="S753" s="363"/>
      <c r="T753" s="363"/>
      <c r="U753" s="363"/>
    </row>
    <row r="754" spans="1:21" ht="18">
      <c r="A754" s="363"/>
      <c r="B754" s="363"/>
      <c r="C754" s="363"/>
      <c r="D754" s="363"/>
      <c r="E754" s="363"/>
      <c r="F754" s="363"/>
      <c r="G754" s="363"/>
      <c r="H754" s="363"/>
      <c r="I754" s="363"/>
      <c r="J754" s="363"/>
      <c r="K754" s="363"/>
      <c r="L754" s="363"/>
      <c r="M754" s="363"/>
      <c r="N754" s="363"/>
      <c r="O754" s="363"/>
      <c r="P754" s="363"/>
      <c r="Q754" s="363"/>
      <c r="R754" s="363"/>
      <c r="S754" s="363"/>
      <c r="T754" s="363"/>
      <c r="U754" s="363"/>
    </row>
    <row r="755" spans="1:21" ht="18">
      <c r="A755" s="363"/>
      <c r="B755" s="363"/>
      <c r="C755" s="363"/>
      <c r="D755" s="363"/>
      <c r="E755" s="363"/>
      <c r="F755" s="363"/>
      <c r="G755" s="363"/>
      <c r="H755" s="363"/>
      <c r="I755" s="363"/>
      <c r="J755" s="363"/>
      <c r="K755" s="363"/>
      <c r="L755" s="363"/>
      <c r="M755" s="363"/>
      <c r="N755" s="363"/>
      <c r="O755" s="363"/>
      <c r="P755" s="363"/>
      <c r="Q755" s="363"/>
      <c r="R755" s="363"/>
      <c r="S755" s="363"/>
      <c r="T755" s="363"/>
      <c r="U755" s="363"/>
    </row>
    <row r="756" spans="1:21" ht="18">
      <c r="A756" s="363"/>
      <c r="B756" s="363"/>
      <c r="C756" s="363"/>
      <c r="D756" s="363"/>
      <c r="E756" s="363"/>
      <c r="F756" s="363"/>
      <c r="G756" s="363"/>
      <c r="H756" s="363"/>
      <c r="I756" s="363"/>
      <c r="J756" s="363"/>
      <c r="K756" s="363"/>
      <c r="L756" s="363"/>
      <c r="M756" s="363"/>
      <c r="N756" s="363"/>
      <c r="O756" s="363"/>
      <c r="P756" s="363"/>
      <c r="Q756" s="363"/>
      <c r="R756" s="363"/>
      <c r="S756" s="363"/>
      <c r="T756" s="363"/>
      <c r="U756" s="363"/>
    </row>
    <row r="757" spans="1:21" ht="18">
      <c r="A757" s="363"/>
      <c r="B757" s="363"/>
      <c r="C757" s="363"/>
      <c r="D757" s="363"/>
      <c r="E757" s="363"/>
      <c r="F757" s="363"/>
      <c r="G757" s="363"/>
      <c r="H757" s="363"/>
      <c r="I757" s="363"/>
      <c r="J757" s="363"/>
      <c r="K757" s="363"/>
      <c r="L757" s="363"/>
      <c r="M757" s="363"/>
      <c r="N757" s="363"/>
      <c r="O757" s="363"/>
      <c r="P757" s="363"/>
      <c r="Q757" s="363"/>
      <c r="R757" s="363"/>
      <c r="S757" s="363"/>
      <c r="T757" s="363"/>
      <c r="U757" s="363"/>
    </row>
    <row r="758" spans="1:21" ht="18">
      <c r="A758" s="363"/>
      <c r="B758" s="363"/>
      <c r="C758" s="363"/>
      <c r="D758" s="363"/>
      <c r="E758" s="363"/>
      <c r="F758" s="363"/>
      <c r="G758" s="363"/>
      <c r="H758" s="363"/>
      <c r="I758" s="363"/>
      <c r="J758" s="363"/>
      <c r="K758" s="363"/>
      <c r="L758" s="363"/>
      <c r="M758" s="363"/>
      <c r="N758" s="363"/>
      <c r="O758" s="363"/>
      <c r="P758" s="363"/>
      <c r="Q758" s="363"/>
      <c r="R758" s="363"/>
      <c r="S758" s="363"/>
      <c r="T758" s="363"/>
      <c r="U758" s="363"/>
    </row>
    <row r="759" spans="1:21" ht="18">
      <c r="A759" s="363"/>
      <c r="B759" s="363"/>
      <c r="C759" s="363"/>
      <c r="D759" s="363"/>
      <c r="E759" s="363"/>
      <c r="F759" s="363"/>
      <c r="G759" s="363"/>
      <c r="H759" s="363"/>
      <c r="I759" s="363"/>
      <c r="J759" s="363"/>
      <c r="K759" s="363"/>
      <c r="L759" s="363"/>
      <c r="M759" s="363"/>
      <c r="N759" s="363"/>
      <c r="O759" s="363"/>
      <c r="P759" s="363"/>
      <c r="Q759" s="363"/>
      <c r="R759" s="363"/>
      <c r="S759" s="363"/>
      <c r="T759" s="363"/>
      <c r="U759" s="363"/>
    </row>
    <row r="760" spans="1:21" ht="18">
      <c r="A760" s="363"/>
      <c r="B760" s="363"/>
      <c r="C760" s="363"/>
      <c r="D760" s="363"/>
      <c r="E760" s="363"/>
      <c r="F760" s="363"/>
      <c r="G760" s="363"/>
      <c r="H760" s="363"/>
      <c r="I760" s="363"/>
      <c r="J760" s="363"/>
      <c r="K760" s="363"/>
      <c r="L760" s="363"/>
      <c r="M760" s="363"/>
      <c r="N760" s="363"/>
      <c r="O760" s="363"/>
      <c r="P760" s="363"/>
      <c r="Q760" s="363"/>
      <c r="R760" s="363"/>
      <c r="S760" s="363"/>
      <c r="T760" s="363"/>
      <c r="U760" s="363"/>
    </row>
    <row r="761" spans="1:21" ht="18">
      <c r="A761" s="363"/>
      <c r="B761" s="363"/>
      <c r="C761" s="363"/>
      <c r="D761" s="363"/>
      <c r="E761" s="363"/>
      <c r="F761" s="363"/>
      <c r="G761" s="363"/>
      <c r="H761" s="363"/>
      <c r="I761" s="363"/>
      <c r="J761" s="363"/>
      <c r="K761" s="363"/>
      <c r="L761" s="363"/>
      <c r="M761" s="363"/>
      <c r="N761" s="363"/>
      <c r="O761" s="363"/>
      <c r="P761" s="363"/>
      <c r="Q761" s="363"/>
      <c r="R761" s="363"/>
      <c r="S761" s="363"/>
      <c r="T761" s="363"/>
      <c r="U761" s="363"/>
    </row>
    <row r="762" spans="1:21" ht="18">
      <c r="A762" s="363"/>
      <c r="B762" s="363"/>
      <c r="C762" s="363"/>
      <c r="D762" s="363"/>
      <c r="E762" s="363"/>
      <c r="F762" s="363"/>
      <c r="G762" s="363"/>
      <c r="H762" s="363"/>
      <c r="I762" s="363"/>
      <c r="J762" s="363"/>
      <c r="K762" s="363"/>
      <c r="L762" s="363"/>
      <c r="M762" s="363"/>
      <c r="N762" s="363"/>
      <c r="O762" s="363"/>
      <c r="P762" s="363"/>
      <c r="Q762" s="363"/>
      <c r="R762" s="363"/>
      <c r="S762" s="363"/>
      <c r="T762" s="363"/>
      <c r="U762" s="363"/>
    </row>
    <row r="763" spans="1:21" ht="18">
      <c r="A763" s="363"/>
      <c r="B763" s="363"/>
      <c r="C763" s="363"/>
      <c r="D763" s="363"/>
      <c r="E763" s="363"/>
      <c r="F763" s="363"/>
      <c r="G763" s="363"/>
      <c r="H763" s="363"/>
      <c r="I763" s="363"/>
      <c r="J763" s="363"/>
      <c r="K763" s="363"/>
      <c r="L763" s="363"/>
      <c r="M763" s="363"/>
      <c r="N763" s="363"/>
      <c r="O763" s="363"/>
      <c r="P763" s="363"/>
      <c r="Q763" s="363"/>
      <c r="R763" s="363"/>
      <c r="S763" s="363"/>
      <c r="T763" s="363"/>
      <c r="U763" s="363"/>
    </row>
    <row r="764" spans="1:21" ht="18">
      <c r="A764" s="363"/>
      <c r="B764" s="363"/>
      <c r="C764" s="363"/>
      <c r="D764" s="363"/>
      <c r="E764" s="363"/>
      <c r="F764" s="363"/>
      <c r="G764" s="363"/>
      <c r="H764" s="363"/>
      <c r="I764" s="363"/>
      <c r="J764" s="363"/>
      <c r="K764" s="363"/>
      <c r="L764" s="363"/>
      <c r="M764" s="363"/>
      <c r="N764" s="363"/>
      <c r="O764" s="363"/>
      <c r="P764" s="363"/>
      <c r="Q764" s="363"/>
      <c r="R764" s="363"/>
      <c r="S764" s="363"/>
      <c r="T764" s="363"/>
      <c r="U764" s="363"/>
    </row>
    <row r="765" spans="1:21" ht="18">
      <c r="A765" s="363"/>
      <c r="B765" s="363"/>
      <c r="C765" s="363"/>
      <c r="D765" s="363"/>
      <c r="E765" s="363"/>
      <c r="F765" s="363"/>
      <c r="G765" s="363"/>
      <c r="H765" s="363"/>
      <c r="I765" s="363"/>
      <c r="J765" s="363"/>
      <c r="K765" s="363"/>
      <c r="L765" s="363"/>
      <c r="M765" s="363"/>
      <c r="N765" s="363"/>
      <c r="O765" s="363"/>
      <c r="P765" s="363"/>
      <c r="Q765" s="363"/>
      <c r="R765" s="363"/>
      <c r="S765" s="363"/>
      <c r="T765" s="363"/>
      <c r="U765" s="363"/>
    </row>
    <row r="766" spans="1:21" ht="18">
      <c r="A766" s="363"/>
      <c r="B766" s="363"/>
      <c r="C766" s="363"/>
      <c r="D766" s="363"/>
      <c r="E766" s="363"/>
      <c r="F766" s="363"/>
      <c r="G766" s="363"/>
      <c r="H766" s="363"/>
      <c r="I766" s="363"/>
      <c r="J766" s="363"/>
      <c r="K766" s="363"/>
      <c r="L766" s="363"/>
      <c r="M766" s="363"/>
      <c r="N766" s="363"/>
      <c r="O766" s="363"/>
      <c r="P766" s="363"/>
      <c r="Q766" s="363"/>
      <c r="R766" s="363"/>
      <c r="S766" s="363"/>
      <c r="T766" s="363"/>
      <c r="U766" s="363"/>
    </row>
    <row r="767" spans="1:21" ht="18">
      <c r="A767" s="363"/>
      <c r="B767" s="363"/>
      <c r="C767" s="363"/>
      <c r="D767" s="363"/>
      <c r="E767" s="363"/>
      <c r="F767" s="363"/>
      <c r="G767" s="363"/>
      <c r="H767" s="363"/>
      <c r="I767" s="363"/>
      <c r="J767" s="363"/>
      <c r="K767" s="363"/>
      <c r="L767" s="363"/>
      <c r="M767" s="363"/>
      <c r="N767" s="363"/>
      <c r="O767" s="363"/>
      <c r="P767" s="363"/>
      <c r="Q767" s="363"/>
      <c r="R767" s="363"/>
      <c r="S767" s="363"/>
      <c r="T767" s="363"/>
      <c r="U767" s="363"/>
    </row>
    <row r="768" spans="1:21" ht="18">
      <c r="A768" s="363"/>
      <c r="B768" s="363"/>
      <c r="C768" s="363"/>
      <c r="D768" s="363"/>
      <c r="E768" s="363"/>
      <c r="F768" s="363"/>
      <c r="G768" s="363"/>
      <c r="H768" s="363"/>
      <c r="I768" s="363"/>
      <c r="J768" s="363"/>
      <c r="K768" s="363"/>
      <c r="L768" s="363"/>
      <c r="M768" s="363"/>
      <c r="N768" s="363"/>
      <c r="O768" s="363"/>
      <c r="P768" s="363"/>
      <c r="Q768" s="363"/>
      <c r="R768" s="363"/>
      <c r="S768" s="363"/>
      <c r="T768" s="363"/>
      <c r="U768" s="363"/>
    </row>
    <row r="769" spans="1:21" ht="18">
      <c r="A769" s="363"/>
      <c r="B769" s="363"/>
      <c r="C769" s="363"/>
      <c r="D769" s="363"/>
      <c r="E769" s="363"/>
      <c r="F769" s="363"/>
      <c r="G769" s="363"/>
      <c r="H769" s="363"/>
      <c r="I769" s="363"/>
      <c r="J769" s="363"/>
      <c r="K769" s="363"/>
      <c r="L769" s="363"/>
      <c r="M769" s="363"/>
      <c r="N769" s="363"/>
      <c r="O769" s="363"/>
      <c r="P769" s="363"/>
      <c r="Q769" s="363"/>
      <c r="R769" s="363"/>
      <c r="S769" s="363"/>
      <c r="T769" s="363"/>
      <c r="U769" s="363"/>
    </row>
    <row r="770" spans="1:21" ht="18">
      <c r="A770" s="363"/>
      <c r="B770" s="363"/>
      <c r="C770" s="363"/>
      <c r="D770" s="363"/>
      <c r="E770" s="363"/>
      <c r="F770" s="363"/>
      <c r="G770" s="363"/>
      <c r="H770" s="363"/>
      <c r="I770" s="363"/>
      <c r="J770" s="363"/>
      <c r="K770" s="363"/>
      <c r="L770" s="363"/>
      <c r="M770" s="363"/>
      <c r="N770" s="363"/>
      <c r="O770" s="363"/>
      <c r="P770" s="363"/>
      <c r="Q770" s="363"/>
      <c r="R770" s="363"/>
      <c r="S770" s="363"/>
      <c r="T770" s="363"/>
      <c r="U770" s="363"/>
    </row>
    <row r="771" spans="1:21" ht="18">
      <c r="A771" s="363"/>
      <c r="B771" s="363"/>
      <c r="C771" s="363"/>
      <c r="D771" s="363"/>
      <c r="E771" s="363"/>
      <c r="F771" s="363"/>
      <c r="G771" s="363"/>
      <c r="H771" s="363"/>
      <c r="I771" s="363"/>
      <c r="J771" s="363"/>
      <c r="K771" s="363"/>
      <c r="L771" s="363"/>
      <c r="M771" s="363"/>
      <c r="N771" s="363"/>
      <c r="O771" s="363"/>
      <c r="P771" s="363"/>
      <c r="Q771" s="363"/>
      <c r="R771" s="363"/>
      <c r="S771" s="363"/>
      <c r="T771" s="363"/>
      <c r="U771" s="363"/>
    </row>
    <row r="772" spans="1:21" ht="18">
      <c r="A772" s="363"/>
      <c r="B772" s="363"/>
      <c r="C772" s="363"/>
      <c r="D772" s="363"/>
      <c r="E772" s="363"/>
      <c r="F772" s="363"/>
      <c r="G772" s="363"/>
      <c r="H772" s="363"/>
      <c r="I772" s="363"/>
      <c r="J772" s="363"/>
      <c r="K772" s="363"/>
      <c r="L772" s="363"/>
      <c r="M772" s="363"/>
      <c r="N772" s="363"/>
      <c r="O772" s="363"/>
      <c r="P772" s="363"/>
      <c r="Q772" s="363"/>
      <c r="R772" s="363"/>
      <c r="S772" s="363"/>
      <c r="T772" s="363"/>
      <c r="U772" s="363"/>
    </row>
    <row r="773" spans="1:21" ht="18">
      <c r="A773" s="363"/>
      <c r="B773" s="363"/>
      <c r="C773" s="363"/>
      <c r="D773" s="363"/>
      <c r="E773" s="363"/>
      <c r="F773" s="363"/>
      <c r="G773" s="363"/>
      <c r="H773" s="363"/>
      <c r="I773" s="363"/>
      <c r="J773" s="363"/>
      <c r="K773" s="363"/>
      <c r="L773" s="363"/>
      <c r="M773" s="363"/>
      <c r="N773" s="363"/>
      <c r="O773" s="363"/>
      <c r="P773" s="363"/>
      <c r="Q773" s="363"/>
      <c r="R773" s="363"/>
      <c r="S773" s="363"/>
      <c r="T773" s="363"/>
      <c r="U773" s="363"/>
    </row>
    <row r="774" spans="1:21" ht="18">
      <c r="A774" s="363"/>
      <c r="B774" s="363"/>
      <c r="C774" s="363"/>
      <c r="D774" s="363"/>
      <c r="E774" s="363"/>
      <c r="F774" s="363"/>
      <c r="G774" s="363"/>
      <c r="H774" s="363"/>
      <c r="I774" s="363"/>
      <c r="J774" s="363"/>
      <c r="K774" s="363"/>
      <c r="L774" s="363"/>
      <c r="M774" s="363"/>
      <c r="N774" s="363"/>
      <c r="O774" s="363"/>
      <c r="P774" s="363"/>
      <c r="Q774" s="363"/>
      <c r="R774" s="363"/>
      <c r="S774" s="363"/>
      <c r="T774" s="363"/>
      <c r="U774" s="363"/>
    </row>
    <row r="775" spans="1:21" ht="18">
      <c r="A775" s="363"/>
      <c r="B775" s="363"/>
      <c r="C775" s="363"/>
      <c r="D775" s="363"/>
      <c r="E775" s="363"/>
      <c r="F775" s="363"/>
      <c r="G775" s="363"/>
      <c r="H775" s="363"/>
      <c r="I775" s="363"/>
      <c r="J775" s="363"/>
      <c r="K775" s="363"/>
      <c r="L775" s="363"/>
      <c r="M775" s="363"/>
      <c r="N775" s="363"/>
      <c r="O775" s="363"/>
      <c r="P775" s="363"/>
      <c r="Q775" s="363"/>
      <c r="R775" s="363"/>
      <c r="S775" s="363"/>
      <c r="T775" s="363"/>
      <c r="U775" s="363"/>
    </row>
    <row r="776" spans="1:21" ht="18">
      <c r="A776" s="363"/>
      <c r="B776" s="363"/>
      <c r="C776" s="363"/>
      <c r="D776" s="363"/>
      <c r="E776" s="363"/>
      <c r="F776" s="363"/>
      <c r="G776" s="363"/>
      <c r="H776" s="363"/>
      <c r="I776" s="363"/>
      <c r="J776" s="363"/>
      <c r="K776" s="363"/>
      <c r="L776" s="363"/>
      <c r="M776" s="363"/>
      <c r="N776" s="363"/>
      <c r="O776" s="363"/>
      <c r="P776" s="363"/>
      <c r="Q776" s="363"/>
      <c r="R776" s="363"/>
      <c r="S776" s="363"/>
      <c r="T776" s="363"/>
      <c r="U776" s="363"/>
    </row>
    <row r="777" spans="1:21" ht="18">
      <c r="A777" s="363"/>
      <c r="B777" s="363"/>
      <c r="C777" s="363"/>
      <c r="D777" s="363"/>
      <c r="E777" s="363"/>
      <c r="F777" s="363"/>
      <c r="G777" s="363"/>
      <c r="H777" s="363"/>
      <c r="I777" s="363"/>
      <c r="J777" s="363"/>
      <c r="K777" s="363"/>
      <c r="L777" s="363"/>
      <c r="M777" s="363"/>
      <c r="N777" s="363"/>
      <c r="O777" s="363"/>
      <c r="P777" s="363"/>
      <c r="Q777" s="363"/>
      <c r="R777" s="363"/>
      <c r="S777" s="363"/>
      <c r="T777" s="363"/>
      <c r="U777" s="363"/>
    </row>
    <row r="778" spans="1:21" ht="18">
      <c r="A778" s="363"/>
      <c r="B778" s="363"/>
      <c r="C778" s="363"/>
      <c r="D778" s="363"/>
      <c r="E778" s="363"/>
      <c r="F778" s="363"/>
      <c r="G778" s="363"/>
      <c r="H778" s="363"/>
      <c r="I778" s="363"/>
      <c r="J778" s="363"/>
      <c r="K778" s="363"/>
      <c r="L778" s="363"/>
      <c r="M778" s="363"/>
      <c r="N778" s="363"/>
      <c r="O778" s="363"/>
      <c r="P778" s="363"/>
      <c r="Q778" s="363"/>
      <c r="R778" s="363"/>
      <c r="S778" s="363"/>
      <c r="T778" s="363"/>
      <c r="U778" s="363"/>
    </row>
    <row r="779" spans="1:21" ht="18">
      <c r="A779" s="363"/>
      <c r="B779" s="363"/>
      <c r="C779" s="363"/>
      <c r="D779" s="363"/>
      <c r="E779" s="363"/>
      <c r="F779" s="363"/>
      <c r="G779" s="363"/>
      <c r="H779" s="363"/>
      <c r="I779" s="363"/>
      <c r="J779" s="363"/>
      <c r="K779" s="363"/>
      <c r="L779" s="363"/>
      <c r="M779" s="363"/>
      <c r="N779" s="363"/>
      <c r="O779" s="363"/>
      <c r="P779" s="363"/>
      <c r="Q779" s="363"/>
      <c r="R779" s="363"/>
      <c r="S779" s="363"/>
      <c r="T779" s="363"/>
      <c r="U779" s="363"/>
    </row>
    <row r="780" spans="1:21" ht="18">
      <c r="A780" s="363"/>
      <c r="B780" s="363"/>
      <c r="C780" s="363"/>
      <c r="D780" s="363"/>
      <c r="E780" s="363"/>
      <c r="F780" s="363"/>
      <c r="G780" s="363"/>
      <c r="H780" s="363"/>
      <c r="I780" s="363"/>
      <c r="J780" s="363"/>
      <c r="K780" s="363"/>
      <c r="L780" s="363"/>
      <c r="M780" s="363"/>
      <c r="N780" s="363"/>
      <c r="O780" s="363"/>
      <c r="P780" s="363"/>
      <c r="Q780" s="363"/>
      <c r="R780" s="363"/>
      <c r="S780" s="363"/>
      <c r="T780" s="363"/>
      <c r="U780" s="363"/>
    </row>
    <row r="781" spans="1:21" ht="18">
      <c r="A781" s="363"/>
      <c r="B781" s="363"/>
      <c r="C781" s="363"/>
      <c r="D781" s="363"/>
      <c r="E781" s="363"/>
      <c r="F781" s="363"/>
      <c r="G781" s="363"/>
      <c r="H781" s="363"/>
      <c r="I781" s="363"/>
      <c r="J781" s="363"/>
      <c r="K781" s="363"/>
      <c r="L781" s="363"/>
      <c r="M781" s="363"/>
      <c r="N781" s="363"/>
      <c r="O781" s="363"/>
      <c r="P781" s="363"/>
      <c r="Q781" s="363"/>
      <c r="R781" s="363"/>
      <c r="S781" s="363"/>
      <c r="T781" s="363"/>
      <c r="U781" s="363"/>
    </row>
    <row r="782" spans="1:21" ht="18">
      <c r="A782" s="363"/>
      <c r="B782" s="363"/>
      <c r="C782" s="363"/>
      <c r="D782" s="363"/>
      <c r="E782" s="363"/>
      <c r="F782" s="363"/>
      <c r="G782" s="363"/>
      <c r="H782" s="363"/>
      <c r="I782" s="363"/>
      <c r="J782" s="363"/>
      <c r="K782" s="363"/>
      <c r="L782" s="363"/>
      <c r="M782" s="363"/>
      <c r="N782" s="363"/>
      <c r="O782" s="363"/>
      <c r="P782" s="363"/>
      <c r="Q782" s="363"/>
      <c r="R782" s="363"/>
      <c r="S782" s="363"/>
      <c r="T782" s="363"/>
      <c r="U782" s="363"/>
    </row>
    <row r="783" spans="1:21" ht="18">
      <c r="A783" s="363"/>
      <c r="B783" s="363"/>
      <c r="C783" s="363"/>
      <c r="D783" s="363"/>
      <c r="E783" s="363"/>
      <c r="F783" s="363"/>
      <c r="G783" s="363"/>
      <c r="H783" s="363"/>
      <c r="I783" s="363"/>
      <c r="J783" s="363"/>
      <c r="K783" s="363"/>
      <c r="L783" s="363"/>
      <c r="M783" s="363"/>
      <c r="N783" s="363"/>
      <c r="O783" s="363"/>
      <c r="P783" s="363"/>
      <c r="Q783" s="363"/>
      <c r="R783" s="363"/>
      <c r="S783" s="363"/>
      <c r="T783" s="363"/>
      <c r="U783" s="363"/>
    </row>
    <row r="784" spans="1:21" ht="18">
      <c r="A784" s="363"/>
      <c r="B784" s="363"/>
      <c r="C784" s="363"/>
      <c r="D784" s="363"/>
      <c r="E784" s="363"/>
      <c r="F784" s="363"/>
      <c r="G784" s="363"/>
      <c r="H784" s="363"/>
      <c r="I784" s="363"/>
      <c r="J784" s="363"/>
      <c r="K784" s="363"/>
      <c r="L784" s="363"/>
      <c r="M784" s="363"/>
      <c r="N784" s="363"/>
      <c r="O784" s="363"/>
      <c r="P784" s="363"/>
      <c r="Q784" s="363"/>
      <c r="R784" s="363"/>
      <c r="S784" s="363"/>
      <c r="T784" s="363"/>
      <c r="U784" s="363"/>
    </row>
    <row r="785" spans="1:21" ht="18">
      <c r="A785" s="363"/>
      <c r="B785" s="363"/>
      <c r="C785" s="363"/>
      <c r="D785" s="363"/>
      <c r="E785" s="363"/>
      <c r="F785" s="363"/>
      <c r="G785" s="363"/>
      <c r="H785" s="363"/>
      <c r="I785" s="363"/>
      <c r="J785" s="363"/>
      <c r="K785" s="363"/>
      <c r="L785" s="363"/>
      <c r="M785" s="363"/>
      <c r="N785" s="363"/>
      <c r="O785" s="363"/>
      <c r="P785" s="363"/>
      <c r="Q785" s="363"/>
      <c r="R785" s="363"/>
      <c r="S785" s="363"/>
      <c r="T785" s="363"/>
      <c r="U785" s="363"/>
    </row>
    <row r="786" spans="1:21" ht="18">
      <c r="A786" s="363"/>
      <c r="B786" s="363"/>
      <c r="C786" s="363"/>
      <c r="D786" s="363"/>
      <c r="E786" s="363"/>
      <c r="F786" s="363"/>
      <c r="G786" s="363"/>
      <c r="H786" s="363"/>
      <c r="I786" s="363"/>
      <c r="J786" s="363"/>
      <c r="K786" s="363"/>
      <c r="L786" s="363"/>
      <c r="M786" s="363"/>
      <c r="N786" s="363"/>
      <c r="O786" s="363"/>
      <c r="P786" s="363"/>
      <c r="Q786" s="363"/>
      <c r="R786" s="363"/>
      <c r="S786" s="363"/>
      <c r="T786" s="363"/>
      <c r="U786" s="363"/>
    </row>
    <row r="787" spans="1:21" ht="18">
      <c r="A787" s="363"/>
      <c r="B787" s="363"/>
      <c r="C787" s="363"/>
      <c r="D787" s="363"/>
      <c r="E787" s="363"/>
      <c r="F787" s="363"/>
      <c r="G787" s="363"/>
      <c r="H787" s="363"/>
      <c r="I787" s="363"/>
      <c r="J787" s="363"/>
      <c r="K787" s="363"/>
      <c r="L787" s="363"/>
      <c r="M787" s="363"/>
      <c r="N787" s="363"/>
      <c r="O787" s="363"/>
      <c r="P787" s="363"/>
      <c r="Q787" s="363"/>
      <c r="R787" s="363"/>
      <c r="S787" s="363"/>
      <c r="T787" s="363"/>
      <c r="U787" s="363"/>
    </row>
    <row r="788" spans="1:21" ht="18">
      <c r="A788" s="363"/>
      <c r="B788" s="363"/>
      <c r="C788" s="363"/>
      <c r="D788" s="363"/>
      <c r="E788" s="363"/>
      <c r="F788" s="363"/>
      <c r="G788" s="363"/>
      <c r="H788" s="363"/>
      <c r="I788" s="363"/>
      <c r="J788" s="363"/>
      <c r="K788" s="363"/>
      <c r="L788" s="363"/>
      <c r="M788" s="363"/>
      <c r="N788" s="363"/>
      <c r="O788" s="363"/>
      <c r="P788" s="363"/>
      <c r="Q788" s="363"/>
      <c r="R788" s="363"/>
      <c r="S788" s="363"/>
      <c r="T788" s="363"/>
      <c r="U788" s="363"/>
    </row>
    <row r="789" spans="1:21" ht="18">
      <c r="A789" s="363"/>
      <c r="B789" s="363"/>
      <c r="C789" s="363"/>
      <c r="D789" s="363"/>
      <c r="E789" s="363"/>
      <c r="F789" s="363"/>
      <c r="G789" s="363"/>
      <c r="H789" s="363"/>
      <c r="I789" s="363"/>
      <c r="J789" s="363"/>
      <c r="K789" s="363"/>
      <c r="L789" s="363"/>
      <c r="M789" s="363"/>
      <c r="N789" s="363"/>
      <c r="O789" s="363"/>
      <c r="P789" s="363"/>
      <c r="Q789" s="363"/>
      <c r="R789" s="363"/>
      <c r="S789" s="363"/>
      <c r="T789" s="363"/>
      <c r="U789" s="363"/>
    </row>
    <row r="790" spans="1:21" ht="18">
      <c r="A790" s="363"/>
      <c r="B790" s="363"/>
      <c r="C790" s="363"/>
      <c r="D790" s="363"/>
      <c r="E790" s="363"/>
      <c r="F790" s="363"/>
      <c r="G790" s="363"/>
      <c r="H790" s="363"/>
      <c r="I790" s="363"/>
      <c r="J790" s="363"/>
      <c r="K790" s="363"/>
      <c r="L790" s="363"/>
      <c r="M790" s="363"/>
      <c r="N790" s="363"/>
      <c r="O790" s="363"/>
      <c r="P790" s="363"/>
      <c r="Q790" s="363"/>
      <c r="R790" s="363"/>
      <c r="S790" s="363"/>
      <c r="T790" s="363"/>
      <c r="U790" s="363"/>
    </row>
    <row r="791" spans="1:21" ht="18">
      <c r="A791" s="363"/>
      <c r="B791" s="363"/>
      <c r="C791" s="363"/>
      <c r="D791" s="363"/>
      <c r="E791" s="363"/>
      <c r="F791" s="363"/>
      <c r="G791" s="363"/>
      <c r="H791" s="363"/>
      <c r="I791" s="363"/>
      <c r="J791" s="363"/>
      <c r="K791" s="363"/>
      <c r="L791" s="363"/>
      <c r="M791" s="363"/>
      <c r="N791" s="363"/>
      <c r="O791" s="363"/>
      <c r="P791" s="363"/>
      <c r="Q791" s="363"/>
      <c r="R791" s="363"/>
      <c r="S791" s="363"/>
      <c r="T791" s="363"/>
      <c r="U791" s="363"/>
    </row>
    <row r="792" spans="1:21" ht="18">
      <c r="A792" s="363"/>
      <c r="B792" s="363"/>
      <c r="C792" s="363"/>
      <c r="D792" s="363"/>
      <c r="E792" s="363"/>
      <c r="F792" s="363"/>
      <c r="G792" s="363"/>
      <c r="H792" s="363"/>
      <c r="I792" s="363"/>
      <c r="J792" s="363"/>
      <c r="K792" s="363"/>
      <c r="L792" s="363"/>
      <c r="M792" s="363"/>
      <c r="N792" s="363"/>
      <c r="O792" s="363"/>
      <c r="P792" s="363"/>
      <c r="Q792" s="363"/>
      <c r="R792" s="363"/>
      <c r="S792" s="363"/>
      <c r="T792" s="363"/>
      <c r="U792" s="363"/>
    </row>
    <row r="793" spans="1:21" ht="18">
      <c r="A793" s="363"/>
      <c r="B793" s="363"/>
      <c r="C793" s="363"/>
      <c r="D793" s="363"/>
      <c r="E793" s="363"/>
      <c r="F793" s="363"/>
      <c r="G793" s="363"/>
      <c r="H793" s="363"/>
      <c r="I793" s="363"/>
      <c r="J793" s="363"/>
      <c r="K793" s="363"/>
      <c r="L793" s="363"/>
      <c r="M793" s="363"/>
      <c r="N793" s="363"/>
      <c r="O793" s="363"/>
      <c r="P793" s="363"/>
      <c r="Q793" s="363"/>
      <c r="R793" s="363"/>
      <c r="S793" s="363"/>
      <c r="T793" s="363"/>
      <c r="U793" s="363"/>
    </row>
    <row r="794" spans="1:21" ht="18">
      <c r="A794" s="363"/>
      <c r="B794" s="363"/>
      <c r="C794" s="363"/>
      <c r="D794" s="363"/>
      <c r="E794" s="363"/>
      <c r="F794" s="363"/>
      <c r="G794" s="363"/>
      <c r="H794" s="363"/>
      <c r="I794" s="363"/>
      <c r="J794" s="363"/>
      <c r="K794" s="363"/>
      <c r="L794" s="363"/>
      <c r="M794" s="363"/>
      <c r="N794" s="363"/>
      <c r="O794" s="363"/>
      <c r="P794" s="363"/>
      <c r="Q794" s="363"/>
      <c r="R794" s="363"/>
      <c r="S794" s="363"/>
      <c r="T794" s="363"/>
      <c r="U794" s="363"/>
    </row>
    <row r="795" spans="1:21" ht="18">
      <c r="A795" s="363"/>
      <c r="B795" s="363"/>
      <c r="C795" s="363"/>
      <c r="D795" s="363"/>
      <c r="E795" s="363"/>
      <c r="F795" s="363"/>
      <c r="G795" s="363"/>
      <c r="H795" s="363"/>
      <c r="I795" s="363"/>
      <c r="J795" s="363"/>
      <c r="K795" s="363"/>
      <c r="L795" s="363"/>
      <c r="M795" s="363"/>
      <c r="N795" s="363"/>
      <c r="O795" s="363"/>
      <c r="P795" s="363"/>
      <c r="Q795" s="363"/>
      <c r="R795" s="363"/>
      <c r="S795" s="363"/>
      <c r="T795" s="363"/>
      <c r="U795" s="363"/>
    </row>
    <row r="796" spans="1:21" ht="18">
      <c r="A796" s="363"/>
      <c r="B796" s="363"/>
      <c r="C796" s="363"/>
      <c r="D796" s="363"/>
      <c r="E796" s="363"/>
      <c r="F796" s="363"/>
      <c r="G796" s="363"/>
      <c r="H796" s="363"/>
      <c r="I796" s="363"/>
      <c r="J796" s="363"/>
      <c r="K796" s="363"/>
      <c r="L796" s="363"/>
      <c r="M796" s="363"/>
      <c r="N796" s="363"/>
      <c r="O796" s="363"/>
      <c r="P796" s="363"/>
      <c r="Q796" s="363"/>
      <c r="R796" s="363"/>
      <c r="S796" s="363"/>
      <c r="T796" s="363"/>
      <c r="U796" s="363"/>
    </row>
    <row r="797" spans="1:21" ht="18">
      <c r="A797" s="363"/>
      <c r="B797" s="363"/>
      <c r="C797" s="363"/>
      <c r="D797" s="363"/>
      <c r="E797" s="363"/>
      <c r="F797" s="363"/>
      <c r="G797" s="363"/>
      <c r="H797" s="363"/>
      <c r="I797" s="363"/>
      <c r="J797" s="363"/>
      <c r="K797" s="363"/>
      <c r="L797" s="363"/>
      <c r="M797" s="363"/>
      <c r="N797" s="363"/>
      <c r="O797" s="363"/>
      <c r="P797" s="363"/>
      <c r="Q797" s="363"/>
      <c r="R797" s="363"/>
      <c r="S797" s="363"/>
      <c r="T797" s="363"/>
      <c r="U797" s="363"/>
    </row>
    <row r="798" spans="1:21" ht="18">
      <c r="A798" s="363"/>
      <c r="B798" s="363"/>
      <c r="C798" s="363"/>
      <c r="D798" s="363"/>
      <c r="E798" s="363"/>
      <c r="F798" s="363"/>
      <c r="G798" s="363"/>
      <c r="H798" s="363"/>
      <c r="I798" s="363"/>
      <c r="J798" s="363"/>
      <c r="K798" s="363"/>
      <c r="L798" s="363"/>
      <c r="M798" s="363"/>
      <c r="N798" s="363"/>
      <c r="O798" s="363"/>
      <c r="P798" s="363"/>
      <c r="Q798" s="363"/>
      <c r="R798" s="363"/>
      <c r="S798" s="363"/>
      <c r="T798" s="363"/>
      <c r="U798" s="363"/>
    </row>
    <row r="799" spans="1:21" ht="18">
      <c r="A799" s="363"/>
      <c r="B799" s="363"/>
      <c r="C799" s="363"/>
      <c r="D799" s="363"/>
      <c r="E799" s="363"/>
      <c r="F799" s="363"/>
      <c r="G799" s="363"/>
      <c r="H799" s="363"/>
      <c r="I799" s="363"/>
      <c r="J799" s="363"/>
      <c r="K799" s="363"/>
      <c r="L799" s="363"/>
      <c r="M799" s="363"/>
      <c r="N799" s="363"/>
      <c r="O799" s="363"/>
      <c r="P799" s="363"/>
      <c r="Q799" s="363"/>
      <c r="R799" s="363"/>
      <c r="S799" s="363"/>
      <c r="T799" s="363"/>
      <c r="U799" s="363"/>
    </row>
    <row r="800" spans="1:21" ht="18">
      <c r="A800" s="363"/>
      <c r="B800" s="363"/>
      <c r="C800" s="363"/>
      <c r="D800" s="363"/>
      <c r="E800" s="363"/>
      <c r="F800" s="363"/>
      <c r="G800" s="363"/>
      <c r="H800" s="363"/>
      <c r="I800" s="363"/>
      <c r="J800" s="363"/>
      <c r="K800" s="363"/>
      <c r="L800" s="363"/>
      <c r="M800" s="363"/>
      <c r="N800" s="363"/>
      <c r="O800" s="363"/>
      <c r="P800" s="363"/>
      <c r="Q800" s="363"/>
      <c r="R800" s="363"/>
      <c r="S800" s="363"/>
      <c r="T800" s="363"/>
      <c r="U800" s="363"/>
    </row>
    <row r="801" spans="1:21" ht="18">
      <c r="A801" s="363"/>
      <c r="B801" s="363"/>
      <c r="C801" s="363"/>
      <c r="D801" s="363"/>
      <c r="E801" s="363"/>
      <c r="F801" s="363"/>
      <c r="G801" s="363"/>
      <c r="H801" s="363"/>
      <c r="I801" s="363"/>
      <c r="J801" s="363"/>
      <c r="K801" s="363"/>
      <c r="L801" s="363"/>
      <c r="M801" s="363"/>
      <c r="N801" s="363"/>
      <c r="O801" s="363"/>
      <c r="P801" s="363"/>
      <c r="Q801" s="363"/>
      <c r="R801" s="363"/>
      <c r="S801" s="363"/>
      <c r="T801" s="363"/>
      <c r="U801" s="363"/>
    </row>
    <row r="802" spans="1:21" ht="18">
      <c r="A802" s="363"/>
      <c r="B802" s="363"/>
      <c r="C802" s="363"/>
      <c r="D802" s="363"/>
      <c r="E802" s="363"/>
      <c r="F802" s="363"/>
      <c r="G802" s="363"/>
      <c r="H802" s="363"/>
      <c r="I802" s="363"/>
      <c r="J802" s="363"/>
      <c r="K802" s="363"/>
      <c r="L802" s="363"/>
      <c r="M802" s="363"/>
      <c r="N802" s="363"/>
      <c r="O802" s="363"/>
      <c r="P802" s="363"/>
      <c r="Q802" s="363"/>
      <c r="R802" s="363"/>
      <c r="S802" s="363"/>
      <c r="T802" s="363"/>
      <c r="U802" s="363"/>
    </row>
    <row r="803" spans="1:21" ht="18">
      <c r="A803" s="363"/>
      <c r="B803" s="363"/>
      <c r="C803" s="363"/>
      <c r="D803" s="363"/>
      <c r="E803" s="363"/>
      <c r="F803" s="363"/>
      <c r="G803" s="363"/>
      <c r="H803" s="363"/>
      <c r="I803" s="363"/>
      <c r="J803" s="363"/>
      <c r="K803" s="363"/>
      <c r="L803" s="363"/>
      <c r="M803" s="363"/>
      <c r="N803" s="363"/>
      <c r="O803" s="363"/>
      <c r="P803" s="363"/>
      <c r="Q803" s="363"/>
      <c r="R803" s="363"/>
      <c r="S803" s="363"/>
      <c r="T803" s="363"/>
      <c r="U803" s="363"/>
    </row>
    <row r="804" spans="1:21" ht="18">
      <c r="A804" s="363"/>
      <c r="B804" s="363"/>
      <c r="C804" s="363"/>
      <c r="D804" s="363"/>
      <c r="E804" s="363"/>
      <c r="F804" s="363"/>
      <c r="G804" s="363"/>
      <c r="H804" s="363"/>
      <c r="I804" s="363"/>
      <c r="J804" s="363"/>
      <c r="K804" s="363"/>
      <c r="L804" s="363"/>
      <c r="M804" s="363"/>
      <c r="N804" s="363"/>
      <c r="O804" s="363"/>
      <c r="P804" s="363"/>
      <c r="Q804" s="363"/>
      <c r="R804" s="363"/>
      <c r="S804" s="363"/>
      <c r="T804" s="363"/>
      <c r="U804" s="363"/>
    </row>
    <row r="805" spans="1:21" ht="18">
      <c r="A805" s="363"/>
      <c r="B805" s="363"/>
      <c r="C805" s="363"/>
      <c r="D805" s="363"/>
      <c r="E805" s="363"/>
      <c r="F805" s="363"/>
      <c r="G805" s="363"/>
      <c r="H805" s="363"/>
      <c r="I805" s="363"/>
      <c r="J805" s="363"/>
      <c r="K805" s="363"/>
      <c r="L805" s="363"/>
      <c r="M805" s="363"/>
      <c r="N805" s="363"/>
      <c r="O805" s="363"/>
      <c r="P805" s="363"/>
      <c r="Q805" s="363"/>
      <c r="R805" s="363"/>
      <c r="S805" s="363"/>
      <c r="T805" s="363"/>
      <c r="U805" s="363"/>
    </row>
    <row r="806" spans="1:21" ht="18">
      <c r="A806" s="363"/>
      <c r="B806" s="363"/>
      <c r="C806" s="363"/>
      <c r="D806" s="363"/>
      <c r="E806" s="363"/>
      <c r="F806" s="363"/>
      <c r="G806" s="363"/>
      <c r="H806" s="363"/>
      <c r="I806" s="363"/>
      <c r="J806" s="363"/>
      <c r="K806" s="363"/>
      <c r="L806" s="363"/>
      <c r="M806" s="363"/>
      <c r="N806" s="363"/>
      <c r="O806" s="363"/>
      <c r="P806" s="363"/>
      <c r="Q806" s="363"/>
      <c r="R806" s="363"/>
      <c r="S806" s="363"/>
      <c r="T806" s="363"/>
      <c r="U806" s="363"/>
    </row>
    <row r="807" spans="1:21" ht="18">
      <c r="A807" s="363"/>
      <c r="B807" s="363"/>
      <c r="C807" s="363"/>
      <c r="D807" s="363"/>
      <c r="E807" s="363"/>
      <c r="F807" s="363"/>
      <c r="G807" s="363"/>
      <c r="H807" s="363"/>
      <c r="I807" s="363"/>
      <c r="J807" s="363"/>
      <c r="K807" s="363"/>
      <c r="L807" s="363"/>
      <c r="M807" s="363"/>
      <c r="N807" s="363"/>
      <c r="O807" s="363"/>
      <c r="P807" s="363"/>
      <c r="Q807" s="363"/>
      <c r="R807" s="363"/>
      <c r="S807" s="363"/>
      <c r="T807" s="363"/>
      <c r="U807" s="363"/>
    </row>
    <row r="808" spans="1:21" ht="18">
      <c r="A808" s="363"/>
      <c r="B808" s="363"/>
      <c r="C808" s="363"/>
      <c r="D808" s="363"/>
      <c r="E808" s="363"/>
      <c r="F808" s="363"/>
      <c r="G808" s="363"/>
      <c r="H808" s="363"/>
      <c r="I808" s="363"/>
      <c r="J808" s="363"/>
      <c r="K808" s="363"/>
      <c r="L808" s="363"/>
      <c r="M808" s="363"/>
      <c r="N808" s="363"/>
      <c r="O808" s="363"/>
      <c r="P808" s="363"/>
      <c r="Q808" s="363"/>
      <c r="R808" s="363"/>
      <c r="S808" s="363"/>
      <c r="T808" s="363"/>
      <c r="U808" s="363"/>
    </row>
    <row r="809" spans="1:21" ht="18">
      <c r="A809" s="363"/>
      <c r="B809" s="363"/>
      <c r="C809" s="363"/>
      <c r="D809" s="363"/>
      <c r="E809" s="363"/>
      <c r="F809" s="363"/>
      <c r="G809" s="363"/>
      <c r="H809" s="363"/>
      <c r="I809" s="363"/>
      <c r="J809" s="363"/>
      <c r="K809" s="363"/>
      <c r="L809" s="363"/>
      <c r="M809" s="363"/>
      <c r="N809" s="363"/>
      <c r="O809" s="363"/>
      <c r="P809" s="363"/>
      <c r="Q809" s="363"/>
      <c r="R809" s="363"/>
      <c r="S809" s="363"/>
      <c r="T809" s="363"/>
      <c r="U809" s="363"/>
    </row>
    <row r="810" spans="1:21" ht="18">
      <c r="A810" s="363"/>
      <c r="B810" s="363"/>
      <c r="C810" s="363"/>
      <c r="D810" s="363"/>
      <c r="E810" s="363"/>
      <c r="F810" s="363"/>
      <c r="G810" s="363"/>
      <c r="H810" s="363"/>
      <c r="I810" s="363"/>
      <c r="J810" s="363"/>
      <c r="K810" s="363"/>
      <c r="L810" s="363"/>
      <c r="M810" s="363"/>
      <c r="N810" s="363"/>
      <c r="O810" s="363"/>
      <c r="P810" s="363"/>
      <c r="Q810" s="363"/>
      <c r="R810" s="363"/>
      <c r="S810" s="363"/>
      <c r="T810" s="363"/>
      <c r="U810" s="363"/>
    </row>
    <row r="811" spans="1:21" ht="18">
      <c r="A811" s="363"/>
      <c r="B811" s="363"/>
      <c r="C811" s="363"/>
      <c r="D811" s="363"/>
      <c r="E811" s="363"/>
      <c r="F811" s="363"/>
      <c r="G811" s="363"/>
      <c r="H811" s="363"/>
      <c r="I811" s="363"/>
      <c r="J811" s="363"/>
      <c r="K811" s="363"/>
      <c r="L811" s="363"/>
      <c r="M811" s="363"/>
      <c r="N811" s="363"/>
      <c r="O811" s="363"/>
      <c r="P811" s="363"/>
      <c r="Q811" s="363"/>
      <c r="R811" s="363"/>
      <c r="S811" s="363"/>
      <c r="T811" s="363"/>
      <c r="U811" s="363"/>
    </row>
    <row r="812" spans="1:21" ht="18">
      <c r="A812" s="363"/>
      <c r="B812" s="363"/>
      <c r="C812" s="363"/>
      <c r="D812" s="363"/>
      <c r="E812" s="363"/>
      <c r="F812" s="363"/>
      <c r="G812" s="363"/>
      <c r="H812" s="363"/>
      <c r="I812" s="363"/>
      <c r="J812" s="363"/>
      <c r="K812" s="363"/>
      <c r="L812" s="363"/>
      <c r="M812" s="363"/>
      <c r="N812" s="363"/>
      <c r="O812" s="363"/>
      <c r="P812" s="363"/>
      <c r="Q812" s="363"/>
      <c r="R812" s="363"/>
      <c r="S812" s="363"/>
      <c r="T812" s="363"/>
      <c r="U812" s="363"/>
    </row>
    <row r="813" spans="1:21" ht="18">
      <c r="A813" s="363"/>
      <c r="B813" s="363"/>
      <c r="C813" s="363"/>
      <c r="D813" s="363"/>
      <c r="E813" s="363"/>
      <c r="F813" s="363"/>
      <c r="G813" s="363"/>
      <c r="H813" s="363"/>
      <c r="I813" s="363"/>
      <c r="J813" s="363"/>
      <c r="K813" s="363"/>
      <c r="L813" s="363"/>
      <c r="M813" s="363"/>
      <c r="N813" s="363"/>
      <c r="O813" s="363"/>
      <c r="P813" s="363"/>
      <c r="Q813" s="363"/>
      <c r="R813" s="363"/>
      <c r="S813" s="363"/>
      <c r="T813" s="363"/>
      <c r="U813" s="363"/>
    </row>
    <row r="814" spans="1:21" ht="18">
      <c r="A814" s="363"/>
      <c r="B814" s="363"/>
      <c r="C814" s="363"/>
      <c r="D814" s="363"/>
      <c r="E814" s="363"/>
      <c r="F814" s="363"/>
      <c r="G814" s="363"/>
      <c r="H814" s="363"/>
      <c r="I814" s="363"/>
      <c r="J814" s="363"/>
      <c r="K814" s="363"/>
      <c r="L814" s="363"/>
      <c r="M814" s="363"/>
      <c r="N814" s="363"/>
      <c r="O814" s="363"/>
      <c r="P814" s="363"/>
      <c r="Q814" s="363"/>
      <c r="R814" s="363"/>
      <c r="S814" s="363"/>
      <c r="T814" s="363"/>
      <c r="U814" s="363"/>
    </row>
    <row r="815" spans="1:21" ht="18">
      <c r="A815" s="363"/>
      <c r="B815" s="363"/>
      <c r="C815" s="363"/>
      <c r="D815" s="363"/>
      <c r="E815" s="363"/>
      <c r="F815" s="363"/>
      <c r="G815" s="363"/>
      <c r="H815" s="363"/>
      <c r="I815" s="363"/>
      <c r="J815" s="363"/>
      <c r="K815" s="363"/>
      <c r="L815" s="363"/>
      <c r="M815" s="363"/>
      <c r="N815" s="363"/>
      <c r="O815" s="363"/>
      <c r="P815" s="363"/>
      <c r="Q815" s="363"/>
      <c r="R815" s="363"/>
      <c r="S815" s="363"/>
      <c r="T815" s="363"/>
      <c r="U815" s="363"/>
    </row>
    <row r="816" spans="1:21" ht="18">
      <c r="A816" s="363"/>
      <c r="B816" s="363"/>
      <c r="C816" s="363"/>
      <c r="D816" s="363"/>
      <c r="E816" s="363"/>
      <c r="F816" s="363"/>
      <c r="G816" s="363"/>
      <c r="H816" s="363"/>
      <c r="I816" s="363"/>
      <c r="J816" s="363"/>
      <c r="K816" s="363"/>
      <c r="L816" s="363"/>
      <c r="M816" s="363"/>
      <c r="N816" s="363"/>
      <c r="O816" s="363"/>
      <c r="P816" s="363"/>
      <c r="Q816" s="363"/>
      <c r="R816" s="363"/>
      <c r="S816" s="363"/>
      <c r="T816" s="363"/>
      <c r="U816" s="363"/>
    </row>
    <row r="817" spans="1:21" ht="18">
      <c r="A817" s="363"/>
      <c r="B817" s="363"/>
      <c r="C817" s="363"/>
      <c r="D817" s="363"/>
      <c r="E817" s="363"/>
      <c r="F817" s="363"/>
      <c r="G817" s="363"/>
      <c r="H817" s="363"/>
      <c r="I817" s="363"/>
      <c r="J817" s="363"/>
      <c r="K817" s="363"/>
      <c r="L817" s="363"/>
      <c r="M817" s="363"/>
      <c r="N817" s="363"/>
      <c r="O817" s="363"/>
      <c r="P817" s="363"/>
      <c r="Q817" s="363"/>
      <c r="R817" s="363"/>
      <c r="S817" s="363"/>
      <c r="T817" s="363"/>
      <c r="U817" s="363"/>
    </row>
    <row r="818" spans="1:21" ht="18">
      <c r="A818" s="363"/>
      <c r="B818" s="363"/>
      <c r="C818" s="363"/>
      <c r="D818" s="363"/>
      <c r="E818" s="363"/>
      <c r="F818" s="363"/>
      <c r="G818" s="363"/>
      <c r="H818" s="363"/>
      <c r="I818" s="363"/>
      <c r="J818" s="363"/>
      <c r="K818" s="363"/>
      <c r="L818" s="363"/>
      <c r="M818" s="363"/>
      <c r="N818" s="363"/>
      <c r="O818" s="363"/>
      <c r="P818" s="363"/>
      <c r="Q818" s="363"/>
      <c r="R818" s="363"/>
      <c r="S818" s="363"/>
      <c r="T818" s="363"/>
      <c r="U818" s="363"/>
    </row>
    <row r="819" spans="1:21" ht="18">
      <c r="A819" s="363"/>
      <c r="B819" s="363"/>
      <c r="C819" s="363"/>
      <c r="D819" s="363"/>
      <c r="E819" s="363"/>
      <c r="F819" s="363"/>
      <c r="G819" s="363"/>
      <c r="H819" s="363"/>
      <c r="I819" s="363"/>
      <c r="J819" s="363"/>
      <c r="K819" s="363"/>
      <c r="L819" s="363"/>
      <c r="M819" s="363"/>
      <c r="N819" s="363"/>
      <c r="O819" s="363"/>
      <c r="P819" s="363"/>
      <c r="Q819" s="363"/>
      <c r="R819" s="363"/>
      <c r="S819" s="363"/>
      <c r="T819" s="363"/>
      <c r="U819" s="363"/>
    </row>
    <row r="820" spans="1:21" ht="18">
      <c r="A820" s="363"/>
      <c r="B820" s="363"/>
      <c r="C820" s="363"/>
      <c r="D820" s="363"/>
      <c r="E820" s="363"/>
      <c r="F820" s="363"/>
      <c r="G820" s="363"/>
      <c r="H820" s="363"/>
      <c r="I820" s="363"/>
      <c r="J820" s="363"/>
      <c r="K820" s="363"/>
      <c r="L820" s="363"/>
      <c r="M820" s="363"/>
      <c r="N820" s="363"/>
      <c r="O820" s="363"/>
      <c r="P820" s="363"/>
      <c r="Q820" s="363"/>
      <c r="R820" s="363"/>
      <c r="S820" s="363"/>
      <c r="T820" s="363"/>
      <c r="U820" s="363"/>
    </row>
    <row r="821" spans="1:21" ht="18">
      <c r="A821" s="363"/>
      <c r="B821" s="363"/>
      <c r="C821" s="363"/>
      <c r="D821" s="363"/>
      <c r="E821" s="363"/>
      <c r="F821" s="363"/>
      <c r="G821" s="363"/>
      <c r="H821" s="363"/>
      <c r="I821" s="363"/>
      <c r="J821" s="363"/>
      <c r="K821" s="363"/>
      <c r="L821" s="363"/>
      <c r="M821" s="363"/>
      <c r="N821" s="363"/>
      <c r="O821" s="363"/>
      <c r="P821" s="363"/>
      <c r="Q821" s="363"/>
      <c r="R821" s="363"/>
      <c r="S821" s="363"/>
      <c r="T821" s="363"/>
      <c r="U821" s="363"/>
    </row>
    <row r="822" spans="1:21" ht="18">
      <c r="A822" s="363"/>
      <c r="B822" s="363"/>
      <c r="C822" s="363"/>
      <c r="D822" s="363"/>
      <c r="E822" s="363"/>
      <c r="F822" s="363"/>
      <c r="G822" s="363"/>
      <c r="H822" s="363"/>
      <c r="I822" s="363"/>
      <c r="J822" s="363"/>
      <c r="K822" s="363"/>
      <c r="L822" s="363"/>
      <c r="M822" s="363"/>
      <c r="N822" s="363"/>
      <c r="O822" s="363"/>
      <c r="P822" s="363"/>
      <c r="Q822" s="363"/>
      <c r="R822" s="363"/>
      <c r="S822" s="363"/>
      <c r="T822" s="363"/>
      <c r="U822" s="363"/>
    </row>
    <row r="823" spans="1:21" ht="18">
      <c r="A823" s="363"/>
      <c r="B823" s="363"/>
      <c r="C823" s="363"/>
      <c r="D823" s="363"/>
      <c r="E823" s="363"/>
      <c r="F823" s="363"/>
      <c r="G823" s="363"/>
      <c r="H823" s="363"/>
      <c r="I823" s="363"/>
      <c r="J823" s="363"/>
      <c r="K823" s="363"/>
      <c r="L823" s="363"/>
      <c r="M823" s="363"/>
      <c r="N823" s="363"/>
      <c r="O823" s="363"/>
      <c r="P823" s="363"/>
      <c r="Q823" s="363"/>
      <c r="R823" s="363"/>
      <c r="S823" s="363"/>
      <c r="T823" s="363"/>
      <c r="U823" s="363"/>
    </row>
    <row r="824" spans="1:21" ht="18">
      <c r="A824" s="363"/>
      <c r="B824" s="363"/>
      <c r="C824" s="363"/>
      <c r="D824" s="363"/>
      <c r="E824" s="363"/>
      <c r="F824" s="363"/>
      <c r="G824" s="363"/>
      <c r="H824" s="363"/>
      <c r="I824" s="363"/>
      <c r="J824" s="363"/>
      <c r="K824" s="363"/>
      <c r="L824" s="363"/>
      <c r="M824" s="363"/>
      <c r="N824" s="363"/>
      <c r="O824" s="363"/>
      <c r="P824" s="363"/>
      <c r="Q824" s="363"/>
      <c r="R824" s="363"/>
      <c r="S824" s="363"/>
      <c r="T824" s="363"/>
      <c r="U824" s="363"/>
    </row>
    <row r="825" spans="1:21" ht="18">
      <c r="A825" s="363"/>
      <c r="B825" s="363"/>
      <c r="C825" s="363"/>
      <c r="D825" s="363"/>
      <c r="E825" s="363"/>
      <c r="F825" s="363"/>
      <c r="G825" s="363"/>
      <c r="H825" s="363"/>
      <c r="I825" s="363"/>
      <c r="J825" s="363"/>
      <c r="K825" s="363"/>
      <c r="L825" s="363"/>
      <c r="M825" s="363"/>
      <c r="N825" s="363"/>
      <c r="O825" s="363"/>
      <c r="P825" s="363"/>
      <c r="Q825" s="363"/>
      <c r="R825" s="363"/>
      <c r="S825" s="363"/>
      <c r="T825" s="363"/>
      <c r="U825" s="363"/>
    </row>
    <row r="826" spans="1:21" ht="18">
      <c r="A826" s="363"/>
      <c r="B826" s="363"/>
      <c r="C826" s="363"/>
      <c r="D826" s="363"/>
      <c r="E826" s="363"/>
      <c r="F826" s="363"/>
      <c r="G826" s="363"/>
      <c r="H826" s="363"/>
      <c r="I826" s="363"/>
      <c r="J826" s="363"/>
      <c r="K826" s="363"/>
      <c r="L826" s="363"/>
      <c r="M826" s="363"/>
      <c r="N826" s="363"/>
      <c r="O826" s="363"/>
      <c r="P826" s="363"/>
      <c r="Q826" s="363"/>
      <c r="R826" s="363"/>
      <c r="S826" s="363"/>
      <c r="T826" s="363"/>
      <c r="U826" s="363"/>
    </row>
    <row r="827" spans="1:21" ht="18">
      <c r="A827" s="363"/>
      <c r="B827" s="363"/>
      <c r="C827" s="363"/>
      <c r="D827" s="363"/>
      <c r="E827" s="363"/>
      <c r="F827" s="363"/>
      <c r="G827" s="363"/>
      <c r="H827" s="363"/>
      <c r="I827" s="363"/>
      <c r="J827" s="363"/>
      <c r="K827" s="363"/>
      <c r="L827" s="363"/>
      <c r="M827" s="363"/>
      <c r="N827" s="363"/>
      <c r="O827" s="363"/>
      <c r="P827" s="363"/>
      <c r="Q827" s="363"/>
      <c r="R827" s="363"/>
      <c r="S827" s="363"/>
      <c r="T827" s="363"/>
      <c r="U827" s="363"/>
    </row>
    <row r="828" spans="1:21" ht="18">
      <c r="A828" s="363"/>
      <c r="B828" s="363"/>
      <c r="C828" s="363"/>
      <c r="D828" s="363"/>
      <c r="E828" s="363"/>
      <c r="F828" s="363"/>
      <c r="G828" s="363"/>
      <c r="H828" s="363"/>
      <c r="I828" s="363"/>
      <c r="J828" s="363"/>
      <c r="K828" s="363"/>
      <c r="L828" s="363"/>
      <c r="M828" s="363"/>
      <c r="N828" s="363"/>
      <c r="O828" s="363"/>
      <c r="P828" s="363"/>
      <c r="Q828" s="363"/>
      <c r="R828" s="363"/>
      <c r="S828" s="363"/>
      <c r="T828" s="363"/>
      <c r="U828" s="363"/>
    </row>
    <row r="829" spans="1:21" ht="18">
      <c r="A829" s="363"/>
      <c r="B829" s="363"/>
      <c r="C829" s="363"/>
      <c r="D829" s="363"/>
      <c r="E829" s="363"/>
      <c r="F829" s="363"/>
      <c r="G829" s="363"/>
      <c r="H829" s="363"/>
      <c r="I829" s="363"/>
      <c r="J829" s="363"/>
      <c r="K829" s="363"/>
      <c r="L829" s="363"/>
      <c r="M829" s="363"/>
      <c r="N829" s="363"/>
      <c r="O829" s="363"/>
      <c r="P829" s="363"/>
      <c r="Q829" s="363"/>
      <c r="R829" s="363"/>
      <c r="S829" s="363"/>
      <c r="T829" s="363"/>
      <c r="U829" s="363"/>
    </row>
    <row r="830" spans="1:21" ht="18">
      <c r="A830" s="363"/>
      <c r="B830" s="363"/>
      <c r="C830" s="363"/>
      <c r="D830" s="363"/>
      <c r="E830" s="363"/>
      <c r="F830" s="363"/>
      <c r="G830" s="363"/>
      <c r="H830" s="363"/>
      <c r="I830" s="363"/>
      <c r="J830" s="363"/>
      <c r="K830" s="363"/>
      <c r="L830" s="363"/>
      <c r="M830" s="363"/>
      <c r="N830" s="363"/>
      <c r="O830" s="363"/>
      <c r="P830" s="363"/>
      <c r="Q830" s="363"/>
      <c r="R830" s="363"/>
      <c r="S830" s="363"/>
      <c r="T830" s="363"/>
      <c r="U830" s="363"/>
    </row>
    <row r="831" spans="1:21" ht="18">
      <c r="A831" s="363"/>
      <c r="B831" s="363"/>
      <c r="C831" s="363"/>
      <c r="D831" s="363"/>
      <c r="E831" s="363"/>
      <c r="F831" s="363"/>
      <c r="G831" s="363"/>
      <c r="H831" s="363"/>
      <c r="I831" s="363"/>
      <c r="J831" s="363"/>
      <c r="K831" s="363"/>
      <c r="L831" s="363"/>
      <c r="M831" s="363"/>
      <c r="N831" s="363"/>
      <c r="O831" s="363"/>
      <c r="P831" s="363"/>
      <c r="Q831" s="363"/>
      <c r="R831" s="363"/>
      <c r="S831" s="363"/>
      <c r="T831" s="363"/>
      <c r="U831" s="363"/>
    </row>
    <row r="832" spans="1:21" ht="18">
      <c r="A832" s="363"/>
      <c r="B832" s="363"/>
      <c r="C832" s="363"/>
      <c r="D832" s="363"/>
      <c r="E832" s="363"/>
      <c r="F832" s="363"/>
      <c r="G832" s="363"/>
      <c r="H832" s="363"/>
      <c r="I832" s="363"/>
      <c r="J832" s="363"/>
      <c r="K832" s="363"/>
      <c r="L832" s="363"/>
      <c r="M832" s="363"/>
      <c r="N832" s="363"/>
      <c r="O832" s="363"/>
      <c r="P832" s="363"/>
      <c r="Q832" s="363"/>
      <c r="R832" s="363"/>
      <c r="S832" s="363"/>
      <c r="T832" s="363"/>
      <c r="U832" s="363"/>
    </row>
    <row r="833" spans="1:21" ht="18">
      <c r="A833" s="363"/>
      <c r="B833" s="363"/>
      <c r="C833" s="363"/>
      <c r="D833" s="363"/>
      <c r="E833" s="363"/>
      <c r="F833" s="363"/>
      <c r="G833" s="363"/>
      <c r="H833" s="363"/>
      <c r="I833" s="363"/>
      <c r="J833" s="363"/>
      <c r="K833" s="363"/>
      <c r="L833" s="363"/>
      <c r="M833" s="363"/>
      <c r="N833" s="363"/>
      <c r="O833" s="363"/>
      <c r="P833" s="363"/>
      <c r="Q833" s="363"/>
      <c r="R833" s="363"/>
      <c r="S833" s="363"/>
      <c r="T833" s="363"/>
      <c r="U833" s="363"/>
    </row>
    <row r="834" spans="1:21" ht="18">
      <c r="A834" s="363"/>
      <c r="B834" s="363"/>
      <c r="C834" s="363"/>
      <c r="D834" s="363"/>
      <c r="E834" s="363"/>
      <c r="F834" s="363"/>
      <c r="G834" s="363"/>
      <c r="H834" s="363"/>
      <c r="I834" s="363"/>
      <c r="J834" s="363"/>
      <c r="K834" s="363"/>
      <c r="L834" s="363"/>
      <c r="M834" s="363"/>
      <c r="N834" s="363"/>
      <c r="O834" s="363"/>
      <c r="P834" s="363"/>
      <c r="Q834" s="363"/>
      <c r="R834" s="363"/>
      <c r="S834" s="363"/>
      <c r="T834" s="363"/>
      <c r="U834" s="363"/>
    </row>
    <row r="835" spans="1:21" ht="18">
      <c r="A835" s="363"/>
      <c r="B835" s="363"/>
      <c r="C835" s="363"/>
      <c r="D835" s="363"/>
      <c r="E835" s="363"/>
      <c r="F835" s="363"/>
      <c r="G835" s="363"/>
      <c r="H835" s="363"/>
      <c r="I835" s="363"/>
      <c r="J835" s="363"/>
      <c r="K835" s="363"/>
      <c r="L835" s="363"/>
      <c r="M835" s="363"/>
      <c r="N835" s="363"/>
      <c r="O835" s="363"/>
      <c r="P835" s="363"/>
      <c r="Q835" s="363"/>
      <c r="R835" s="363"/>
      <c r="S835" s="363"/>
      <c r="T835" s="363"/>
      <c r="U835" s="363"/>
    </row>
    <row r="836" spans="1:21" ht="18">
      <c r="A836" s="363"/>
      <c r="B836" s="363"/>
      <c r="C836" s="363"/>
      <c r="D836" s="363"/>
      <c r="E836" s="363"/>
      <c r="F836" s="363"/>
      <c r="G836" s="363"/>
      <c r="H836" s="363"/>
      <c r="I836" s="363"/>
      <c r="J836" s="363"/>
      <c r="K836" s="363"/>
      <c r="L836" s="363"/>
      <c r="M836" s="363"/>
      <c r="N836" s="363"/>
      <c r="O836" s="363"/>
      <c r="P836" s="363"/>
      <c r="Q836" s="363"/>
      <c r="R836" s="363"/>
      <c r="S836" s="363"/>
      <c r="T836" s="363"/>
      <c r="U836" s="363"/>
    </row>
    <row r="837" spans="1:21" ht="18">
      <c r="A837" s="363"/>
      <c r="B837" s="363"/>
      <c r="C837" s="363"/>
      <c r="D837" s="363"/>
      <c r="E837" s="363"/>
      <c r="F837" s="363"/>
      <c r="G837" s="363"/>
      <c r="H837" s="363"/>
      <c r="I837" s="363"/>
      <c r="J837" s="363"/>
      <c r="K837" s="363"/>
      <c r="L837" s="363"/>
      <c r="M837" s="363"/>
      <c r="N837" s="363"/>
      <c r="O837" s="363"/>
      <c r="P837" s="363"/>
      <c r="Q837" s="363"/>
      <c r="R837" s="363"/>
      <c r="S837" s="363"/>
      <c r="T837" s="363"/>
      <c r="U837" s="363"/>
    </row>
    <row r="838" spans="1:21" ht="18">
      <c r="A838" s="363"/>
      <c r="B838" s="363"/>
      <c r="C838" s="363"/>
      <c r="D838" s="363"/>
      <c r="E838" s="363"/>
      <c r="F838" s="363"/>
      <c r="G838" s="363"/>
      <c r="H838" s="363"/>
      <c r="I838" s="363"/>
      <c r="J838" s="363"/>
      <c r="K838" s="363"/>
      <c r="L838" s="363"/>
      <c r="M838" s="363"/>
      <c r="N838" s="363"/>
      <c r="O838" s="363"/>
      <c r="P838" s="363"/>
      <c r="Q838" s="363"/>
      <c r="R838" s="363"/>
      <c r="S838" s="363"/>
      <c r="T838" s="363"/>
      <c r="U838" s="363"/>
    </row>
    <row r="839" spans="1:21" ht="18">
      <c r="A839" s="363"/>
      <c r="B839" s="363"/>
      <c r="C839" s="363"/>
      <c r="D839" s="363"/>
      <c r="E839" s="363"/>
      <c r="F839" s="363"/>
      <c r="G839" s="363"/>
      <c r="H839" s="363"/>
      <c r="I839" s="363"/>
      <c r="J839" s="363"/>
      <c r="K839" s="363"/>
      <c r="L839" s="363"/>
      <c r="M839" s="363"/>
      <c r="N839" s="363"/>
      <c r="O839" s="363"/>
      <c r="P839" s="363"/>
      <c r="Q839" s="363"/>
      <c r="R839" s="363"/>
      <c r="S839" s="363"/>
      <c r="T839" s="363"/>
      <c r="U839" s="363"/>
    </row>
    <row r="840" spans="1:21" ht="18">
      <c r="A840" s="363"/>
      <c r="B840" s="363"/>
      <c r="C840" s="363"/>
      <c r="D840" s="363"/>
      <c r="E840" s="363"/>
      <c r="F840" s="363"/>
      <c r="G840" s="363"/>
      <c r="H840" s="363"/>
      <c r="I840" s="363"/>
      <c r="J840" s="363"/>
      <c r="K840" s="363"/>
      <c r="L840" s="363"/>
      <c r="M840" s="363"/>
      <c r="N840" s="363"/>
      <c r="O840" s="363"/>
      <c r="P840" s="363"/>
      <c r="Q840" s="363"/>
      <c r="R840" s="363"/>
      <c r="S840" s="363"/>
      <c r="T840" s="363"/>
      <c r="U840" s="363"/>
    </row>
    <row r="841" spans="1:21" ht="18">
      <c r="A841" s="363"/>
      <c r="B841" s="363"/>
      <c r="C841" s="363"/>
      <c r="D841" s="363"/>
      <c r="E841" s="363"/>
      <c r="F841" s="363"/>
      <c r="G841" s="363"/>
      <c r="H841" s="363"/>
      <c r="I841" s="363"/>
      <c r="J841" s="363"/>
      <c r="K841" s="363"/>
      <c r="L841" s="363"/>
      <c r="M841" s="363"/>
      <c r="N841" s="363"/>
      <c r="O841" s="363"/>
      <c r="P841" s="363"/>
      <c r="Q841" s="363"/>
      <c r="R841" s="363"/>
      <c r="S841" s="363"/>
      <c r="T841" s="363"/>
      <c r="U841" s="363"/>
    </row>
    <row r="842" spans="1:21" ht="18">
      <c r="A842" s="363"/>
      <c r="B842" s="363"/>
      <c r="C842" s="363"/>
      <c r="D842" s="363"/>
      <c r="E842" s="363"/>
      <c r="F842" s="363"/>
      <c r="G842" s="363"/>
      <c r="H842" s="363"/>
      <c r="I842" s="363"/>
      <c r="J842" s="363"/>
      <c r="K842" s="363"/>
      <c r="L842" s="363"/>
      <c r="M842" s="363"/>
      <c r="N842" s="363"/>
      <c r="O842" s="363"/>
      <c r="P842" s="363"/>
      <c r="Q842" s="363"/>
      <c r="R842" s="363"/>
      <c r="S842" s="363"/>
      <c r="T842" s="363"/>
      <c r="U842" s="363"/>
    </row>
    <row r="843" spans="1:21" ht="18">
      <c r="A843" s="363"/>
      <c r="B843" s="363"/>
      <c r="C843" s="363"/>
      <c r="D843" s="363"/>
      <c r="E843" s="363"/>
      <c r="F843" s="363"/>
      <c r="G843" s="363"/>
      <c r="H843" s="363"/>
      <c r="I843" s="363"/>
      <c r="J843" s="363"/>
      <c r="K843" s="363"/>
      <c r="L843" s="363"/>
      <c r="M843" s="363"/>
      <c r="N843" s="363"/>
      <c r="O843" s="363"/>
      <c r="P843" s="363"/>
      <c r="Q843" s="363"/>
      <c r="R843" s="363"/>
      <c r="S843" s="363"/>
      <c r="T843" s="363"/>
      <c r="U843" s="363"/>
    </row>
    <row r="844" spans="1:21" ht="18">
      <c r="A844" s="363"/>
      <c r="B844" s="363"/>
      <c r="C844" s="363"/>
      <c r="D844" s="363"/>
      <c r="E844" s="363"/>
      <c r="F844" s="363"/>
      <c r="G844" s="363"/>
      <c r="H844" s="363"/>
      <c r="I844" s="363"/>
      <c r="J844" s="363"/>
      <c r="K844" s="363"/>
      <c r="L844" s="363"/>
      <c r="M844" s="363"/>
      <c r="N844" s="363"/>
      <c r="O844" s="363"/>
      <c r="P844" s="363"/>
      <c r="Q844" s="363"/>
      <c r="R844" s="363"/>
      <c r="S844" s="363"/>
      <c r="T844" s="363"/>
      <c r="U844" s="363"/>
    </row>
    <row r="845" spans="1:21" ht="18">
      <c r="A845" s="363"/>
      <c r="B845" s="363"/>
      <c r="C845" s="363"/>
      <c r="D845" s="363"/>
      <c r="E845" s="363"/>
      <c r="F845" s="363"/>
      <c r="G845" s="363"/>
      <c r="H845" s="363"/>
      <c r="I845" s="363"/>
      <c r="J845" s="363"/>
      <c r="K845" s="363"/>
      <c r="L845" s="363"/>
      <c r="M845" s="363"/>
      <c r="N845" s="363"/>
      <c r="O845" s="363"/>
      <c r="P845" s="363"/>
      <c r="Q845" s="363"/>
      <c r="R845" s="363"/>
      <c r="S845" s="363"/>
      <c r="T845" s="363"/>
      <c r="U845" s="363"/>
    </row>
    <row r="846" spans="1:21" ht="18">
      <c r="A846" s="363"/>
      <c r="B846" s="363"/>
      <c r="C846" s="363"/>
      <c r="D846" s="363"/>
      <c r="E846" s="363"/>
      <c r="F846" s="363"/>
      <c r="G846" s="363"/>
      <c r="H846" s="363"/>
      <c r="I846" s="363"/>
      <c r="J846" s="363"/>
      <c r="K846" s="363"/>
      <c r="L846" s="363"/>
      <c r="M846" s="363"/>
      <c r="N846" s="363"/>
      <c r="O846" s="363"/>
      <c r="P846" s="363"/>
      <c r="Q846" s="363"/>
      <c r="R846" s="363"/>
      <c r="S846" s="363"/>
      <c r="T846" s="363"/>
      <c r="U846" s="363"/>
    </row>
    <row r="847" spans="1:21" ht="18">
      <c r="A847" s="363"/>
      <c r="B847" s="363"/>
      <c r="C847" s="363"/>
      <c r="D847" s="363"/>
      <c r="E847" s="363"/>
      <c r="F847" s="363"/>
      <c r="G847" s="363"/>
      <c r="H847" s="363"/>
      <c r="I847" s="363"/>
      <c r="J847" s="363"/>
      <c r="K847" s="363"/>
      <c r="L847" s="363"/>
      <c r="M847" s="363"/>
      <c r="N847" s="363"/>
      <c r="O847" s="363"/>
      <c r="P847" s="363"/>
      <c r="Q847" s="363"/>
      <c r="R847" s="363"/>
      <c r="S847" s="363"/>
      <c r="T847" s="363"/>
      <c r="U847" s="363"/>
    </row>
    <row r="848" spans="1:21" ht="18">
      <c r="A848" s="363"/>
      <c r="B848" s="363"/>
      <c r="C848" s="363"/>
      <c r="D848" s="363"/>
      <c r="E848" s="363"/>
      <c r="F848" s="363"/>
      <c r="G848" s="363"/>
      <c r="H848" s="363"/>
      <c r="I848" s="363"/>
      <c r="J848" s="363"/>
      <c r="K848" s="363"/>
      <c r="L848" s="363"/>
      <c r="M848" s="363"/>
      <c r="N848" s="363"/>
      <c r="O848" s="363"/>
      <c r="P848" s="363"/>
      <c r="Q848" s="363"/>
      <c r="R848" s="363"/>
      <c r="S848" s="363"/>
      <c r="T848" s="363"/>
      <c r="U848" s="363"/>
    </row>
    <row r="849" spans="1:21" ht="18">
      <c r="A849" s="363"/>
      <c r="B849" s="363"/>
      <c r="C849" s="363"/>
      <c r="D849" s="363"/>
      <c r="E849" s="363"/>
      <c r="F849" s="363"/>
      <c r="G849" s="363"/>
      <c r="H849" s="363"/>
      <c r="I849" s="363"/>
      <c r="J849" s="363"/>
      <c r="K849" s="363"/>
      <c r="L849" s="363"/>
      <c r="M849" s="363"/>
      <c r="N849" s="363"/>
      <c r="O849" s="363"/>
      <c r="P849" s="363"/>
      <c r="Q849" s="363"/>
      <c r="R849" s="363"/>
      <c r="S849" s="363"/>
      <c r="T849" s="363"/>
      <c r="U849" s="363"/>
    </row>
    <row r="850" spans="1:21" ht="18">
      <c r="A850" s="363"/>
      <c r="B850" s="363"/>
      <c r="C850" s="363"/>
      <c r="D850" s="363"/>
      <c r="E850" s="363"/>
      <c r="F850" s="363"/>
      <c r="G850" s="363"/>
      <c r="H850" s="363"/>
      <c r="I850" s="363"/>
      <c r="J850" s="363"/>
      <c r="K850" s="363"/>
      <c r="L850" s="363"/>
      <c r="M850" s="363"/>
      <c r="N850" s="363"/>
      <c r="O850" s="363"/>
      <c r="P850" s="363"/>
      <c r="Q850" s="363"/>
      <c r="R850" s="363"/>
      <c r="S850" s="363"/>
      <c r="T850" s="363"/>
      <c r="U850" s="363"/>
    </row>
    <row r="851" spans="1:21" ht="18">
      <c r="A851" s="363"/>
      <c r="B851" s="363"/>
      <c r="C851" s="363"/>
      <c r="D851" s="363"/>
      <c r="E851" s="363"/>
      <c r="F851" s="363"/>
      <c r="G851" s="363"/>
      <c r="H851" s="363"/>
      <c r="I851" s="363"/>
      <c r="J851" s="363"/>
      <c r="K851" s="363"/>
      <c r="L851" s="363"/>
      <c r="M851" s="363"/>
      <c r="N851" s="363"/>
      <c r="O851" s="363"/>
      <c r="P851" s="363"/>
      <c r="Q851" s="363"/>
      <c r="R851" s="363"/>
      <c r="S851" s="363"/>
      <c r="T851" s="363"/>
      <c r="U851" s="363"/>
    </row>
    <row r="852" spans="1:21" ht="18">
      <c r="A852" s="363"/>
      <c r="B852" s="363"/>
      <c r="C852" s="363"/>
      <c r="D852" s="363"/>
      <c r="E852" s="363"/>
      <c r="F852" s="363"/>
      <c r="G852" s="363"/>
      <c r="H852" s="363"/>
      <c r="I852" s="363"/>
      <c r="J852" s="363"/>
      <c r="K852" s="363"/>
      <c r="L852" s="363"/>
      <c r="M852" s="363"/>
      <c r="N852" s="363"/>
      <c r="O852" s="363"/>
      <c r="P852" s="363"/>
      <c r="Q852" s="363"/>
      <c r="R852" s="363"/>
      <c r="S852" s="363"/>
      <c r="T852" s="363"/>
      <c r="U852" s="363"/>
    </row>
    <row r="853" spans="1:21" ht="18">
      <c r="A853" s="363"/>
      <c r="B853" s="363"/>
      <c r="C853" s="363"/>
      <c r="D853" s="363"/>
      <c r="E853" s="363"/>
      <c r="F853" s="363"/>
      <c r="G853" s="363"/>
      <c r="H853" s="363"/>
      <c r="I853" s="363"/>
      <c r="J853" s="363"/>
      <c r="K853" s="363"/>
      <c r="L853" s="363"/>
      <c r="M853" s="363"/>
      <c r="N853" s="363"/>
      <c r="O853" s="363"/>
      <c r="P853" s="363"/>
      <c r="Q853" s="363"/>
      <c r="R853" s="363"/>
      <c r="S853" s="363"/>
      <c r="T853" s="363"/>
      <c r="U853" s="363"/>
    </row>
    <row r="854" spans="1:21" ht="18">
      <c r="A854" s="363"/>
      <c r="B854" s="363"/>
      <c r="C854" s="363"/>
      <c r="D854" s="363"/>
      <c r="E854" s="363"/>
      <c r="F854" s="363"/>
      <c r="G854" s="363"/>
      <c r="H854" s="363"/>
      <c r="I854" s="363"/>
      <c r="J854" s="363"/>
      <c r="K854" s="363"/>
      <c r="L854" s="363"/>
      <c r="M854" s="363"/>
      <c r="N854" s="363"/>
      <c r="O854" s="363"/>
      <c r="P854" s="363"/>
      <c r="Q854" s="363"/>
      <c r="R854" s="363"/>
      <c r="S854" s="363"/>
      <c r="T854" s="363"/>
      <c r="U854" s="363"/>
    </row>
    <row r="855" spans="1:21" ht="18">
      <c r="A855" s="363"/>
      <c r="B855" s="363"/>
      <c r="C855" s="363"/>
      <c r="D855" s="363"/>
      <c r="E855" s="363"/>
      <c r="F855" s="363"/>
      <c r="G855" s="363"/>
      <c r="H855" s="363"/>
      <c r="I855" s="363"/>
      <c r="J855" s="363"/>
      <c r="K855" s="363"/>
      <c r="L855" s="363"/>
      <c r="M855" s="363"/>
      <c r="N855" s="363"/>
      <c r="O855" s="363"/>
      <c r="P855" s="363"/>
      <c r="Q855" s="363"/>
      <c r="R855" s="363"/>
      <c r="S855" s="363"/>
      <c r="T855" s="363"/>
      <c r="U855" s="363"/>
    </row>
    <row r="856" spans="1:21" ht="18">
      <c r="A856" s="363"/>
      <c r="B856" s="363"/>
      <c r="C856" s="363"/>
      <c r="D856" s="363"/>
      <c r="E856" s="363"/>
      <c r="F856" s="363"/>
      <c r="G856" s="363"/>
      <c r="H856" s="363"/>
      <c r="I856" s="363"/>
      <c r="J856" s="363"/>
      <c r="K856" s="363"/>
      <c r="L856" s="363"/>
      <c r="M856" s="363"/>
      <c r="N856" s="363"/>
      <c r="O856" s="363"/>
      <c r="P856" s="363"/>
      <c r="Q856" s="363"/>
      <c r="R856" s="363"/>
      <c r="S856" s="363"/>
      <c r="T856" s="363"/>
      <c r="U856" s="363"/>
    </row>
    <row r="857" spans="1:21" ht="18">
      <c r="A857" s="363"/>
      <c r="B857" s="363"/>
      <c r="C857" s="363"/>
      <c r="D857" s="363"/>
      <c r="E857" s="363"/>
      <c r="F857" s="363"/>
      <c r="G857" s="363"/>
      <c r="H857" s="363"/>
      <c r="I857" s="363"/>
      <c r="J857" s="363"/>
      <c r="K857" s="363"/>
      <c r="L857" s="363"/>
      <c r="M857" s="363"/>
      <c r="N857" s="363"/>
      <c r="O857" s="363"/>
      <c r="P857" s="363"/>
      <c r="Q857" s="363"/>
      <c r="R857" s="363"/>
      <c r="S857" s="363"/>
      <c r="T857" s="363"/>
      <c r="U857" s="363"/>
    </row>
    <row r="858" spans="1:21" ht="18">
      <c r="A858" s="363"/>
      <c r="B858" s="363"/>
      <c r="C858" s="363"/>
      <c r="D858" s="363"/>
      <c r="E858" s="363"/>
      <c r="F858" s="363"/>
      <c r="G858" s="363"/>
      <c r="H858" s="363"/>
      <c r="I858" s="363"/>
      <c r="J858" s="363"/>
      <c r="K858" s="363"/>
      <c r="L858" s="363"/>
      <c r="M858" s="363"/>
      <c r="N858" s="363"/>
      <c r="O858" s="363"/>
      <c r="P858" s="363"/>
      <c r="Q858" s="363"/>
      <c r="R858" s="363"/>
      <c r="S858" s="363"/>
      <c r="T858" s="363"/>
      <c r="U858" s="363"/>
    </row>
    <row r="859" spans="1:21" ht="18">
      <c r="A859" s="363"/>
      <c r="B859" s="363"/>
      <c r="C859" s="363"/>
      <c r="D859" s="363"/>
      <c r="E859" s="363"/>
      <c r="F859" s="363"/>
      <c r="G859" s="363"/>
      <c r="H859" s="363"/>
      <c r="I859" s="363"/>
      <c r="J859" s="363"/>
      <c r="K859" s="363"/>
      <c r="L859" s="363"/>
      <c r="M859" s="363"/>
      <c r="N859" s="363"/>
      <c r="O859" s="363"/>
      <c r="P859" s="363"/>
      <c r="Q859" s="363"/>
      <c r="R859" s="363"/>
      <c r="S859" s="363"/>
      <c r="T859" s="363"/>
      <c r="U859" s="363"/>
    </row>
    <row r="860" spans="1:21" ht="18">
      <c r="A860" s="363"/>
      <c r="B860" s="363"/>
      <c r="C860" s="363"/>
      <c r="D860" s="363"/>
      <c r="E860" s="363"/>
      <c r="F860" s="363"/>
      <c r="G860" s="363"/>
      <c r="H860" s="363"/>
      <c r="I860" s="363"/>
      <c r="J860" s="363"/>
      <c r="K860" s="363"/>
      <c r="L860" s="363"/>
      <c r="M860" s="363"/>
      <c r="N860" s="363"/>
      <c r="O860" s="363"/>
      <c r="P860" s="363"/>
      <c r="Q860" s="363"/>
      <c r="R860" s="363"/>
      <c r="S860" s="363"/>
      <c r="T860" s="363"/>
      <c r="U860" s="363"/>
    </row>
    <row r="861" spans="1:21" ht="18">
      <c r="A861" s="363"/>
      <c r="B861" s="363"/>
      <c r="C861" s="363"/>
      <c r="D861" s="363"/>
      <c r="E861" s="363"/>
      <c r="F861" s="363"/>
      <c r="G861" s="363"/>
      <c r="H861" s="363"/>
      <c r="I861" s="363"/>
      <c r="J861" s="363"/>
      <c r="K861" s="363"/>
      <c r="L861" s="363"/>
      <c r="M861" s="363"/>
      <c r="N861" s="363"/>
      <c r="O861" s="363"/>
      <c r="P861" s="363"/>
      <c r="Q861" s="363"/>
      <c r="R861" s="363"/>
      <c r="S861" s="363"/>
      <c r="T861" s="363"/>
      <c r="U861" s="363"/>
    </row>
    <row r="862" spans="1:21" ht="18">
      <c r="A862" s="363"/>
      <c r="B862" s="363"/>
      <c r="C862" s="363"/>
      <c r="D862" s="363"/>
      <c r="E862" s="363"/>
      <c r="F862" s="363"/>
      <c r="G862" s="363"/>
      <c r="H862" s="363"/>
      <c r="I862" s="363"/>
      <c r="J862" s="363"/>
      <c r="K862" s="363"/>
      <c r="L862" s="363"/>
      <c r="M862" s="363"/>
      <c r="N862" s="363"/>
      <c r="O862" s="363"/>
      <c r="P862" s="363"/>
      <c r="Q862" s="363"/>
      <c r="R862" s="363"/>
      <c r="S862" s="363"/>
      <c r="T862" s="363"/>
      <c r="U862" s="363"/>
    </row>
    <row r="863" spans="1:21" ht="18">
      <c r="A863" s="363"/>
      <c r="B863" s="363"/>
      <c r="C863" s="363"/>
      <c r="D863" s="363"/>
      <c r="E863" s="363"/>
      <c r="F863" s="363"/>
      <c r="G863" s="363"/>
      <c r="H863" s="363"/>
      <c r="I863" s="363"/>
      <c r="J863" s="363"/>
      <c r="K863" s="363"/>
      <c r="L863" s="363"/>
      <c r="M863" s="363"/>
      <c r="N863" s="363"/>
      <c r="O863" s="363"/>
      <c r="P863" s="363"/>
      <c r="Q863" s="363"/>
      <c r="R863" s="363"/>
      <c r="S863" s="363"/>
      <c r="T863" s="363"/>
      <c r="U863" s="363"/>
    </row>
    <row r="864" spans="1:21" ht="18">
      <c r="A864" s="363"/>
      <c r="B864" s="363"/>
      <c r="C864" s="363"/>
      <c r="D864" s="363"/>
      <c r="E864" s="363"/>
      <c r="F864" s="363"/>
      <c r="G864" s="363"/>
      <c r="H864" s="363"/>
      <c r="I864" s="363"/>
      <c r="J864" s="363"/>
      <c r="K864" s="363"/>
      <c r="L864" s="363"/>
      <c r="M864" s="363"/>
      <c r="N864" s="363"/>
      <c r="O864" s="363"/>
      <c r="P864" s="363"/>
      <c r="Q864" s="363"/>
      <c r="R864" s="363"/>
      <c r="S864" s="363"/>
      <c r="T864" s="363"/>
      <c r="U864" s="363"/>
    </row>
    <row r="865" spans="1:21" ht="18">
      <c r="A865" s="363"/>
      <c r="B865" s="363"/>
      <c r="C865" s="363"/>
      <c r="D865" s="363"/>
      <c r="E865" s="363"/>
      <c r="F865" s="363"/>
      <c r="G865" s="363"/>
      <c r="H865" s="363"/>
      <c r="I865" s="363"/>
      <c r="J865" s="363"/>
      <c r="K865" s="363"/>
      <c r="L865" s="363"/>
      <c r="M865" s="363"/>
      <c r="N865" s="363"/>
      <c r="O865" s="363"/>
      <c r="P865" s="363"/>
      <c r="Q865" s="363"/>
      <c r="R865" s="363"/>
      <c r="S865" s="363"/>
      <c r="T865" s="363"/>
      <c r="U865" s="363"/>
    </row>
    <row r="866" spans="1:21" ht="18">
      <c r="A866" s="363"/>
      <c r="B866" s="363"/>
      <c r="C866" s="363"/>
      <c r="D866" s="363"/>
      <c r="E866" s="363"/>
      <c r="F866" s="363"/>
      <c r="G866" s="363"/>
      <c r="H866" s="363"/>
      <c r="I866" s="363"/>
      <c r="J866" s="363"/>
      <c r="K866" s="363"/>
      <c r="L866" s="363"/>
      <c r="M866" s="363"/>
      <c r="N866" s="363"/>
      <c r="O866" s="363"/>
      <c r="P866" s="363"/>
      <c r="Q866" s="363"/>
      <c r="R866" s="363"/>
      <c r="S866" s="363"/>
      <c r="T866" s="363"/>
      <c r="U866" s="363"/>
    </row>
    <row r="867" spans="1:21" ht="18">
      <c r="A867" s="363"/>
      <c r="B867" s="363"/>
      <c r="C867" s="363"/>
      <c r="D867" s="363"/>
      <c r="E867" s="363"/>
      <c r="F867" s="363"/>
      <c r="G867" s="363"/>
      <c r="H867" s="363"/>
      <c r="I867" s="363"/>
      <c r="J867" s="363"/>
      <c r="K867" s="363"/>
      <c r="L867" s="363"/>
      <c r="M867" s="363"/>
      <c r="N867" s="363"/>
      <c r="O867" s="363"/>
      <c r="P867" s="363"/>
      <c r="Q867" s="363"/>
      <c r="R867" s="363"/>
      <c r="S867" s="363"/>
      <c r="T867" s="363"/>
      <c r="U867" s="363"/>
    </row>
    <row r="868" spans="1:21" ht="18">
      <c r="A868" s="363"/>
      <c r="B868" s="363"/>
      <c r="C868" s="363"/>
      <c r="D868" s="363"/>
      <c r="E868" s="363"/>
      <c r="F868" s="363"/>
      <c r="G868" s="363"/>
      <c r="H868" s="363"/>
      <c r="I868" s="363"/>
      <c r="J868" s="363"/>
      <c r="K868" s="363"/>
      <c r="L868" s="363"/>
      <c r="M868" s="363"/>
      <c r="N868" s="363"/>
      <c r="O868" s="363"/>
      <c r="P868" s="363"/>
      <c r="Q868" s="363"/>
      <c r="R868" s="363"/>
      <c r="S868" s="363"/>
      <c r="T868" s="363"/>
      <c r="U868" s="363"/>
    </row>
    <row r="869" spans="1:21" ht="18">
      <c r="A869" s="363"/>
      <c r="B869" s="363"/>
      <c r="C869" s="363"/>
      <c r="D869" s="363"/>
      <c r="E869" s="363"/>
      <c r="F869" s="363"/>
      <c r="G869" s="363"/>
      <c r="H869" s="363"/>
      <c r="I869" s="363"/>
      <c r="J869" s="363"/>
      <c r="K869" s="363"/>
      <c r="L869" s="363"/>
      <c r="M869" s="363"/>
      <c r="N869" s="363"/>
      <c r="O869" s="363"/>
      <c r="P869" s="363"/>
      <c r="Q869" s="363"/>
      <c r="R869" s="363"/>
      <c r="S869" s="363"/>
      <c r="T869" s="363"/>
      <c r="U869" s="363"/>
    </row>
    <row r="870" spans="1:21" ht="18">
      <c r="A870" s="363"/>
      <c r="B870" s="363"/>
      <c r="C870" s="363"/>
      <c r="D870" s="363"/>
      <c r="E870" s="363"/>
      <c r="F870" s="363"/>
      <c r="G870" s="363"/>
      <c r="H870" s="363"/>
      <c r="I870" s="363"/>
      <c r="J870" s="363"/>
      <c r="K870" s="363"/>
      <c r="L870" s="363"/>
      <c r="M870" s="363"/>
      <c r="N870" s="363"/>
      <c r="O870" s="363"/>
      <c r="P870" s="363"/>
      <c r="Q870" s="363"/>
      <c r="R870" s="363"/>
      <c r="S870" s="363"/>
      <c r="T870" s="363"/>
      <c r="U870" s="363"/>
    </row>
    <row r="871" spans="1:21" ht="18">
      <c r="A871" s="363"/>
      <c r="B871" s="363"/>
      <c r="C871" s="363"/>
      <c r="D871" s="363"/>
      <c r="E871" s="363"/>
      <c r="F871" s="363"/>
      <c r="G871" s="363"/>
      <c r="H871" s="363"/>
      <c r="I871" s="363"/>
      <c r="J871" s="363"/>
      <c r="K871" s="363"/>
      <c r="L871" s="363"/>
      <c r="M871" s="363"/>
      <c r="N871" s="363"/>
      <c r="O871" s="363"/>
      <c r="P871" s="363"/>
      <c r="Q871" s="363"/>
      <c r="R871" s="363"/>
      <c r="S871" s="363"/>
      <c r="T871" s="363"/>
      <c r="U871" s="363"/>
    </row>
    <row r="872" spans="1:21" ht="18">
      <c r="A872" s="363"/>
      <c r="B872" s="363"/>
      <c r="C872" s="363"/>
      <c r="D872" s="363"/>
      <c r="E872" s="363"/>
      <c r="F872" s="363"/>
      <c r="G872" s="363"/>
      <c r="H872" s="363"/>
      <c r="I872" s="363"/>
      <c r="J872" s="363"/>
      <c r="K872" s="363"/>
      <c r="L872" s="363"/>
      <c r="M872" s="363"/>
      <c r="N872" s="363"/>
      <c r="O872" s="363"/>
      <c r="P872" s="363"/>
      <c r="Q872" s="363"/>
      <c r="R872" s="363"/>
      <c r="S872" s="363"/>
      <c r="T872" s="363"/>
      <c r="U872" s="363"/>
    </row>
    <row r="873" spans="1:21" ht="18">
      <c r="A873" s="363"/>
      <c r="B873" s="363"/>
      <c r="C873" s="363"/>
      <c r="D873" s="363"/>
      <c r="E873" s="363"/>
      <c r="F873" s="363"/>
      <c r="G873" s="363"/>
      <c r="H873" s="363"/>
      <c r="I873" s="363"/>
      <c r="J873" s="363"/>
      <c r="K873" s="363"/>
      <c r="L873" s="363"/>
      <c r="M873" s="363"/>
      <c r="N873" s="363"/>
      <c r="O873" s="363"/>
      <c r="P873" s="363"/>
      <c r="Q873" s="363"/>
      <c r="R873" s="363"/>
      <c r="S873" s="363"/>
      <c r="T873" s="363"/>
      <c r="U873" s="363"/>
    </row>
    <row r="874" spans="1:21" ht="18">
      <c r="A874" s="363"/>
      <c r="B874" s="363"/>
      <c r="C874" s="363"/>
      <c r="D874" s="363"/>
      <c r="E874" s="363"/>
      <c r="F874" s="363"/>
      <c r="G874" s="363"/>
      <c r="H874" s="363"/>
      <c r="I874" s="363"/>
      <c r="J874" s="363"/>
      <c r="K874" s="363"/>
      <c r="L874" s="363"/>
      <c r="M874" s="363"/>
      <c r="N874" s="363"/>
      <c r="O874" s="363"/>
      <c r="P874" s="363"/>
      <c r="Q874" s="363"/>
      <c r="R874" s="363"/>
      <c r="S874" s="363"/>
      <c r="T874" s="363"/>
      <c r="U874" s="363"/>
    </row>
    <row r="875" spans="1:21" ht="18">
      <c r="A875" s="363"/>
      <c r="B875" s="363"/>
      <c r="C875" s="363"/>
      <c r="D875" s="363"/>
      <c r="E875" s="363"/>
      <c r="F875" s="363"/>
      <c r="G875" s="363"/>
      <c r="H875" s="363"/>
      <c r="I875" s="363"/>
      <c r="J875" s="363"/>
      <c r="K875" s="363"/>
      <c r="L875" s="363"/>
      <c r="M875" s="363"/>
      <c r="N875" s="363"/>
      <c r="O875" s="363"/>
      <c r="P875" s="363"/>
      <c r="Q875" s="363"/>
      <c r="R875" s="363"/>
      <c r="S875" s="363"/>
      <c r="T875" s="363"/>
      <c r="U875" s="363"/>
    </row>
    <row r="876" spans="1:21" ht="18">
      <c r="A876" s="363"/>
      <c r="B876" s="363"/>
      <c r="C876" s="363"/>
      <c r="D876" s="363"/>
      <c r="E876" s="363"/>
      <c r="F876" s="363"/>
      <c r="G876" s="363"/>
      <c r="H876" s="363"/>
      <c r="I876" s="363"/>
      <c r="J876" s="363"/>
      <c r="K876" s="363"/>
      <c r="L876" s="363"/>
      <c r="M876" s="363"/>
      <c r="N876" s="363"/>
      <c r="O876" s="363"/>
      <c r="P876" s="363"/>
      <c r="Q876" s="363"/>
      <c r="R876" s="363"/>
      <c r="S876" s="363"/>
      <c r="T876" s="363"/>
      <c r="U876" s="363"/>
    </row>
    <row r="877" spans="1:21" ht="18">
      <c r="A877" s="363"/>
      <c r="B877" s="363"/>
      <c r="C877" s="363"/>
      <c r="D877" s="363"/>
      <c r="E877" s="363"/>
      <c r="F877" s="363"/>
      <c r="G877" s="363"/>
      <c r="H877" s="363"/>
      <c r="I877" s="363"/>
      <c r="J877" s="363"/>
      <c r="K877" s="363"/>
      <c r="L877" s="363"/>
      <c r="M877" s="363"/>
      <c r="N877" s="363"/>
      <c r="O877" s="363"/>
      <c r="P877" s="363"/>
      <c r="Q877" s="363"/>
      <c r="R877" s="363"/>
      <c r="S877" s="363"/>
      <c r="T877" s="363"/>
      <c r="U877" s="363"/>
    </row>
    <row r="878" spans="1:21" ht="18">
      <c r="A878" s="363"/>
      <c r="B878" s="363"/>
      <c r="C878" s="363"/>
      <c r="D878" s="363"/>
      <c r="E878" s="363"/>
      <c r="F878" s="363"/>
      <c r="G878" s="363"/>
      <c r="H878" s="363"/>
      <c r="I878" s="363"/>
      <c r="J878" s="363"/>
      <c r="K878" s="363"/>
      <c r="L878" s="363"/>
      <c r="M878" s="363"/>
      <c r="N878" s="363"/>
      <c r="O878" s="363"/>
      <c r="P878" s="363"/>
      <c r="Q878" s="363"/>
      <c r="R878" s="363"/>
      <c r="S878" s="363"/>
      <c r="T878" s="363"/>
      <c r="U878" s="363"/>
    </row>
    <row r="879" spans="1:21" ht="18">
      <c r="A879" s="363"/>
      <c r="B879" s="363"/>
      <c r="C879" s="363"/>
      <c r="D879" s="363"/>
      <c r="E879" s="363"/>
      <c r="F879" s="363"/>
      <c r="G879" s="363"/>
      <c r="H879" s="363"/>
      <c r="I879" s="363"/>
      <c r="J879" s="363"/>
      <c r="K879" s="363"/>
      <c r="L879" s="363"/>
      <c r="M879" s="363"/>
      <c r="N879" s="363"/>
      <c r="O879" s="363"/>
      <c r="P879" s="363"/>
      <c r="Q879" s="363"/>
      <c r="R879" s="363"/>
      <c r="S879" s="363"/>
      <c r="T879" s="363"/>
      <c r="U879" s="363"/>
    </row>
    <row r="880" spans="1:21" ht="18">
      <c r="A880" s="363"/>
      <c r="B880" s="363"/>
      <c r="C880" s="363"/>
      <c r="D880" s="363"/>
      <c r="E880" s="363"/>
      <c r="F880" s="363"/>
      <c r="G880" s="363"/>
      <c r="H880" s="363"/>
      <c r="I880" s="363"/>
      <c r="J880" s="363"/>
      <c r="K880" s="363"/>
      <c r="L880" s="363"/>
      <c r="M880" s="363"/>
      <c r="N880" s="363"/>
      <c r="O880" s="363"/>
      <c r="P880" s="363"/>
      <c r="Q880" s="363"/>
      <c r="R880" s="363"/>
      <c r="S880" s="363"/>
      <c r="T880" s="363"/>
      <c r="U880" s="363"/>
    </row>
    <row r="881" spans="1:21" ht="18">
      <c r="A881" s="363"/>
      <c r="B881" s="363"/>
      <c r="C881" s="363"/>
      <c r="D881" s="363"/>
      <c r="E881" s="363"/>
      <c r="F881" s="363"/>
      <c r="G881" s="363"/>
      <c r="H881" s="363"/>
      <c r="I881" s="363"/>
      <c r="J881" s="363"/>
      <c r="K881" s="363"/>
      <c r="L881" s="363"/>
      <c r="M881" s="363"/>
      <c r="N881" s="363"/>
      <c r="O881" s="363"/>
      <c r="P881" s="363"/>
      <c r="Q881" s="363"/>
      <c r="R881" s="363"/>
      <c r="S881" s="363"/>
      <c r="T881" s="363"/>
      <c r="U881" s="363"/>
    </row>
    <row r="882" spans="1:21" ht="18">
      <c r="A882" s="363"/>
      <c r="B882" s="363"/>
      <c r="C882" s="363"/>
      <c r="D882" s="363"/>
      <c r="E882" s="363"/>
      <c r="F882" s="363"/>
      <c r="G882" s="363"/>
      <c r="H882" s="363"/>
      <c r="I882" s="363"/>
      <c r="J882" s="363"/>
      <c r="K882" s="363"/>
      <c r="L882" s="363"/>
      <c r="M882" s="363"/>
      <c r="N882" s="363"/>
      <c r="O882" s="363"/>
      <c r="P882" s="363"/>
      <c r="Q882" s="363"/>
      <c r="R882" s="363"/>
      <c r="S882" s="363"/>
      <c r="T882" s="363"/>
      <c r="U882" s="363"/>
    </row>
    <row r="883" spans="1:21" ht="18">
      <c r="A883" s="363"/>
      <c r="B883" s="363"/>
      <c r="C883" s="363"/>
      <c r="D883" s="363"/>
      <c r="E883" s="363"/>
      <c r="F883" s="363"/>
      <c r="G883" s="363"/>
      <c r="H883" s="363"/>
      <c r="I883" s="363"/>
      <c r="J883" s="363"/>
      <c r="K883" s="363"/>
      <c r="L883" s="363"/>
      <c r="M883" s="363"/>
      <c r="N883" s="363"/>
      <c r="O883" s="363"/>
      <c r="P883" s="363"/>
      <c r="Q883" s="363"/>
      <c r="R883" s="363"/>
      <c r="S883" s="363"/>
      <c r="T883" s="363"/>
      <c r="U883" s="363"/>
    </row>
    <row r="884" spans="1:21" ht="18">
      <c r="A884" s="363"/>
      <c r="B884" s="363"/>
      <c r="C884" s="363"/>
      <c r="D884" s="363"/>
      <c r="E884" s="363"/>
      <c r="F884" s="363"/>
      <c r="G884" s="363"/>
      <c r="H884" s="363"/>
      <c r="I884" s="363"/>
      <c r="J884" s="363"/>
      <c r="K884" s="363"/>
      <c r="L884" s="363"/>
      <c r="M884" s="363"/>
      <c r="N884" s="363"/>
      <c r="O884" s="363"/>
      <c r="P884" s="363"/>
      <c r="Q884" s="363"/>
      <c r="R884" s="363"/>
      <c r="S884" s="363"/>
      <c r="T884" s="363"/>
      <c r="U884" s="363"/>
    </row>
    <row r="885" spans="1:21" ht="18">
      <c r="A885" s="363"/>
      <c r="B885" s="363"/>
      <c r="C885" s="363"/>
      <c r="D885" s="363"/>
      <c r="E885" s="363"/>
      <c r="F885" s="363"/>
      <c r="G885" s="363"/>
      <c r="H885" s="363"/>
      <c r="I885" s="363"/>
      <c r="J885" s="363"/>
      <c r="K885" s="363"/>
      <c r="L885" s="363"/>
      <c r="M885" s="363"/>
      <c r="N885" s="363"/>
      <c r="O885" s="363"/>
      <c r="P885" s="363"/>
      <c r="Q885" s="363"/>
      <c r="R885" s="363"/>
      <c r="S885" s="363"/>
      <c r="T885" s="363"/>
      <c r="U885" s="363"/>
    </row>
    <row r="886" spans="1:21" ht="18">
      <c r="A886" s="363"/>
      <c r="B886" s="363"/>
      <c r="C886" s="363"/>
      <c r="D886" s="363"/>
      <c r="E886" s="363"/>
      <c r="F886" s="363"/>
      <c r="G886" s="363"/>
      <c r="H886" s="363"/>
      <c r="I886" s="363"/>
      <c r="J886" s="363"/>
      <c r="K886" s="363"/>
      <c r="L886" s="363"/>
      <c r="M886" s="363"/>
      <c r="N886" s="363"/>
      <c r="O886" s="363"/>
      <c r="P886" s="363"/>
      <c r="Q886" s="363"/>
      <c r="R886" s="363"/>
      <c r="S886" s="363"/>
      <c r="T886" s="363"/>
      <c r="U886" s="363"/>
    </row>
    <row r="887" spans="1:21" ht="18">
      <c r="A887" s="363"/>
      <c r="B887" s="363"/>
      <c r="C887" s="363"/>
      <c r="D887" s="363"/>
      <c r="E887" s="363"/>
      <c r="F887" s="363"/>
      <c r="G887" s="363"/>
      <c r="H887" s="363"/>
      <c r="I887" s="363"/>
      <c r="J887" s="363"/>
      <c r="K887" s="363"/>
      <c r="L887" s="363"/>
      <c r="M887" s="363"/>
      <c r="N887" s="363"/>
      <c r="O887" s="363"/>
      <c r="P887" s="363"/>
      <c r="Q887" s="363"/>
      <c r="R887" s="363"/>
      <c r="S887" s="363"/>
      <c r="T887" s="363"/>
      <c r="U887" s="363"/>
    </row>
    <row r="888" spans="1:21" ht="18">
      <c r="A888" s="363"/>
      <c r="B888" s="363"/>
      <c r="C888" s="363"/>
      <c r="D888" s="363"/>
      <c r="E888" s="363"/>
      <c r="F888" s="363"/>
      <c r="G888" s="363"/>
      <c r="H888" s="363"/>
      <c r="I888" s="363"/>
      <c r="J888" s="363"/>
      <c r="K888" s="363"/>
      <c r="L888" s="363"/>
      <c r="M888" s="363"/>
      <c r="N888" s="363"/>
      <c r="O888" s="363"/>
      <c r="P888" s="363"/>
      <c r="Q888" s="363"/>
      <c r="R888" s="363"/>
      <c r="S888" s="363"/>
      <c r="T888" s="363"/>
      <c r="U888" s="363"/>
    </row>
    <row r="889" spans="1:21" ht="18">
      <c r="A889" s="363"/>
      <c r="B889" s="363"/>
      <c r="C889" s="363"/>
      <c r="D889" s="363"/>
      <c r="E889" s="363"/>
      <c r="F889" s="363"/>
      <c r="G889" s="363"/>
      <c r="H889" s="363"/>
      <c r="I889" s="363"/>
      <c r="J889" s="363"/>
      <c r="K889" s="363"/>
      <c r="L889" s="363"/>
      <c r="M889" s="363"/>
      <c r="N889" s="363"/>
      <c r="O889" s="363"/>
      <c r="P889" s="363"/>
      <c r="Q889" s="363"/>
      <c r="R889" s="363"/>
      <c r="S889" s="363"/>
      <c r="T889" s="363"/>
      <c r="U889" s="363"/>
    </row>
    <row r="890" spans="1:21" ht="18">
      <c r="A890" s="363"/>
      <c r="B890" s="363"/>
      <c r="C890" s="363"/>
      <c r="D890" s="363"/>
      <c r="E890" s="363"/>
      <c r="F890" s="363"/>
      <c r="G890" s="363"/>
      <c r="H890" s="363"/>
      <c r="I890" s="363"/>
      <c r="J890" s="363"/>
      <c r="K890" s="363"/>
      <c r="L890" s="363"/>
      <c r="M890" s="363"/>
      <c r="N890" s="363"/>
      <c r="O890" s="363"/>
      <c r="P890" s="363"/>
      <c r="Q890" s="363"/>
      <c r="R890" s="363"/>
      <c r="S890" s="363"/>
      <c r="T890" s="363"/>
      <c r="U890" s="363"/>
    </row>
    <row r="891" spans="1:21" ht="18">
      <c r="A891" s="363"/>
      <c r="B891" s="363"/>
      <c r="C891" s="363"/>
      <c r="D891" s="363"/>
      <c r="E891" s="363"/>
      <c r="F891" s="363"/>
      <c r="G891" s="363"/>
      <c r="H891" s="363"/>
      <c r="I891" s="363"/>
      <c r="J891" s="363"/>
      <c r="K891" s="363"/>
      <c r="L891" s="363"/>
      <c r="M891" s="363"/>
      <c r="N891" s="363"/>
      <c r="O891" s="363"/>
      <c r="P891" s="363"/>
      <c r="Q891" s="363"/>
      <c r="R891" s="363"/>
      <c r="S891" s="363"/>
      <c r="T891" s="363"/>
      <c r="U891" s="363"/>
    </row>
    <row r="892" spans="1:21" ht="18">
      <c r="A892" s="363"/>
      <c r="B892" s="363"/>
      <c r="C892" s="363"/>
      <c r="D892" s="363"/>
      <c r="E892" s="363"/>
      <c r="F892" s="363"/>
      <c r="G892" s="363"/>
      <c r="H892" s="363"/>
      <c r="I892" s="363"/>
      <c r="J892" s="363"/>
      <c r="K892" s="363"/>
      <c r="L892" s="363"/>
      <c r="M892" s="363"/>
      <c r="N892" s="363"/>
      <c r="O892" s="363"/>
      <c r="P892" s="363"/>
      <c r="Q892" s="363"/>
      <c r="R892" s="363"/>
      <c r="S892" s="363"/>
      <c r="T892" s="363"/>
      <c r="U892" s="363"/>
    </row>
    <row r="893" spans="1:21" ht="18">
      <c r="A893" s="363"/>
      <c r="B893" s="363"/>
      <c r="C893" s="363"/>
      <c r="D893" s="363"/>
      <c r="E893" s="363"/>
      <c r="F893" s="363"/>
      <c r="G893" s="363"/>
      <c r="H893" s="363"/>
      <c r="I893" s="363"/>
      <c r="J893" s="363"/>
      <c r="K893" s="363"/>
      <c r="L893" s="363"/>
      <c r="M893" s="363"/>
      <c r="N893" s="363"/>
      <c r="O893" s="363"/>
      <c r="P893" s="363"/>
      <c r="Q893" s="363"/>
      <c r="R893" s="363"/>
      <c r="S893" s="363"/>
      <c r="T893" s="363"/>
      <c r="U893" s="363"/>
    </row>
    <row r="894" spans="1:21" ht="18">
      <c r="A894" s="363"/>
      <c r="B894" s="363"/>
      <c r="C894" s="363"/>
      <c r="D894" s="363"/>
      <c r="E894" s="363"/>
      <c r="F894" s="363"/>
      <c r="G894" s="363"/>
      <c r="H894" s="363"/>
      <c r="I894" s="363"/>
      <c r="J894" s="363"/>
      <c r="K894" s="363"/>
      <c r="L894" s="363"/>
      <c r="M894" s="363"/>
      <c r="N894" s="363"/>
      <c r="O894" s="363"/>
      <c r="P894" s="363"/>
      <c r="Q894" s="363"/>
      <c r="R894" s="363"/>
      <c r="S894" s="363"/>
      <c r="T894" s="363"/>
      <c r="U894" s="363"/>
    </row>
    <row r="895" spans="1:21" ht="18">
      <c r="A895" s="363"/>
      <c r="B895" s="363"/>
      <c r="C895" s="363"/>
      <c r="D895" s="363"/>
      <c r="E895" s="363"/>
      <c r="F895" s="363"/>
      <c r="G895" s="363"/>
      <c r="H895" s="363"/>
      <c r="I895" s="363"/>
      <c r="J895" s="363"/>
      <c r="K895" s="363"/>
      <c r="L895" s="363"/>
      <c r="M895" s="363"/>
      <c r="N895" s="363"/>
      <c r="O895" s="363"/>
      <c r="P895" s="363"/>
      <c r="Q895" s="363"/>
      <c r="R895" s="363"/>
      <c r="S895" s="363"/>
      <c r="T895" s="363"/>
      <c r="U895" s="363"/>
    </row>
    <row r="896" spans="1:21" ht="18">
      <c r="A896" s="363"/>
      <c r="B896" s="363"/>
      <c r="C896" s="363"/>
      <c r="D896" s="363"/>
      <c r="E896" s="363"/>
      <c r="F896" s="363"/>
      <c r="G896" s="363"/>
      <c r="H896" s="363"/>
      <c r="I896" s="363"/>
      <c r="J896" s="363"/>
      <c r="K896" s="363"/>
      <c r="L896" s="363"/>
      <c r="M896" s="363"/>
      <c r="N896" s="363"/>
      <c r="O896" s="363"/>
      <c r="P896" s="363"/>
      <c r="Q896" s="363"/>
      <c r="R896" s="363"/>
      <c r="S896" s="363"/>
      <c r="T896" s="363"/>
      <c r="U896" s="363"/>
    </row>
    <row r="897" spans="1:21" ht="18">
      <c r="A897" s="363"/>
      <c r="B897" s="363"/>
      <c r="C897" s="363"/>
      <c r="D897" s="363"/>
      <c r="E897" s="363"/>
      <c r="F897" s="363"/>
      <c r="G897" s="363"/>
      <c r="H897" s="363"/>
      <c r="I897" s="363"/>
      <c r="J897" s="363"/>
      <c r="K897" s="363"/>
      <c r="L897" s="363"/>
      <c r="M897" s="363"/>
      <c r="N897" s="363"/>
      <c r="O897" s="363"/>
      <c r="P897" s="363"/>
      <c r="Q897" s="363"/>
      <c r="R897" s="363"/>
      <c r="S897" s="363"/>
      <c r="T897" s="363"/>
      <c r="U897" s="363"/>
    </row>
    <row r="898" spans="1:21" ht="18">
      <c r="A898" s="363"/>
      <c r="B898" s="363"/>
      <c r="C898" s="363"/>
      <c r="D898" s="363"/>
      <c r="E898" s="363"/>
      <c r="F898" s="363"/>
      <c r="G898" s="363"/>
      <c r="H898" s="363"/>
      <c r="I898" s="363"/>
      <c r="J898" s="363"/>
      <c r="K898" s="363"/>
      <c r="L898" s="363"/>
      <c r="M898" s="363"/>
      <c r="N898" s="363"/>
      <c r="O898" s="363"/>
      <c r="P898" s="363"/>
      <c r="Q898" s="363"/>
      <c r="R898" s="363"/>
      <c r="S898" s="363"/>
      <c r="T898" s="363"/>
      <c r="U898" s="363"/>
    </row>
    <row r="899" spans="1:21" ht="18">
      <c r="A899" s="363"/>
      <c r="B899" s="363"/>
      <c r="C899" s="363"/>
      <c r="D899" s="363"/>
      <c r="E899" s="363"/>
      <c r="F899" s="363"/>
      <c r="G899" s="363"/>
      <c r="H899" s="363"/>
      <c r="I899" s="363"/>
      <c r="J899" s="363"/>
      <c r="K899" s="363"/>
      <c r="L899" s="363"/>
      <c r="M899" s="363"/>
      <c r="N899" s="363"/>
      <c r="O899" s="363"/>
      <c r="P899" s="363"/>
      <c r="Q899" s="363"/>
      <c r="R899" s="363"/>
      <c r="S899" s="363"/>
      <c r="T899" s="363"/>
      <c r="U899" s="363"/>
    </row>
    <row r="900" spans="1:21" ht="18">
      <c r="A900" s="363"/>
      <c r="B900" s="363"/>
      <c r="C900" s="363"/>
      <c r="D900" s="363"/>
      <c r="E900" s="363"/>
      <c r="F900" s="363"/>
      <c r="G900" s="363"/>
      <c r="H900" s="363"/>
      <c r="I900" s="363"/>
      <c r="J900" s="363"/>
      <c r="K900" s="363"/>
      <c r="L900" s="363"/>
      <c r="M900" s="363"/>
      <c r="N900" s="363"/>
      <c r="O900" s="363"/>
      <c r="P900" s="363"/>
      <c r="Q900" s="363"/>
      <c r="R900" s="363"/>
      <c r="S900" s="363"/>
      <c r="T900" s="363"/>
      <c r="U900" s="363"/>
    </row>
    <row r="901" spans="1:21" ht="18">
      <c r="A901" s="363"/>
      <c r="B901" s="363"/>
      <c r="C901" s="363"/>
      <c r="D901" s="363"/>
      <c r="E901" s="363"/>
      <c r="F901" s="363"/>
      <c r="G901" s="363"/>
      <c r="H901" s="363"/>
      <c r="I901" s="363"/>
      <c r="J901" s="363"/>
      <c r="K901" s="363"/>
      <c r="L901" s="363"/>
      <c r="M901" s="363"/>
      <c r="N901" s="363"/>
      <c r="O901" s="363"/>
      <c r="P901" s="363"/>
      <c r="Q901" s="363"/>
      <c r="R901" s="363"/>
      <c r="S901" s="363"/>
      <c r="T901" s="363"/>
      <c r="U901" s="363"/>
    </row>
    <row r="902" spans="1:21" ht="18">
      <c r="A902" s="363"/>
      <c r="B902" s="363"/>
      <c r="C902" s="363"/>
      <c r="D902" s="363"/>
      <c r="E902" s="363"/>
      <c r="F902" s="363"/>
      <c r="G902" s="363"/>
      <c r="H902" s="363"/>
      <c r="I902" s="363"/>
      <c r="J902" s="363"/>
      <c r="K902" s="363"/>
      <c r="L902" s="363"/>
      <c r="M902" s="363"/>
      <c r="N902" s="363"/>
      <c r="O902" s="363"/>
      <c r="P902" s="363"/>
      <c r="Q902" s="363"/>
      <c r="R902" s="363"/>
      <c r="S902" s="363"/>
      <c r="T902" s="363"/>
      <c r="U902" s="363"/>
    </row>
    <row r="903" spans="1:21" ht="18">
      <c r="A903" s="363"/>
      <c r="B903" s="363"/>
      <c r="C903" s="363"/>
      <c r="D903" s="363"/>
      <c r="E903" s="363"/>
      <c r="F903" s="363"/>
      <c r="G903" s="363"/>
      <c r="H903" s="363"/>
      <c r="I903" s="363"/>
      <c r="J903" s="363"/>
      <c r="K903" s="363"/>
      <c r="L903" s="363"/>
      <c r="M903" s="363"/>
      <c r="N903" s="363"/>
      <c r="O903" s="363"/>
      <c r="P903" s="363"/>
      <c r="Q903" s="363"/>
      <c r="R903" s="363"/>
      <c r="S903" s="363"/>
      <c r="T903" s="363"/>
      <c r="U903" s="363"/>
    </row>
    <row r="904" spans="1:21" ht="18">
      <c r="A904" s="363"/>
      <c r="B904" s="363"/>
      <c r="C904" s="363"/>
      <c r="D904" s="363"/>
      <c r="E904" s="363"/>
      <c r="F904" s="363"/>
      <c r="G904" s="363"/>
      <c r="H904" s="363"/>
      <c r="I904" s="363"/>
      <c r="J904" s="363"/>
      <c r="K904" s="363"/>
      <c r="L904" s="363"/>
      <c r="M904" s="363"/>
      <c r="N904" s="363"/>
      <c r="O904" s="363"/>
      <c r="P904" s="363"/>
      <c r="Q904" s="363"/>
      <c r="R904" s="363"/>
      <c r="S904" s="363"/>
      <c r="T904" s="363"/>
      <c r="U904" s="363"/>
    </row>
    <row r="905" spans="1:21" ht="18">
      <c r="A905" s="363"/>
      <c r="B905" s="363"/>
      <c r="C905" s="363"/>
      <c r="D905" s="363"/>
      <c r="E905" s="363"/>
      <c r="F905" s="363"/>
      <c r="G905" s="363"/>
      <c r="H905" s="363"/>
      <c r="I905" s="363"/>
      <c r="J905" s="363"/>
      <c r="K905" s="363"/>
      <c r="L905" s="363"/>
      <c r="M905" s="363"/>
      <c r="N905" s="363"/>
      <c r="O905" s="363"/>
      <c r="P905" s="363"/>
      <c r="Q905" s="363"/>
      <c r="R905" s="363"/>
      <c r="S905" s="363"/>
      <c r="T905" s="363"/>
      <c r="U905" s="363"/>
    </row>
    <row r="906" spans="1:21" ht="18">
      <c r="A906" s="363"/>
      <c r="B906" s="363"/>
      <c r="C906" s="363"/>
      <c r="D906" s="363"/>
      <c r="E906" s="363"/>
      <c r="F906" s="363"/>
      <c r="G906" s="363"/>
      <c r="H906" s="363"/>
      <c r="I906" s="363"/>
      <c r="J906" s="363"/>
      <c r="K906" s="363"/>
      <c r="L906" s="363"/>
      <c r="M906" s="363"/>
      <c r="N906" s="363"/>
      <c r="O906" s="363"/>
      <c r="P906" s="363"/>
      <c r="Q906" s="363"/>
      <c r="R906" s="363"/>
      <c r="S906" s="363"/>
      <c r="T906" s="363"/>
      <c r="U906" s="363"/>
    </row>
    <row r="907" spans="1:21" ht="18">
      <c r="A907" s="363"/>
      <c r="B907" s="363"/>
      <c r="C907" s="363"/>
      <c r="D907" s="363"/>
      <c r="E907" s="363"/>
      <c r="F907" s="363"/>
      <c r="G907" s="363"/>
      <c r="H907" s="363"/>
      <c r="I907" s="363"/>
      <c r="J907" s="363"/>
      <c r="K907" s="363"/>
      <c r="L907" s="363"/>
      <c r="M907" s="363"/>
      <c r="N907" s="363"/>
      <c r="O907" s="363"/>
      <c r="P907" s="363"/>
      <c r="Q907" s="363"/>
      <c r="R907" s="363"/>
      <c r="S907" s="363"/>
      <c r="T907" s="363"/>
      <c r="U907" s="363"/>
    </row>
    <row r="908" spans="1:21" ht="18">
      <c r="A908" s="363"/>
      <c r="B908" s="363"/>
      <c r="C908" s="363"/>
      <c r="D908" s="363"/>
      <c r="E908" s="363"/>
      <c r="F908" s="363"/>
      <c r="G908" s="363"/>
      <c r="H908" s="363"/>
      <c r="I908" s="363"/>
      <c r="J908" s="363"/>
      <c r="K908" s="363"/>
      <c r="L908" s="363"/>
      <c r="M908" s="363"/>
      <c r="N908" s="363"/>
      <c r="O908" s="363"/>
      <c r="P908" s="363"/>
      <c r="Q908" s="363"/>
      <c r="R908" s="363"/>
      <c r="S908" s="363"/>
      <c r="T908" s="363"/>
      <c r="U908" s="363"/>
    </row>
    <row r="909" spans="1:21" ht="18">
      <c r="A909" s="363"/>
      <c r="B909" s="363"/>
      <c r="C909" s="363"/>
      <c r="D909" s="363"/>
      <c r="E909" s="363"/>
      <c r="F909" s="363"/>
      <c r="G909" s="363"/>
      <c r="H909" s="363"/>
      <c r="I909" s="363"/>
      <c r="J909" s="363"/>
      <c r="K909" s="363"/>
      <c r="L909" s="363"/>
      <c r="M909" s="363"/>
      <c r="N909" s="363"/>
      <c r="O909" s="363"/>
      <c r="P909" s="363"/>
      <c r="Q909" s="363"/>
      <c r="R909" s="363"/>
      <c r="S909" s="363"/>
      <c r="T909" s="363"/>
      <c r="U909" s="363"/>
    </row>
    <row r="910" spans="1:21" ht="18">
      <c r="A910" s="363"/>
      <c r="B910" s="363"/>
      <c r="C910" s="363"/>
      <c r="D910" s="363"/>
      <c r="E910" s="363"/>
      <c r="F910" s="363"/>
      <c r="G910" s="363"/>
      <c r="H910" s="363"/>
      <c r="I910" s="363"/>
      <c r="J910" s="363"/>
      <c r="K910" s="363"/>
      <c r="L910" s="363"/>
      <c r="M910" s="363"/>
      <c r="N910" s="363"/>
      <c r="O910" s="363"/>
      <c r="P910" s="363"/>
      <c r="Q910" s="363"/>
      <c r="R910" s="363"/>
      <c r="S910" s="363"/>
      <c r="T910" s="363"/>
      <c r="U910" s="363"/>
    </row>
    <row r="911" spans="1:21" ht="18">
      <c r="A911" s="363"/>
      <c r="B911" s="363"/>
      <c r="C911" s="363"/>
      <c r="D911" s="363"/>
      <c r="E911" s="363"/>
      <c r="F911" s="363"/>
      <c r="G911" s="363"/>
      <c r="H911" s="363"/>
      <c r="I911" s="363"/>
      <c r="J911" s="363"/>
      <c r="K911" s="363"/>
      <c r="L911" s="363"/>
      <c r="M911" s="363"/>
      <c r="N911" s="363"/>
      <c r="O911" s="363"/>
      <c r="P911" s="363"/>
      <c r="Q911" s="363"/>
      <c r="R911" s="363"/>
      <c r="S911" s="363"/>
      <c r="T911" s="363"/>
      <c r="U911" s="363"/>
    </row>
    <row r="912" spans="1:21" ht="18">
      <c r="A912" s="363"/>
      <c r="B912" s="363"/>
      <c r="C912" s="363"/>
      <c r="D912" s="363"/>
      <c r="E912" s="363"/>
      <c r="F912" s="363"/>
      <c r="G912" s="363"/>
      <c r="H912" s="363"/>
      <c r="I912" s="363"/>
      <c r="J912" s="363"/>
      <c r="K912" s="363"/>
      <c r="L912" s="363"/>
      <c r="M912" s="363"/>
      <c r="N912" s="363"/>
      <c r="O912" s="363"/>
      <c r="P912" s="363"/>
      <c r="Q912" s="363"/>
      <c r="R912" s="363"/>
      <c r="S912" s="363"/>
      <c r="T912" s="363"/>
      <c r="U912" s="363"/>
    </row>
    <row r="913" spans="1:21" ht="18">
      <c r="A913" s="363"/>
      <c r="B913" s="363"/>
      <c r="C913" s="363"/>
      <c r="D913" s="363"/>
      <c r="E913" s="363"/>
      <c r="F913" s="363"/>
      <c r="G913" s="363"/>
      <c r="H913" s="363"/>
      <c r="I913" s="363"/>
      <c r="J913" s="363"/>
      <c r="K913" s="363"/>
      <c r="L913" s="363"/>
      <c r="M913" s="363"/>
      <c r="N913" s="363"/>
      <c r="O913" s="363"/>
      <c r="P913" s="363"/>
      <c r="Q913" s="363"/>
      <c r="R913" s="363"/>
      <c r="S913" s="363"/>
      <c r="T913" s="363"/>
      <c r="U913" s="363"/>
    </row>
    <row r="914" spans="1:21" ht="18">
      <c r="A914" s="363"/>
      <c r="B914" s="363"/>
      <c r="C914" s="363"/>
      <c r="D914" s="363"/>
      <c r="E914" s="363"/>
      <c r="F914" s="363"/>
      <c r="G914" s="363"/>
      <c r="H914" s="363"/>
      <c r="I914" s="363"/>
      <c r="J914" s="363"/>
      <c r="K914" s="363"/>
      <c r="L914" s="363"/>
      <c r="M914" s="363"/>
      <c r="N914" s="363"/>
      <c r="O914" s="363"/>
      <c r="P914" s="363"/>
      <c r="Q914" s="363"/>
      <c r="R914" s="363"/>
      <c r="S914" s="363"/>
      <c r="T914" s="363"/>
      <c r="U914" s="363"/>
    </row>
    <row r="915" spans="1:21" ht="18">
      <c r="A915" s="363"/>
      <c r="B915" s="363"/>
      <c r="C915" s="363"/>
      <c r="D915" s="363"/>
      <c r="E915" s="363"/>
      <c r="F915" s="363"/>
      <c r="G915" s="363"/>
      <c r="H915" s="363"/>
      <c r="I915" s="363"/>
      <c r="J915" s="363"/>
      <c r="K915" s="363"/>
      <c r="L915" s="363"/>
      <c r="M915" s="363"/>
      <c r="N915" s="363"/>
      <c r="O915" s="363"/>
      <c r="P915" s="363"/>
      <c r="Q915" s="363"/>
      <c r="R915" s="363"/>
      <c r="S915" s="363"/>
      <c r="T915" s="363"/>
      <c r="U915" s="363"/>
    </row>
    <row r="916" spans="1:21" ht="18">
      <c r="A916" s="363"/>
      <c r="B916" s="363"/>
      <c r="C916" s="363"/>
      <c r="D916" s="363"/>
      <c r="E916" s="363"/>
      <c r="F916" s="363"/>
      <c r="G916" s="363"/>
      <c r="H916" s="363"/>
      <c r="I916" s="363"/>
      <c r="J916" s="363"/>
      <c r="K916" s="363"/>
      <c r="L916" s="363"/>
      <c r="M916" s="363"/>
      <c r="N916" s="363"/>
      <c r="O916" s="363"/>
      <c r="P916" s="363"/>
      <c r="Q916" s="363"/>
      <c r="R916" s="363"/>
      <c r="S916" s="363"/>
      <c r="T916" s="363"/>
      <c r="U916" s="363"/>
    </row>
    <row r="917" spans="1:21" ht="18">
      <c r="A917" s="363"/>
      <c r="B917" s="363"/>
      <c r="C917" s="363"/>
      <c r="D917" s="363"/>
      <c r="E917" s="363"/>
      <c r="F917" s="363"/>
      <c r="G917" s="363"/>
      <c r="H917" s="363"/>
      <c r="I917" s="363"/>
      <c r="J917" s="363"/>
      <c r="K917" s="363"/>
      <c r="L917" s="363"/>
      <c r="M917" s="363"/>
      <c r="N917" s="363"/>
      <c r="O917" s="363"/>
      <c r="P917" s="363"/>
      <c r="Q917" s="363"/>
      <c r="R917" s="363"/>
      <c r="S917" s="363"/>
      <c r="T917" s="363"/>
      <c r="U917" s="363"/>
    </row>
    <row r="918" spans="1:21" ht="18">
      <c r="A918" s="363"/>
      <c r="B918" s="363"/>
      <c r="C918" s="363"/>
      <c r="D918" s="363"/>
      <c r="E918" s="363"/>
      <c r="F918" s="363"/>
      <c r="G918" s="363"/>
      <c r="H918" s="363"/>
      <c r="I918" s="363"/>
      <c r="J918" s="363"/>
      <c r="K918" s="363"/>
      <c r="L918" s="363"/>
      <c r="M918" s="363"/>
      <c r="N918" s="363"/>
      <c r="O918" s="363"/>
      <c r="P918" s="363"/>
      <c r="Q918" s="363"/>
      <c r="R918" s="363"/>
      <c r="S918" s="363"/>
      <c r="T918" s="363"/>
      <c r="U918" s="363"/>
    </row>
    <row r="919" spans="1:21" ht="18">
      <c r="A919" s="363"/>
      <c r="B919" s="363"/>
      <c r="C919" s="363"/>
      <c r="D919" s="363"/>
      <c r="E919" s="363"/>
      <c r="F919" s="363"/>
      <c r="G919" s="363"/>
      <c r="H919" s="363"/>
      <c r="I919" s="363"/>
      <c r="J919" s="363"/>
      <c r="K919" s="363"/>
      <c r="L919" s="363"/>
      <c r="M919" s="363"/>
      <c r="N919" s="363"/>
      <c r="O919" s="363"/>
      <c r="P919" s="363"/>
      <c r="Q919" s="363"/>
      <c r="R919" s="363"/>
      <c r="S919" s="363"/>
      <c r="T919" s="363"/>
      <c r="U919" s="363"/>
    </row>
    <row r="920" spans="1:21" ht="18">
      <c r="A920" s="363"/>
      <c r="B920" s="363"/>
      <c r="C920" s="363"/>
      <c r="D920" s="363"/>
      <c r="E920" s="363"/>
      <c r="F920" s="363"/>
      <c r="G920" s="363"/>
      <c r="H920" s="363"/>
      <c r="I920" s="363"/>
      <c r="J920" s="363"/>
      <c r="K920" s="363"/>
      <c r="L920" s="363"/>
      <c r="M920" s="363"/>
      <c r="N920" s="363"/>
      <c r="O920" s="363"/>
      <c r="P920" s="363"/>
      <c r="Q920" s="363"/>
      <c r="R920" s="363"/>
      <c r="S920" s="363"/>
      <c r="T920" s="363"/>
      <c r="U920" s="363"/>
    </row>
    <row r="921" spans="1:21" ht="18">
      <c r="A921" s="363"/>
      <c r="B921" s="363"/>
      <c r="C921" s="363"/>
      <c r="D921" s="363"/>
      <c r="E921" s="363"/>
      <c r="F921" s="363"/>
      <c r="G921" s="363"/>
      <c r="H921" s="363"/>
      <c r="I921" s="363"/>
      <c r="J921" s="363"/>
      <c r="K921" s="363"/>
      <c r="L921" s="363"/>
      <c r="M921" s="363"/>
      <c r="N921" s="363"/>
      <c r="O921" s="363"/>
      <c r="P921" s="363"/>
      <c r="Q921" s="363"/>
      <c r="R921" s="363"/>
      <c r="S921" s="363"/>
      <c r="T921" s="363"/>
      <c r="U921" s="363"/>
    </row>
    <row r="922" spans="1:21" ht="18">
      <c r="A922" s="363"/>
      <c r="B922" s="363"/>
      <c r="C922" s="363"/>
      <c r="D922" s="363"/>
      <c r="E922" s="363"/>
      <c r="F922" s="363"/>
      <c r="G922" s="363"/>
      <c r="H922" s="363"/>
      <c r="I922" s="363"/>
      <c r="J922" s="363"/>
      <c r="K922" s="363"/>
      <c r="L922" s="363"/>
      <c r="M922" s="363"/>
      <c r="N922" s="363"/>
      <c r="O922" s="363"/>
      <c r="P922" s="363"/>
      <c r="Q922" s="363"/>
      <c r="R922" s="363"/>
      <c r="S922" s="363"/>
      <c r="T922" s="363"/>
      <c r="U922" s="363"/>
    </row>
    <row r="923" spans="1:21" ht="18">
      <c r="A923" s="363"/>
      <c r="B923" s="363"/>
      <c r="C923" s="363"/>
      <c r="D923" s="363"/>
      <c r="E923" s="363"/>
      <c r="F923" s="363"/>
      <c r="G923" s="363"/>
      <c r="H923" s="363"/>
      <c r="I923" s="363"/>
      <c r="J923" s="363"/>
      <c r="K923" s="363"/>
      <c r="L923" s="363"/>
      <c r="M923" s="363"/>
      <c r="N923" s="363"/>
      <c r="O923" s="363"/>
      <c r="P923" s="363"/>
      <c r="Q923" s="363"/>
      <c r="R923" s="363"/>
      <c r="S923" s="363"/>
      <c r="T923" s="363"/>
      <c r="U923" s="363"/>
    </row>
    <row r="924" spans="1:21" ht="18">
      <c r="A924" s="363"/>
      <c r="B924" s="363"/>
      <c r="C924" s="363"/>
      <c r="D924" s="363"/>
      <c r="E924" s="363"/>
      <c r="F924" s="363"/>
      <c r="G924" s="363"/>
      <c r="H924" s="363"/>
      <c r="I924" s="363"/>
      <c r="J924" s="363"/>
      <c r="K924" s="363"/>
      <c r="L924" s="363"/>
      <c r="M924" s="363"/>
      <c r="N924" s="363"/>
      <c r="O924" s="363"/>
      <c r="P924" s="363"/>
      <c r="Q924" s="363"/>
      <c r="R924" s="363"/>
      <c r="S924" s="363"/>
      <c r="T924" s="363"/>
      <c r="U924" s="363"/>
    </row>
    <row r="925" spans="1:21" ht="18">
      <c r="A925" s="363"/>
      <c r="B925" s="363"/>
      <c r="C925" s="363"/>
      <c r="D925" s="363"/>
      <c r="E925" s="363"/>
      <c r="F925" s="363"/>
      <c r="G925" s="363"/>
      <c r="H925" s="363"/>
      <c r="I925" s="363"/>
      <c r="J925" s="363"/>
      <c r="K925" s="363"/>
      <c r="L925" s="363"/>
      <c r="M925" s="363"/>
      <c r="N925" s="363"/>
      <c r="O925" s="363"/>
      <c r="P925" s="363"/>
      <c r="Q925" s="363"/>
      <c r="R925" s="363"/>
      <c r="S925" s="363"/>
      <c r="T925" s="363"/>
      <c r="U925" s="363"/>
    </row>
    <row r="926" spans="1:21" ht="18">
      <c r="A926" s="363"/>
      <c r="B926" s="363"/>
      <c r="C926" s="363"/>
      <c r="D926" s="363"/>
      <c r="E926" s="363"/>
      <c r="F926" s="363"/>
      <c r="G926" s="363"/>
      <c r="H926" s="363"/>
      <c r="I926" s="363"/>
      <c r="J926" s="363"/>
      <c r="K926" s="363"/>
      <c r="L926" s="363"/>
      <c r="M926" s="363"/>
      <c r="N926" s="363"/>
      <c r="O926" s="363"/>
      <c r="P926" s="363"/>
      <c r="Q926" s="363"/>
      <c r="R926" s="363"/>
      <c r="S926" s="363"/>
      <c r="T926" s="363"/>
      <c r="U926" s="363"/>
    </row>
    <row r="927" spans="1:21" ht="18">
      <c r="A927" s="363"/>
      <c r="B927" s="363"/>
      <c r="C927" s="363"/>
      <c r="D927" s="363"/>
      <c r="E927" s="363"/>
      <c r="F927" s="363"/>
      <c r="G927" s="363"/>
      <c r="H927" s="363"/>
      <c r="I927" s="363"/>
      <c r="J927" s="363"/>
      <c r="K927" s="363"/>
      <c r="L927" s="363"/>
      <c r="M927" s="363"/>
      <c r="N927" s="363"/>
      <c r="O927" s="363"/>
      <c r="P927" s="363"/>
      <c r="Q927" s="363"/>
      <c r="R927" s="363"/>
      <c r="S927" s="363"/>
      <c r="T927" s="363"/>
      <c r="U927" s="363"/>
    </row>
    <row r="928" spans="1:21" ht="18">
      <c r="A928" s="363"/>
      <c r="B928" s="363"/>
      <c r="C928" s="363"/>
      <c r="D928" s="363"/>
      <c r="E928" s="363"/>
      <c r="F928" s="363"/>
      <c r="G928" s="363"/>
      <c r="H928" s="363"/>
      <c r="I928" s="363"/>
      <c r="J928" s="363"/>
      <c r="K928" s="363"/>
      <c r="L928" s="363"/>
      <c r="M928" s="363"/>
      <c r="N928" s="363"/>
      <c r="O928" s="363"/>
      <c r="P928" s="363"/>
      <c r="Q928" s="363"/>
      <c r="R928" s="363"/>
      <c r="S928" s="363"/>
      <c r="T928" s="363"/>
      <c r="U928" s="363"/>
    </row>
    <row r="929" spans="1:21" ht="18">
      <c r="A929" s="363"/>
      <c r="B929" s="363"/>
      <c r="C929" s="363"/>
      <c r="D929" s="363"/>
      <c r="E929" s="363"/>
      <c r="F929" s="363"/>
      <c r="G929" s="363"/>
      <c r="H929" s="363"/>
      <c r="I929" s="363"/>
      <c r="J929" s="363"/>
      <c r="K929" s="363"/>
      <c r="L929" s="363"/>
      <c r="M929" s="363"/>
      <c r="N929" s="363"/>
      <c r="O929" s="363"/>
      <c r="P929" s="363"/>
      <c r="Q929" s="363"/>
      <c r="R929" s="363"/>
      <c r="S929" s="363"/>
      <c r="T929" s="363"/>
      <c r="U929" s="363"/>
    </row>
    <row r="930" spans="1:21" ht="18">
      <c r="A930" s="363"/>
      <c r="B930" s="363"/>
      <c r="C930" s="363"/>
      <c r="D930" s="363"/>
      <c r="E930" s="363"/>
      <c r="F930" s="363"/>
      <c r="G930" s="363"/>
      <c r="H930" s="363"/>
      <c r="I930" s="363"/>
      <c r="J930" s="363"/>
      <c r="K930" s="363"/>
      <c r="L930" s="363"/>
      <c r="M930" s="363"/>
      <c r="N930" s="363"/>
      <c r="O930" s="363"/>
      <c r="P930" s="363"/>
      <c r="Q930" s="363"/>
      <c r="R930" s="363"/>
      <c r="S930" s="363"/>
      <c r="T930" s="363"/>
      <c r="U930" s="363"/>
    </row>
    <row r="931" spans="1:21" ht="18">
      <c r="A931" s="363"/>
      <c r="B931" s="363"/>
      <c r="C931" s="363"/>
      <c r="D931" s="363"/>
      <c r="E931" s="363"/>
      <c r="F931" s="363"/>
      <c r="G931" s="363"/>
      <c r="H931" s="363"/>
      <c r="I931" s="363"/>
      <c r="J931" s="363"/>
      <c r="K931" s="363"/>
      <c r="L931" s="363"/>
      <c r="M931" s="363"/>
      <c r="N931" s="363"/>
      <c r="O931" s="363"/>
      <c r="P931" s="363"/>
      <c r="Q931" s="363"/>
      <c r="R931" s="363"/>
      <c r="S931" s="363"/>
      <c r="T931" s="363"/>
      <c r="U931" s="363"/>
    </row>
    <row r="932" spans="1:21" ht="18">
      <c r="A932" s="363"/>
      <c r="B932" s="363"/>
      <c r="C932" s="363"/>
      <c r="D932" s="363"/>
      <c r="E932" s="363"/>
      <c r="F932" s="363"/>
      <c r="G932" s="363"/>
      <c r="H932" s="363"/>
      <c r="I932" s="363"/>
      <c r="J932" s="363"/>
      <c r="K932" s="363"/>
      <c r="L932" s="363"/>
      <c r="M932" s="363"/>
      <c r="N932" s="363"/>
      <c r="O932" s="363"/>
      <c r="P932" s="363"/>
      <c r="Q932" s="363"/>
      <c r="R932" s="363"/>
      <c r="S932" s="363"/>
      <c r="T932" s="363"/>
      <c r="U932" s="363"/>
    </row>
    <row r="933" spans="1:21" ht="18">
      <c r="A933" s="363"/>
      <c r="B933" s="363"/>
      <c r="C933" s="363"/>
      <c r="D933" s="363"/>
      <c r="E933" s="363"/>
      <c r="F933" s="363"/>
      <c r="G933" s="363"/>
      <c r="H933" s="363"/>
      <c r="I933" s="363"/>
      <c r="J933" s="363"/>
      <c r="K933" s="363"/>
      <c r="L933" s="363"/>
      <c r="M933" s="363"/>
      <c r="N933" s="363"/>
      <c r="O933" s="363"/>
      <c r="P933" s="363"/>
      <c r="Q933" s="363"/>
      <c r="R933" s="363"/>
      <c r="S933" s="363"/>
      <c r="T933" s="363"/>
      <c r="U933" s="363"/>
    </row>
    <row r="934" spans="1:21" ht="18">
      <c r="A934" s="363"/>
      <c r="B934" s="363"/>
      <c r="C934" s="363"/>
      <c r="D934" s="363"/>
      <c r="E934" s="363"/>
      <c r="F934" s="363"/>
      <c r="G934" s="363"/>
      <c r="H934" s="363"/>
      <c r="I934" s="363"/>
      <c r="J934" s="363"/>
      <c r="K934" s="363"/>
      <c r="L934" s="363"/>
      <c r="M934" s="363"/>
      <c r="N934" s="363"/>
      <c r="O934" s="363"/>
      <c r="P934" s="363"/>
      <c r="Q934" s="363"/>
      <c r="R934" s="363"/>
      <c r="S934" s="363"/>
      <c r="T934" s="363"/>
      <c r="U934" s="363"/>
    </row>
    <row r="935" spans="1:21" ht="18">
      <c r="A935" s="363"/>
      <c r="B935" s="363"/>
      <c r="C935" s="363"/>
      <c r="D935" s="363"/>
      <c r="E935" s="363"/>
      <c r="F935" s="363"/>
      <c r="G935" s="363"/>
      <c r="H935" s="363"/>
      <c r="I935" s="363"/>
      <c r="J935" s="363"/>
      <c r="K935" s="363"/>
      <c r="L935" s="363"/>
      <c r="M935" s="363"/>
      <c r="N935" s="363"/>
      <c r="O935" s="363"/>
      <c r="P935" s="363"/>
      <c r="Q935" s="363"/>
      <c r="R935" s="363"/>
      <c r="S935" s="363"/>
      <c r="T935" s="363"/>
      <c r="U935" s="363"/>
    </row>
    <row r="936" spans="1:21" ht="18">
      <c r="A936" s="363"/>
      <c r="B936" s="363"/>
      <c r="C936" s="363"/>
      <c r="D936" s="363"/>
      <c r="E936" s="363"/>
      <c r="F936" s="363"/>
      <c r="G936" s="363"/>
      <c r="H936" s="363"/>
      <c r="I936" s="363"/>
      <c r="J936" s="363"/>
      <c r="K936" s="363"/>
      <c r="L936" s="363"/>
      <c r="M936" s="363"/>
      <c r="N936" s="363"/>
      <c r="O936" s="363"/>
      <c r="P936" s="363"/>
      <c r="Q936" s="363"/>
      <c r="R936" s="363"/>
      <c r="S936" s="363"/>
      <c r="T936" s="363"/>
      <c r="U936" s="363"/>
    </row>
    <row r="937" spans="1:21" ht="18">
      <c r="A937" s="363"/>
      <c r="B937" s="363"/>
      <c r="C937" s="363"/>
      <c r="D937" s="363"/>
      <c r="E937" s="363"/>
      <c r="F937" s="363"/>
      <c r="G937" s="363"/>
      <c r="H937" s="363"/>
      <c r="I937" s="363"/>
      <c r="J937" s="363"/>
      <c r="K937" s="363"/>
      <c r="L937" s="363"/>
      <c r="M937" s="363"/>
      <c r="N937" s="363"/>
      <c r="O937" s="363"/>
      <c r="P937" s="363"/>
      <c r="Q937" s="363"/>
      <c r="R937" s="363"/>
      <c r="S937" s="363"/>
      <c r="T937" s="363"/>
      <c r="U937" s="363"/>
    </row>
    <row r="938" spans="1:21" ht="18">
      <c r="A938" s="363"/>
      <c r="B938" s="363"/>
      <c r="C938" s="363"/>
      <c r="D938" s="363"/>
      <c r="E938" s="363"/>
      <c r="F938" s="363"/>
      <c r="G938" s="363"/>
      <c r="H938" s="363"/>
      <c r="I938" s="363"/>
      <c r="J938" s="363"/>
      <c r="K938" s="363"/>
      <c r="L938" s="363"/>
      <c r="M938" s="363"/>
      <c r="N938" s="363"/>
      <c r="O938" s="363"/>
      <c r="P938" s="363"/>
      <c r="Q938" s="363"/>
      <c r="R938" s="363"/>
      <c r="S938" s="363"/>
      <c r="T938" s="363"/>
      <c r="U938" s="363"/>
    </row>
    <row r="939" spans="1:21" ht="18">
      <c r="A939" s="363"/>
      <c r="B939" s="363"/>
      <c r="C939" s="363"/>
      <c r="D939" s="363"/>
      <c r="E939" s="363"/>
      <c r="F939" s="363"/>
      <c r="G939" s="363"/>
      <c r="H939" s="363"/>
      <c r="I939" s="363"/>
      <c r="J939" s="363"/>
      <c r="K939" s="363"/>
      <c r="L939" s="363"/>
      <c r="M939" s="363"/>
      <c r="N939" s="363"/>
      <c r="O939" s="363"/>
      <c r="P939" s="363"/>
      <c r="Q939" s="363"/>
      <c r="R939" s="363"/>
      <c r="S939" s="363"/>
      <c r="T939" s="363"/>
      <c r="U939" s="363"/>
    </row>
    <row r="940" spans="1:21" ht="18">
      <c r="A940" s="363"/>
      <c r="B940" s="363"/>
      <c r="C940" s="363"/>
      <c r="D940" s="363"/>
      <c r="E940" s="363"/>
      <c r="F940" s="363"/>
      <c r="G940" s="363"/>
      <c r="H940" s="363"/>
      <c r="I940" s="363"/>
      <c r="J940" s="363"/>
      <c r="K940" s="363"/>
      <c r="L940" s="363"/>
      <c r="M940" s="363"/>
      <c r="N940" s="363"/>
      <c r="O940" s="363"/>
      <c r="P940" s="363"/>
      <c r="Q940" s="363"/>
      <c r="R940" s="363"/>
      <c r="S940" s="363"/>
      <c r="T940" s="363"/>
      <c r="U940" s="363"/>
    </row>
    <row r="941" spans="1:21" ht="18">
      <c r="A941" s="363"/>
      <c r="B941" s="363"/>
      <c r="C941" s="363"/>
      <c r="D941" s="363"/>
      <c r="E941" s="363"/>
      <c r="F941" s="363"/>
      <c r="G941" s="363"/>
      <c r="H941" s="363"/>
      <c r="I941" s="363"/>
      <c r="J941" s="363"/>
      <c r="K941" s="363"/>
      <c r="L941" s="363"/>
      <c r="M941" s="363"/>
      <c r="N941" s="363"/>
      <c r="O941" s="363"/>
      <c r="P941" s="363"/>
      <c r="Q941" s="363"/>
      <c r="R941" s="363"/>
      <c r="S941" s="363"/>
      <c r="T941" s="363"/>
      <c r="U941" s="363"/>
    </row>
    <row r="942" spans="1:21" ht="18">
      <c r="A942" s="363"/>
      <c r="B942" s="363"/>
      <c r="C942" s="363"/>
      <c r="D942" s="363"/>
      <c r="E942" s="363"/>
      <c r="F942" s="363"/>
      <c r="G942" s="363"/>
      <c r="H942" s="363"/>
      <c r="I942" s="363"/>
      <c r="J942" s="363"/>
      <c r="K942" s="363"/>
      <c r="L942" s="363"/>
      <c r="M942" s="363"/>
      <c r="N942" s="363"/>
      <c r="O942" s="363"/>
      <c r="P942" s="363"/>
      <c r="Q942" s="363"/>
      <c r="R942" s="363"/>
      <c r="S942" s="363"/>
      <c r="T942" s="363"/>
      <c r="U942" s="363"/>
    </row>
    <row r="943" spans="1:21" ht="18">
      <c r="A943" s="363"/>
      <c r="B943" s="363"/>
      <c r="C943" s="363"/>
      <c r="D943" s="363"/>
      <c r="E943" s="363"/>
      <c r="F943" s="363"/>
      <c r="G943" s="363"/>
      <c r="H943" s="363"/>
      <c r="I943" s="363"/>
      <c r="J943" s="363"/>
      <c r="K943" s="363"/>
      <c r="L943" s="363"/>
      <c r="M943" s="363"/>
      <c r="N943" s="363"/>
      <c r="O943" s="363"/>
      <c r="P943" s="363"/>
      <c r="Q943" s="363"/>
      <c r="R943" s="363"/>
      <c r="S943" s="363"/>
      <c r="T943" s="363"/>
      <c r="U943" s="363"/>
    </row>
    <row r="944" spans="1:21" ht="18">
      <c r="A944" s="363"/>
      <c r="B944" s="363"/>
      <c r="C944" s="363"/>
      <c r="D944" s="363"/>
      <c r="E944" s="363"/>
      <c r="F944" s="363"/>
      <c r="G944" s="363"/>
      <c r="H944" s="363"/>
      <c r="I944" s="363"/>
      <c r="J944" s="363"/>
      <c r="K944" s="363"/>
      <c r="L944" s="363"/>
      <c r="M944" s="363"/>
      <c r="N944" s="363"/>
      <c r="O944" s="363"/>
      <c r="P944" s="363"/>
      <c r="Q944" s="363"/>
      <c r="R944" s="363"/>
      <c r="S944" s="363"/>
      <c r="T944" s="363"/>
      <c r="U944" s="363"/>
    </row>
    <row r="945" spans="1:21" ht="18">
      <c r="A945" s="363"/>
      <c r="B945" s="363"/>
      <c r="C945" s="363"/>
      <c r="D945" s="363"/>
      <c r="E945" s="363"/>
      <c r="F945" s="363"/>
      <c r="G945" s="363"/>
      <c r="H945" s="363"/>
      <c r="I945" s="363"/>
      <c r="J945" s="363"/>
      <c r="K945" s="363"/>
      <c r="L945" s="363"/>
      <c r="M945" s="363"/>
      <c r="N945" s="363"/>
      <c r="O945" s="363"/>
      <c r="P945" s="363"/>
      <c r="Q945" s="363"/>
      <c r="R945" s="363"/>
      <c r="S945" s="363"/>
      <c r="T945" s="363"/>
      <c r="U945" s="363"/>
    </row>
    <row r="946" spans="1:21" ht="18">
      <c r="A946" s="363"/>
      <c r="B946" s="363"/>
      <c r="C946" s="363"/>
      <c r="D946" s="363"/>
      <c r="E946" s="363"/>
      <c r="F946" s="363"/>
      <c r="G946" s="363"/>
      <c r="H946" s="363"/>
      <c r="I946" s="363"/>
      <c r="J946" s="363"/>
      <c r="K946" s="363"/>
      <c r="L946" s="363"/>
      <c r="M946" s="363"/>
      <c r="N946" s="363"/>
      <c r="O946" s="363"/>
      <c r="P946" s="363"/>
      <c r="Q946" s="363"/>
      <c r="R946" s="363"/>
      <c r="S946" s="363"/>
      <c r="T946" s="363"/>
      <c r="U946" s="363"/>
    </row>
    <row r="947" spans="1:21" ht="18">
      <c r="A947" s="363"/>
      <c r="B947" s="363"/>
      <c r="C947" s="363"/>
      <c r="D947" s="363"/>
      <c r="E947" s="363"/>
      <c r="F947" s="363"/>
      <c r="G947" s="363"/>
      <c r="H947" s="363"/>
      <c r="I947" s="363"/>
      <c r="J947" s="363"/>
      <c r="K947" s="363"/>
      <c r="L947" s="363"/>
      <c r="M947" s="363"/>
      <c r="N947" s="363"/>
      <c r="O947" s="363"/>
      <c r="P947" s="363"/>
      <c r="Q947" s="363"/>
      <c r="R947" s="363"/>
      <c r="S947" s="363"/>
      <c r="T947" s="363"/>
      <c r="U947" s="363"/>
    </row>
    <row r="948" spans="1:21" ht="18">
      <c r="A948" s="363"/>
      <c r="B948" s="363"/>
      <c r="C948" s="363"/>
      <c r="D948" s="363"/>
      <c r="E948" s="363"/>
      <c r="F948" s="363"/>
      <c r="G948" s="363"/>
      <c r="H948" s="363"/>
      <c r="I948" s="363"/>
      <c r="J948" s="363"/>
      <c r="K948" s="363"/>
      <c r="L948" s="363"/>
      <c r="M948" s="363"/>
      <c r="N948" s="363"/>
      <c r="O948" s="363"/>
      <c r="P948" s="363"/>
      <c r="Q948" s="363"/>
      <c r="R948" s="363"/>
      <c r="S948" s="363"/>
      <c r="T948" s="363"/>
      <c r="U948" s="363"/>
    </row>
    <row r="949" spans="1:21" ht="18">
      <c r="A949" s="363"/>
      <c r="B949" s="363"/>
      <c r="C949" s="363"/>
      <c r="D949" s="363"/>
      <c r="E949" s="363"/>
      <c r="F949" s="363"/>
      <c r="G949" s="363"/>
      <c r="H949" s="363"/>
      <c r="I949" s="363"/>
      <c r="J949" s="363"/>
      <c r="K949" s="363"/>
      <c r="L949" s="363"/>
      <c r="M949" s="363"/>
      <c r="N949" s="363"/>
      <c r="O949" s="363"/>
      <c r="P949" s="363"/>
      <c r="Q949" s="363"/>
      <c r="R949" s="363"/>
      <c r="S949" s="363"/>
      <c r="T949" s="363"/>
      <c r="U949" s="363"/>
    </row>
    <row r="950" spans="1:21" ht="18">
      <c r="A950" s="363"/>
      <c r="B950" s="363"/>
      <c r="C950" s="363"/>
      <c r="D950" s="363"/>
      <c r="E950" s="363"/>
      <c r="F950" s="363"/>
      <c r="G950" s="363"/>
      <c r="H950" s="363"/>
      <c r="I950" s="363"/>
      <c r="J950" s="363"/>
      <c r="K950" s="363"/>
      <c r="L950" s="363"/>
      <c r="M950" s="363"/>
      <c r="N950" s="363"/>
      <c r="O950" s="363"/>
      <c r="P950" s="363"/>
      <c r="Q950" s="363"/>
      <c r="R950" s="363"/>
      <c r="S950" s="363"/>
      <c r="T950" s="363"/>
      <c r="U950" s="363"/>
    </row>
    <row r="951" spans="1:21" ht="18">
      <c r="A951" s="363"/>
      <c r="B951" s="363"/>
      <c r="C951" s="363"/>
      <c r="D951" s="363"/>
      <c r="E951" s="363"/>
      <c r="F951" s="363"/>
      <c r="G951" s="363"/>
      <c r="H951" s="363"/>
      <c r="I951" s="363"/>
      <c r="J951" s="363"/>
      <c r="K951" s="363"/>
      <c r="L951" s="363"/>
      <c r="M951" s="363"/>
      <c r="N951" s="363"/>
      <c r="O951" s="363"/>
      <c r="P951" s="363"/>
      <c r="Q951" s="363"/>
      <c r="R951" s="363"/>
      <c r="S951" s="363"/>
      <c r="T951" s="363"/>
      <c r="U951" s="363"/>
    </row>
    <row r="952" spans="1:21" ht="18">
      <c r="A952" s="363"/>
      <c r="B952" s="363"/>
      <c r="C952" s="363"/>
      <c r="D952" s="363"/>
      <c r="E952" s="363"/>
      <c r="F952" s="363"/>
      <c r="G952" s="363"/>
      <c r="H952" s="363"/>
      <c r="I952" s="363"/>
      <c r="J952" s="363"/>
      <c r="K952" s="363"/>
      <c r="L952" s="363"/>
      <c r="M952" s="363"/>
      <c r="N952" s="363"/>
      <c r="O952" s="363"/>
      <c r="P952" s="363"/>
      <c r="Q952" s="363"/>
      <c r="R952" s="363"/>
      <c r="S952" s="363"/>
      <c r="T952" s="363"/>
      <c r="U952" s="363"/>
    </row>
    <row r="953" spans="1:21" ht="18">
      <c r="A953" s="363"/>
      <c r="B953" s="363"/>
      <c r="C953" s="363"/>
      <c r="D953" s="363"/>
      <c r="E953" s="363"/>
      <c r="F953" s="363"/>
      <c r="G953" s="363"/>
      <c r="H953" s="363"/>
      <c r="I953" s="363"/>
      <c r="J953" s="363"/>
      <c r="K953" s="363"/>
      <c r="L953" s="363"/>
      <c r="M953" s="363"/>
      <c r="N953" s="363"/>
      <c r="O953" s="363"/>
      <c r="P953" s="363"/>
      <c r="Q953" s="363"/>
      <c r="R953" s="363"/>
      <c r="S953" s="363"/>
      <c r="T953" s="363"/>
      <c r="U953" s="363"/>
    </row>
    <row r="954" spans="1:21" ht="18">
      <c r="A954" s="363"/>
      <c r="B954" s="363"/>
      <c r="C954" s="363"/>
      <c r="D954" s="363"/>
      <c r="E954" s="363"/>
      <c r="F954" s="363"/>
      <c r="G954" s="363"/>
      <c r="H954" s="363"/>
      <c r="I954" s="363"/>
      <c r="J954" s="363"/>
      <c r="K954" s="363"/>
      <c r="L954" s="363"/>
      <c r="M954" s="363"/>
      <c r="N954" s="363"/>
      <c r="O954" s="363"/>
      <c r="P954" s="363"/>
      <c r="Q954" s="363"/>
      <c r="R954" s="363"/>
      <c r="S954" s="363"/>
      <c r="T954" s="363"/>
      <c r="U954" s="363"/>
    </row>
    <row r="955" spans="1:21" ht="18">
      <c r="A955" s="363"/>
      <c r="B955" s="363"/>
      <c r="C955" s="363"/>
      <c r="D955" s="363"/>
      <c r="E955" s="363"/>
      <c r="F955" s="363"/>
      <c r="G955" s="363"/>
      <c r="H955" s="363"/>
      <c r="I955" s="363"/>
      <c r="J955" s="363"/>
      <c r="K955" s="363"/>
      <c r="L955" s="363"/>
      <c r="M955" s="363"/>
      <c r="N955" s="363"/>
      <c r="O955" s="363"/>
      <c r="P955" s="363"/>
      <c r="Q955" s="363"/>
      <c r="R955" s="363"/>
      <c r="S955" s="363"/>
      <c r="T955" s="363"/>
      <c r="U955" s="363"/>
    </row>
    <row r="956" spans="1:21" ht="18">
      <c r="A956" s="363"/>
      <c r="B956" s="363"/>
      <c r="C956" s="363"/>
      <c r="D956" s="363"/>
      <c r="E956" s="363"/>
      <c r="F956" s="363"/>
      <c r="G956" s="363"/>
      <c r="H956" s="363"/>
      <c r="I956" s="363"/>
      <c r="J956" s="363"/>
      <c r="K956" s="363"/>
      <c r="L956" s="363"/>
      <c r="M956" s="363"/>
      <c r="N956" s="363"/>
      <c r="O956" s="363"/>
      <c r="P956" s="363"/>
      <c r="Q956" s="363"/>
      <c r="R956" s="363"/>
      <c r="S956" s="363"/>
      <c r="T956" s="363"/>
      <c r="U956" s="363"/>
    </row>
    <row r="957" spans="1:21" ht="18">
      <c r="A957" s="363"/>
      <c r="B957" s="363"/>
      <c r="C957" s="363"/>
      <c r="D957" s="363"/>
      <c r="E957" s="363"/>
      <c r="F957" s="363"/>
      <c r="G957" s="363"/>
      <c r="H957" s="363"/>
      <c r="I957" s="363"/>
      <c r="J957" s="363"/>
      <c r="K957" s="363"/>
      <c r="L957" s="363"/>
      <c r="M957" s="363"/>
      <c r="N957" s="363"/>
      <c r="O957" s="363"/>
      <c r="P957" s="363"/>
      <c r="Q957" s="363"/>
      <c r="R957" s="363"/>
      <c r="S957" s="363"/>
      <c r="T957" s="363"/>
      <c r="U957" s="363"/>
    </row>
    <row r="958" spans="1:21" ht="18">
      <c r="A958" s="363"/>
      <c r="B958" s="363"/>
      <c r="C958" s="363"/>
      <c r="D958" s="363"/>
      <c r="E958" s="363"/>
      <c r="F958" s="363"/>
      <c r="G958" s="363"/>
      <c r="H958" s="363"/>
      <c r="I958" s="363"/>
      <c r="J958" s="363"/>
      <c r="K958" s="363"/>
      <c r="L958" s="363"/>
      <c r="M958" s="363"/>
      <c r="N958" s="363"/>
      <c r="O958" s="363"/>
      <c r="P958" s="363"/>
      <c r="Q958" s="363"/>
      <c r="R958" s="363"/>
      <c r="S958" s="363"/>
      <c r="T958" s="363"/>
      <c r="U958" s="363"/>
    </row>
    <row r="959" spans="1:21" ht="18">
      <c r="A959" s="363"/>
      <c r="B959" s="363"/>
      <c r="C959" s="363"/>
      <c r="D959" s="363"/>
      <c r="E959" s="363"/>
      <c r="F959" s="363"/>
      <c r="G959" s="363"/>
      <c r="H959" s="363"/>
      <c r="I959" s="363"/>
      <c r="J959" s="363"/>
      <c r="K959" s="363"/>
      <c r="L959" s="363"/>
      <c r="M959" s="363"/>
      <c r="N959" s="363"/>
      <c r="O959" s="363"/>
      <c r="P959" s="363"/>
      <c r="Q959" s="363"/>
      <c r="R959" s="363"/>
      <c r="S959" s="363"/>
      <c r="T959" s="363"/>
      <c r="U959" s="363"/>
    </row>
    <row r="960" spans="1:21" ht="18">
      <c r="A960" s="363"/>
      <c r="B960" s="363"/>
      <c r="C960" s="363"/>
      <c r="D960" s="363"/>
      <c r="E960" s="363"/>
      <c r="F960" s="363"/>
      <c r="G960" s="363"/>
      <c r="H960" s="363"/>
      <c r="I960" s="363"/>
      <c r="J960" s="363"/>
      <c r="K960" s="363"/>
      <c r="L960" s="363"/>
      <c r="M960" s="363"/>
      <c r="N960" s="363"/>
      <c r="O960" s="363"/>
      <c r="P960" s="363"/>
      <c r="Q960" s="363"/>
      <c r="R960" s="363"/>
      <c r="S960" s="363"/>
      <c r="T960" s="363"/>
      <c r="U960" s="363"/>
    </row>
    <row r="961" spans="1:21" ht="18">
      <c r="A961" s="363"/>
      <c r="B961" s="363"/>
      <c r="C961" s="363"/>
      <c r="D961" s="363"/>
      <c r="E961" s="363"/>
      <c r="F961" s="363"/>
      <c r="G961" s="363"/>
      <c r="H961" s="363"/>
      <c r="I961" s="363"/>
      <c r="J961" s="363"/>
      <c r="K961" s="363"/>
      <c r="L961" s="363"/>
      <c r="M961" s="363"/>
      <c r="N961" s="363"/>
      <c r="O961" s="363"/>
      <c r="P961" s="363"/>
      <c r="Q961" s="363"/>
      <c r="R961" s="363"/>
      <c r="S961" s="363"/>
      <c r="T961" s="363"/>
      <c r="U961" s="363"/>
    </row>
    <row r="962" spans="1:21" ht="18">
      <c r="A962" s="363"/>
      <c r="B962" s="363"/>
      <c r="C962" s="363"/>
      <c r="D962" s="363"/>
      <c r="E962" s="363"/>
      <c r="F962" s="363"/>
      <c r="G962" s="363"/>
      <c r="H962" s="363"/>
      <c r="I962" s="363"/>
      <c r="J962" s="363"/>
      <c r="K962" s="363"/>
      <c r="L962" s="363"/>
      <c r="M962" s="363"/>
      <c r="N962" s="363"/>
      <c r="O962" s="363"/>
      <c r="P962" s="363"/>
      <c r="Q962" s="363"/>
      <c r="R962" s="363"/>
      <c r="S962" s="363"/>
      <c r="T962" s="363"/>
      <c r="U962" s="363"/>
    </row>
    <row r="963" spans="1:21" ht="18">
      <c r="A963" s="363"/>
      <c r="B963" s="363"/>
      <c r="C963" s="363"/>
      <c r="D963" s="363"/>
      <c r="E963" s="363"/>
      <c r="F963" s="363"/>
      <c r="G963" s="363"/>
      <c r="H963" s="363"/>
      <c r="I963" s="363"/>
      <c r="J963" s="363"/>
      <c r="K963" s="363"/>
      <c r="L963" s="363"/>
      <c r="M963" s="363"/>
      <c r="N963" s="363"/>
      <c r="O963" s="363"/>
      <c r="P963" s="363"/>
      <c r="Q963" s="363"/>
      <c r="R963" s="363"/>
      <c r="S963" s="363"/>
      <c r="T963" s="363"/>
      <c r="U963" s="363"/>
    </row>
    <row r="964" spans="1:21" ht="18">
      <c r="A964" s="363"/>
      <c r="B964" s="363"/>
      <c r="C964" s="363"/>
      <c r="D964" s="363"/>
      <c r="E964" s="363"/>
      <c r="F964" s="363"/>
      <c r="G964" s="363"/>
      <c r="H964" s="363"/>
      <c r="I964" s="363"/>
      <c r="J964" s="363"/>
      <c r="K964" s="363"/>
      <c r="L964" s="363"/>
      <c r="M964" s="363"/>
      <c r="N964" s="363"/>
      <c r="O964" s="363"/>
      <c r="P964" s="363"/>
      <c r="Q964" s="363"/>
      <c r="R964" s="363"/>
      <c r="S964" s="363"/>
      <c r="T964" s="363"/>
      <c r="U964" s="363"/>
    </row>
    <row r="965" spans="1:21" ht="18">
      <c r="A965" s="363"/>
      <c r="B965" s="363"/>
      <c r="C965" s="363"/>
      <c r="D965" s="363"/>
      <c r="E965" s="363"/>
      <c r="F965" s="363"/>
      <c r="G965" s="363"/>
      <c r="H965" s="363"/>
      <c r="I965" s="363"/>
      <c r="J965" s="363"/>
      <c r="K965" s="363"/>
      <c r="L965" s="363"/>
      <c r="M965" s="363"/>
      <c r="N965" s="363"/>
      <c r="O965" s="363"/>
      <c r="P965" s="363"/>
      <c r="Q965" s="363"/>
      <c r="R965" s="363"/>
      <c r="S965" s="363"/>
      <c r="T965" s="363"/>
      <c r="U965" s="363"/>
    </row>
    <row r="966" spans="1:21" ht="18">
      <c r="A966" s="363"/>
      <c r="B966" s="363"/>
      <c r="C966" s="363"/>
      <c r="D966" s="363"/>
      <c r="E966" s="363"/>
      <c r="F966" s="363"/>
      <c r="G966" s="363"/>
      <c r="H966" s="363"/>
      <c r="I966" s="363"/>
      <c r="J966" s="363"/>
      <c r="K966" s="363"/>
      <c r="L966" s="363"/>
      <c r="M966" s="363"/>
      <c r="N966" s="363"/>
      <c r="O966" s="363"/>
      <c r="P966" s="363"/>
      <c r="Q966" s="363"/>
      <c r="R966" s="363"/>
      <c r="S966" s="363"/>
      <c r="T966" s="363"/>
      <c r="U966" s="363"/>
    </row>
    <row r="967" spans="1:21" ht="18">
      <c r="A967" s="363"/>
      <c r="B967" s="363"/>
      <c r="C967" s="363"/>
      <c r="D967" s="363"/>
      <c r="E967" s="363"/>
      <c r="F967" s="363"/>
      <c r="G967" s="363"/>
      <c r="H967" s="363"/>
      <c r="I967" s="363"/>
      <c r="J967" s="363"/>
      <c r="K967" s="363"/>
      <c r="L967" s="363"/>
      <c r="M967" s="363"/>
      <c r="N967" s="363"/>
      <c r="O967" s="363"/>
      <c r="P967" s="363"/>
      <c r="Q967" s="363"/>
      <c r="R967" s="363"/>
      <c r="S967" s="363"/>
      <c r="T967" s="363"/>
      <c r="U967" s="363"/>
    </row>
    <row r="968" spans="1:21" ht="18">
      <c r="A968" s="363"/>
      <c r="B968" s="363"/>
      <c r="C968" s="363"/>
      <c r="D968" s="363"/>
      <c r="E968" s="363"/>
      <c r="F968" s="363"/>
      <c r="G968" s="363"/>
      <c r="H968" s="363"/>
      <c r="I968" s="363"/>
      <c r="J968" s="363"/>
      <c r="K968" s="363"/>
      <c r="L968" s="363"/>
      <c r="M968" s="363"/>
      <c r="N968" s="363"/>
      <c r="O968" s="363"/>
      <c r="P968" s="363"/>
      <c r="Q968" s="363"/>
      <c r="R968" s="363"/>
      <c r="S968" s="363"/>
      <c r="T968" s="363"/>
      <c r="U968" s="363"/>
    </row>
    <row r="969" spans="1:21" ht="18">
      <c r="A969" s="363"/>
      <c r="B969" s="363"/>
      <c r="C969" s="363"/>
      <c r="D969" s="363"/>
      <c r="E969" s="363"/>
      <c r="F969" s="363"/>
      <c r="G969" s="363"/>
      <c r="H969" s="363"/>
      <c r="I969" s="363"/>
      <c r="J969" s="363"/>
      <c r="K969" s="363"/>
      <c r="L969" s="363"/>
      <c r="M969" s="363"/>
      <c r="N969" s="363"/>
      <c r="O969" s="363"/>
      <c r="P969" s="363"/>
      <c r="Q969" s="363"/>
      <c r="R969" s="363"/>
      <c r="S969" s="363"/>
      <c r="T969" s="363"/>
      <c r="U969" s="363"/>
    </row>
    <row r="970" spans="1:21" ht="18">
      <c r="A970" s="363"/>
      <c r="B970" s="363"/>
      <c r="C970" s="363"/>
      <c r="D970" s="363"/>
      <c r="E970" s="363"/>
      <c r="F970" s="363"/>
      <c r="G970" s="363"/>
      <c r="H970" s="363"/>
      <c r="I970" s="363"/>
      <c r="J970" s="363"/>
      <c r="K970" s="363"/>
      <c r="L970" s="363"/>
      <c r="M970" s="363"/>
      <c r="N970" s="363"/>
      <c r="O970" s="363"/>
      <c r="P970" s="363"/>
      <c r="Q970" s="363"/>
      <c r="R970" s="363"/>
      <c r="S970" s="363"/>
      <c r="T970" s="363"/>
      <c r="U970" s="363"/>
    </row>
    <row r="971" spans="1:21" ht="18">
      <c r="A971" s="363"/>
      <c r="B971" s="363"/>
      <c r="C971" s="363"/>
      <c r="D971" s="363"/>
      <c r="E971" s="363"/>
      <c r="F971" s="363"/>
      <c r="G971" s="363"/>
      <c r="H971" s="363"/>
      <c r="I971" s="363"/>
      <c r="J971" s="363"/>
      <c r="K971" s="363"/>
      <c r="L971" s="363"/>
      <c r="M971" s="363"/>
      <c r="N971" s="363"/>
      <c r="O971" s="363"/>
      <c r="P971" s="363"/>
      <c r="Q971" s="363"/>
      <c r="R971" s="363"/>
      <c r="S971" s="363"/>
      <c r="T971" s="363"/>
      <c r="U971" s="363"/>
    </row>
    <row r="972" spans="1:21" ht="18">
      <c r="A972" s="363"/>
      <c r="B972" s="363"/>
      <c r="C972" s="363"/>
      <c r="D972" s="363"/>
      <c r="E972" s="363"/>
      <c r="F972" s="363"/>
      <c r="G972" s="363"/>
      <c r="H972" s="363"/>
      <c r="I972" s="363"/>
      <c r="J972" s="363"/>
      <c r="K972" s="363"/>
      <c r="L972" s="363"/>
      <c r="M972" s="363"/>
      <c r="N972" s="363"/>
      <c r="O972" s="363"/>
      <c r="P972" s="363"/>
      <c r="Q972" s="363"/>
      <c r="R972" s="363"/>
      <c r="S972" s="363"/>
      <c r="T972" s="363"/>
      <c r="U972" s="363"/>
    </row>
    <row r="973" spans="1:21" ht="18">
      <c r="A973" s="363"/>
      <c r="B973" s="363"/>
      <c r="C973" s="363"/>
      <c r="D973" s="363"/>
      <c r="E973" s="363"/>
      <c r="F973" s="363"/>
      <c r="G973" s="363"/>
      <c r="H973" s="363"/>
      <c r="I973" s="363"/>
      <c r="J973" s="363"/>
      <c r="K973" s="363"/>
      <c r="L973" s="363"/>
      <c r="M973" s="363"/>
      <c r="N973" s="363"/>
      <c r="O973" s="363"/>
      <c r="P973" s="363"/>
      <c r="Q973" s="363"/>
      <c r="R973" s="363"/>
      <c r="S973" s="363"/>
      <c r="T973" s="363"/>
      <c r="U973" s="363"/>
    </row>
    <row r="974" spans="1:21" ht="18">
      <c r="A974" s="363"/>
      <c r="B974" s="363"/>
      <c r="C974" s="363"/>
      <c r="D974" s="363"/>
      <c r="E974" s="363"/>
      <c r="F974" s="363"/>
      <c r="G974" s="363"/>
      <c r="H974" s="363"/>
      <c r="I974" s="363"/>
      <c r="J974" s="363"/>
      <c r="K974" s="363"/>
      <c r="L974" s="363"/>
      <c r="M974" s="363"/>
      <c r="N974" s="363"/>
      <c r="O974" s="363"/>
      <c r="P974" s="363"/>
      <c r="Q974" s="363"/>
      <c r="R974" s="363"/>
      <c r="S974" s="363"/>
      <c r="T974" s="363"/>
      <c r="U974" s="363"/>
    </row>
    <row r="975" spans="1:21" ht="18">
      <c r="A975" s="363"/>
      <c r="B975" s="363"/>
      <c r="C975" s="363"/>
      <c r="D975" s="363"/>
      <c r="E975" s="363"/>
      <c r="F975" s="363"/>
      <c r="G975" s="363"/>
      <c r="H975" s="363"/>
      <c r="I975" s="363"/>
      <c r="J975" s="363"/>
      <c r="K975" s="363"/>
      <c r="L975" s="363"/>
      <c r="M975" s="363"/>
      <c r="N975" s="363"/>
      <c r="O975" s="363"/>
      <c r="P975" s="363"/>
      <c r="Q975" s="363"/>
      <c r="R975" s="363"/>
      <c r="S975" s="363"/>
      <c r="T975" s="363"/>
      <c r="U975" s="363"/>
    </row>
    <row r="976" spans="1:21" ht="18">
      <c r="A976" s="363"/>
      <c r="B976" s="363"/>
      <c r="C976" s="363"/>
      <c r="D976" s="363"/>
      <c r="E976" s="363"/>
      <c r="F976" s="363"/>
      <c r="G976" s="363"/>
      <c r="H976" s="363"/>
      <c r="I976" s="363"/>
      <c r="J976" s="363"/>
      <c r="K976" s="363"/>
      <c r="L976" s="363"/>
      <c r="M976" s="363"/>
      <c r="N976" s="363"/>
      <c r="O976" s="363"/>
      <c r="P976" s="363"/>
      <c r="Q976" s="363"/>
      <c r="R976" s="363"/>
      <c r="S976" s="363"/>
      <c r="T976" s="363"/>
      <c r="U976" s="363"/>
    </row>
    <row r="977" spans="1:21" ht="18">
      <c r="A977" s="363"/>
      <c r="B977" s="363"/>
      <c r="C977" s="363"/>
      <c r="D977" s="363"/>
      <c r="E977" s="363"/>
      <c r="F977" s="363"/>
      <c r="G977" s="363"/>
      <c r="H977" s="363"/>
      <c r="I977" s="363"/>
      <c r="J977" s="363"/>
      <c r="K977" s="363"/>
      <c r="L977" s="363"/>
      <c r="M977" s="363"/>
      <c r="N977" s="363"/>
      <c r="O977" s="363"/>
      <c r="P977" s="363"/>
      <c r="Q977" s="363"/>
      <c r="R977" s="363"/>
      <c r="S977" s="363"/>
      <c r="T977" s="363"/>
      <c r="U977" s="363"/>
    </row>
    <row r="978" spans="1:21" ht="18">
      <c r="A978" s="363"/>
      <c r="B978" s="363"/>
      <c r="C978" s="363"/>
      <c r="D978" s="363"/>
      <c r="E978" s="363"/>
      <c r="F978" s="363"/>
      <c r="G978" s="363"/>
      <c r="H978" s="363"/>
      <c r="I978" s="363"/>
      <c r="J978" s="363"/>
      <c r="K978" s="363"/>
      <c r="L978" s="363"/>
      <c r="M978" s="363"/>
      <c r="N978" s="363"/>
      <c r="O978" s="363"/>
      <c r="P978" s="363"/>
      <c r="Q978" s="363"/>
      <c r="R978" s="363"/>
      <c r="S978" s="363"/>
      <c r="T978" s="363"/>
      <c r="U978" s="363"/>
    </row>
    <row r="979" spans="1:21" ht="18">
      <c r="A979" s="363"/>
      <c r="B979" s="363"/>
      <c r="C979" s="363"/>
      <c r="D979" s="363"/>
      <c r="E979" s="363"/>
      <c r="F979" s="363"/>
      <c r="G979" s="363"/>
      <c r="H979" s="363"/>
      <c r="I979" s="363"/>
      <c r="J979" s="363"/>
      <c r="K979" s="363"/>
      <c r="L979" s="363"/>
      <c r="M979" s="363"/>
      <c r="N979" s="363"/>
      <c r="O979" s="363"/>
      <c r="P979" s="363"/>
      <c r="Q979" s="363"/>
      <c r="R979" s="363"/>
      <c r="S979" s="363"/>
      <c r="T979" s="363"/>
      <c r="U979" s="363"/>
    </row>
    <row r="980" spans="1:21" ht="18">
      <c r="A980" s="363"/>
      <c r="B980" s="363"/>
      <c r="C980" s="363"/>
      <c r="D980" s="363"/>
      <c r="E980" s="363"/>
      <c r="F980" s="363"/>
      <c r="G980" s="363"/>
      <c r="H980" s="363"/>
      <c r="I980" s="363"/>
      <c r="J980" s="363"/>
      <c r="K980" s="363"/>
      <c r="L980" s="363"/>
      <c r="M980" s="363"/>
      <c r="N980" s="363"/>
      <c r="O980" s="363"/>
      <c r="P980" s="363"/>
      <c r="Q980" s="363"/>
      <c r="R980" s="363"/>
      <c r="S980" s="363"/>
      <c r="T980" s="363"/>
      <c r="U980" s="363"/>
    </row>
    <row r="981" spans="1:21" ht="18">
      <c r="A981" s="363"/>
      <c r="B981" s="363"/>
      <c r="C981" s="363"/>
      <c r="D981" s="363"/>
      <c r="E981" s="363"/>
      <c r="F981" s="363"/>
      <c r="G981" s="363"/>
      <c r="H981" s="363"/>
      <c r="I981" s="363"/>
      <c r="J981" s="363"/>
      <c r="K981" s="363"/>
      <c r="L981" s="363"/>
      <c r="M981" s="363"/>
      <c r="N981" s="363"/>
      <c r="O981" s="363"/>
      <c r="P981" s="363"/>
      <c r="Q981" s="363"/>
      <c r="R981" s="363"/>
      <c r="S981" s="363"/>
      <c r="T981" s="363"/>
      <c r="U981" s="363"/>
    </row>
    <row r="982" spans="1:21" ht="18">
      <c r="A982" s="363"/>
      <c r="B982" s="363"/>
      <c r="C982" s="363"/>
      <c r="D982" s="363"/>
      <c r="E982" s="363"/>
      <c r="F982" s="363"/>
      <c r="G982" s="363"/>
      <c r="H982" s="363"/>
      <c r="I982" s="363"/>
      <c r="J982" s="363"/>
      <c r="K982" s="363"/>
      <c r="L982" s="363"/>
      <c r="M982" s="363"/>
      <c r="N982" s="363"/>
      <c r="O982" s="363"/>
      <c r="P982" s="363"/>
      <c r="Q982" s="363"/>
      <c r="R982" s="363"/>
      <c r="S982" s="363"/>
      <c r="T982" s="363"/>
      <c r="U982" s="363"/>
    </row>
    <row r="983" spans="1:21" ht="18">
      <c r="A983" s="363"/>
      <c r="B983" s="363"/>
      <c r="C983" s="363"/>
      <c r="D983" s="363"/>
      <c r="E983" s="363"/>
      <c r="F983" s="363"/>
      <c r="G983" s="363"/>
      <c r="H983" s="363"/>
      <c r="I983" s="363"/>
      <c r="J983" s="363"/>
      <c r="K983" s="363"/>
      <c r="L983" s="363"/>
      <c r="M983" s="363"/>
      <c r="N983" s="363"/>
      <c r="O983" s="363"/>
      <c r="P983" s="363"/>
      <c r="Q983" s="363"/>
      <c r="R983" s="363"/>
      <c r="S983" s="363"/>
      <c r="T983" s="363"/>
      <c r="U983" s="363"/>
    </row>
    <row r="984" spans="1:21" ht="18">
      <c r="A984" s="363"/>
      <c r="B984" s="363"/>
      <c r="C984" s="363"/>
      <c r="D984" s="363"/>
      <c r="E984" s="363"/>
      <c r="F984" s="363"/>
      <c r="G984" s="363"/>
      <c r="H984" s="363"/>
      <c r="I984" s="363"/>
      <c r="J984" s="363"/>
      <c r="K984" s="363"/>
      <c r="L984" s="363"/>
      <c r="M984" s="363"/>
      <c r="N984" s="363"/>
      <c r="O984" s="363"/>
      <c r="P984" s="363"/>
      <c r="Q984" s="363"/>
      <c r="R984" s="363"/>
      <c r="S984" s="363"/>
      <c r="T984" s="363"/>
      <c r="U984" s="363"/>
    </row>
    <row r="985" spans="1:21" ht="18">
      <c r="A985" s="363"/>
      <c r="B985" s="363"/>
      <c r="C985" s="363"/>
      <c r="D985" s="363"/>
      <c r="E985" s="363"/>
      <c r="F985" s="363"/>
      <c r="G985" s="363"/>
      <c r="H985" s="363"/>
      <c r="I985" s="363"/>
      <c r="J985" s="363"/>
      <c r="K985" s="363"/>
      <c r="L985" s="363"/>
      <c r="M985" s="363"/>
      <c r="N985" s="363"/>
      <c r="O985" s="363"/>
      <c r="P985" s="363"/>
      <c r="Q985" s="363"/>
      <c r="R985" s="363"/>
      <c r="S985" s="363"/>
      <c r="T985" s="363"/>
      <c r="U985" s="363"/>
    </row>
    <row r="986" spans="1:21" ht="18">
      <c r="A986" s="363"/>
      <c r="B986" s="363"/>
      <c r="C986" s="363"/>
      <c r="D986" s="363"/>
      <c r="E986" s="363"/>
      <c r="F986" s="363"/>
      <c r="G986" s="363"/>
      <c r="H986" s="363"/>
      <c r="I986" s="363"/>
      <c r="J986" s="363"/>
      <c r="K986" s="363"/>
      <c r="L986" s="363"/>
      <c r="M986" s="363"/>
      <c r="N986" s="363"/>
      <c r="O986" s="363"/>
      <c r="P986" s="363"/>
      <c r="Q986" s="363"/>
      <c r="R986" s="363"/>
      <c r="S986" s="363"/>
      <c r="T986" s="363"/>
      <c r="U986" s="363"/>
    </row>
    <row r="987" spans="1:21" ht="18">
      <c r="A987" s="363"/>
      <c r="B987" s="363"/>
      <c r="C987" s="363"/>
      <c r="D987" s="363"/>
      <c r="E987" s="363"/>
      <c r="F987" s="363"/>
      <c r="G987" s="363"/>
      <c r="H987" s="363"/>
      <c r="I987" s="363"/>
      <c r="J987" s="363"/>
      <c r="K987" s="363"/>
      <c r="L987" s="363"/>
      <c r="M987" s="363"/>
      <c r="N987" s="363"/>
      <c r="O987" s="363"/>
      <c r="P987" s="363"/>
      <c r="Q987" s="363"/>
      <c r="R987" s="363"/>
      <c r="S987" s="363"/>
      <c r="T987" s="363"/>
      <c r="U987" s="363"/>
    </row>
    <row r="988" spans="1:21" ht="18">
      <c r="A988" s="363"/>
      <c r="B988" s="363"/>
      <c r="C988" s="363"/>
      <c r="D988" s="363"/>
      <c r="E988" s="363"/>
      <c r="F988" s="363"/>
      <c r="G988" s="363"/>
      <c r="H988" s="363"/>
      <c r="I988" s="363"/>
      <c r="J988" s="363"/>
      <c r="K988" s="363"/>
      <c r="L988" s="363"/>
      <c r="M988" s="363"/>
      <c r="N988" s="363"/>
      <c r="O988" s="363"/>
      <c r="P988" s="363"/>
      <c r="Q988" s="363"/>
      <c r="R988" s="363"/>
      <c r="S988" s="363"/>
      <c r="T988" s="363"/>
      <c r="U988" s="363"/>
    </row>
    <row r="989" spans="1:21" ht="18">
      <c r="A989" s="363"/>
      <c r="B989" s="363"/>
      <c r="C989" s="363"/>
      <c r="D989" s="363"/>
      <c r="E989" s="363"/>
      <c r="F989" s="363"/>
      <c r="G989" s="363"/>
      <c r="H989" s="363"/>
      <c r="I989" s="363"/>
      <c r="J989" s="363"/>
      <c r="K989" s="363"/>
      <c r="L989" s="363"/>
      <c r="M989" s="363"/>
      <c r="N989" s="363"/>
      <c r="O989" s="363"/>
      <c r="P989" s="363"/>
      <c r="Q989" s="363"/>
      <c r="R989" s="363"/>
      <c r="S989" s="363"/>
      <c r="T989" s="363"/>
      <c r="U989" s="363"/>
    </row>
    <row r="990" spans="1:21" ht="18">
      <c r="A990" s="363"/>
      <c r="B990" s="363"/>
      <c r="C990" s="363"/>
      <c r="D990" s="363"/>
      <c r="E990" s="363"/>
      <c r="F990" s="363"/>
      <c r="G990" s="363"/>
      <c r="H990" s="363"/>
      <c r="I990" s="363"/>
      <c r="J990" s="363"/>
      <c r="K990" s="363"/>
      <c r="L990" s="363"/>
      <c r="M990" s="363"/>
      <c r="N990" s="363"/>
      <c r="O990" s="363"/>
      <c r="P990" s="363"/>
      <c r="Q990" s="363"/>
      <c r="R990" s="363"/>
      <c r="S990" s="363"/>
      <c r="T990" s="363"/>
      <c r="U990" s="363"/>
    </row>
    <row r="991" spans="1:21" ht="18">
      <c r="A991" s="363"/>
      <c r="B991" s="363"/>
      <c r="C991" s="363"/>
      <c r="D991" s="363"/>
      <c r="E991" s="363"/>
      <c r="F991" s="363"/>
      <c r="G991" s="363"/>
      <c r="H991" s="363"/>
      <c r="I991" s="363"/>
      <c r="J991" s="363"/>
      <c r="K991" s="363"/>
      <c r="L991" s="363"/>
      <c r="M991" s="363"/>
      <c r="N991" s="363"/>
      <c r="O991" s="363"/>
      <c r="P991" s="363"/>
      <c r="Q991" s="363"/>
      <c r="R991" s="363"/>
      <c r="S991" s="363"/>
      <c r="T991" s="363"/>
      <c r="U991" s="363"/>
    </row>
    <row r="992" spans="1:21" ht="18">
      <c r="A992" s="363"/>
      <c r="B992" s="363"/>
      <c r="C992" s="363"/>
      <c r="D992" s="363"/>
      <c r="E992" s="363"/>
      <c r="F992" s="363"/>
      <c r="G992" s="363"/>
      <c r="H992" s="363"/>
      <c r="I992" s="363"/>
      <c r="J992" s="363"/>
      <c r="K992" s="363"/>
      <c r="L992" s="363"/>
      <c r="M992" s="363"/>
      <c r="N992" s="363"/>
      <c r="O992" s="363"/>
      <c r="P992" s="363"/>
      <c r="Q992" s="363"/>
      <c r="R992" s="363"/>
      <c r="S992" s="363"/>
      <c r="T992" s="363"/>
      <c r="U992" s="363"/>
    </row>
    <row r="993" spans="1:21" ht="18">
      <c r="A993" s="363"/>
      <c r="B993" s="363"/>
      <c r="C993" s="363"/>
      <c r="D993" s="363"/>
      <c r="E993" s="363"/>
      <c r="F993" s="363"/>
      <c r="G993" s="363"/>
      <c r="H993" s="363"/>
      <c r="I993" s="363"/>
      <c r="J993" s="363"/>
      <c r="K993" s="363"/>
      <c r="L993" s="363"/>
      <c r="M993" s="363"/>
      <c r="N993" s="363"/>
      <c r="O993" s="363"/>
      <c r="P993" s="363"/>
      <c r="Q993" s="363"/>
      <c r="R993" s="363"/>
      <c r="S993" s="363"/>
      <c r="T993" s="363"/>
      <c r="U993" s="363"/>
    </row>
    <row r="994" spans="1:21" ht="18">
      <c r="A994" s="363"/>
      <c r="B994" s="363"/>
      <c r="C994" s="363"/>
      <c r="D994" s="363"/>
      <c r="E994" s="363"/>
      <c r="F994" s="363"/>
      <c r="G994" s="363"/>
      <c r="H994" s="363"/>
      <c r="I994" s="363"/>
      <c r="J994" s="363"/>
      <c r="K994" s="363"/>
      <c r="L994" s="363"/>
      <c r="M994" s="363"/>
      <c r="N994" s="363"/>
      <c r="O994" s="363"/>
      <c r="P994" s="363"/>
      <c r="Q994" s="363"/>
      <c r="R994" s="363"/>
      <c r="S994" s="363"/>
      <c r="T994" s="363"/>
      <c r="U994" s="363"/>
    </row>
    <row r="995" spans="1:21" ht="18">
      <c r="A995" s="363"/>
      <c r="B995" s="363"/>
      <c r="C995" s="363"/>
      <c r="D995" s="363"/>
      <c r="E995" s="363"/>
      <c r="F995" s="363"/>
      <c r="G995" s="363"/>
      <c r="H995" s="363"/>
      <c r="I995" s="363"/>
      <c r="J995" s="363"/>
      <c r="K995" s="363"/>
      <c r="L995" s="363"/>
      <c r="M995" s="363"/>
      <c r="N995" s="363"/>
      <c r="O995" s="363"/>
      <c r="P995" s="363"/>
      <c r="Q995" s="363"/>
      <c r="R995" s="363"/>
      <c r="S995" s="363"/>
      <c r="T995" s="363"/>
      <c r="U995" s="363"/>
    </row>
    <row r="996" spans="1:21" ht="18">
      <c r="A996" s="363"/>
      <c r="B996" s="363"/>
      <c r="C996" s="363"/>
      <c r="D996" s="363"/>
      <c r="E996" s="363"/>
      <c r="F996" s="363"/>
      <c r="G996" s="363"/>
      <c r="H996" s="363"/>
      <c r="I996" s="363"/>
      <c r="J996" s="363"/>
      <c r="K996" s="363"/>
      <c r="L996" s="363"/>
      <c r="M996" s="363"/>
      <c r="N996" s="363"/>
      <c r="O996" s="363"/>
      <c r="P996" s="363"/>
      <c r="Q996" s="363"/>
      <c r="R996" s="363"/>
      <c r="S996" s="363"/>
      <c r="T996" s="363"/>
      <c r="U996" s="363"/>
    </row>
    <row r="997" spans="1:21" ht="18">
      <c r="A997" s="363"/>
      <c r="B997" s="363"/>
      <c r="C997" s="363"/>
      <c r="D997" s="363"/>
      <c r="E997" s="363"/>
      <c r="F997" s="363"/>
      <c r="G997" s="363"/>
      <c r="H997" s="363"/>
      <c r="I997" s="363"/>
      <c r="J997" s="363"/>
      <c r="K997" s="363"/>
      <c r="L997" s="363"/>
      <c r="M997" s="363"/>
      <c r="N997" s="363"/>
      <c r="O997" s="363"/>
      <c r="P997" s="363"/>
      <c r="Q997" s="363"/>
      <c r="R997" s="363"/>
      <c r="S997" s="363"/>
      <c r="T997" s="363"/>
      <c r="U997" s="363"/>
    </row>
    <row r="998" spans="1:21" ht="18">
      <c r="A998" s="363"/>
      <c r="B998" s="363"/>
      <c r="C998" s="363"/>
      <c r="D998" s="363"/>
      <c r="E998" s="363"/>
      <c r="F998" s="363"/>
      <c r="G998" s="363"/>
      <c r="H998" s="363"/>
      <c r="I998" s="363"/>
      <c r="J998" s="363"/>
      <c r="K998" s="363"/>
      <c r="L998" s="363"/>
      <c r="M998" s="363"/>
      <c r="N998" s="363"/>
      <c r="O998" s="363"/>
      <c r="P998" s="363"/>
      <c r="Q998" s="363"/>
      <c r="R998" s="363"/>
      <c r="S998" s="363"/>
      <c r="T998" s="363"/>
      <c r="U998" s="363"/>
    </row>
    <row r="999" spans="1:21" ht="18">
      <c r="A999" s="363"/>
      <c r="B999" s="363"/>
      <c r="C999" s="363"/>
      <c r="D999" s="363"/>
      <c r="E999" s="363"/>
      <c r="F999" s="363"/>
      <c r="G999" s="363"/>
      <c r="H999" s="363"/>
      <c r="I999" s="363"/>
      <c r="J999" s="363"/>
      <c r="K999" s="363"/>
      <c r="L999" s="363"/>
      <c r="M999" s="363"/>
      <c r="N999" s="363"/>
      <c r="O999" s="363"/>
      <c r="P999" s="363"/>
      <c r="Q999" s="363"/>
      <c r="R999" s="363"/>
      <c r="S999" s="363"/>
      <c r="T999" s="363"/>
      <c r="U999" s="363"/>
    </row>
    <row r="1000" spans="1:21" ht="18">
      <c r="A1000" s="363"/>
      <c r="B1000" s="363"/>
      <c r="C1000" s="363"/>
      <c r="D1000" s="363"/>
      <c r="E1000" s="363"/>
      <c r="F1000" s="363"/>
      <c r="G1000" s="363"/>
      <c r="H1000" s="363"/>
      <c r="I1000" s="363"/>
      <c r="J1000" s="363"/>
      <c r="K1000" s="363"/>
      <c r="L1000" s="363"/>
      <c r="M1000" s="363"/>
      <c r="N1000" s="363"/>
      <c r="O1000" s="363"/>
      <c r="P1000" s="363"/>
      <c r="Q1000" s="363"/>
      <c r="R1000" s="363"/>
      <c r="S1000" s="363"/>
      <c r="T1000" s="363"/>
      <c r="U1000" s="363"/>
    </row>
    <row r="1001" spans="1:21" ht="18">
      <c r="A1001" s="363"/>
      <c r="B1001" s="363"/>
      <c r="C1001" s="363"/>
      <c r="D1001" s="363"/>
      <c r="E1001" s="363"/>
      <c r="F1001" s="363"/>
      <c r="G1001" s="363"/>
      <c r="H1001" s="363"/>
      <c r="I1001" s="363"/>
      <c r="J1001" s="363"/>
      <c r="K1001" s="363"/>
      <c r="L1001" s="363"/>
      <c r="M1001" s="363"/>
      <c r="N1001" s="363"/>
      <c r="O1001" s="363"/>
      <c r="P1001" s="363"/>
      <c r="Q1001" s="363"/>
      <c r="R1001" s="363"/>
      <c r="S1001" s="363"/>
      <c r="T1001" s="363"/>
      <c r="U1001" s="363"/>
    </row>
    <row r="1002" spans="1:21" ht="18">
      <c r="A1002" s="363"/>
      <c r="B1002" s="363"/>
      <c r="C1002" s="363"/>
      <c r="D1002" s="363"/>
      <c r="E1002" s="363"/>
      <c r="F1002" s="363"/>
      <c r="G1002" s="363"/>
      <c r="H1002" s="363"/>
      <c r="I1002" s="363"/>
      <c r="J1002" s="363"/>
      <c r="K1002" s="363"/>
      <c r="L1002" s="363"/>
      <c r="M1002" s="363"/>
      <c r="N1002" s="363"/>
      <c r="O1002" s="363"/>
      <c r="P1002" s="363"/>
      <c r="Q1002" s="363"/>
      <c r="R1002" s="363"/>
      <c r="S1002" s="363"/>
      <c r="T1002" s="363"/>
      <c r="U1002" s="363"/>
    </row>
    <row r="1003" spans="1:21" ht="18">
      <c r="A1003" s="363"/>
      <c r="B1003" s="363"/>
      <c r="C1003" s="363"/>
      <c r="D1003" s="363"/>
      <c r="E1003" s="363"/>
      <c r="F1003" s="363"/>
      <c r="G1003" s="363"/>
      <c r="H1003" s="363"/>
      <c r="I1003" s="363"/>
      <c r="J1003" s="363"/>
      <c r="K1003" s="363"/>
      <c r="L1003" s="363"/>
      <c r="M1003" s="363"/>
      <c r="N1003" s="363"/>
      <c r="O1003" s="363"/>
      <c r="P1003" s="363"/>
      <c r="Q1003" s="363"/>
      <c r="R1003" s="363"/>
      <c r="S1003" s="363"/>
      <c r="T1003" s="363"/>
      <c r="U1003" s="363"/>
    </row>
    <row r="1004" spans="1:21" ht="18">
      <c r="A1004" s="363"/>
      <c r="B1004" s="363"/>
      <c r="C1004" s="363"/>
      <c r="D1004" s="363"/>
      <c r="E1004" s="363"/>
      <c r="F1004" s="363"/>
      <c r="G1004" s="363"/>
      <c r="H1004" s="363"/>
      <c r="I1004" s="363"/>
      <c r="J1004" s="363"/>
      <c r="K1004" s="363"/>
      <c r="L1004" s="363"/>
      <c r="M1004" s="363"/>
      <c r="N1004" s="363"/>
      <c r="O1004" s="363"/>
      <c r="P1004" s="363"/>
      <c r="Q1004" s="363"/>
      <c r="R1004" s="363"/>
      <c r="S1004" s="363"/>
      <c r="T1004" s="363"/>
      <c r="U1004" s="363"/>
    </row>
    <row r="1005" spans="1:21" ht="18">
      <c r="A1005" s="363"/>
      <c r="B1005" s="363"/>
      <c r="C1005" s="363"/>
      <c r="D1005" s="363"/>
      <c r="E1005" s="363"/>
      <c r="F1005" s="363"/>
      <c r="G1005" s="363"/>
      <c r="H1005" s="363"/>
      <c r="I1005" s="363"/>
      <c r="J1005" s="363"/>
      <c r="K1005" s="363"/>
      <c r="L1005" s="363"/>
      <c r="M1005" s="363"/>
      <c r="N1005" s="363"/>
      <c r="O1005" s="363"/>
      <c r="P1005" s="363"/>
      <c r="Q1005" s="363"/>
      <c r="R1005" s="363"/>
      <c r="S1005" s="363"/>
      <c r="T1005" s="363"/>
      <c r="U1005" s="363"/>
    </row>
  </sheetData>
  <mergeCells count="2">
    <mergeCell ref="B36:H36"/>
    <mergeCell ref="C1:H1"/>
  </mergeCells>
  <conditionalFormatting sqref="C30:H30">
    <cfRule type="cellIs" dxfId="3" priority="3" operator="equal">
      <formula>0</formula>
    </cfRule>
  </conditionalFormatting>
  <conditionalFormatting sqref="C30:H30">
    <cfRule type="cellIs" dxfId="2" priority="4" operator="notEqual">
      <formula>0</formula>
    </cfRule>
  </conditionalFormatting>
  <conditionalFormatting sqref="B30">
    <cfRule type="cellIs" dxfId="1" priority="1" operator="equal">
      <formula>0</formula>
    </cfRule>
  </conditionalFormatting>
  <conditionalFormatting sqref="B30">
    <cfRule type="cellIs" dxfId="0" priority="2" operator="notEqual">
      <formula>0</formula>
    </cfRule>
  </conditionalFormatting>
  <hyperlinks>
    <hyperlink ref="B1" location="Index!A1" display="Index!A1"/>
  </hyperlink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6D7A8"/>
  </sheetPr>
  <dimension ref="A1:Z1001"/>
  <sheetViews>
    <sheetView showGridLines="0" zoomScale="80" zoomScaleNormal="80" workbookViewId="0">
      <pane ySplit="2" topLeftCell="A3" activePane="bottomLeft" state="frozen"/>
      <selection pane="bottomLeft"/>
    </sheetView>
  </sheetViews>
  <sheetFormatPr defaultColWidth="14.33203125" defaultRowHeight="14.25"/>
  <cols>
    <col min="1" max="1" width="6.53125" customWidth="1"/>
    <col min="2" max="2" width="43.6640625" bestFit="1" customWidth="1"/>
    <col min="3" max="3" width="24.33203125" bestFit="1" customWidth="1"/>
    <col min="4" max="9" width="15" customWidth="1"/>
    <col min="10" max="10" width="20.46484375" customWidth="1"/>
    <col min="11" max="13" width="8.796875" customWidth="1"/>
    <col min="14" max="14" width="21.53125" customWidth="1"/>
    <col min="15" max="16" width="13.1328125" bestFit="1" customWidth="1"/>
    <col min="17" max="19" width="12.3984375" bestFit="1" customWidth="1"/>
    <col min="20" max="21" width="14.3984375" bestFit="1" customWidth="1"/>
    <col min="22" max="26" width="8.796875" customWidth="1"/>
  </cols>
  <sheetData>
    <row r="1" spans="1:26" ht="18" customHeight="1">
      <c r="A1" s="378"/>
      <c r="B1" s="1211" t="s">
        <v>0</v>
      </c>
      <c r="C1" s="1332" t="s">
        <v>915</v>
      </c>
      <c r="D1" s="1333"/>
      <c r="E1" s="1333"/>
      <c r="F1" s="1333"/>
      <c r="G1" s="1333"/>
      <c r="H1" s="1333"/>
      <c r="I1" s="1333"/>
      <c r="J1" s="926"/>
      <c r="K1" s="927"/>
      <c r="L1" s="927"/>
      <c r="M1" s="927"/>
      <c r="N1" s="927"/>
      <c r="O1" s="927"/>
      <c r="P1" s="927"/>
      <c r="Q1" s="378"/>
      <c r="R1" s="378"/>
      <c r="S1" s="378"/>
      <c r="T1" s="378"/>
      <c r="U1" s="378"/>
      <c r="V1" s="378"/>
      <c r="W1" s="378"/>
      <c r="X1" s="378"/>
      <c r="Y1" s="378"/>
      <c r="Z1" s="378"/>
    </row>
    <row r="2" spans="1:26" ht="18.399999999999999" thickBot="1">
      <c r="A2" s="378"/>
      <c r="B2" s="911" t="s">
        <v>329</v>
      </c>
      <c r="C2" s="912"/>
      <c r="D2" s="1012" t="s">
        <v>457</v>
      </c>
      <c r="E2" s="1006" t="s">
        <v>4</v>
      </c>
      <c r="F2" s="1006" t="s">
        <v>61</v>
      </c>
      <c r="G2" s="1006" t="s">
        <v>63</v>
      </c>
      <c r="H2" s="1006" t="s">
        <v>65</v>
      </c>
      <c r="I2" s="1006" t="s">
        <v>67</v>
      </c>
      <c r="J2" s="1057"/>
      <c r="K2" s="379"/>
      <c r="L2" s="378"/>
      <c r="M2" s="378"/>
      <c r="N2" s="1006" t="s">
        <v>934</v>
      </c>
      <c r="O2" s="1193">
        <v>0</v>
      </c>
      <c r="P2" s="1194">
        <v>1</v>
      </c>
      <c r="Q2" s="1194">
        <v>2</v>
      </c>
      <c r="R2" s="1194">
        <v>3</v>
      </c>
      <c r="S2" s="1194">
        <v>4</v>
      </c>
      <c r="T2" s="1194">
        <v>5</v>
      </c>
      <c r="U2" s="1195">
        <v>6</v>
      </c>
      <c r="V2" s="378"/>
      <c r="W2" s="378"/>
      <c r="X2" s="378"/>
      <c r="Y2" s="378"/>
      <c r="Z2" s="378"/>
    </row>
    <row r="3" spans="1:26" ht="18">
      <c r="A3" s="378"/>
      <c r="B3" s="1058" t="s">
        <v>458</v>
      </c>
      <c r="C3" s="1059"/>
      <c r="D3" s="1060">
        <f>-'FE Balance Sheet'!C17</f>
        <v>-318978.99800000002</v>
      </c>
      <c r="E3" s="1061" t="s">
        <v>353</v>
      </c>
      <c r="F3" s="1062"/>
      <c r="G3" s="1061"/>
      <c r="H3" s="1061" t="s">
        <v>353</v>
      </c>
      <c r="I3" s="1061" t="s">
        <v>353</v>
      </c>
      <c r="J3" s="1063"/>
      <c r="K3" s="380"/>
      <c r="L3" s="378"/>
      <c r="M3" s="378"/>
      <c r="N3" s="1058" t="s">
        <v>935</v>
      </c>
      <c r="O3" s="1060">
        <f>D10</f>
        <v>-858030.18312499998</v>
      </c>
      <c r="P3" s="1060">
        <f t="shared" ref="P3:U3" si="0">E10</f>
        <v>-301559.97258562659</v>
      </c>
      <c r="Q3" s="1060">
        <f t="shared" si="0"/>
        <v>150230.89395119151</v>
      </c>
      <c r="R3" s="1060">
        <f t="shared" si="0"/>
        <v>103768.64484896627</v>
      </c>
      <c r="S3" s="1060">
        <f t="shared" si="0"/>
        <v>605215.03150014381</v>
      </c>
      <c r="T3" s="1060">
        <f t="shared" si="0"/>
        <v>1299901.6463277496</v>
      </c>
      <c r="U3" s="1190">
        <f t="shared" si="0"/>
        <v>1299901.6463277496</v>
      </c>
      <c r="V3" s="378"/>
      <c r="W3" s="378"/>
      <c r="X3" s="378"/>
      <c r="Y3" s="378"/>
      <c r="Z3" s="378"/>
    </row>
    <row r="4" spans="1:26" ht="18.399999999999999" thickBot="1">
      <c r="A4" s="378"/>
      <c r="B4" s="1064"/>
      <c r="C4" s="901"/>
      <c r="D4" s="902"/>
      <c r="E4" s="903"/>
      <c r="F4" s="916"/>
      <c r="G4" s="916"/>
      <c r="H4" s="916"/>
      <c r="I4" s="916"/>
      <c r="J4" s="1065"/>
      <c r="K4" s="380"/>
      <c r="L4" s="378"/>
      <c r="M4" s="378"/>
      <c r="N4" s="1103" t="s">
        <v>68</v>
      </c>
      <c r="O4" s="1191">
        <v>0</v>
      </c>
      <c r="P4" s="1191">
        <f>E11</f>
        <v>1.3514561358288426</v>
      </c>
      <c r="Q4" s="1191">
        <f t="shared" ref="Q4:U4" si="1">F11</f>
        <v>1.4981791603941539</v>
      </c>
      <c r="R4" s="1191">
        <f t="shared" si="1"/>
        <v>-0.30927226671047003</v>
      </c>
      <c r="S4" s="1191">
        <f t="shared" si="1"/>
        <v>4.8323497659724222</v>
      </c>
      <c r="T4" s="1191">
        <f t="shared" si="1"/>
        <v>1.1478343707123222</v>
      </c>
      <c r="U4" s="1192">
        <f t="shared" si="1"/>
        <v>0</v>
      </c>
      <c r="V4" s="378"/>
      <c r="W4" s="378"/>
      <c r="X4" s="378"/>
      <c r="Y4" s="378"/>
      <c r="Z4" s="378"/>
    </row>
    <row r="5" spans="1:26" ht="18">
      <c r="A5" s="378"/>
      <c r="B5" s="1046" t="s">
        <v>393</v>
      </c>
      <c r="C5" s="913"/>
      <c r="D5" s="914">
        <f>'FE Income Statement'!C24</f>
        <v>-286777.105125</v>
      </c>
      <c r="E5" s="915">
        <f>'FE Income Statement'!D24</f>
        <v>320395.35741437343</v>
      </c>
      <c r="F5" s="915">
        <f>'FE Income Statement'!E24</f>
        <v>492658.40435119154</v>
      </c>
      <c r="G5" s="915">
        <f>'FE Income Statement'!F24</f>
        <v>1081353.7124360255</v>
      </c>
      <c r="H5" s="915">
        <f>'FE Income Statement'!G24</f>
        <v>1589477.2390872031</v>
      </c>
      <c r="I5" s="915">
        <f>'FE Income Statement'!H24</f>
        <v>1872048.7139148088</v>
      </c>
      <c r="J5" s="1066"/>
      <c r="K5" s="378"/>
      <c r="L5" s="378"/>
      <c r="M5" s="378"/>
      <c r="N5" s="378"/>
      <c r="O5" s="378"/>
      <c r="P5" s="378"/>
      <c r="Q5" s="378"/>
      <c r="R5" s="378"/>
      <c r="S5" s="378"/>
      <c r="T5" s="378"/>
      <c r="U5" s="378"/>
      <c r="V5" s="378"/>
      <c r="W5" s="378"/>
      <c r="X5" s="378"/>
      <c r="Y5" s="378"/>
      <c r="Z5" s="378"/>
    </row>
    <row r="6" spans="1:26" ht="18">
      <c r="A6" s="378"/>
      <c r="B6" s="1025" t="s">
        <v>459</v>
      </c>
      <c r="C6" s="901"/>
      <c r="D6" s="902">
        <f>SUM('FE Income Statement'!C16:C17)</f>
        <v>0</v>
      </c>
      <c r="E6" s="903">
        <f>SUM('FE Income Statement'!D16:D17)</f>
        <v>15795.8</v>
      </c>
      <c r="F6" s="903">
        <f>SUM('FE Income Statement'!E16:E17)</f>
        <v>15795.799599999998</v>
      </c>
      <c r="G6" s="903">
        <f>SUM('FE Income Statement'!F16:F17)</f>
        <v>17623.652412940799</v>
      </c>
      <c r="H6" s="903">
        <f>SUM('FE Income Statement'!G16:G17)</f>
        <v>17623.652412940799</v>
      </c>
      <c r="I6" s="903">
        <f>SUM('FE Income Statement'!H16:H17)</f>
        <v>17623.652412940799</v>
      </c>
      <c r="J6" s="1067"/>
      <c r="K6" s="378"/>
      <c r="L6" s="378"/>
      <c r="M6" s="378"/>
      <c r="N6" s="378"/>
      <c r="O6" s="378"/>
      <c r="P6" s="378"/>
      <c r="Q6" s="378"/>
      <c r="R6" s="378"/>
      <c r="S6" s="378"/>
      <c r="T6" s="378"/>
      <c r="U6" s="378"/>
      <c r="V6" s="378"/>
      <c r="W6" s="378"/>
      <c r="X6" s="378"/>
      <c r="Y6" s="378"/>
      <c r="Z6" s="378"/>
    </row>
    <row r="7" spans="1:26" ht="18">
      <c r="A7" s="378"/>
      <c r="B7" s="1046" t="s">
        <v>460</v>
      </c>
      <c r="C7" s="913"/>
      <c r="D7" s="917">
        <f>'PPE &amp; Amortization Schedule'!B31</f>
        <v>0</v>
      </c>
      <c r="E7" s="918">
        <f>'PPE &amp; Amortization Schedule'!C31</f>
        <v>24000</v>
      </c>
      <c r="F7" s="918">
        <f>'PPE &amp; Amortization Schedule'!D31</f>
        <v>24000</v>
      </c>
      <c r="G7" s="918">
        <f>'PPE &amp; Amortization Schedule'!E31</f>
        <v>24000</v>
      </c>
      <c r="H7" s="918">
        <f>'PPE &amp; Amortization Schedule'!F31</f>
        <v>24000</v>
      </c>
      <c r="I7" s="918">
        <f>'PPE &amp; Amortization Schedule'!G31</f>
        <v>24000</v>
      </c>
      <c r="J7" s="1066"/>
      <c r="K7" s="378"/>
      <c r="L7" s="378"/>
      <c r="M7" s="378"/>
      <c r="N7" s="378"/>
      <c r="O7" s="378"/>
      <c r="P7" s="378"/>
      <c r="Q7" s="378"/>
      <c r="R7" s="378"/>
      <c r="S7" s="378"/>
      <c r="T7" s="378"/>
      <c r="U7" s="378"/>
      <c r="V7" s="378"/>
      <c r="W7" s="378"/>
      <c r="X7" s="378"/>
      <c r="Y7" s="378"/>
      <c r="Z7" s="378"/>
    </row>
    <row r="8" spans="1:26" ht="18">
      <c r="A8" s="378"/>
      <c r="B8" s="1025" t="s">
        <v>461</v>
      </c>
      <c r="C8" s="901"/>
      <c r="D8" s="902">
        <f>'FE Balance Sheet'!C34</f>
        <v>252274.08</v>
      </c>
      <c r="E8" s="919">
        <f>'FE Balance Sheet'!D34</f>
        <v>661751.13</v>
      </c>
      <c r="F8" s="919">
        <f>'FE Balance Sheet'!E34</f>
        <v>382223.31</v>
      </c>
      <c r="G8" s="919">
        <f>'FE Balance Sheet'!F34</f>
        <v>1010069.46</v>
      </c>
      <c r="H8" s="919">
        <f>'FE Balance Sheet'!G34</f>
        <v>1025885.86</v>
      </c>
      <c r="I8" s="919">
        <f>'FE Balance Sheet'!H34</f>
        <v>613770.72</v>
      </c>
      <c r="J8" s="1068"/>
      <c r="K8" s="378"/>
      <c r="L8" s="378"/>
      <c r="M8" s="378"/>
      <c r="N8" s="378"/>
      <c r="O8" s="378"/>
      <c r="P8" s="378"/>
      <c r="Q8" s="378"/>
      <c r="R8" s="378"/>
      <c r="S8" s="378"/>
      <c r="T8" s="378"/>
      <c r="U8" s="378"/>
      <c r="V8" s="378"/>
      <c r="W8" s="378"/>
      <c r="X8" s="378"/>
      <c r="Y8" s="378"/>
      <c r="Z8" s="378"/>
    </row>
    <row r="9" spans="1:26" ht="18">
      <c r="A9" s="378"/>
      <c r="B9" s="1046" t="s">
        <v>462</v>
      </c>
      <c r="C9" s="913"/>
      <c r="D9" s="917">
        <v>0</v>
      </c>
      <c r="E9" s="920">
        <v>0</v>
      </c>
      <c r="F9" s="920">
        <v>0</v>
      </c>
      <c r="G9" s="920">
        <f>'FE Balance Sheet'!F12-'FE Balance Sheet'!E12</f>
        <v>9139.2599999999948</v>
      </c>
      <c r="H9" s="920">
        <v>0</v>
      </c>
      <c r="I9" s="920">
        <v>0</v>
      </c>
      <c r="J9" s="1069"/>
      <c r="K9" s="378"/>
      <c r="L9" s="378"/>
      <c r="M9" s="378"/>
      <c r="N9" s="378"/>
      <c r="P9" s="378"/>
      <c r="Q9" s="378"/>
      <c r="R9" s="378"/>
      <c r="S9" s="378"/>
      <c r="T9" s="378"/>
      <c r="U9" s="378"/>
      <c r="V9" s="378"/>
      <c r="W9" s="378"/>
      <c r="X9" s="378"/>
      <c r="Y9" s="378"/>
      <c r="Z9" s="378"/>
    </row>
    <row r="10" spans="1:26" ht="18">
      <c r="A10" s="378"/>
      <c r="B10" s="1025" t="s">
        <v>463</v>
      </c>
      <c r="C10" s="901"/>
      <c r="D10" s="902">
        <f>(D5+D6+D7)-SUM(D8:D9)+D3</f>
        <v>-858030.18312499998</v>
      </c>
      <c r="E10" s="919">
        <f t="shared" ref="E10:I10" si="2">(E5+E6+E7)-SUM(E8:E9)</f>
        <v>-301559.97258562659</v>
      </c>
      <c r="F10" s="919">
        <f t="shared" si="2"/>
        <v>150230.89395119151</v>
      </c>
      <c r="G10" s="919">
        <f t="shared" si="2"/>
        <v>103768.64484896627</v>
      </c>
      <c r="H10" s="919">
        <f t="shared" si="2"/>
        <v>605215.03150014381</v>
      </c>
      <c r="I10" s="919">
        <f t="shared" si="2"/>
        <v>1299901.6463277496</v>
      </c>
      <c r="J10" s="1068">
        <f>I10</f>
        <v>1299901.6463277496</v>
      </c>
      <c r="K10" s="381"/>
      <c r="L10" s="378"/>
      <c r="M10" s="378"/>
      <c r="N10" s="378"/>
      <c r="O10" s="378"/>
      <c r="P10" s="378"/>
      <c r="Q10" s="378"/>
      <c r="R10" s="378"/>
      <c r="S10" s="378"/>
      <c r="T10" s="378"/>
      <c r="U10" s="378"/>
      <c r="V10" s="378"/>
      <c r="W10" s="378"/>
      <c r="X10" s="378"/>
      <c r="Y10" s="378"/>
      <c r="Z10" s="378"/>
    </row>
    <row r="11" spans="1:26" ht="18">
      <c r="A11" s="378"/>
      <c r="B11" s="1018" t="s">
        <v>931</v>
      </c>
      <c r="C11" s="913"/>
      <c r="D11" s="913"/>
      <c r="E11" s="1040">
        <f>(E$10+D$10)/D$10</f>
        <v>1.3514561358288426</v>
      </c>
      <c r="F11" s="1040">
        <f>ABS((F$10-E$10)/E$10)</f>
        <v>1.4981791603941539</v>
      </c>
      <c r="G11" s="1040">
        <f t="shared" ref="G11" si="3">(G$10-F$10)/F$10</f>
        <v>-0.30927226671047003</v>
      </c>
      <c r="H11" s="1040">
        <f>(H$10-G$10)/G$10</f>
        <v>4.8323497659724222</v>
      </c>
      <c r="I11" s="1040">
        <f>(I$10-H$10)/H$10</f>
        <v>1.1478343707123222</v>
      </c>
      <c r="J11" s="1198">
        <f>(J$10-I$10)/I$10</f>
        <v>0</v>
      </c>
      <c r="K11" s="381"/>
      <c r="L11" s="378"/>
      <c r="M11" s="378"/>
      <c r="N11" s="378"/>
      <c r="O11" s="378"/>
      <c r="P11" s="378"/>
      <c r="Q11" s="378"/>
      <c r="R11" s="378"/>
      <c r="S11" s="378"/>
      <c r="T11" s="378"/>
      <c r="U11" s="378"/>
      <c r="V11" s="378"/>
      <c r="W11" s="378"/>
      <c r="X11" s="378"/>
      <c r="Y11" s="378"/>
      <c r="Z11" s="378"/>
    </row>
    <row r="12" spans="1:26" ht="18">
      <c r="A12" s="378"/>
      <c r="B12" s="1025" t="s">
        <v>464</v>
      </c>
      <c r="C12" s="901"/>
      <c r="D12" s="902">
        <v>0</v>
      </c>
      <c r="E12" s="921">
        <v>0</v>
      </c>
      <c r="F12" s="921">
        <v>0</v>
      </c>
      <c r="G12" s="921">
        <v>0</v>
      </c>
      <c r="H12" s="921">
        <v>0</v>
      </c>
      <c r="I12" s="922">
        <f>J10/C20</f>
        <v>4847304.4946405254</v>
      </c>
      <c r="J12" s="1070" t="s">
        <v>465</v>
      </c>
      <c r="K12" s="378"/>
      <c r="L12" s="382"/>
      <c r="M12" s="382"/>
      <c r="N12" s="378"/>
      <c r="O12" s="378"/>
      <c r="P12" s="378"/>
      <c r="Q12" s="378"/>
      <c r="R12" s="378"/>
      <c r="S12" s="378"/>
      <c r="T12" s="378"/>
      <c r="U12" s="378"/>
      <c r="V12" s="378"/>
      <c r="W12" s="378"/>
      <c r="X12" s="378"/>
      <c r="Y12" s="378"/>
      <c r="Z12" s="378"/>
    </row>
    <row r="13" spans="1:26" ht="18">
      <c r="A13" s="378"/>
      <c r="B13" s="1046"/>
      <c r="C13" s="913"/>
      <c r="D13" s="913"/>
      <c r="E13" s="913"/>
      <c r="F13" s="913"/>
      <c r="G13" s="913"/>
      <c r="H13" s="913"/>
      <c r="I13" s="907">
        <f>('FE Balance Sheet'!H10*0.75)-'FE Balance Sheet'!H22</f>
        <v>1070620.5599999996</v>
      </c>
      <c r="J13" s="1071" t="s">
        <v>466</v>
      </c>
      <c r="K13" s="382"/>
      <c r="L13" s="378"/>
      <c r="M13" s="378"/>
      <c r="N13" s="378"/>
      <c r="O13" s="378"/>
      <c r="P13" s="378"/>
      <c r="Q13" s="378"/>
      <c r="R13" s="378"/>
      <c r="S13" s="378"/>
      <c r="T13" s="378"/>
      <c r="U13" s="378"/>
      <c r="V13" s="378"/>
      <c r="W13" s="378"/>
      <c r="X13" s="378"/>
      <c r="Y13" s="378"/>
      <c r="Z13" s="378"/>
    </row>
    <row r="14" spans="1:26" s="740" customFormat="1" ht="18.399999999999999" thickBot="1">
      <c r="A14" s="385"/>
      <c r="B14" s="1072"/>
      <c r="C14" s="904"/>
      <c r="D14" s="905"/>
      <c r="E14" s="906"/>
      <c r="F14" s="906"/>
      <c r="G14" s="906"/>
      <c r="H14" s="906"/>
      <c r="I14" s="908">
        <f>ROUND((I12*0.7)+(I13*0.3),0)</f>
        <v>3714299</v>
      </c>
      <c r="J14" s="1070" t="s">
        <v>469</v>
      </c>
      <c r="K14" s="382"/>
      <c r="L14" s="385"/>
      <c r="M14" s="385"/>
      <c r="N14" s="385"/>
      <c r="O14" s="385"/>
      <c r="P14" s="385"/>
      <c r="Q14" s="385"/>
      <c r="R14" s="385"/>
      <c r="S14" s="385"/>
      <c r="T14" s="385"/>
      <c r="U14" s="385"/>
      <c r="V14" s="385"/>
      <c r="W14" s="385"/>
      <c r="X14" s="385"/>
      <c r="Y14" s="385"/>
      <c r="Z14" s="385"/>
    </row>
    <row r="15" spans="1:26" ht="18">
      <c r="A15" s="378"/>
      <c r="B15" s="1022" t="s">
        <v>467</v>
      </c>
      <c r="C15" s="913"/>
      <c r="D15" s="914">
        <f t="shared" ref="D15:H15" si="4">D10</f>
        <v>-858030.18312499998</v>
      </c>
      <c r="E15" s="915">
        <f t="shared" si="4"/>
        <v>-301559.97258562659</v>
      </c>
      <c r="F15" s="915">
        <f t="shared" si="4"/>
        <v>150230.89395119151</v>
      </c>
      <c r="G15" s="915">
        <f t="shared" si="4"/>
        <v>103768.64484896627</v>
      </c>
      <c r="H15" s="915">
        <f t="shared" si="4"/>
        <v>605215.03150014381</v>
      </c>
      <c r="I15" s="915">
        <f>I10+I14</f>
        <v>5014200.6463277498</v>
      </c>
      <c r="J15" s="1066"/>
      <c r="K15" s="378"/>
      <c r="L15" s="378"/>
      <c r="M15" s="378"/>
      <c r="N15" s="378"/>
      <c r="O15" s="378"/>
      <c r="P15" s="378"/>
      <c r="Q15" s="378"/>
      <c r="R15" s="378"/>
      <c r="S15" s="378"/>
      <c r="T15" s="378"/>
      <c r="U15" s="378"/>
      <c r="V15" s="378"/>
      <c r="W15" s="378"/>
      <c r="X15" s="378"/>
      <c r="Y15" s="378"/>
      <c r="Z15" s="378"/>
    </row>
    <row r="16" spans="1:26" ht="18">
      <c r="A16" s="378"/>
      <c r="B16" s="1073" t="s">
        <v>930</v>
      </c>
      <c r="C16" s="923" t="s">
        <v>353</v>
      </c>
      <c r="D16" s="924"/>
      <c r="E16" s="925">
        <f t="shared" ref="E16:I16" si="5">(E$5-D$5)/E$5</f>
        <v>1.8950725985523744</v>
      </c>
      <c r="F16" s="925">
        <f t="shared" si="5"/>
        <v>0.34966022179948519</v>
      </c>
      <c r="G16" s="925">
        <f t="shared" si="5"/>
        <v>0.54440586952686121</v>
      </c>
      <c r="H16" s="925">
        <f t="shared" si="5"/>
        <v>0.31967964948210281</v>
      </c>
      <c r="I16" s="925">
        <f t="shared" si="5"/>
        <v>0.15094237277442168</v>
      </c>
      <c r="J16" s="1074"/>
      <c r="K16" s="378"/>
      <c r="L16" s="378"/>
      <c r="M16" s="378"/>
      <c r="N16" s="378"/>
      <c r="O16" s="378"/>
      <c r="P16" s="378"/>
      <c r="Q16" s="378"/>
      <c r="R16" s="378"/>
      <c r="S16" s="378"/>
      <c r="T16" s="378"/>
      <c r="U16" s="378"/>
      <c r="V16" s="378"/>
      <c r="W16" s="378"/>
      <c r="X16" s="378"/>
      <c r="Y16" s="378"/>
      <c r="Z16" s="378"/>
    </row>
    <row r="17" spans="1:26" ht="18.399999999999999" thickBot="1">
      <c r="A17" s="378"/>
      <c r="B17" s="1072" t="s">
        <v>929</v>
      </c>
      <c r="C17" s="904"/>
      <c r="D17" s="1075"/>
      <c r="E17" s="1076">
        <f>(E$15+D$15)/D$15</f>
        <v>1.3514561358288426</v>
      </c>
      <c r="F17" s="1076">
        <f>(F$15-E$15)/-E$15</f>
        <v>1.4981791603941539</v>
      </c>
      <c r="G17" s="1076">
        <f>(G$15-F$15)/F$15</f>
        <v>-0.30927226671047003</v>
      </c>
      <c r="H17" s="1076">
        <f>(H$15-G$15)/G$15</f>
        <v>4.8323497659724222</v>
      </c>
      <c r="I17" s="1076">
        <f>(I$15-H$15)/H$15</f>
        <v>7.2849902684985741</v>
      </c>
      <c r="J17" s="1077"/>
      <c r="K17" s="378"/>
      <c r="L17" s="378"/>
      <c r="M17" s="378"/>
      <c r="N17" s="378"/>
      <c r="O17" s="378"/>
      <c r="P17" s="378"/>
      <c r="Q17" s="378"/>
      <c r="R17" s="378"/>
      <c r="S17" s="378"/>
      <c r="T17" s="378"/>
      <c r="U17" s="378"/>
      <c r="V17" s="378"/>
      <c r="W17" s="378"/>
      <c r="X17" s="378"/>
      <c r="Y17" s="378"/>
      <c r="Z17" s="378"/>
    </row>
    <row r="18" spans="1:26" ht="18.399999999999999" thickBot="1">
      <c r="A18" s="378"/>
      <c r="B18" s="383"/>
      <c r="C18" s="378"/>
      <c r="D18" s="384"/>
      <c r="E18" s="380"/>
      <c r="F18" s="380" t="s">
        <v>353</v>
      </c>
      <c r="G18" s="380"/>
      <c r="H18" s="380" t="s">
        <v>353</v>
      </c>
      <c r="I18" s="380" t="s">
        <v>353</v>
      </c>
      <c r="J18" s="380"/>
      <c r="K18" s="378"/>
      <c r="L18" s="378"/>
      <c r="M18" s="378"/>
      <c r="N18" s="378"/>
      <c r="O18" s="378"/>
      <c r="P18" s="378"/>
      <c r="Q18" s="378"/>
      <c r="R18" s="378"/>
      <c r="S18" s="378"/>
      <c r="T18" s="378"/>
      <c r="U18" s="378"/>
      <c r="V18" s="378"/>
      <c r="W18" s="378"/>
      <c r="X18" s="378"/>
      <c r="Y18" s="378"/>
      <c r="Z18" s="378"/>
    </row>
    <row r="19" spans="1:26" ht="18">
      <c r="A19" s="385"/>
      <c r="B19" s="1078" t="s">
        <v>468</v>
      </c>
      <c r="C19" s="1079">
        <f t="array" ref="C19">NPV(C20,$E$15:$I$15)+$D$15</f>
        <v>811132.5844540305</v>
      </c>
      <c r="D19" s="384"/>
      <c r="E19" s="386"/>
      <c r="F19" s="386"/>
      <c r="G19" s="386"/>
      <c r="K19" s="378"/>
      <c r="L19" s="378"/>
      <c r="M19" s="378"/>
      <c r="N19" s="378"/>
      <c r="O19" s="378"/>
      <c r="P19" s="378"/>
      <c r="Q19" s="378"/>
      <c r="R19" s="378"/>
      <c r="S19" s="378"/>
      <c r="T19" s="378"/>
      <c r="U19" s="378"/>
      <c r="V19" s="378"/>
      <c r="W19" s="378"/>
      <c r="X19" s="378"/>
      <c r="Y19" s="378"/>
      <c r="Z19" s="378"/>
    </row>
    <row r="20" spans="1:26" ht="18.399999999999999" thickBot="1">
      <c r="A20" s="378"/>
      <c r="B20" s="1080" t="s">
        <v>470</v>
      </c>
      <c r="C20" s="1081">
        <f>C35</f>
        <v>0.26816999999999996</v>
      </c>
      <c r="D20" s="384"/>
      <c r="E20" s="387"/>
      <c r="F20" s="387"/>
      <c r="G20" s="387"/>
      <c r="H20" s="387"/>
      <c r="I20" s="388" t="s">
        <v>353</v>
      </c>
      <c r="J20" s="388"/>
      <c r="K20" s="389"/>
      <c r="L20" s="378"/>
      <c r="M20" s="378"/>
      <c r="N20" s="378"/>
      <c r="O20" s="378"/>
      <c r="P20" s="378"/>
      <c r="Q20" s="378"/>
      <c r="R20" s="378"/>
      <c r="S20" s="378"/>
      <c r="T20" s="378"/>
      <c r="U20" s="378"/>
      <c r="V20" s="378"/>
      <c r="W20" s="378"/>
      <c r="X20" s="378"/>
      <c r="Y20" s="378"/>
      <c r="Z20" s="378"/>
    </row>
    <row r="21" spans="1:26" ht="18.399999999999999" thickBot="1">
      <c r="A21" s="378"/>
      <c r="B21" s="378"/>
      <c r="C21" s="390"/>
      <c r="D21" s="384"/>
      <c r="E21" s="389"/>
      <c r="F21" s="380"/>
      <c r="G21" s="380" t="s">
        <v>353</v>
      </c>
      <c r="H21" s="380"/>
      <c r="I21" s="380"/>
      <c r="J21" s="380"/>
      <c r="K21" s="380"/>
      <c r="L21" s="378"/>
      <c r="M21" s="378"/>
      <c r="N21" s="378"/>
      <c r="O21" s="378"/>
      <c r="P21" s="378"/>
      <c r="Q21" s="378"/>
      <c r="R21" s="378"/>
      <c r="S21" s="378"/>
      <c r="T21" s="378"/>
      <c r="U21" s="378"/>
      <c r="V21" s="378"/>
      <c r="W21" s="378"/>
      <c r="X21" s="378"/>
      <c r="Y21" s="378"/>
      <c r="Z21" s="378"/>
    </row>
    <row r="22" spans="1:26" ht="18.399999999999999" thickBot="1">
      <c r="A22" s="378"/>
      <c r="B22" s="1082" t="s">
        <v>471</v>
      </c>
      <c r="C22" s="1083">
        <f>IRR(D15:I15)</f>
        <v>0.4370247349734715</v>
      </c>
      <c r="D22" s="384"/>
      <c r="E22" s="389"/>
      <c r="F22" s="378"/>
      <c r="G22" s="389"/>
      <c r="H22" s="389"/>
      <c r="I22" s="388"/>
      <c r="J22" s="391"/>
      <c r="K22" s="389"/>
      <c r="L22" s="378"/>
      <c r="M22" s="378"/>
      <c r="N22" s="378"/>
      <c r="O22" s="378"/>
      <c r="P22" s="378"/>
      <c r="Q22" s="378"/>
      <c r="R22" s="378"/>
      <c r="S22" s="378"/>
      <c r="T22" s="378"/>
      <c r="U22" s="378"/>
      <c r="V22" s="378"/>
      <c r="W22" s="378"/>
      <c r="X22" s="378"/>
      <c r="Y22" s="378"/>
      <c r="Z22" s="378"/>
    </row>
    <row r="23" spans="1:26" ht="18.399999999999999" thickBot="1">
      <c r="A23" s="378"/>
      <c r="B23" s="378"/>
      <c r="C23" s="378"/>
      <c r="D23" s="392"/>
      <c r="E23" s="389"/>
      <c r="F23" s="378"/>
      <c r="G23" s="389"/>
      <c r="H23" s="389"/>
      <c r="I23" s="388"/>
      <c r="J23" s="391"/>
      <c r="K23" s="389"/>
      <c r="L23" s="378"/>
      <c r="M23" s="378"/>
      <c r="N23" s="378"/>
      <c r="O23" s="378"/>
      <c r="P23" s="378"/>
      <c r="Q23" s="378"/>
      <c r="R23" s="378"/>
      <c r="S23" s="378"/>
      <c r="T23" s="378"/>
      <c r="U23" s="378"/>
      <c r="V23" s="378"/>
      <c r="W23" s="378"/>
      <c r="X23" s="378"/>
      <c r="Y23" s="378"/>
      <c r="Z23" s="378"/>
    </row>
    <row r="24" spans="1:26" ht="18">
      <c r="A24" s="1084"/>
      <c r="B24" s="1087" t="s">
        <v>472</v>
      </c>
      <c r="C24" s="1088" t="s">
        <v>446</v>
      </c>
      <c r="D24" s="1089" t="s">
        <v>473</v>
      </c>
      <c r="E24" s="389"/>
      <c r="F24" s="378"/>
      <c r="G24" s="389"/>
      <c r="H24" s="389"/>
      <c r="I24" s="388"/>
      <c r="J24" s="391"/>
      <c r="K24" s="378"/>
      <c r="L24" s="378"/>
      <c r="M24" s="378"/>
      <c r="N24" s="378"/>
      <c r="O24" s="378"/>
      <c r="P24" s="378"/>
      <c r="Q24" s="378"/>
      <c r="R24" s="378"/>
      <c r="S24" s="378"/>
      <c r="T24" s="378"/>
      <c r="U24" s="378"/>
      <c r="V24" s="378"/>
      <c r="W24" s="378"/>
      <c r="X24" s="378"/>
      <c r="Y24" s="378"/>
      <c r="Z24" s="378"/>
    </row>
    <row r="25" spans="1:26" ht="18">
      <c r="A25" s="1084"/>
      <c r="B25" s="1090" t="s">
        <v>474</v>
      </c>
      <c r="C25" s="909">
        <v>2.52</v>
      </c>
      <c r="D25" s="1091">
        <v>0.7</v>
      </c>
      <c r="E25" s="388" t="s">
        <v>353</v>
      </c>
      <c r="F25" s="388" t="s">
        <v>353</v>
      </c>
      <c r="G25" s="389"/>
      <c r="H25" s="388" t="s">
        <v>475</v>
      </c>
      <c r="I25" s="388" t="s">
        <v>353</v>
      </c>
      <c r="J25" s="388"/>
      <c r="K25" s="378"/>
      <c r="L25" s="378"/>
      <c r="M25" s="378"/>
      <c r="N25" s="378"/>
      <c r="O25" s="378"/>
      <c r="P25" s="378"/>
      <c r="Q25" s="378"/>
      <c r="R25" s="378"/>
      <c r="S25" s="378"/>
      <c r="T25" s="378"/>
      <c r="U25" s="378"/>
      <c r="V25" s="378"/>
      <c r="W25" s="378"/>
      <c r="X25" s="378"/>
      <c r="Y25" s="378"/>
      <c r="Z25" s="378"/>
    </row>
    <row r="26" spans="1:26" ht="18">
      <c r="A26" s="1084"/>
      <c r="B26" s="1092" t="s">
        <v>476</v>
      </c>
      <c r="C26" s="910">
        <v>0.82</v>
      </c>
      <c r="D26" s="1093">
        <v>0.3</v>
      </c>
      <c r="E26" s="393"/>
      <c r="F26" s="393"/>
      <c r="G26" s="388"/>
      <c r="H26" s="393"/>
      <c r="I26" s="393"/>
      <c r="J26" s="393"/>
      <c r="K26" s="378"/>
      <c r="L26" s="378"/>
      <c r="M26" s="378"/>
      <c r="N26" s="378"/>
      <c r="O26" s="378"/>
      <c r="P26" s="378"/>
      <c r="Q26" s="378"/>
      <c r="R26" s="378"/>
      <c r="S26" s="378"/>
      <c r="T26" s="378"/>
      <c r="U26" s="378"/>
      <c r="V26" s="378"/>
      <c r="W26" s="378"/>
      <c r="X26" s="378"/>
      <c r="Y26" s="378"/>
      <c r="Z26" s="378"/>
    </row>
    <row r="27" spans="1:26" ht="18.399999999999999" thickBot="1">
      <c r="A27" s="1084"/>
      <c r="B27" s="1094" t="s">
        <v>477</v>
      </c>
      <c r="C27" s="1095">
        <f>(C25*D25)+(C26*D26)</f>
        <v>2.0099999999999998</v>
      </c>
      <c r="D27" s="1096">
        <f>SUM(D25:D26)</f>
        <v>1</v>
      </c>
      <c r="E27" s="389"/>
      <c r="F27" s="389"/>
      <c r="G27" s="393"/>
      <c r="H27" s="389"/>
      <c r="I27" s="389"/>
      <c r="J27" s="389"/>
      <c r="K27" s="378"/>
      <c r="L27" s="378"/>
      <c r="M27" s="378"/>
      <c r="N27" s="378"/>
      <c r="O27" s="378"/>
      <c r="P27" s="378"/>
      <c r="Q27" s="378"/>
      <c r="R27" s="378"/>
      <c r="S27" s="378"/>
      <c r="T27" s="378"/>
      <c r="U27" s="378"/>
      <c r="V27" s="378"/>
      <c r="W27" s="378"/>
      <c r="X27" s="378"/>
      <c r="Y27" s="378"/>
      <c r="Z27" s="378"/>
    </row>
    <row r="28" spans="1:26" ht="18.399999999999999" thickBot="1">
      <c r="A28" s="378"/>
      <c r="B28" s="1085"/>
      <c r="C28" s="1085"/>
      <c r="D28" s="1086"/>
      <c r="E28" s="389"/>
      <c r="F28" s="389"/>
      <c r="G28" s="389"/>
      <c r="H28" s="389"/>
      <c r="I28" s="389"/>
      <c r="J28" s="389"/>
      <c r="K28" s="378"/>
      <c r="L28" s="378"/>
      <c r="M28" s="378"/>
      <c r="N28" s="378"/>
      <c r="O28" s="378"/>
      <c r="P28" s="378"/>
      <c r="Q28" s="378"/>
      <c r="R28" s="378"/>
      <c r="S28" s="378"/>
      <c r="T28" s="378"/>
      <c r="U28" s="378"/>
      <c r="V28" s="378"/>
      <c r="W28" s="378"/>
      <c r="X28" s="378"/>
      <c r="Y28" s="378"/>
      <c r="Z28" s="378"/>
    </row>
    <row r="29" spans="1:26" ht="18">
      <c r="A29" s="1084"/>
      <c r="B29" s="1087" t="s">
        <v>478</v>
      </c>
      <c r="C29" s="1097">
        <v>1.7000000000000001E-2</v>
      </c>
      <c r="D29" s="395"/>
      <c r="E29" s="389"/>
      <c r="F29" s="389"/>
      <c r="G29" s="389"/>
      <c r="H29" s="389"/>
      <c r="I29" s="389"/>
      <c r="J29" s="389"/>
      <c r="K29" s="378"/>
      <c r="L29" s="378"/>
      <c r="M29" s="378"/>
      <c r="N29" s="378"/>
      <c r="O29" s="378"/>
      <c r="P29" s="378"/>
      <c r="Q29" s="378"/>
      <c r="R29" s="378"/>
      <c r="S29" s="378"/>
      <c r="T29" s="378"/>
      <c r="U29" s="378"/>
      <c r="V29" s="378"/>
      <c r="W29" s="378"/>
      <c r="X29" s="378"/>
      <c r="Y29" s="378"/>
      <c r="Z29" s="378"/>
    </row>
    <row r="30" spans="1:26" ht="18">
      <c r="A30" s="1084"/>
      <c r="B30" s="1098" t="s">
        <v>479</v>
      </c>
      <c r="C30" s="1099"/>
      <c r="D30" s="395"/>
      <c r="E30" s="378"/>
      <c r="F30" s="378"/>
      <c r="G30" s="389"/>
      <c r="H30" s="378"/>
      <c r="I30" s="389"/>
      <c r="J30" s="389"/>
      <c r="K30" s="378"/>
      <c r="L30" s="378"/>
      <c r="M30" s="378"/>
      <c r="N30" s="378"/>
      <c r="O30" s="378"/>
      <c r="P30" s="378"/>
      <c r="Q30" s="378"/>
      <c r="R30" s="378"/>
      <c r="S30" s="378"/>
      <c r="T30" s="378"/>
      <c r="U30" s="378"/>
      <c r="V30" s="378"/>
      <c r="W30" s="378"/>
      <c r="X30" s="378"/>
      <c r="Y30" s="378"/>
      <c r="Z30" s="378"/>
    </row>
    <row r="31" spans="1:26" ht="18">
      <c r="A31" s="1084"/>
      <c r="B31" s="1100" t="s">
        <v>480</v>
      </c>
      <c r="C31" s="1101" t="s">
        <v>481</v>
      </c>
      <c r="D31" s="395"/>
      <c r="E31" s="378"/>
      <c r="F31" s="378"/>
      <c r="G31" s="378"/>
      <c r="H31" s="378"/>
      <c r="I31" s="389"/>
      <c r="J31" s="389"/>
      <c r="K31" s="378"/>
      <c r="L31" s="378"/>
      <c r="M31" s="378"/>
      <c r="N31" s="378"/>
      <c r="O31" s="378"/>
      <c r="P31" s="378"/>
      <c r="Q31" s="378"/>
      <c r="R31" s="378"/>
      <c r="S31" s="378"/>
      <c r="T31" s="378"/>
      <c r="U31" s="378"/>
      <c r="V31" s="378"/>
      <c r="W31" s="378"/>
      <c r="X31" s="378"/>
      <c r="Y31" s="378"/>
      <c r="Z31" s="378"/>
    </row>
    <row r="32" spans="1:26" ht="18">
      <c r="A32" s="1084"/>
      <c r="B32" s="1064" t="s">
        <v>482</v>
      </c>
      <c r="C32" s="1102">
        <v>6.7000000000000004E-2</v>
      </c>
      <c r="D32" s="395"/>
      <c r="E32" s="378"/>
      <c r="F32" s="378"/>
      <c r="G32" s="378"/>
      <c r="H32" s="378"/>
      <c r="I32" s="378"/>
      <c r="J32" s="378"/>
      <c r="K32" s="378"/>
      <c r="L32" s="378"/>
      <c r="M32" s="378"/>
      <c r="N32" s="378"/>
      <c r="O32" s="378"/>
      <c r="P32" s="378"/>
      <c r="Q32" s="378"/>
      <c r="R32" s="378"/>
      <c r="S32" s="378"/>
      <c r="T32" s="378"/>
      <c r="U32" s="378"/>
      <c r="V32" s="378"/>
      <c r="W32" s="378"/>
      <c r="X32" s="378"/>
      <c r="Y32" s="378"/>
      <c r="Z32" s="378"/>
    </row>
    <row r="33" spans="1:26" ht="18.399999999999999" thickBot="1">
      <c r="A33" s="1084"/>
      <c r="B33" s="1103" t="s">
        <v>483</v>
      </c>
      <c r="C33" s="1104">
        <v>0.11650000000000001</v>
      </c>
      <c r="D33" s="395"/>
      <c r="E33" s="378"/>
      <c r="F33" s="378"/>
      <c r="G33" s="378"/>
      <c r="H33" s="378"/>
      <c r="I33" s="378"/>
      <c r="J33" s="378"/>
      <c r="K33" s="378"/>
      <c r="L33" s="378"/>
      <c r="M33" s="378"/>
      <c r="N33" s="378"/>
      <c r="O33" s="378"/>
      <c r="P33" s="378"/>
      <c r="Q33" s="378"/>
      <c r="R33" s="378"/>
      <c r="S33" s="378"/>
      <c r="T33" s="378"/>
      <c r="U33" s="378"/>
      <c r="V33" s="378"/>
      <c r="W33" s="378"/>
      <c r="X33" s="378"/>
      <c r="Y33" s="378"/>
      <c r="Z33" s="378"/>
    </row>
    <row r="34" spans="1:26" ht="18.399999999999999" thickBot="1">
      <c r="A34" s="378"/>
      <c r="B34" s="394"/>
      <c r="C34" s="402"/>
      <c r="D34" s="395"/>
      <c r="E34" s="378"/>
      <c r="F34" s="378"/>
      <c r="G34" s="378"/>
      <c r="H34" s="378"/>
      <c r="I34" s="378"/>
      <c r="J34" s="378"/>
      <c r="K34" s="378"/>
      <c r="L34" s="378"/>
      <c r="M34" s="378"/>
      <c r="N34" s="378"/>
      <c r="O34" s="378"/>
      <c r="P34" s="378"/>
      <c r="Q34" s="378"/>
      <c r="R34" s="378"/>
      <c r="S34" s="378"/>
      <c r="T34" s="378"/>
      <c r="U34" s="378"/>
      <c r="V34" s="378"/>
      <c r="W34" s="378"/>
      <c r="X34" s="378"/>
      <c r="Y34" s="378"/>
      <c r="Z34" s="378"/>
    </row>
    <row r="35" spans="1:26" ht="18.399999999999999" thickBot="1">
      <c r="A35" s="378"/>
      <c r="B35" s="1105" t="s">
        <v>484</v>
      </c>
      <c r="C35" s="1106">
        <f>C29+(C27*C32)+C33</f>
        <v>0.26816999999999996</v>
      </c>
      <c r="D35" s="395"/>
      <c r="E35" s="378"/>
      <c r="F35" s="378"/>
      <c r="G35" s="378"/>
      <c r="H35" s="378"/>
      <c r="I35" s="378"/>
      <c r="J35" s="378"/>
      <c r="K35" s="378"/>
      <c r="L35" s="378"/>
      <c r="M35" s="378"/>
      <c r="N35" s="378"/>
      <c r="O35" s="378"/>
      <c r="P35" s="378"/>
      <c r="Q35" s="378"/>
      <c r="R35" s="378"/>
      <c r="S35" s="378"/>
      <c r="T35" s="378"/>
      <c r="U35" s="378"/>
      <c r="V35" s="378"/>
      <c r="W35" s="378"/>
      <c r="X35" s="378"/>
      <c r="Y35" s="378"/>
      <c r="Z35" s="378"/>
    </row>
    <row r="36" spans="1:26" ht="18">
      <c r="A36" s="378"/>
      <c r="B36" s="378"/>
      <c r="C36" s="378"/>
      <c r="D36" s="384"/>
      <c r="E36" s="378"/>
      <c r="F36" s="378"/>
      <c r="G36" s="378"/>
      <c r="H36" s="378"/>
      <c r="I36" s="378"/>
      <c r="J36" s="378"/>
      <c r="K36" s="378"/>
      <c r="L36" s="378"/>
      <c r="M36" s="378"/>
      <c r="N36" s="378"/>
      <c r="O36" s="378"/>
      <c r="P36" s="378"/>
      <c r="Q36" s="378"/>
      <c r="R36" s="378"/>
      <c r="S36" s="378"/>
      <c r="T36" s="378"/>
      <c r="U36" s="378"/>
      <c r="V36" s="378"/>
      <c r="W36" s="378"/>
      <c r="X36" s="378"/>
      <c r="Y36" s="378"/>
      <c r="Z36" s="378"/>
    </row>
    <row r="37" spans="1:26" ht="18">
      <c r="A37" s="378"/>
      <c r="B37" s="378"/>
      <c r="C37" s="378"/>
      <c r="D37" s="384"/>
      <c r="E37" s="378"/>
      <c r="F37" s="378"/>
      <c r="G37" s="378"/>
      <c r="H37" s="378"/>
      <c r="I37" s="378"/>
      <c r="J37" s="378"/>
      <c r="K37" s="378"/>
      <c r="L37" s="378"/>
      <c r="M37" s="378"/>
      <c r="N37" s="378"/>
      <c r="O37" s="378"/>
      <c r="P37" s="378"/>
      <c r="Q37" s="378"/>
      <c r="R37" s="378"/>
      <c r="S37" s="378"/>
      <c r="T37" s="378"/>
      <c r="U37" s="378"/>
      <c r="V37" s="378"/>
      <c r="W37" s="378"/>
      <c r="X37" s="378"/>
      <c r="Y37" s="378"/>
      <c r="Z37" s="378"/>
    </row>
    <row r="38" spans="1:26" ht="18">
      <c r="A38" s="378"/>
      <c r="B38" s="378"/>
      <c r="C38" s="378"/>
      <c r="D38" s="384"/>
      <c r="E38" s="378"/>
      <c r="F38" s="378"/>
      <c r="G38" s="378"/>
      <c r="H38" s="378"/>
      <c r="I38" s="378"/>
      <c r="J38" s="378"/>
      <c r="K38" s="378"/>
      <c r="L38" s="378"/>
      <c r="M38" s="378"/>
      <c r="N38" s="378"/>
      <c r="O38" s="378"/>
      <c r="P38" s="378"/>
      <c r="Q38" s="378"/>
      <c r="R38" s="378"/>
      <c r="S38" s="378"/>
      <c r="T38" s="378"/>
      <c r="U38" s="378"/>
      <c r="V38" s="378"/>
      <c r="W38" s="378"/>
      <c r="X38" s="378"/>
      <c r="Y38" s="378"/>
      <c r="Z38" s="378"/>
    </row>
    <row r="39" spans="1:26" ht="18">
      <c r="A39" s="378"/>
      <c r="B39" s="378"/>
      <c r="C39" s="378"/>
      <c r="D39" s="384"/>
      <c r="E39" s="378"/>
      <c r="F39" s="378"/>
      <c r="G39" s="378"/>
      <c r="H39" s="378"/>
      <c r="I39" s="378"/>
      <c r="J39" s="378"/>
      <c r="K39" s="378"/>
      <c r="L39" s="378"/>
      <c r="M39" s="378"/>
      <c r="N39" s="378"/>
      <c r="O39" s="378"/>
      <c r="P39" s="378"/>
      <c r="Q39" s="378"/>
      <c r="R39" s="378"/>
      <c r="S39" s="378"/>
      <c r="T39" s="378"/>
      <c r="U39" s="378"/>
      <c r="V39" s="378"/>
      <c r="W39" s="378"/>
      <c r="X39" s="378"/>
      <c r="Y39" s="378"/>
      <c r="Z39" s="378"/>
    </row>
    <row r="40" spans="1:26" ht="18">
      <c r="A40" s="378"/>
      <c r="B40" s="378"/>
      <c r="C40" s="378"/>
      <c r="D40" s="384"/>
      <c r="E40" s="378"/>
      <c r="F40" s="378"/>
      <c r="G40" s="378"/>
      <c r="H40" s="378"/>
      <c r="I40" s="378"/>
      <c r="J40" s="378"/>
      <c r="K40" s="378"/>
      <c r="L40" s="378"/>
      <c r="M40" s="378"/>
      <c r="N40" s="378"/>
      <c r="O40" s="378"/>
      <c r="P40" s="378"/>
      <c r="Q40" s="378"/>
      <c r="R40" s="378"/>
      <c r="S40" s="378"/>
      <c r="T40" s="378"/>
      <c r="U40" s="378"/>
      <c r="V40" s="378"/>
      <c r="W40" s="378"/>
      <c r="X40" s="378"/>
      <c r="Y40" s="378"/>
      <c r="Z40" s="378"/>
    </row>
    <row r="41" spans="1:26" ht="18">
      <c r="A41" s="378"/>
      <c r="B41" s="378"/>
      <c r="C41" s="378"/>
      <c r="D41" s="384"/>
      <c r="E41" s="378"/>
      <c r="F41" s="378"/>
      <c r="G41" s="378"/>
      <c r="H41" s="378"/>
      <c r="I41" s="378"/>
      <c r="J41" s="378"/>
      <c r="K41" s="378"/>
      <c r="L41" s="378"/>
      <c r="M41" s="378"/>
      <c r="N41" s="378"/>
      <c r="O41" s="378"/>
      <c r="P41" s="378"/>
      <c r="Q41" s="378"/>
      <c r="R41" s="378"/>
      <c r="S41" s="378"/>
      <c r="T41" s="378"/>
      <c r="U41" s="378"/>
      <c r="V41" s="378"/>
      <c r="W41" s="378"/>
      <c r="X41" s="378"/>
      <c r="Y41" s="378"/>
      <c r="Z41" s="378"/>
    </row>
    <row r="42" spans="1:26" ht="18">
      <c r="A42" s="378"/>
      <c r="B42" s="378"/>
      <c r="C42" s="378"/>
      <c r="D42" s="384"/>
      <c r="E42" s="378"/>
      <c r="F42" s="378"/>
      <c r="G42" s="378"/>
      <c r="H42" s="378"/>
      <c r="I42" s="378"/>
      <c r="J42" s="378"/>
      <c r="K42" s="378"/>
      <c r="L42" s="378"/>
      <c r="M42" s="378"/>
      <c r="N42" s="378"/>
      <c r="O42" s="378"/>
      <c r="P42" s="378"/>
      <c r="Q42" s="378"/>
      <c r="R42" s="378"/>
      <c r="S42" s="378"/>
      <c r="T42" s="378"/>
      <c r="U42" s="378"/>
      <c r="V42" s="378"/>
      <c r="W42" s="378"/>
      <c r="X42" s="378"/>
      <c r="Y42" s="378"/>
      <c r="Z42" s="378"/>
    </row>
    <row r="43" spans="1:26" ht="18">
      <c r="A43" s="378"/>
      <c r="B43" s="378"/>
      <c r="C43" s="378"/>
      <c r="D43" s="384"/>
      <c r="E43" s="378"/>
      <c r="F43" s="378"/>
      <c r="G43" s="378"/>
      <c r="H43" s="378"/>
      <c r="I43" s="378"/>
      <c r="J43" s="378"/>
      <c r="K43" s="378"/>
      <c r="L43" s="378"/>
      <c r="M43" s="378"/>
      <c r="N43" s="378"/>
      <c r="O43" s="378"/>
      <c r="P43" s="378"/>
      <c r="Q43" s="378"/>
      <c r="R43" s="378"/>
      <c r="S43" s="378"/>
      <c r="T43" s="378"/>
      <c r="U43" s="378"/>
      <c r="V43" s="378"/>
      <c r="W43" s="378"/>
      <c r="X43" s="378"/>
      <c r="Y43" s="378"/>
      <c r="Z43" s="378"/>
    </row>
    <row r="44" spans="1:26" ht="18">
      <c r="A44" s="378"/>
      <c r="B44" s="378"/>
      <c r="C44" s="378"/>
      <c r="D44" s="384"/>
      <c r="E44" s="378"/>
      <c r="F44" s="378"/>
      <c r="G44" s="378"/>
      <c r="H44" s="378"/>
      <c r="I44" s="378"/>
      <c r="J44" s="378"/>
      <c r="K44" s="378"/>
      <c r="L44" s="378"/>
      <c r="M44" s="378"/>
      <c r="N44" s="378"/>
      <c r="O44" s="378"/>
      <c r="P44" s="378"/>
      <c r="Q44" s="378"/>
      <c r="R44" s="378"/>
      <c r="S44" s="378"/>
      <c r="T44" s="378"/>
      <c r="U44" s="378"/>
      <c r="V44" s="378"/>
      <c r="W44" s="378"/>
      <c r="X44" s="378"/>
      <c r="Y44" s="378"/>
      <c r="Z44" s="378"/>
    </row>
    <row r="45" spans="1:26" ht="18">
      <c r="A45" s="378"/>
      <c r="B45" s="378"/>
      <c r="C45" s="378"/>
      <c r="D45" s="384"/>
      <c r="E45" s="378"/>
      <c r="F45" s="378"/>
      <c r="G45" s="378"/>
      <c r="H45" s="378"/>
      <c r="I45" s="378"/>
      <c r="J45" s="378"/>
      <c r="K45" s="378"/>
      <c r="L45" s="378"/>
      <c r="M45" s="378"/>
      <c r="N45" s="378"/>
      <c r="O45" s="378"/>
      <c r="P45" s="378"/>
      <c r="Q45" s="378"/>
      <c r="R45" s="378"/>
      <c r="S45" s="378"/>
      <c r="T45" s="378"/>
      <c r="U45" s="378"/>
      <c r="V45" s="378"/>
      <c r="W45" s="378"/>
      <c r="X45" s="378"/>
      <c r="Y45" s="378"/>
      <c r="Z45" s="378"/>
    </row>
    <row r="46" spans="1:26" ht="18">
      <c r="A46" s="378"/>
      <c r="B46" s="378"/>
      <c r="C46" s="378"/>
      <c r="D46" s="384"/>
      <c r="E46" s="378"/>
      <c r="F46" s="378"/>
      <c r="G46" s="378"/>
      <c r="H46" s="378"/>
      <c r="I46" s="378"/>
      <c r="J46" s="378"/>
      <c r="K46" s="378"/>
      <c r="L46" s="378"/>
      <c r="M46" s="378"/>
      <c r="N46" s="378"/>
      <c r="O46" s="378"/>
      <c r="P46" s="378"/>
      <c r="Q46" s="378"/>
      <c r="R46" s="378"/>
      <c r="S46" s="378"/>
      <c r="T46" s="378"/>
      <c r="U46" s="378"/>
      <c r="V46" s="378"/>
      <c r="W46" s="378"/>
      <c r="X46" s="378"/>
      <c r="Y46" s="378"/>
      <c r="Z46" s="378"/>
    </row>
    <row r="47" spans="1:26" ht="18">
      <c r="A47" s="378"/>
      <c r="B47" s="378"/>
      <c r="C47" s="378"/>
      <c r="D47" s="384"/>
      <c r="E47" s="378"/>
      <c r="F47" s="378"/>
      <c r="G47" s="378"/>
      <c r="H47" s="378"/>
      <c r="I47" s="378"/>
      <c r="J47" s="378"/>
      <c r="K47" s="378"/>
      <c r="L47" s="378"/>
      <c r="M47" s="378"/>
      <c r="N47" s="378"/>
      <c r="O47" s="378"/>
      <c r="P47" s="378"/>
      <c r="Q47" s="378"/>
      <c r="R47" s="378"/>
      <c r="S47" s="378"/>
      <c r="T47" s="378"/>
      <c r="U47" s="378"/>
      <c r="V47" s="378"/>
      <c r="W47" s="378"/>
      <c r="X47" s="378"/>
      <c r="Y47" s="378"/>
      <c r="Z47" s="378"/>
    </row>
    <row r="48" spans="1:26" ht="18">
      <c r="A48" s="378"/>
      <c r="B48" s="378"/>
      <c r="C48" s="378"/>
      <c r="D48" s="384"/>
      <c r="E48" s="378"/>
      <c r="F48" s="378"/>
      <c r="G48" s="378"/>
      <c r="H48" s="378"/>
      <c r="I48" s="378"/>
      <c r="J48" s="378"/>
      <c r="K48" s="378"/>
      <c r="L48" s="378"/>
      <c r="M48" s="378"/>
      <c r="N48" s="378"/>
      <c r="O48" s="378"/>
      <c r="P48" s="378"/>
      <c r="Q48" s="378"/>
      <c r="R48" s="378"/>
      <c r="S48" s="378"/>
      <c r="T48" s="378"/>
      <c r="U48" s="378"/>
      <c r="V48" s="378"/>
      <c r="W48" s="378"/>
      <c r="X48" s="378"/>
      <c r="Y48" s="378"/>
      <c r="Z48" s="378"/>
    </row>
    <row r="49" spans="1:26" ht="18">
      <c r="A49" s="378"/>
      <c r="B49" s="378"/>
      <c r="C49" s="378"/>
      <c r="D49" s="384"/>
      <c r="E49" s="378"/>
      <c r="F49" s="378"/>
      <c r="G49" s="378"/>
      <c r="H49" s="378"/>
      <c r="I49" s="378"/>
      <c r="J49" s="378"/>
      <c r="K49" s="378"/>
      <c r="L49" s="378"/>
      <c r="M49" s="378"/>
      <c r="N49" s="378"/>
      <c r="O49" s="378"/>
      <c r="P49" s="378"/>
      <c r="Q49" s="378"/>
      <c r="R49" s="378"/>
      <c r="S49" s="378"/>
      <c r="T49" s="378"/>
      <c r="U49" s="378"/>
      <c r="V49" s="378"/>
      <c r="W49" s="378"/>
      <c r="X49" s="378"/>
      <c r="Y49" s="378"/>
      <c r="Z49" s="378"/>
    </row>
    <row r="50" spans="1:26" ht="18">
      <c r="A50" s="378"/>
      <c r="B50" s="378"/>
      <c r="C50" s="378"/>
      <c r="D50" s="384"/>
      <c r="E50" s="378"/>
      <c r="F50" s="378"/>
      <c r="G50" s="378"/>
      <c r="H50" s="378"/>
      <c r="I50" s="378"/>
      <c r="J50" s="378"/>
      <c r="K50" s="378"/>
      <c r="L50" s="378"/>
      <c r="M50" s="378"/>
      <c r="N50" s="378"/>
      <c r="O50" s="378"/>
      <c r="P50" s="378"/>
      <c r="Q50" s="378"/>
      <c r="R50" s="378"/>
      <c r="S50" s="378"/>
      <c r="T50" s="378"/>
      <c r="U50" s="378"/>
      <c r="V50" s="378"/>
      <c r="W50" s="378"/>
      <c r="X50" s="378"/>
      <c r="Y50" s="378"/>
      <c r="Z50" s="378"/>
    </row>
    <row r="51" spans="1:26" ht="18">
      <c r="A51" s="378"/>
      <c r="B51" s="378"/>
      <c r="C51" s="378"/>
      <c r="D51" s="384"/>
      <c r="E51" s="378"/>
      <c r="F51" s="378"/>
      <c r="G51" s="378"/>
      <c r="H51" s="378"/>
      <c r="I51" s="378"/>
      <c r="J51" s="378"/>
      <c r="K51" s="378"/>
      <c r="L51" s="378"/>
      <c r="M51" s="378"/>
      <c r="N51" s="378"/>
      <c r="O51" s="378"/>
      <c r="P51" s="378"/>
      <c r="Q51" s="378"/>
      <c r="R51" s="378"/>
      <c r="S51" s="378"/>
      <c r="T51" s="378"/>
      <c r="U51" s="378"/>
      <c r="V51" s="378"/>
      <c r="W51" s="378"/>
      <c r="X51" s="378"/>
      <c r="Y51" s="378"/>
      <c r="Z51" s="378"/>
    </row>
    <row r="52" spans="1:26" ht="18">
      <c r="A52" s="378"/>
      <c r="B52" s="378"/>
      <c r="C52" s="378"/>
      <c r="D52" s="384"/>
      <c r="E52" s="378"/>
      <c r="F52" s="378"/>
      <c r="G52" s="378"/>
      <c r="H52" s="378"/>
      <c r="I52" s="378"/>
      <c r="J52" s="378"/>
      <c r="K52" s="378"/>
      <c r="L52" s="378"/>
      <c r="M52" s="378"/>
      <c r="N52" s="378"/>
      <c r="O52" s="378"/>
      <c r="P52" s="378"/>
      <c r="Q52" s="378"/>
      <c r="R52" s="378"/>
      <c r="S52" s="378"/>
      <c r="T52" s="378"/>
      <c r="U52" s="378"/>
      <c r="V52" s="378"/>
      <c r="W52" s="378"/>
      <c r="X52" s="378"/>
      <c r="Y52" s="378"/>
      <c r="Z52" s="378"/>
    </row>
    <row r="53" spans="1:26" ht="18">
      <c r="A53" s="378"/>
      <c r="B53" s="378"/>
      <c r="C53" s="378"/>
      <c r="D53" s="384"/>
      <c r="E53" s="378"/>
      <c r="F53" s="378"/>
      <c r="G53" s="378"/>
      <c r="H53" s="378"/>
      <c r="I53" s="378"/>
      <c r="J53" s="378"/>
      <c r="K53" s="378"/>
      <c r="L53" s="378"/>
      <c r="M53" s="378"/>
      <c r="N53" s="378"/>
      <c r="O53" s="378"/>
      <c r="P53" s="378"/>
      <c r="Q53" s="378"/>
      <c r="R53" s="378"/>
      <c r="S53" s="378"/>
      <c r="T53" s="378"/>
      <c r="U53" s="378"/>
      <c r="V53" s="378"/>
      <c r="W53" s="378"/>
      <c r="X53" s="378"/>
      <c r="Y53" s="378"/>
      <c r="Z53" s="378"/>
    </row>
    <row r="54" spans="1:26" ht="18">
      <c r="A54" s="378"/>
      <c r="B54" s="378"/>
      <c r="C54" s="378"/>
      <c r="D54" s="384"/>
      <c r="E54" s="378"/>
      <c r="F54" s="378"/>
      <c r="G54" s="378"/>
      <c r="H54" s="378"/>
      <c r="I54" s="378"/>
      <c r="J54" s="378"/>
      <c r="K54" s="378"/>
      <c r="L54" s="378"/>
      <c r="M54" s="378"/>
      <c r="N54" s="378"/>
      <c r="O54" s="378"/>
      <c r="P54" s="378"/>
      <c r="Q54" s="378"/>
      <c r="R54" s="378"/>
      <c r="S54" s="378"/>
      <c r="T54" s="378"/>
      <c r="U54" s="378"/>
      <c r="V54" s="378"/>
      <c r="W54" s="378"/>
      <c r="X54" s="378"/>
      <c r="Y54" s="378"/>
      <c r="Z54" s="378"/>
    </row>
    <row r="55" spans="1:26" ht="18">
      <c r="A55" s="378"/>
      <c r="B55" s="378"/>
      <c r="C55" s="378"/>
      <c r="D55" s="384"/>
      <c r="E55" s="378"/>
      <c r="F55" s="378"/>
      <c r="G55" s="378"/>
      <c r="H55" s="378"/>
      <c r="I55" s="378"/>
      <c r="J55" s="378"/>
      <c r="K55" s="378"/>
      <c r="L55" s="378"/>
      <c r="M55" s="378"/>
      <c r="N55" s="378"/>
      <c r="O55" s="378"/>
      <c r="P55" s="378"/>
      <c r="Q55" s="378"/>
      <c r="R55" s="378"/>
      <c r="S55" s="378"/>
      <c r="T55" s="378"/>
      <c r="U55" s="378"/>
      <c r="V55" s="378"/>
      <c r="W55" s="378"/>
      <c r="X55" s="378"/>
      <c r="Y55" s="378"/>
      <c r="Z55" s="378"/>
    </row>
    <row r="56" spans="1:26" ht="18">
      <c r="A56" s="378"/>
      <c r="B56" s="378"/>
      <c r="C56" s="378"/>
      <c r="D56" s="384"/>
      <c r="E56" s="378"/>
      <c r="F56" s="378"/>
      <c r="G56" s="378"/>
      <c r="H56" s="378"/>
      <c r="I56" s="378"/>
      <c r="J56" s="378"/>
      <c r="K56" s="378"/>
      <c r="L56" s="378"/>
      <c r="M56" s="378"/>
      <c r="N56" s="378"/>
      <c r="O56" s="378"/>
      <c r="P56" s="378"/>
      <c r="Q56" s="378"/>
      <c r="R56" s="378"/>
      <c r="S56" s="378"/>
      <c r="T56" s="378"/>
      <c r="U56" s="378"/>
      <c r="V56" s="378"/>
      <c r="W56" s="378"/>
      <c r="X56" s="378"/>
      <c r="Y56" s="378"/>
      <c r="Z56" s="378"/>
    </row>
    <row r="57" spans="1:26" ht="18">
      <c r="A57" s="378"/>
      <c r="B57" s="378"/>
      <c r="C57" s="378"/>
      <c r="D57" s="384"/>
      <c r="E57" s="378"/>
      <c r="F57" s="378"/>
      <c r="G57" s="378"/>
      <c r="H57" s="378"/>
      <c r="I57" s="378"/>
      <c r="J57" s="378"/>
      <c r="K57" s="378"/>
      <c r="L57" s="378"/>
      <c r="M57" s="378"/>
      <c r="N57" s="378"/>
      <c r="O57" s="378"/>
      <c r="P57" s="378"/>
      <c r="Q57" s="378"/>
      <c r="R57" s="378"/>
      <c r="S57" s="378"/>
      <c r="T57" s="378"/>
      <c r="U57" s="378"/>
      <c r="V57" s="378"/>
      <c r="W57" s="378"/>
      <c r="X57" s="378"/>
      <c r="Y57" s="378"/>
      <c r="Z57" s="378"/>
    </row>
    <row r="58" spans="1:26" ht="18">
      <c r="A58" s="378"/>
      <c r="B58" s="378"/>
      <c r="C58" s="378"/>
      <c r="D58" s="384"/>
      <c r="E58" s="378"/>
      <c r="F58" s="378"/>
      <c r="G58" s="378"/>
      <c r="H58" s="378"/>
      <c r="I58" s="378"/>
      <c r="J58" s="378"/>
      <c r="K58" s="378"/>
      <c r="L58" s="378"/>
      <c r="M58" s="378"/>
      <c r="N58" s="378"/>
      <c r="O58" s="378"/>
      <c r="P58" s="378"/>
      <c r="Q58" s="378"/>
      <c r="R58" s="378"/>
      <c r="S58" s="378"/>
      <c r="T58" s="378"/>
      <c r="U58" s="378"/>
      <c r="V58" s="378"/>
      <c r="W58" s="378"/>
      <c r="X58" s="378"/>
      <c r="Y58" s="378"/>
      <c r="Z58" s="378"/>
    </row>
    <row r="59" spans="1:26" ht="18">
      <c r="A59" s="378"/>
      <c r="B59" s="378"/>
      <c r="C59" s="378"/>
      <c r="D59" s="384"/>
      <c r="E59" s="378"/>
      <c r="F59" s="378"/>
      <c r="G59" s="378"/>
      <c r="H59" s="378"/>
      <c r="I59" s="378"/>
      <c r="J59" s="378"/>
      <c r="K59" s="378"/>
      <c r="L59" s="378"/>
      <c r="M59" s="378"/>
      <c r="N59" s="378"/>
      <c r="O59" s="378"/>
      <c r="P59" s="378"/>
      <c r="Q59" s="378"/>
      <c r="R59" s="378"/>
      <c r="S59" s="378"/>
      <c r="T59" s="378"/>
      <c r="U59" s="378"/>
      <c r="V59" s="378"/>
      <c r="W59" s="378"/>
      <c r="X59" s="378"/>
      <c r="Y59" s="378"/>
      <c r="Z59" s="378"/>
    </row>
    <row r="60" spans="1:26" ht="18">
      <c r="A60" s="378"/>
      <c r="B60" s="378"/>
      <c r="C60" s="378"/>
      <c r="D60" s="384"/>
      <c r="E60" s="378"/>
      <c r="F60" s="378"/>
      <c r="G60" s="378"/>
      <c r="H60" s="378"/>
      <c r="I60" s="378"/>
      <c r="J60" s="378"/>
      <c r="K60" s="378"/>
      <c r="L60" s="378"/>
      <c r="M60" s="378"/>
      <c r="N60" s="378"/>
      <c r="O60" s="378"/>
      <c r="P60" s="378"/>
      <c r="Q60" s="378"/>
      <c r="R60" s="378"/>
      <c r="S60" s="378"/>
      <c r="T60" s="378"/>
      <c r="U60" s="378"/>
      <c r="V60" s="378"/>
      <c r="W60" s="378"/>
      <c r="X60" s="378"/>
      <c r="Y60" s="378"/>
      <c r="Z60" s="378"/>
    </row>
    <row r="61" spans="1:26" ht="18">
      <c r="A61" s="378"/>
      <c r="B61" s="378"/>
      <c r="C61" s="378"/>
      <c r="D61" s="384"/>
      <c r="E61" s="378"/>
      <c r="F61" s="378"/>
      <c r="G61" s="378"/>
      <c r="H61" s="378"/>
      <c r="I61" s="378"/>
      <c r="J61" s="378"/>
      <c r="K61" s="378"/>
      <c r="L61" s="378"/>
      <c r="M61" s="378"/>
      <c r="N61" s="378"/>
      <c r="O61" s="378"/>
      <c r="P61" s="378"/>
      <c r="Q61" s="378"/>
      <c r="R61" s="378"/>
      <c r="S61" s="378"/>
      <c r="T61" s="378"/>
      <c r="U61" s="378"/>
      <c r="V61" s="378"/>
      <c r="W61" s="378"/>
      <c r="X61" s="378"/>
      <c r="Y61" s="378"/>
      <c r="Z61" s="378"/>
    </row>
    <row r="62" spans="1:26" ht="18">
      <c r="A62" s="378"/>
      <c r="B62" s="378"/>
      <c r="C62" s="378"/>
      <c r="D62" s="384"/>
      <c r="E62" s="378"/>
      <c r="F62" s="378"/>
      <c r="G62" s="378"/>
      <c r="H62" s="378"/>
      <c r="I62" s="378"/>
      <c r="J62" s="378"/>
      <c r="K62" s="378"/>
      <c r="L62" s="378"/>
      <c r="M62" s="378"/>
      <c r="N62" s="378"/>
      <c r="O62" s="378"/>
      <c r="P62" s="378"/>
      <c r="Q62" s="378"/>
      <c r="R62" s="378"/>
      <c r="S62" s="378"/>
      <c r="T62" s="378"/>
      <c r="U62" s="378"/>
      <c r="V62" s="378"/>
      <c r="W62" s="378"/>
      <c r="X62" s="378"/>
      <c r="Y62" s="378"/>
      <c r="Z62" s="378"/>
    </row>
    <row r="63" spans="1:26" ht="18">
      <c r="A63" s="378"/>
      <c r="B63" s="378"/>
      <c r="C63" s="378"/>
      <c r="D63" s="384"/>
      <c r="E63" s="378"/>
      <c r="F63" s="378"/>
      <c r="G63" s="378"/>
      <c r="H63" s="378"/>
      <c r="I63" s="378"/>
      <c r="J63" s="378"/>
      <c r="K63" s="378"/>
      <c r="L63" s="378"/>
      <c r="M63" s="378"/>
      <c r="N63" s="378"/>
      <c r="O63" s="378"/>
      <c r="P63" s="378"/>
      <c r="Q63" s="378"/>
      <c r="R63" s="378"/>
      <c r="S63" s="378"/>
      <c r="T63" s="378"/>
      <c r="U63" s="378"/>
      <c r="V63" s="378"/>
      <c r="W63" s="378"/>
      <c r="X63" s="378"/>
      <c r="Y63" s="378"/>
      <c r="Z63" s="378"/>
    </row>
    <row r="64" spans="1:26" ht="18">
      <c r="A64" s="378"/>
      <c r="B64" s="378"/>
      <c r="C64" s="378"/>
      <c r="D64" s="384"/>
      <c r="E64" s="378"/>
      <c r="F64" s="378"/>
      <c r="G64" s="378"/>
      <c r="H64" s="378"/>
      <c r="I64" s="378"/>
      <c r="J64" s="378"/>
      <c r="K64" s="378"/>
      <c r="L64" s="378"/>
      <c r="M64" s="378"/>
      <c r="N64" s="378"/>
      <c r="O64" s="378"/>
      <c r="P64" s="378"/>
      <c r="Q64" s="378"/>
      <c r="R64" s="378"/>
      <c r="S64" s="378"/>
      <c r="T64" s="378"/>
      <c r="U64" s="378"/>
      <c r="V64" s="378"/>
      <c r="W64" s="378"/>
      <c r="X64" s="378"/>
      <c r="Y64" s="378"/>
      <c r="Z64" s="378"/>
    </row>
    <row r="65" spans="1:26" ht="18">
      <c r="A65" s="378"/>
      <c r="B65" s="378"/>
      <c r="C65" s="378"/>
      <c r="D65" s="384"/>
      <c r="E65" s="378"/>
      <c r="F65" s="378"/>
      <c r="G65" s="378"/>
      <c r="H65" s="378"/>
      <c r="I65" s="378"/>
      <c r="J65" s="378"/>
      <c r="K65" s="378"/>
      <c r="L65" s="378"/>
      <c r="M65" s="378"/>
      <c r="N65" s="378"/>
      <c r="O65" s="378"/>
      <c r="P65" s="378"/>
      <c r="Q65" s="378"/>
      <c r="R65" s="378"/>
      <c r="S65" s="378"/>
      <c r="T65" s="378"/>
      <c r="U65" s="378"/>
      <c r="V65" s="378"/>
      <c r="W65" s="378"/>
      <c r="X65" s="378"/>
      <c r="Y65" s="378"/>
      <c r="Z65" s="378"/>
    </row>
    <row r="66" spans="1:26" ht="18">
      <c r="A66" s="378"/>
      <c r="B66" s="378"/>
      <c r="C66" s="378"/>
      <c r="D66" s="384"/>
      <c r="E66" s="378"/>
      <c r="F66" s="378"/>
      <c r="G66" s="378"/>
      <c r="H66" s="378"/>
      <c r="I66" s="378"/>
      <c r="J66" s="378"/>
      <c r="K66" s="378"/>
      <c r="L66" s="378"/>
      <c r="M66" s="378"/>
      <c r="N66" s="378"/>
      <c r="O66" s="378"/>
      <c r="P66" s="378"/>
      <c r="Q66" s="378"/>
      <c r="R66" s="378"/>
      <c r="S66" s="378"/>
      <c r="T66" s="378"/>
      <c r="U66" s="378"/>
      <c r="V66" s="378"/>
      <c r="W66" s="378"/>
      <c r="X66" s="378"/>
      <c r="Y66" s="378"/>
      <c r="Z66" s="378"/>
    </row>
    <row r="67" spans="1:26" ht="18">
      <c r="A67" s="378"/>
      <c r="B67" s="378"/>
      <c r="C67" s="378"/>
      <c r="D67" s="384"/>
      <c r="E67" s="378"/>
      <c r="F67" s="378"/>
      <c r="G67" s="378"/>
      <c r="H67" s="378"/>
      <c r="I67" s="378"/>
      <c r="J67" s="378"/>
      <c r="K67" s="378"/>
      <c r="L67" s="378"/>
      <c r="M67" s="378"/>
      <c r="N67" s="378"/>
      <c r="O67" s="378"/>
      <c r="P67" s="378"/>
      <c r="Q67" s="378"/>
      <c r="R67" s="378"/>
      <c r="S67" s="378"/>
      <c r="T67" s="378"/>
      <c r="U67" s="378"/>
      <c r="V67" s="378"/>
      <c r="W67" s="378"/>
      <c r="X67" s="378"/>
      <c r="Y67" s="378"/>
      <c r="Z67" s="378"/>
    </row>
    <row r="68" spans="1:26" ht="18">
      <c r="A68" s="378"/>
      <c r="B68" s="378"/>
      <c r="C68" s="378"/>
      <c r="D68" s="384"/>
      <c r="E68" s="378"/>
      <c r="F68" s="378"/>
      <c r="G68" s="378"/>
      <c r="H68" s="378"/>
      <c r="I68" s="378"/>
      <c r="J68" s="378"/>
      <c r="K68" s="378"/>
      <c r="L68" s="378"/>
      <c r="M68" s="378"/>
      <c r="N68" s="378"/>
      <c r="O68" s="378"/>
      <c r="P68" s="378"/>
      <c r="Q68" s="378"/>
      <c r="R68" s="378"/>
      <c r="S68" s="378"/>
      <c r="T68" s="378"/>
      <c r="U68" s="378"/>
      <c r="V68" s="378"/>
      <c r="W68" s="378"/>
      <c r="X68" s="378"/>
      <c r="Y68" s="378"/>
      <c r="Z68" s="378"/>
    </row>
    <row r="69" spans="1:26" ht="18">
      <c r="A69" s="378"/>
      <c r="B69" s="378"/>
      <c r="C69" s="378"/>
      <c r="D69" s="384"/>
      <c r="E69" s="378"/>
      <c r="F69" s="378"/>
      <c r="G69" s="378"/>
      <c r="H69" s="378"/>
      <c r="I69" s="378"/>
      <c r="J69" s="378"/>
      <c r="K69" s="378"/>
      <c r="L69" s="378"/>
      <c r="M69" s="378"/>
      <c r="N69" s="378"/>
      <c r="O69" s="378"/>
      <c r="P69" s="378"/>
      <c r="Q69" s="378"/>
      <c r="R69" s="378"/>
      <c r="S69" s="378"/>
      <c r="T69" s="378"/>
      <c r="U69" s="378"/>
      <c r="V69" s="378"/>
      <c r="W69" s="378"/>
      <c r="X69" s="378"/>
      <c r="Y69" s="378"/>
      <c r="Z69" s="378"/>
    </row>
    <row r="70" spans="1:26" ht="18">
      <c r="A70" s="378"/>
      <c r="B70" s="378"/>
      <c r="C70" s="378"/>
      <c r="D70" s="384"/>
      <c r="E70" s="378"/>
      <c r="F70" s="378"/>
      <c r="G70" s="378"/>
      <c r="H70" s="378"/>
      <c r="I70" s="378"/>
      <c r="J70" s="378"/>
      <c r="K70" s="378"/>
      <c r="L70" s="378"/>
      <c r="M70" s="378"/>
      <c r="N70" s="378"/>
      <c r="O70" s="378"/>
      <c r="P70" s="378"/>
      <c r="Q70" s="378"/>
      <c r="R70" s="378"/>
      <c r="S70" s="378"/>
      <c r="T70" s="378"/>
      <c r="U70" s="378"/>
      <c r="V70" s="378"/>
      <c r="W70" s="378"/>
      <c r="X70" s="378"/>
      <c r="Y70" s="378"/>
      <c r="Z70" s="378"/>
    </row>
    <row r="71" spans="1:26" ht="18">
      <c r="A71" s="378"/>
      <c r="B71" s="378"/>
      <c r="C71" s="378"/>
      <c r="D71" s="384"/>
      <c r="E71" s="378"/>
      <c r="F71" s="378"/>
      <c r="G71" s="378"/>
      <c r="H71" s="378"/>
      <c r="I71" s="378"/>
      <c r="J71" s="378"/>
      <c r="K71" s="378"/>
      <c r="L71" s="378"/>
      <c r="M71" s="378"/>
      <c r="N71" s="378"/>
      <c r="O71" s="378"/>
      <c r="P71" s="378"/>
      <c r="Q71" s="378"/>
      <c r="R71" s="378"/>
      <c r="S71" s="378"/>
      <c r="T71" s="378"/>
      <c r="U71" s="378"/>
      <c r="V71" s="378"/>
      <c r="W71" s="378"/>
      <c r="X71" s="378"/>
      <c r="Y71" s="378"/>
      <c r="Z71" s="378"/>
    </row>
    <row r="72" spans="1:26" ht="18">
      <c r="A72" s="378"/>
      <c r="B72" s="378"/>
      <c r="C72" s="378"/>
      <c r="D72" s="384"/>
      <c r="E72" s="378"/>
      <c r="F72" s="378"/>
      <c r="G72" s="378"/>
      <c r="H72" s="378"/>
      <c r="I72" s="378"/>
      <c r="J72" s="378"/>
      <c r="K72" s="378"/>
      <c r="L72" s="378"/>
      <c r="M72" s="378"/>
      <c r="N72" s="378"/>
      <c r="O72" s="378"/>
      <c r="P72" s="378"/>
      <c r="Q72" s="378"/>
      <c r="R72" s="378"/>
      <c r="S72" s="378"/>
      <c r="T72" s="378"/>
      <c r="U72" s="378"/>
      <c r="V72" s="378"/>
      <c r="W72" s="378"/>
      <c r="X72" s="378"/>
      <c r="Y72" s="378"/>
      <c r="Z72" s="378"/>
    </row>
    <row r="73" spans="1:26" ht="18">
      <c r="A73" s="378"/>
      <c r="B73" s="378"/>
      <c r="C73" s="378"/>
      <c r="D73" s="384"/>
      <c r="E73" s="378"/>
      <c r="F73" s="378"/>
      <c r="G73" s="378"/>
      <c r="H73" s="378"/>
      <c r="I73" s="378"/>
      <c r="J73" s="378"/>
      <c r="K73" s="378"/>
      <c r="L73" s="378"/>
      <c r="M73" s="378"/>
      <c r="N73" s="378"/>
      <c r="O73" s="378"/>
      <c r="P73" s="378"/>
      <c r="Q73" s="378"/>
      <c r="R73" s="378"/>
      <c r="S73" s="378"/>
      <c r="T73" s="378"/>
      <c r="U73" s="378"/>
      <c r="V73" s="378"/>
      <c r="W73" s="378"/>
      <c r="X73" s="378"/>
      <c r="Y73" s="378"/>
      <c r="Z73" s="378"/>
    </row>
    <row r="74" spans="1:26" ht="18">
      <c r="A74" s="378"/>
      <c r="B74" s="378"/>
      <c r="C74" s="378"/>
      <c r="D74" s="384"/>
      <c r="E74" s="378"/>
      <c r="F74" s="378"/>
      <c r="G74" s="378"/>
      <c r="H74" s="378"/>
      <c r="I74" s="378"/>
      <c r="J74" s="378"/>
      <c r="K74" s="378"/>
      <c r="L74" s="378"/>
      <c r="M74" s="378"/>
      <c r="N74" s="378"/>
      <c r="O74" s="378"/>
      <c r="P74" s="378"/>
      <c r="Q74" s="378"/>
      <c r="R74" s="378"/>
      <c r="S74" s="378"/>
      <c r="T74" s="378"/>
      <c r="U74" s="378"/>
      <c r="V74" s="378"/>
      <c r="W74" s="378"/>
      <c r="X74" s="378"/>
      <c r="Y74" s="378"/>
      <c r="Z74" s="378"/>
    </row>
    <row r="75" spans="1:26" ht="18">
      <c r="A75" s="378"/>
      <c r="B75" s="378"/>
      <c r="C75" s="378"/>
      <c r="D75" s="384"/>
      <c r="E75" s="378"/>
      <c r="F75" s="378"/>
      <c r="G75" s="378"/>
      <c r="H75" s="378"/>
      <c r="I75" s="378"/>
      <c r="J75" s="378"/>
      <c r="K75" s="378"/>
      <c r="L75" s="378"/>
      <c r="M75" s="378"/>
      <c r="N75" s="378"/>
      <c r="O75" s="378"/>
      <c r="P75" s="378"/>
      <c r="Q75" s="378"/>
      <c r="R75" s="378"/>
      <c r="S75" s="378"/>
      <c r="T75" s="378"/>
      <c r="U75" s="378"/>
      <c r="V75" s="378"/>
      <c r="W75" s="378"/>
      <c r="X75" s="378"/>
      <c r="Y75" s="378"/>
      <c r="Z75" s="378"/>
    </row>
    <row r="76" spans="1:26" ht="18">
      <c r="A76" s="378"/>
      <c r="B76" s="378"/>
      <c r="C76" s="378"/>
      <c r="D76" s="384"/>
      <c r="E76" s="378"/>
      <c r="F76" s="378"/>
      <c r="G76" s="378"/>
      <c r="H76" s="378"/>
      <c r="I76" s="378"/>
      <c r="J76" s="378"/>
      <c r="K76" s="378"/>
      <c r="L76" s="378"/>
      <c r="M76" s="378"/>
      <c r="N76" s="378"/>
      <c r="O76" s="378"/>
      <c r="P76" s="378"/>
      <c r="Q76" s="378"/>
      <c r="R76" s="378"/>
      <c r="S76" s="378"/>
      <c r="T76" s="378"/>
      <c r="U76" s="378"/>
      <c r="V76" s="378"/>
      <c r="W76" s="378"/>
      <c r="X76" s="378"/>
      <c r="Y76" s="378"/>
      <c r="Z76" s="378"/>
    </row>
    <row r="77" spans="1:26" ht="18">
      <c r="A77" s="378"/>
      <c r="B77" s="378"/>
      <c r="C77" s="378"/>
      <c r="D77" s="384"/>
      <c r="E77" s="378"/>
      <c r="F77" s="378"/>
      <c r="G77" s="378"/>
      <c r="H77" s="378"/>
      <c r="I77" s="378"/>
      <c r="J77" s="378"/>
      <c r="K77" s="378"/>
      <c r="L77" s="378"/>
      <c r="M77" s="378"/>
      <c r="N77" s="378"/>
      <c r="O77" s="378"/>
      <c r="P77" s="378"/>
      <c r="Q77" s="378"/>
      <c r="R77" s="378"/>
      <c r="S77" s="378"/>
      <c r="T77" s="378"/>
      <c r="U77" s="378"/>
      <c r="V77" s="378"/>
      <c r="W77" s="378"/>
      <c r="X77" s="378"/>
      <c r="Y77" s="378"/>
      <c r="Z77" s="378"/>
    </row>
    <row r="78" spans="1:26" ht="18">
      <c r="A78" s="378"/>
      <c r="B78" s="378"/>
      <c r="C78" s="378"/>
      <c r="D78" s="384"/>
      <c r="E78" s="378"/>
      <c r="F78" s="378"/>
      <c r="G78" s="378"/>
      <c r="H78" s="378"/>
      <c r="I78" s="378"/>
      <c r="J78" s="378"/>
      <c r="K78" s="378"/>
      <c r="L78" s="378"/>
      <c r="M78" s="378"/>
      <c r="N78" s="378"/>
      <c r="O78" s="378"/>
      <c r="P78" s="378"/>
      <c r="Q78" s="378"/>
      <c r="R78" s="378"/>
      <c r="S78" s="378"/>
      <c r="T78" s="378"/>
      <c r="U78" s="378"/>
      <c r="V78" s="378"/>
      <c r="W78" s="378"/>
      <c r="X78" s="378"/>
      <c r="Y78" s="378"/>
      <c r="Z78" s="378"/>
    </row>
    <row r="79" spans="1:26" ht="18">
      <c r="A79" s="378"/>
      <c r="B79" s="378"/>
      <c r="C79" s="378"/>
      <c r="D79" s="384"/>
      <c r="E79" s="378"/>
      <c r="F79" s="378"/>
      <c r="G79" s="378"/>
      <c r="H79" s="378"/>
      <c r="I79" s="378"/>
      <c r="J79" s="378"/>
      <c r="K79" s="378"/>
      <c r="L79" s="378"/>
      <c r="M79" s="378"/>
      <c r="N79" s="378"/>
      <c r="O79" s="378"/>
      <c r="P79" s="378"/>
      <c r="Q79" s="378"/>
      <c r="R79" s="378"/>
      <c r="S79" s="378"/>
      <c r="T79" s="378"/>
      <c r="U79" s="378"/>
      <c r="V79" s="378"/>
      <c r="W79" s="378"/>
      <c r="X79" s="378"/>
      <c r="Y79" s="378"/>
      <c r="Z79" s="378"/>
    </row>
    <row r="80" spans="1:26" ht="18">
      <c r="A80" s="378"/>
      <c r="B80" s="378"/>
      <c r="C80" s="378"/>
      <c r="D80" s="384"/>
      <c r="E80" s="378"/>
      <c r="F80" s="378"/>
      <c r="G80" s="378"/>
      <c r="H80" s="378"/>
      <c r="I80" s="378"/>
      <c r="J80" s="378"/>
      <c r="K80" s="378"/>
      <c r="L80" s="378"/>
      <c r="M80" s="378"/>
      <c r="N80" s="378"/>
      <c r="O80" s="378"/>
      <c r="P80" s="378"/>
      <c r="Q80" s="378"/>
      <c r="R80" s="378"/>
      <c r="S80" s="378"/>
      <c r="T80" s="378"/>
      <c r="U80" s="378"/>
      <c r="V80" s="378"/>
      <c r="W80" s="378"/>
      <c r="X80" s="378"/>
      <c r="Y80" s="378"/>
      <c r="Z80" s="378"/>
    </row>
    <row r="81" spans="1:26" ht="18">
      <c r="A81" s="378"/>
      <c r="B81" s="378"/>
      <c r="C81" s="378"/>
      <c r="D81" s="384"/>
      <c r="E81" s="378"/>
      <c r="F81" s="378"/>
      <c r="G81" s="378"/>
      <c r="H81" s="378"/>
      <c r="I81" s="378"/>
      <c r="J81" s="378"/>
      <c r="K81" s="378"/>
      <c r="L81" s="378"/>
      <c r="M81" s="378"/>
      <c r="N81" s="378"/>
      <c r="O81" s="378"/>
      <c r="P81" s="378"/>
      <c r="Q81" s="378"/>
      <c r="R81" s="378"/>
      <c r="S81" s="378"/>
      <c r="T81" s="378"/>
      <c r="U81" s="378"/>
      <c r="V81" s="378"/>
      <c r="W81" s="378"/>
      <c r="X81" s="378"/>
      <c r="Y81" s="378"/>
      <c r="Z81" s="378"/>
    </row>
    <row r="82" spans="1:26" ht="18">
      <c r="A82" s="378"/>
      <c r="B82" s="378"/>
      <c r="C82" s="378"/>
      <c r="D82" s="384"/>
      <c r="E82" s="378"/>
      <c r="F82" s="378"/>
      <c r="G82" s="378"/>
      <c r="H82" s="378"/>
      <c r="I82" s="378"/>
      <c r="J82" s="378"/>
      <c r="K82" s="378"/>
      <c r="L82" s="378"/>
      <c r="M82" s="378"/>
      <c r="N82" s="378"/>
      <c r="O82" s="378"/>
      <c r="P82" s="378"/>
      <c r="Q82" s="378"/>
      <c r="R82" s="378"/>
      <c r="S82" s="378"/>
      <c r="T82" s="378"/>
      <c r="U82" s="378"/>
      <c r="V82" s="378"/>
      <c r="W82" s="378"/>
      <c r="X82" s="378"/>
      <c r="Y82" s="378"/>
      <c r="Z82" s="378"/>
    </row>
    <row r="83" spans="1:26" ht="18">
      <c r="A83" s="378"/>
      <c r="B83" s="378"/>
      <c r="C83" s="378"/>
      <c r="D83" s="384"/>
      <c r="E83" s="378"/>
      <c r="F83" s="378"/>
      <c r="G83" s="378"/>
      <c r="H83" s="378"/>
      <c r="I83" s="378"/>
      <c r="J83" s="378"/>
      <c r="K83" s="378"/>
      <c r="L83" s="378"/>
      <c r="M83" s="378"/>
      <c r="N83" s="378"/>
      <c r="O83" s="378"/>
      <c r="P83" s="378"/>
      <c r="Q83" s="378"/>
      <c r="R83" s="378"/>
      <c r="S83" s="378"/>
      <c r="T83" s="378"/>
      <c r="U83" s="378"/>
      <c r="V83" s="378"/>
      <c r="W83" s="378"/>
      <c r="X83" s="378"/>
      <c r="Y83" s="378"/>
      <c r="Z83" s="378"/>
    </row>
    <row r="84" spans="1:26" ht="18">
      <c r="A84" s="378"/>
      <c r="B84" s="378"/>
      <c r="C84" s="378"/>
      <c r="D84" s="384"/>
      <c r="E84" s="378"/>
      <c r="F84" s="378"/>
      <c r="G84" s="378"/>
      <c r="H84" s="378"/>
      <c r="I84" s="378"/>
      <c r="J84" s="378"/>
      <c r="K84" s="378"/>
      <c r="L84" s="378"/>
      <c r="M84" s="378"/>
      <c r="N84" s="378"/>
      <c r="O84" s="378"/>
      <c r="P84" s="378"/>
      <c r="Q84" s="378"/>
      <c r="R84" s="378"/>
      <c r="S84" s="378"/>
      <c r="T84" s="378"/>
      <c r="U84" s="378"/>
      <c r="V84" s="378"/>
      <c r="W84" s="378"/>
      <c r="X84" s="378"/>
      <c r="Y84" s="378"/>
      <c r="Z84" s="378"/>
    </row>
    <row r="85" spans="1:26" ht="18">
      <c r="A85" s="378"/>
      <c r="B85" s="378"/>
      <c r="C85" s="378"/>
      <c r="D85" s="384"/>
      <c r="E85" s="378"/>
      <c r="F85" s="378"/>
      <c r="G85" s="378"/>
      <c r="H85" s="378"/>
      <c r="I85" s="378"/>
      <c r="J85" s="378"/>
      <c r="K85" s="378"/>
      <c r="L85" s="378"/>
      <c r="M85" s="378"/>
      <c r="N85" s="378"/>
      <c r="O85" s="378"/>
      <c r="P85" s="378"/>
      <c r="Q85" s="378"/>
      <c r="R85" s="378"/>
      <c r="S85" s="378"/>
      <c r="T85" s="378"/>
      <c r="U85" s="378"/>
      <c r="V85" s="378"/>
      <c r="W85" s="378"/>
      <c r="X85" s="378"/>
      <c r="Y85" s="378"/>
      <c r="Z85" s="378"/>
    </row>
    <row r="86" spans="1:26" ht="18">
      <c r="A86" s="378"/>
      <c r="B86" s="378"/>
      <c r="C86" s="378"/>
      <c r="D86" s="384"/>
      <c r="E86" s="378"/>
      <c r="F86" s="378"/>
      <c r="G86" s="378"/>
      <c r="H86" s="378"/>
      <c r="I86" s="378"/>
      <c r="J86" s="378"/>
      <c r="K86" s="378"/>
      <c r="L86" s="378"/>
      <c r="M86" s="378"/>
      <c r="N86" s="378"/>
      <c r="O86" s="378"/>
      <c r="P86" s="378"/>
      <c r="Q86" s="378"/>
      <c r="R86" s="378"/>
      <c r="S86" s="378"/>
      <c r="T86" s="378"/>
      <c r="U86" s="378"/>
      <c r="V86" s="378"/>
      <c r="W86" s="378"/>
      <c r="X86" s="378"/>
      <c r="Y86" s="378"/>
      <c r="Z86" s="378"/>
    </row>
    <row r="87" spans="1:26" ht="18">
      <c r="A87" s="378"/>
      <c r="B87" s="378"/>
      <c r="C87" s="378"/>
      <c r="D87" s="384"/>
      <c r="E87" s="378"/>
      <c r="F87" s="378"/>
      <c r="G87" s="378"/>
      <c r="H87" s="378"/>
      <c r="I87" s="378"/>
      <c r="J87" s="378"/>
      <c r="K87" s="378"/>
      <c r="L87" s="378"/>
      <c r="M87" s="378"/>
      <c r="N87" s="378"/>
      <c r="O87" s="378"/>
      <c r="P87" s="378"/>
      <c r="Q87" s="378"/>
      <c r="R87" s="378"/>
      <c r="S87" s="378"/>
      <c r="T87" s="378"/>
      <c r="U87" s="378"/>
      <c r="V87" s="378"/>
      <c r="W87" s="378"/>
      <c r="X87" s="378"/>
      <c r="Y87" s="378"/>
      <c r="Z87" s="378"/>
    </row>
    <row r="88" spans="1:26" ht="18">
      <c r="A88" s="378"/>
      <c r="B88" s="378"/>
      <c r="C88" s="378"/>
      <c r="D88" s="384"/>
      <c r="E88" s="378"/>
      <c r="F88" s="378"/>
      <c r="G88" s="378"/>
      <c r="H88" s="378"/>
      <c r="I88" s="378"/>
      <c r="J88" s="378"/>
      <c r="K88" s="378"/>
      <c r="L88" s="378"/>
      <c r="M88" s="378"/>
      <c r="N88" s="378"/>
      <c r="O88" s="378"/>
      <c r="P88" s="378"/>
      <c r="Q88" s="378"/>
      <c r="R88" s="378"/>
      <c r="S88" s="378"/>
      <c r="T88" s="378"/>
      <c r="U88" s="378"/>
      <c r="V88" s="378"/>
      <c r="W88" s="378"/>
      <c r="X88" s="378"/>
      <c r="Y88" s="378"/>
      <c r="Z88" s="378"/>
    </row>
    <row r="89" spans="1:26" ht="18">
      <c r="A89" s="378"/>
      <c r="B89" s="378"/>
      <c r="C89" s="378"/>
      <c r="D89" s="384"/>
      <c r="E89" s="378"/>
      <c r="F89" s="378"/>
      <c r="G89" s="378"/>
      <c r="H89" s="378"/>
      <c r="I89" s="378"/>
      <c r="J89" s="378"/>
      <c r="K89" s="378"/>
      <c r="L89" s="378"/>
      <c r="M89" s="378"/>
      <c r="N89" s="378"/>
      <c r="O89" s="378"/>
      <c r="P89" s="378"/>
      <c r="Q89" s="378"/>
      <c r="R89" s="378"/>
      <c r="S89" s="378"/>
      <c r="T89" s="378"/>
      <c r="U89" s="378"/>
      <c r="V89" s="378"/>
      <c r="W89" s="378"/>
      <c r="X89" s="378"/>
      <c r="Y89" s="378"/>
      <c r="Z89" s="378"/>
    </row>
    <row r="90" spans="1:26" ht="18">
      <c r="A90" s="378"/>
      <c r="B90" s="378"/>
      <c r="C90" s="378"/>
      <c r="D90" s="384"/>
      <c r="E90" s="378"/>
      <c r="F90" s="378"/>
      <c r="G90" s="378"/>
      <c r="H90" s="378"/>
      <c r="I90" s="378"/>
      <c r="J90" s="378"/>
      <c r="K90" s="378"/>
      <c r="L90" s="378"/>
      <c r="M90" s="378"/>
      <c r="N90" s="378"/>
      <c r="O90" s="378"/>
      <c r="P90" s="378"/>
      <c r="Q90" s="378"/>
      <c r="R90" s="378"/>
      <c r="S90" s="378"/>
      <c r="T90" s="378"/>
      <c r="U90" s="378"/>
      <c r="V90" s="378"/>
      <c r="W90" s="378"/>
      <c r="X90" s="378"/>
      <c r="Y90" s="378"/>
      <c r="Z90" s="378"/>
    </row>
    <row r="91" spans="1:26" ht="18">
      <c r="A91" s="378"/>
      <c r="B91" s="378"/>
      <c r="C91" s="378"/>
      <c r="D91" s="384"/>
      <c r="E91" s="378"/>
      <c r="F91" s="378"/>
      <c r="G91" s="378"/>
      <c r="H91" s="378"/>
      <c r="I91" s="378"/>
      <c r="J91" s="378"/>
      <c r="K91" s="378"/>
      <c r="L91" s="378"/>
      <c r="M91" s="378"/>
      <c r="N91" s="378"/>
      <c r="O91" s="378"/>
      <c r="P91" s="378"/>
      <c r="Q91" s="378"/>
      <c r="R91" s="378"/>
      <c r="S91" s="378"/>
      <c r="T91" s="378"/>
      <c r="U91" s="378"/>
      <c r="V91" s="378"/>
      <c r="W91" s="378"/>
      <c r="X91" s="378"/>
      <c r="Y91" s="378"/>
      <c r="Z91" s="378"/>
    </row>
    <row r="92" spans="1:26" ht="18">
      <c r="A92" s="378"/>
      <c r="B92" s="378"/>
      <c r="C92" s="378"/>
      <c r="D92" s="384"/>
      <c r="E92" s="378"/>
      <c r="F92" s="378"/>
      <c r="G92" s="378"/>
      <c r="H92" s="378"/>
      <c r="I92" s="378"/>
      <c r="J92" s="378"/>
      <c r="K92" s="378"/>
      <c r="L92" s="378"/>
      <c r="M92" s="378"/>
      <c r="N92" s="378"/>
      <c r="O92" s="378"/>
      <c r="P92" s="378"/>
      <c r="Q92" s="378"/>
      <c r="R92" s="378"/>
      <c r="S92" s="378"/>
      <c r="T92" s="378"/>
      <c r="U92" s="378"/>
      <c r="V92" s="378"/>
      <c r="W92" s="378"/>
      <c r="X92" s="378"/>
      <c r="Y92" s="378"/>
      <c r="Z92" s="378"/>
    </row>
    <row r="93" spans="1:26" ht="18">
      <c r="A93" s="378"/>
      <c r="B93" s="378"/>
      <c r="C93" s="378"/>
      <c r="D93" s="384"/>
      <c r="E93" s="378"/>
      <c r="F93" s="378"/>
      <c r="G93" s="378"/>
      <c r="H93" s="378"/>
      <c r="I93" s="378"/>
      <c r="J93" s="378"/>
      <c r="K93" s="378"/>
      <c r="L93" s="378"/>
      <c r="M93" s="378"/>
      <c r="N93" s="378"/>
      <c r="O93" s="378"/>
      <c r="P93" s="378"/>
      <c r="Q93" s="378"/>
      <c r="R93" s="378"/>
      <c r="S93" s="378"/>
      <c r="T93" s="378"/>
      <c r="U93" s="378"/>
      <c r="V93" s="378"/>
      <c r="W93" s="378"/>
      <c r="X93" s="378"/>
      <c r="Y93" s="378"/>
      <c r="Z93" s="378"/>
    </row>
    <row r="94" spans="1:26" ht="18">
      <c r="A94" s="378"/>
      <c r="B94" s="378"/>
      <c r="C94" s="378"/>
      <c r="D94" s="384"/>
      <c r="E94" s="378"/>
      <c r="F94" s="378"/>
      <c r="G94" s="378"/>
      <c r="H94" s="378"/>
      <c r="I94" s="378"/>
      <c r="J94" s="378"/>
      <c r="K94" s="378"/>
      <c r="L94" s="378"/>
      <c r="M94" s="378"/>
      <c r="N94" s="378"/>
      <c r="O94" s="378"/>
      <c r="P94" s="378"/>
      <c r="Q94" s="378"/>
      <c r="R94" s="378"/>
      <c r="S94" s="378"/>
      <c r="T94" s="378"/>
      <c r="U94" s="378"/>
      <c r="V94" s="378"/>
      <c r="W94" s="378"/>
      <c r="X94" s="378"/>
      <c r="Y94" s="378"/>
      <c r="Z94" s="378"/>
    </row>
    <row r="95" spans="1:26" ht="18">
      <c r="A95" s="378"/>
      <c r="B95" s="378"/>
      <c r="C95" s="378"/>
      <c r="D95" s="384"/>
      <c r="E95" s="378"/>
      <c r="F95" s="378"/>
      <c r="G95" s="378"/>
      <c r="H95" s="378"/>
      <c r="I95" s="378"/>
      <c r="J95" s="378"/>
      <c r="K95" s="378"/>
      <c r="L95" s="378"/>
      <c r="M95" s="378"/>
      <c r="N95" s="378"/>
      <c r="O95" s="378"/>
      <c r="P95" s="378"/>
      <c r="Q95" s="378"/>
      <c r="R95" s="378"/>
      <c r="S95" s="378"/>
      <c r="T95" s="378"/>
      <c r="U95" s="378"/>
      <c r="V95" s="378"/>
      <c r="W95" s="378"/>
      <c r="X95" s="378"/>
      <c r="Y95" s="378"/>
      <c r="Z95" s="378"/>
    </row>
    <row r="96" spans="1:26" ht="18">
      <c r="A96" s="378"/>
      <c r="B96" s="378"/>
      <c r="C96" s="378"/>
      <c r="D96" s="384"/>
      <c r="E96" s="378"/>
      <c r="F96" s="378"/>
      <c r="G96" s="378"/>
      <c r="H96" s="378"/>
      <c r="I96" s="378"/>
      <c r="J96" s="378"/>
      <c r="K96" s="378"/>
      <c r="L96" s="378"/>
      <c r="M96" s="378"/>
      <c r="N96" s="378"/>
      <c r="O96" s="378"/>
      <c r="P96" s="378"/>
      <c r="Q96" s="378"/>
      <c r="R96" s="378"/>
      <c r="S96" s="378"/>
      <c r="T96" s="378"/>
      <c r="U96" s="378"/>
      <c r="V96" s="378"/>
      <c r="W96" s="378"/>
      <c r="X96" s="378"/>
      <c r="Y96" s="378"/>
      <c r="Z96" s="378"/>
    </row>
    <row r="97" spans="1:26" ht="18">
      <c r="A97" s="378"/>
      <c r="B97" s="378"/>
      <c r="C97" s="378"/>
      <c r="D97" s="384"/>
      <c r="E97" s="378"/>
      <c r="F97" s="378"/>
      <c r="G97" s="378"/>
      <c r="H97" s="378"/>
      <c r="I97" s="378"/>
      <c r="J97" s="378"/>
      <c r="K97" s="378"/>
      <c r="L97" s="378"/>
      <c r="M97" s="378"/>
      <c r="N97" s="378"/>
      <c r="O97" s="378"/>
      <c r="P97" s="378"/>
      <c r="Q97" s="378"/>
      <c r="R97" s="378"/>
      <c r="S97" s="378"/>
      <c r="T97" s="378"/>
      <c r="U97" s="378"/>
      <c r="V97" s="378"/>
      <c r="W97" s="378"/>
      <c r="X97" s="378"/>
      <c r="Y97" s="378"/>
      <c r="Z97" s="378"/>
    </row>
    <row r="98" spans="1:26" ht="18">
      <c r="A98" s="378"/>
      <c r="B98" s="378"/>
      <c r="C98" s="378"/>
      <c r="D98" s="384"/>
      <c r="E98" s="378"/>
      <c r="F98" s="378"/>
      <c r="G98" s="378"/>
      <c r="H98" s="378"/>
      <c r="I98" s="378"/>
      <c r="J98" s="378"/>
      <c r="K98" s="378"/>
      <c r="L98" s="378"/>
      <c r="M98" s="378"/>
      <c r="N98" s="378"/>
      <c r="O98" s="378"/>
      <c r="P98" s="378"/>
      <c r="Q98" s="378"/>
      <c r="R98" s="378"/>
      <c r="S98" s="378"/>
      <c r="T98" s="378"/>
      <c r="U98" s="378"/>
      <c r="V98" s="378"/>
      <c r="W98" s="378"/>
      <c r="X98" s="378"/>
      <c r="Y98" s="378"/>
      <c r="Z98" s="378"/>
    </row>
    <row r="99" spans="1:26" ht="18">
      <c r="A99" s="378"/>
      <c r="B99" s="378"/>
      <c r="C99" s="378"/>
      <c r="D99" s="384"/>
      <c r="E99" s="378"/>
      <c r="F99" s="378"/>
      <c r="G99" s="378"/>
      <c r="H99" s="378"/>
      <c r="I99" s="378"/>
      <c r="J99" s="378"/>
      <c r="K99" s="378"/>
      <c r="L99" s="378"/>
      <c r="M99" s="378"/>
      <c r="N99" s="378"/>
      <c r="O99" s="378"/>
      <c r="P99" s="378"/>
      <c r="Q99" s="378"/>
      <c r="R99" s="378"/>
      <c r="S99" s="378"/>
      <c r="T99" s="378"/>
      <c r="U99" s="378"/>
      <c r="V99" s="378"/>
      <c r="W99" s="378"/>
      <c r="X99" s="378"/>
      <c r="Y99" s="378"/>
      <c r="Z99" s="378"/>
    </row>
    <row r="100" spans="1:26" ht="18">
      <c r="A100" s="378"/>
      <c r="B100" s="378"/>
      <c r="C100" s="378"/>
      <c r="D100" s="384"/>
      <c r="E100" s="378"/>
      <c r="F100" s="378"/>
      <c r="G100" s="378"/>
      <c r="H100" s="378"/>
      <c r="I100" s="378"/>
      <c r="J100" s="378"/>
      <c r="K100" s="378"/>
      <c r="L100" s="378"/>
      <c r="M100" s="378"/>
      <c r="N100" s="378"/>
      <c r="O100" s="378"/>
      <c r="P100" s="378"/>
      <c r="Q100" s="378"/>
      <c r="R100" s="378"/>
      <c r="S100" s="378"/>
      <c r="T100" s="378"/>
      <c r="U100" s="378"/>
      <c r="V100" s="378"/>
      <c r="W100" s="378"/>
      <c r="X100" s="378"/>
      <c r="Y100" s="378"/>
      <c r="Z100" s="378"/>
    </row>
    <row r="101" spans="1:26" ht="18">
      <c r="A101" s="378"/>
      <c r="B101" s="378"/>
      <c r="C101" s="378"/>
      <c r="D101" s="384"/>
      <c r="E101" s="378"/>
      <c r="F101" s="378"/>
      <c r="G101" s="378"/>
      <c r="H101" s="378"/>
      <c r="I101" s="378"/>
      <c r="J101" s="378"/>
      <c r="K101" s="378"/>
      <c r="L101" s="378"/>
      <c r="M101" s="378"/>
      <c r="N101" s="378"/>
      <c r="O101" s="378"/>
      <c r="P101" s="378"/>
      <c r="Q101" s="378"/>
      <c r="R101" s="378"/>
      <c r="S101" s="378"/>
      <c r="T101" s="378"/>
      <c r="U101" s="378"/>
      <c r="V101" s="378"/>
      <c r="W101" s="378"/>
      <c r="X101" s="378"/>
      <c r="Y101" s="378"/>
      <c r="Z101" s="378"/>
    </row>
    <row r="102" spans="1:26" ht="18">
      <c r="A102" s="378"/>
      <c r="B102" s="378"/>
      <c r="C102" s="378"/>
      <c r="D102" s="384"/>
      <c r="E102" s="378"/>
      <c r="F102" s="378"/>
      <c r="G102" s="378"/>
      <c r="H102" s="378"/>
      <c r="I102" s="378"/>
      <c r="J102" s="378"/>
      <c r="K102" s="378"/>
      <c r="L102" s="378"/>
      <c r="M102" s="378"/>
      <c r="N102" s="378"/>
      <c r="O102" s="378"/>
      <c r="P102" s="378"/>
      <c r="Q102" s="378"/>
      <c r="R102" s="378"/>
      <c r="S102" s="378"/>
      <c r="T102" s="378"/>
      <c r="U102" s="378"/>
      <c r="V102" s="378"/>
      <c r="W102" s="378"/>
      <c r="X102" s="378"/>
      <c r="Y102" s="378"/>
      <c r="Z102" s="378"/>
    </row>
    <row r="103" spans="1:26" ht="18">
      <c r="A103" s="378"/>
      <c r="B103" s="378"/>
      <c r="C103" s="378"/>
      <c r="D103" s="384"/>
      <c r="E103" s="378"/>
      <c r="F103" s="378"/>
      <c r="G103" s="378"/>
      <c r="H103" s="378"/>
      <c r="I103" s="378"/>
      <c r="J103" s="378"/>
      <c r="K103" s="378"/>
      <c r="L103" s="378"/>
      <c r="M103" s="378"/>
      <c r="N103" s="378"/>
      <c r="O103" s="378"/>
      <c r="P103" s="378"/>
      <c r="Q103" s="378"/>
      <c r="R103" s="378"/>
      <c r="S103" s="378"/>
      <c r="T103" s="378"/>
      <c r="U103" s="378"/>
      <c r="V103" s="378"/>
      <c r="W103" s="378"/>
      <c r="X103" s="378"/>
      <c r="Y103" s="378"/>
      <c r="Z103" s="378"/>
    </row>
    <row r="104" spans="1:26" ht="18">
      <c r="A104" s="378"/>
      <c r="B104" s="378"/>
      <c r="C104" s="378"/>
      <c r="D104" s="384"/>
      <c r="E104" s="378"/>
      <c r="F104" s="378"/>
      <c r="G104" s="378"/>
      <c r="H104" s="378"/>
      <c r="I104" s="378"/>
      <c r="J104" s="378"/>
      <c r="K104" s="378"/>
      <c r="L104" s="378"/>
      <c r="M104" s="378"/>
      <c r="N104" s="378"/>
      <c r="O104" s="378"/>
      <c r="P104" s="378"/>
      <c r="Q104" s="378"/>
      <c r="R104" s="378"/>
      <c r="S104" s="378"/>
      <c r="T104" s="378"/>
      <c r="U104" s="378"/>
      <c r="V104" s="378"/>
      <c r="W104" s="378"/>
      <c r="X104" s="378"/>
      <c r="Y104" s="378"/>
      <c r="Z104" s="378"/>
    </row>
    <row r="105" spans="1:26" ht="18">
      <c r="A105" s="378"/>
      <c r="B105" s="378"/>
      <c r="C105" s="378"/>
      <c r="D105" s="384"/>
      <c r="E105" s="378"/>
      <c r="F105" s="378"/>
      <c r="G105" s="378"/>
      <c r="H105" s="378"/>
      <c r="I105" s="378"/>
      <c r="J105" s="378"/>
      <c r="K105" s="378"/>
      <c r="L105" s="378"/>
      <c r="M105" s="378"/>
      <c r="N105" s="378"/>
      <c r="O105" s="378"/>
      <c r="P105" s="378"/>
      <c r="Q105" s="378"/>
      <c r="R105" s="378"/>
      <c r="S105" s="378"/>
      <c r="T105" s="378"/>
      <c r="U105" s="378"/>
      <c r="V105" s="378"/>
      <c r="W105" s="378"/>
      <c r="X105" s="378"/>
      <c r="Y105" s="378"/>
      <c r="Z105" s="378"/>
    </row>
    <row r="106" spans="1:26" ht="18">
      <c r="A106" s="378"/>
      <c r="B106" s="378"/>
      <c r="C106" s="378"/>
      <c r="D106" s="384"/>
      <c r="E106" s="378"/>
      <c r="F106" s="378"/>
      <c r="G106" s="378"/>
      <c r="H106" s="378"/>
      <c r="I106" s="378"/>
      <c r="J106" s="378"/>
      <c r="K106" s="378"/>
      <c r="L106" s="378"/>
      <c r="M106" s="378"/>
      <c r="N106" s="378"/>
      <c r="O106" s="378"/>
      <c r="P106" s="378"/>
      <c r="Q106" s="378"/>
      <c r="R106" s="378"/>
      <c r="S106" s="378"/>
      <c r="T106" s="378"/>
      <c r="U106" s="378"/>
      <c r="V106" s="378"/>
      <c r="W106" s="378"/>
      <c r="X106" s="378"/>
      <c r="Y106" s="378"/>
      <c r="Z106" s="378"/>
    </row>
    <row r="107" spans="1:26" ht="18">
      <c r="A107" s="378"/>
      <c r="B107" s="378"/>
      <c r="C107" s="378"/>
      <c r="D107" s="384"/>
      <c r="E107" s="378"/>
      <c r="F107" s="378"/>
      <c r="G107" s="378"/>
      <c r="H107" s="378"/>
      <c r="I107" s="378"/>
      <c r="J107" s="378"/>
      <c r="K107" s="378"/>
      <c r="L107" s="378"/>
      <c r="M107" s="378"/>
      <c r="N107" s="378"/>
      <c r="O107" s="378"/>
      <c r="P107" s="378"/>
      <c r="Q107" s="378"/>
      <c r="R107" s="378"/>
      <c r="S107" s="378"/>
      <c r="T107" s="378"/>
      <c r="U107" s="378"/>
      <c r="V107" s="378"/>
      <c r="W107" s="378"/>
      <c r="X107" s="378"/>
      <c r="Y107" s="378"/>
      <c r="Z107" s="378"/>
    </row>
    <row r="108" spans="1:26" ht="18">
      <c r="A108" s="378"/>
      <c r="B108" s="378"/>
      <c r="C108" s="378"/>
      <c r="D108" s="384"/>
      <c r="E108" s="378"/>
      <c r="F108" s="378"/>
      <c r="G108" s="378"/>
      <c r="H108" s="378"/>
      <c r="I108" s="378"/>
      <c r="J108" s="378"/>
      <c r="K108" s="378"/>
      <c r="L108" s="378"/>
      <c r="M108" s="378"/>
      <c r="N108" s="378"/>
      <c r="O108" s="378"/>
      <c r="P108" s="378"/>
      <c r="Q108" s="378"/>
      <c r="R108" s="378"/>
      <c r="S108" s="378"/>
      <c r="T108" s="378"/>
      <c r="U108" s="378"/>
      <c r="V108" s="378"/>
      <c r="W108" s="378"/>
      <c r="X108" s="378"/>
      <c r="Y108" s="378"/>
      <c r="Z108" s="378"/>
    </row>
    <row r="109" spans="1:26" ht="18">
      <c r="A109" s="378"/>
      <c r="B109" s="378"/>
      <c r="C109" s="378"/>
      <c r="D109" s="384"/>
      <c r="E109" s="378"/>
      <c r="F109" s="378"/>
      <c r="G109" s="378"/>
      <c r="H109" s="378"/>
      <c r="I109" s="378"/>
      <c r="J109" s="378"/>
      <c r="K109" s="378"/>
      <c r="L109" s="378"/>
      <c r="M109" s="378"/>
      <c r="N109" s="378"/>
      <c r="O109" s="378"/>
      <c r="P109" s="378"/>
      <c r="Q109" s="378"/>
      <c r="R109" s="378"/>
      <c r="S109" s="378"/>
      <c r="T109" s="378"/>
      <c r="U109" s="378"/>
      <c r="V109" s="378"/>
      <c r="W109" s="378"/>
      <c r="X109" s="378"/>
      <c r="Y109" s="378"/>
      <c r="Z109" s="378"/>
    </row>
    <row r="110" spans="1:26" ht="18">
      <c r="A110" s="378"/>
      <c r="B110" s="378"/>
      <c r="C110" s="378"/>
      <c r="D110" s="384"/>
      <c r="E110" s="378"/>
      <c r="F110" s="378"/>
      <c r="G110" s="378"/>
      <c r="H110" s="378"/>
      <c r="I110" s="378"/>
      <c r="J110" s="378"/>
      <c r="K110" s="378"/>
      <c r="L110" s="378"/>
      <c r="M110" s="378"/>
      <c r="N110" s="378"/>
      <c r="O110" s="378"/>
      <c r="P110" s="378"/>
      <c r="Q110" s="378"/>
      <c r="R110" s="378"/>
      <c r="S110" s="378"/>
      <c r="T110" s="378"/>
      <c r="U110" s="378"/>
      <c r="V110" s="378"/>
      <c r="W110" s="378"/>
      <c r="X110" s="378"/>
      <c r="Y110" s="378"/>
      <c r="Z110" s="378"/>
    </row>
    <row r="111" spans="1:26" ht="18">
      <c r="A111" s="378"/>
      <c r="B111" s="378"/>
      <c r="C111" s="378"/>
      <c r="D111" s="384"/>
      <c r="E111" s="378"/>
      <c r="F111" s="378"/>
      <c r="G111" s="378"/>
      <c r="H111" s="378"/>
      <c r="I111" s="378"/>
      <c r="J111" s="378"/>
      <c r="K111" s="378"/>
      <c r="L111" s="378"/>
      <c r="M111" s="378"/>
      <c r="N111" s="378"/>
      <c r="O111" s="378"/>
      <c r="P111" s="378"/>
      <c r="Q111" s="378"/>
      <c r="R111" s="378"/>
      <c r="S111" s="378"/>
      <c r="T111" s="378"/>
      <c r="U111" s="378"/>
      <c r="V111" s="378"/>
      <c r="W111" s="378"/>
      <c r="X111" s="378"/>
      <c r="Y111" s="378"/>
      <c r="Z111" s="378"/>
    </row>
    <row r="112" spans="1:26" ht="18">
      <c r="A112" s="378"/>
      <c r="B112" s="378"/>
      <c r="C112" s="378"/>
      <c r="D112" s="384"/>
      <c r="E112" s="378"/>
      <c r="F112" s="378"/>
      <c r="G112" s="378"/>
      <c r="H112" s="378"/>
      <c r="I112" s="378"/>
      <c r="J112" s="378"/>
      <c r="K112" s="378"/>
      <c r="L112" s="378"/>
      <c r="M112" s="378"/>
      <c r="N112" s="378"/>
      <c r="O112" s="378"/>
      <c r="P112" s="378"/>
      <c r="Q112" s="378"/>
      <c r="R112" s="378"/>
      <c r="S112" s="378"/>
      <c r="T112" s="378"/>
      <c r="U112" s="378"/>
      <c r="V112" s="378"/>
      <c r="W112" s="378"/>
      <c r="X112" s="378"/>
      <c r="Y112" s="378"/>
      <c r="Z112" s="378"/>
    </row>
    <row r="113" spans="1:26" ht="18">
      <c r="A113" s="378"/>
      <c r="B113" s="378"/>
      <c r="C113" s="378"/>
      <c r="D113" s="384"/>
      <c r="E113" s="378"/>
      <c r="F113" s="378"/>
      <c r="G113" s="378"/>
      <c r="H113" s="378"/>
      <c r="I113" s="378"/>
      <c r="J113" s="378"/>
      <c r="K113" s="378"/>
      <c r="L113" s="378"/>
      <c r="M113" s="378"/>
      <c r="N113" s="378"/>
      <c r="O113" s="378"/>
      <c r="P113" s="378"/>
      <c r="Q113" s="378"/>
      <c r="R113" s="378"/>
      <c r="S113" s="378"/>
      <c r="T113" s="378"/>
      <c r="U113" s="378"/>
      <c r="V113" s="378"/>
      <c r="W113" s="378"/>
      <c r="X113" s="378"/>
      <c r="Y113" s="378"/>
      <c r="Z113" s="378"/>
    </row>
    <row r="114" spans="1:26" ht="18">
      <c r="A114" s="378"/>
      <c r="B114" s="378"/>
      <c r="C114" s="378"/>
      <c r="D114" s="384"/>
      <c r="E114" s="378"/>
      <c r="F114" s="378"/>
      <c r="G114" s="378"/>
      <c r="H114" s="378"/>
      <c r="I114" s="378"/>
      <c r="J114" s="378"/>
      <c r="K114" s="378"/>
      <c r="L114" s="378"/>
      <c r="M114" s="378"/>
      <c r="N114" s="378"/>
      <c r="O114" s="378"/>
      <c r="P114" s="378"/>
      <c r="Q114" s="378"/>
      <c r="R114" s="378"/>
      <c r="S114" s="378"/>
      <c r="T114" s="378"/>
      <c r="U114" s="378"/>
      <c r="V114" s="378"/>
      <c r="W114" s="378"/>
      <c r="X114" s="378"/>
      <c r="Y114" s="378"/>
      <c r="Z114" s="378"/>
    </row>
    <row r="115" spans="1:26" ht="18">
      <c r="A115" s="378"/>
      <c r="B115" s="378"/>
      <c r="C115" s="378"/>
      <c r="D115" s="384"/>
      <c r="E115" s="378"/>
      <c r="F115" s="378"/>
      <c r="G115" s="378"/>
      <c r="H115" s="378"/>
      <c r="I115" s="378"/>
      <c r="J115" s="378"/>
      <c r="K115" s="378"/>
      <c r="L115" s="378"/>
      <c r="M115" s="378"/>
      <c r="N115" s="378"/>
      <c r="O115" s="378"/>
      <c r="P115" s="378"/>
      <c r="Q115" s="378"/>
      <c r="R115" s="378"/>
      <c r="S115" s="378"/>
      <c r="T115" s="378"/>
      <c r="U115" s="378"/>
      <c r="V115" s="378"/>
      <c r="W115" s="378"/>
      <c r="X115" s="378"/>
      <c r="Y115" s="378"/>
      <c r="Z115" s="378"/>
    </row>
    <row r="116" spans="1:26" ht="18">
      <c r="A116" s="378"/>
      <c r="B116" s="378"/>
      <c r="C116" s="378"/>
      <c r="D116" s="384"/>
      <c r="E116" s="378"/>
      <c r="F116" s="378"/>
      <c r="G116" s="378"/>
      <c r="H116" s="378"/>
      <c r="I116" s="378"/>
      <c r="J116" s="378"/>
      <c r="K116" s="378"/>
      <c r="L116" s="378"/>
      <c r="M116" s="378"/>
      <c r="N116" s="378"/>
      <c r="O116" s="378"/>
      <c r="P116" s="378"/>
      <c r="Q116" s="378"/>
      <c r="R116" s="378"/>
      <c r="S116" s="378"/>
      <c r="T116" s="378"/>
      <c r="U116" s="378"/>
      <c r="V116" s="378"/>
      <c r="W116" s="378"/>
      <c r="X116" s="378"/>
      <c r="Y116" s="378"/>
      <c r="Z116" s="378"/>
    </row>
    <row r="117" spans="1:26" ht="18">
      <c r="A117" s="378"/>
      <c r="B117" s="378"/>
      <c r="C117" s="378"/>
      <c r="D117" s="384"/>
      <c r="E117" s="378"/>
      <c r="F117" s="378"/>
      <c r="G117" s="378"/>
      <c r="H117" s="378"/>
      <c r="I117" s="378"/>
      <c r="J117" s="378"/>
      <c r="K117" s="378"/>
      <c r="L117" s="378"/>
      <c r="M117" s="378"/>
      <c r="N117" s="378"/>
      <c r="O117" s="378"/>
      <c r="P117" s="378"/>
      <c r="Q117" s="378"/>
      <c r="R117" s="378"/>
      <c r="S117" s="378"/>
      <c r="T117" s="378"/>
      <c r="U117" s="378"/>
      <c r="V117" s="378"/>
      <c r="W117" s="378"/>
      <c r="X117" s="378"/>
      <c r="Y117" s="378"/>
      <c r="Z117" s="378"/>
    </row>
    <row r="118" spans="1:26" ht="18">
      <c r="A118" s="378"/>
      <c r="B118" s="378"/>
      <c r="C118" s="378"/>
      <c r="D118" s="384"/>
      <c r="E118" s="378"/>
      <c r="F118" s="378"/>
      <c r="G118" s="378"/>
      <c r="H118" s="378"/>
      <c r="I118" s="378"/>
      <c r="J118" s="378"/>
      <c r="K118" s="378"/>
      <c r="L118" s="378"/>
      <c r="M118" s="378"/>
      <c r="N118" s="378"/>
      <c r="O118" s="378"/>
      <c r="P118" s="378"/>
      <c r="Q118" s="378"/>
      <c r="R118" s="378"/>
      <c r="S118" s="378"/>
      <c r="T118" s="378"/>
      <c r="U118" s="378"/>
      <c r="V118" s="378"/>
      <c r="W118" s="378"/>
      <c r="X118" s="378"/>
      <c r="Y118" s="378"/>
      <c r="Z118" s="378"/>
    </row>
    <row r="119" spans="1:26" ht="18">
      <c r="A119" s="378"/>
      <c r="B119" s="378"/>
      <c r="C119" s="378"/>
      <c r="D119" s="384"/>
      <c r="E119" s="378"/>
      <c r="F119" s="378"/>
      <c r="G119" s="378"/>
      <c r="H119" s="378"/>
      <c r="I119" s="378"/>
      <c r="J119" s="378"/>
      <c r="K119" s="378"/>
      <c r="L119" s="378"/>
      <c r="M119" s="378"/>
      <c r="N119" s="378"/>
      <c r="O119" s="378"/>
      <c r="P119" s="378"/>
      <c r="Q119" s="378"/>
      <c r="R119" s="378"/>
      <c r="S119" s="378"/>
      <c r="T119" s="378"/>
      <c r="U119" s="378"/>
      <c r="V119" s="378"/>
      <c r="W119" s="378"/>
      <c r="X119" s="378"/>
      <c r="Y119" s="378"/>
      <c r="Z119" s="378"/>
    </row>
    <row r="120" spans="1:26" ht="18">
      <c r="A120" s="378"/>
      <c r="B120" s="378"/>
      <c r="C120" s="378"/>
      <c r="D120" s="384"/>
      <c r="E120" s="378"/>
      <c r="F120" s="378"/>
      <c r="G120" s="378"/>
      <c r="H120" s="378"/>
      <c r="I120" s="378"/>
      <c r="J120" s="378"/>
      <c r="K120" s="378"/>
      <c r="L120" s="378"/>
      <c r="M120" s="378"/>
      <c r="N120" s="378"/>
      <c r="O120" s="378"/>
      <c r="P120" s="378"/>
      <c r="Q120" s="378"/>
      <c r="R120" s="378"/>
      <c r="S120" s="378"/>
      <c r="T120" s="378"/>
      <c r="U120" s="378"/>
      <c r="V120" s="378"/>
      <c r="W120" s="378"/>
      <c r="X120" s="378"/>
      <c r="Y120" s="378"/>
      <c r="Z120" s="378"/>
    </row>
    <row r="121" spans="1:26" ht="18">
      <c r="A121" s="378"/>
      <c r="B121" s="378"/>
      <c r="C121" s="378"/>
      <c r="D121" s="384"/>
      <c r="E121" s="378"/>
      <c r="F121" s="378"/>
      <c r="G121" s="378"/>
      <c r="H121" s="378"/>
      <c r="I121" s="378"/>
      <c r="J121" s="378"/>
      <c r="K121" s="378"/>
      <c r="L121" s="378"/>
      <c r="M121" s="378"/>
      <c r="N121" s="378"/>
      <c r="O121" s="378"/>
      <c r="P121" s="378"/>
      <c r="Q121" s="378"/>
      <c r="R121" s="378"/>
      <c r="S121" s="378"/>
      <c r="T121" s="378"/>
      <c r="U121" s="378"/>
      <c r="V121" s="378"/>
      <c r="W121" s="378"/>
      <c r="X121" s="378"/>
      <c r="Y121" s="378"/>
      <c r="Z121" s="378"/>
    </row>
    <row r="122" spans="1:26" ht="18">
      <c r="A122" s="378"/>
      <c r="B122" s="378"/>
      <c r="C122" s="378"/>
      <c r="D122" s="384"/>
      <c r="E122" s="378"/>
      <c r="F122" s="378"/>
      <c r="G122" s="378"/>
      <c r="H122" s="378"/>
      <c r="I122" s="378"/>
      <c r="J122" s="378"/>
      <c r="K122" s="378"/>
      <c r="L122" s="378"/>
      <c r="M122" s="378"/>
      <c r="N122" s="378"/>
      <c r="O122" s="378"/>
      <c r="P122" s="378"/>
      <c r="Q122" s="378"/>
      <c r="R122" s="378"/>
      <c r="S122" s="378"/>
      <c r="T122" s="378"/>
      <c r="U122" s="378"/>
      <c r="V122" s="378"/>
      <c r="W122" s="378"/>
      <c r="X122" s="378"/>
      <c r="Y122" s="378"/>
      <c r="Z122" s="378"/>
    </row>
    <row r="123" spans="1:26" ht="18">
      <c r="A123" s="378"/>
      <c r="B123" s="378"/>
      <c r="C123" s="378"/>
      <c r="D123" s="384"/>
      <c r="E123" s="378"/>
      <c r="F123" s="378"/>
      <c r="G123" s="378"/>
      <c r="H123" s="378"/>
      <c r="I123" s="378"/>
      <c r="J123" s="378"/>
      <c r="K123" s="378"/>
      <c r="L123" s="378"/>
      <c r="M123" s="378"/>
      <c r="N123" s="378"/>
      <c r="O123" s="378"/>
      <c r="P123" s="378"/>
      <c r="Q123" s="378"/>
      <c r="R123" s="378"/>
      <c r="S123" s="378"/>
      <c r="T123" s="378"/>
      <c r="U123" s="378"/>
      <c r="V123" s="378"/>
      <c r="W123" s="378"/>
      <c r="X123" s="378"/>
      <c r="Y123" s="378"/>
      <c r="Z123" s="378"/>
    </row>
    <row r="124" spans="1:26" ht="18">
      <c r="A124" s="378"/>
      <c r="B124" s="378"/>
      <c r="C124" s="378"/>
      <c r="D124" s="384"/>
      <c r="E124" s="378"/>
      <c r="F124" s="378"/>
      <c r="G124" s="378"/>
      <c r="H124" s="378"/>
      <c r="I124" s="378"/>
      <c r="J124" s="378"/>
      <c r="K124" s="378"/>
      <c r="L124" s="378"/>
      <c r="M124" s="378"/>
      <c r="N124" s="378"/>
      <c r="O124" s="378"/>
      <c r="P124" s="378"/>
      <c r="Q124" s="378"/>
      <c r="R124" s="378"/>
      <c r="S124" s="378"/>
      <c r="T124" s="378"/>
      <c r="U124" s="378"/>
      <c r="V124" s="378"/>
      <c r="W124" s="378"/>
      <c r="X124" s="378"/>
      <c r="Y124" s="378"/>
      <c r="Z124" s="378"/>
    </row>
    <row r="125" spans="1:26" ht="18">
      <c r="A125" s="378"/>
      <c r="B125" s="378"/>
      <c r="C125" s="378"/>
      <c r="D125" s="384"/>
      <c r="E125" s="378"/>
      <c r="F125" s="378"/>
      <c r="G125" s="378"/>
      <c r="H125" s="378"/>
      <c r="I125" s="378"/>
      <c r="J125" s="378"/>
      <c r="K125" s="378"/>
      <c r="L125" s="378"/>
      <c r="M125" s="378"/>
      <c r="N125" s="378"/>
      <c r="O125" s="378"/>
      <c r="P125" s="378"/>
      <c r="Q125" s="378"/>
      <c r="R125" s="378"/>
      <c r="S125" s="378"/>
      <c r="T125" s="378"/>
      <c r="U125" s="378"/>
      <c r="V125" s="378"/>
      <c r="W125" s="378"/>
      <c r="X125" s="378"/>
      <c r="Y125" s="378"/>
      <c r="Z125" s="378"/>
    </row>
    <row r="126" spans="1:26" ht="18">
      <c r="A126" s="378"/>
      <c r="B126" s="378"/>
      <c r="C126" s="378"/>
      <c r="D126" s="384"/>
      <c r="E126" s="378"/>
      <c r="F126" s="378"/>
      <c r="G126" s="378"/>
      <c r="H126" s="378"/>
      <c r="I126" s="378"/>
      <c r="J126" s="378"/>
      <c r="K126" s="378"/>
      <c r="L126" s="378"/>
      <c r="M126" s="378"/>
      <c r="N126" s="378"/>
      <c r="O126" s="378"/>
      <c r="P126" s="378"/>
      <c r="Q126" s="378"/>
      <c r="R126" s="378"/>
      <c r="S126" s="378"/>
      <c r="T126" s="378"/>
      <c r="U126" s="378"/>
      <c r="V126" s="378"/>
      <c r="W126" s="378"/>
      <c r="X126" s="378"/>
      <c r="Y126" s="378"/>
      <c r="Z126" s="378"/>
    </row>
    <row r="127" spans="1:26" ht="18">
      <c r="A127" s="378"/>
      <c r="B127" s="378"/>
      <c r="C127" s="378"/>
      <c r="D127" s="384"/>
      <c r="E127" s="378"/>
      <c r="F127" s="378"/>
      <c r="G127" s="378"/>
      <c r="H127" s="378"/>
      <c r="I127" s="378"/>
      <c r="J127" s="378"/>
      <c r="K127" s="378"/>
      <c r="L127" s="378"/>
      <c r="M127" s="378"/>
      <c r="N127" s="378"/>
      <c r="O127" s="378"/>
      <c r="P127" s="378"/>
      <c r="Q127" s="378"/>
      <c r="R127" s="378"/>
      <c r="S127" s="378"/>
      <c r="T127" s="378"/>
      <c r="U127" s="378"/>
      <c r="V127" s="378"/>
      <c r="W127" s="378"/>
      <c r="X127" s="378"/>
      <c r="Y127" s="378"/>
      <c r="Z127" s="378"/>
    </row>
    <row r="128" spans="1:26" ht="18">
      <c r="A128" s="378"/>
      <c r="B128" s="378"/>
      <c r="C128" s="378"/>
      <c r="D128" s="384"/>
      <c r="E128" s="378"/>
      <c r="F128" s="378"/>
      <c r="G128" s="378"/>
      <c r="H128" s="378"/>
      <c r="I128" s="378"/>
      <c r="J128" s="378"/>
      <c r="K128" s="378"/>
      <c r="L128" s="378"/>
      <c r="M128" s="378"/>
      <c r="N128" s="378"/>
      <c r="O128" s="378"/>
      <c r="P128" s="378"/>
      <c r="Q128" s="378"/>
      <c r="R128" s="378"/>
      <c r="S128" s="378"/>
      <c r="T128" s="378"/>
      <c r="U128" s="378"/>
      <c r="V128" s="378"/>
      <c r="W128" s="378"/>
      <c r="X128" s="378"/>
      <c r="Y128" s="378"/>
      <c r="Z128" s="378"/>
    </row>
    <row r="129" spans="1:26" ht="18">
      <c r="A129" s="378"/>
      <c r="B129" s="378"/>
      <c r="C129" s="378"/>
      <c r="D129" s="384"/>
      <c r="E129" s="378"/>
      <c r="F129" s="378"/>
      <c r="G129" s="378"/>
      <c r="H129" s="378"/>
      <c r="I129" s="378"/>
      <c r="J129" s="378"/>
      <c r="K129" s="378"/>
      <c r="L129" s="378"/>
      <c r="M129" s="378"/>
      <c r="N129" s="378"/>
      <c r="O129" s="378"/>
      <c r="P129" s="378"/>
      <c r="Q129" s="378"/>
      <c r="R129" s="378"/>
      <c r="S129" s="378"/>
      <c r="T129" s="378"/>
      <c r="U129" s="378"/>
      <c r="V129" s="378"/>
      <c r="W129" s="378"/>
      <c r="X129" s="378"/>
      <c r="Y129" s="378"/>
      <c r="Z129" s="378"/>
    </row>
    <row r="130" spans="1:26" ht="18">
      <c r="A130" s="378"/>
      <c r="B130" s="378"/>
      <c r="C130" s="378"/>
      <c r="D130" s="384"/>
      <c r="E130" s="378"/>
      <c r="F130" s="378"/>
      <c r="G130" s="378"/>
      <c r="H130" s="378"/>
      <c r="I130" s="378"/>
      <c r="J130" s="378"/>
      <c r="K130" s="378"/>
      <c r="L130" s="378"/>
      <c r="M130" s="378"/>
      <c r="N130" s="378"/>
      <c r="O130" s="378"/>
      <c r="P130" s="378"/>
      <c r="Q130" s="378"/>
      <c r="R130" s="378"/>
      <c r="S130" s="378"/>
      <c r="T130" s="378"/>
      <c r="U130" s="378"/>
      <c r="V130" s="378"/>
      <c r="W130" s="378"/>
      <c r="X130" s="378"/>
      <c r="Y130" s="378"/>
      <c r="Z130" s="378"/>
    </row>
    <row r="131" spans="1:26" ht="18">
      <c r="A131" s="378"/>
      <c r="B131" s="378"/>
      <c r="C131" s="378"/>
      <c r="D131" s="384"/>
      <c r="E131" s="378"/>
      <c r="F131" s="378"/>
      <c r="G131" s="378"/>
      <c r="H131" s="378"/>
      <c r="I131" s="378"/>
      <c r="J131" s="378"/>
      <c r="K131" s="378"/>
      <c r="L131" s="378"/>
      <c r="M131" s="378"/>
      <c r="N131" s="378"/>
      <c r="O131" s="378"/>
      <c r="P131" s="378"/>
      <c r="Q131" s="378"/>
      <c r="R131" s="378"/>
      <c r="S131" s="378"/>
      <c r="T131" s="378"/>
      <c r="U131" s="378"/>
      <c r="V131" s="378"/>
      <c r="W131" s="378"/>
      <c r="X131" s="378"/>
      <c r="Y131" s="378"/>
      <c r="Z131" s="378"/>
    </row>
    <row r="132" spans="1:26" ht="18">
      <c r="A132" s="378"/>
      <c r="B132" s="378"/>
      <c r="C132" s="378"/>
      <c r="D132" s="384"/>
      <c r="E132" s="378"/>
      <c r="F132" s="378"/>
      <c r="G132" s="378"/>
      <c r="H132" s="378"/>
      <c r="I132" s="378"/>
      <c r="J132" s="378"/>
      <c r="K132" s="378"/>
      <c r="L132" s="378"/>
      <c r="M132" s="378"/>
      <c r="N132" s="378"/>
      <c r="O132" s="378"/>
      <c r="P132" s="378"/>
      <c r="Q132" s="378"/>
      <c r="R132" s="378"/>
      <c r="S132" s="378"/>
      <c r="T132" s="378"/>
      <c r="U132" s="378"/>
      <c r="V132" s="378"/>
      <c r="W132" s="378"/>
      <c r="X132" s="378"/>
      <c r="Y132" s="378"/>
      <c r="Z132" s="378"/>
    </row>
    <row r="133" spans="1:26" ht="18">
      <c r="A133" s="378"/>
      <c r="B133" s="378"/>
      <c r="C133" s="378"/>
      <c r="D133" s="384"/>
      <c r="E133" s="378"/>
      <c r="F133" s="378"/>
      <c r="G133" s="378"/>
      <c r="H133" s="378"/>
      <c r="I133" s="378"/>
      <c r="J133" s="378"/>
      <c r="K133" s="378"/>
      <c r="L133" s="378"/>
      <c r="M133" s="378"/>
      <c r="N133" s="378"/>
      <c r="O133" s="378"/>
      <c r="P133" s="378"/>
      <c r="Q133" s="378"/>
      <c r="R133" s="378"/>
      <c r="S133" s="378"/>
      <c r="T133" s="378"/>
      <c r="U133" s="378"/>
      <c r="V133" s="378"/>
      <c r="W133" s="378"/>
      <c r="X133" s="378"/>
      <c r="Y133" s="378"/>
      <c r="Z133" s="378"/>
    </row>
    <row r="134" spans="1:26" ht="18">
      <c r="A134" s="378"/>
      <c r="B134" s="378"/>
      <c r="C134" s="378"/>
      <c r="D134" s="384"/>
      <c r="E134" s="378"/>
      <c r="F134" s="378"/>
      <c r="G134" s="378"/>
      <c r="H134" s="378"/>
      <c r="I134" s="378"/>
      <c r="J134" s="378"/>
      <c r="K134" s="378"/>
      <c r="L134" s="378"/>
      <c r="M134" s="378"/>
      <c r="N134" s="378"/>
      <c r="O134" s="378"/>
      <c r="P134" s="378"/>
      <c r="Q134" s="378"/>
      <c r="R134" s="378"/>
      <c r="S134" s="378"/>
      <c r="T134" s="378"/>
      <c r="U134" s="378"/>
      <c r="V134" s="378"/>
      <c r="W134" s="378"/>
      <c r="X134" s="378"/>
      <c r="Y134" s="378"/>
      <c r="Z134" s="378"/>
    </row>
    <row r="135" spans="1:26" ht="18">
      <c r="A135" s="378"/>
      <c r="B135" s="378"/>
      <c r="C135" s="378"/>
      <c r="D135" s="384"/>
      <c r="E135" s="378"/>
      <c r="F135" s="378"/>
      <c r="G135" s="378"/>
      <c r="H135" s="378"/>
      <c r="I135" s="378"/>
      <c r="J135" s="378"/>
      <c r="K135" s="378"/>
      <c r="L135" s="378"/>
      <c r="M135" s="378"/>
      <c r="N135" s="378"/>
      <c r="O135" s="378"/>
      <c r="P135" s="378"/>
      <c r="Q135" s="378"/>
      <c r="R135" s="378"/>
      <c r="S135" s="378"/>
      <c r="T135" s="378"/>
      <c r="U135" s="378"/>
      <c r="V135" s="378"/>
      <c r="W135" s="378"/>
      <c r="X135" s="378"/>
      <c r="Y135" s="378"/>
      <c r="Z135" s="378"/>
    </row>
    <row r="136" spans="1:26" ht="18">
      <c r="A136" s="378"/>
      <c r="B136" s="378"/>
      <c r="C136" s="378"/>
      <c r="D136" s="384"/>
      <c r="E136" s="378"/>
      <c r="F136" s="378"/>
      <c r="G136" s="378"/>
      <c r="H136" s="378"/>
      <c r="I136" s="378"/>
      <c r="J136" s="378"/>
      <c r="K136" s="378"/>
      <c r="L136" s="378"/>
      <c r="M136" s="378"/>
      <c r="N136" s="378"/>
      <c r="O136" s="378"/>
      <c r="P136" s="378"/>
      <c r="Q136" s="378"/>
      <c r="R136" s="378"/>
      <c r="S136" s="378"/>
      <c r="T136" s="378"/>
      <c r="U136" s="378"/>
      <c r="V136" s="378"/>
      <c r="W136" s="378"/>
      <c r="X136" s="378"/>
      <c r="Y136" s="378"/>
      <c r="Z136" s="378"/>
    </row>
    <row r="137" spans="1:26" ht="18">
      <c r="A137" s="378"/>
      <c r="B137" s="378"/>
      <c r="C137" s="378"/>
      <c r="D137" s="384"/>
      <c r="E137" s="378"/>
      <c r="F137" s="378"/>
      <c r="G137" s="378"/>
      <c r="H137" s="378"/>
      <c r="I137" s="378"/>
      <c r="J137" s="378"/>
      <c r="K137" s="378"/>
      <c r="L137" s="378"/>
      <c r="M137" s="378"/>
      <c r="N137" s="378"/>
      <c r="O137" s="378"/>
      <c r="P137" s="378"/>
      <c r="Q137" s="378"/>
      <c r="R137" s="378"/>
      <c r="S137" s="378"/>
      <c r="T137" s="378"/>
      <c r="U137" s="378"/>
      <c r="V137" s="378"/>
      <c r="W137" s="378"/>
      <c r="X137" s="378"/>
      <c r="Y137" s="378"/>
      <c r="Z137" s="378"/>
    </row>
    <row r="138" spans="1:26" ht="18">
      <c r="A138" s="378"/>
      <c r="B138" s="378"/>
      <c r="C138" s="378"/>
      <c r="D138" s="384"/>
      <c r="E138" s="378"/>
      <c r="F138" s="378"/>
      <c r="G138" s="378"/>
      <c r="H138" s="378"/>
      <c r="I138" s="378"/>
      <c r="J138" s="378"/>
      <c r="K138" s="378"/>
      <c r="L138" s="378"/>
      <c r="M138" s="378"/>
      <c r="N138" s="378"/>
      <c r="O138" s="378"/>
      <c r="P138" s="378"/>
      <c r="Q138" s="378"/>
      <c r="R138" s="378"/>
      <c r="S138" s="378"/>
      <c r="T138" s="378"/>
      <c r="U138" s="378"/>
      <c r="V138" s="378"/>
      <c r="W138" s="378"/>
      <c r="X138" s="378"/>
      <c r="Y138" s="378"/>
      <c r="Z138" s="378"/>
    </row>
    <row r="139" spans="1:26" ht="18">
      <c r="A139" s="378"/>
      <c r="B139" s="378"/>
      <c r="C139" s="378"/>
      <c r="D139" s="384"/>
      <c r="E139" s="378"/>
      <c r="F139" s="378"/>
      <c r="G139" s="378"/>
      <c r="H139" s="378"/>
      <c r="I139" s="378"/>
      <c r="J139" s="378"/>
      <c r="K139" s="378"/>
      <c r="L139" s="378"/>
      <c r="M139" s="378"/>
      <c r="N139" s="378"/>
      <c r="O139" s="378"/>
      <c r="P139" s="378"/>
      <c r="Q139" s="378"/>
      <c r="R139" s="378"/>
      <c r="S139" s="378"/>
      <c r="T139" s="378"/>
      <c r="U139" s="378"/>
      <c r="V139" s="378"/>
      <c r="W139" s="378"/>
      <c r="X139" s="378"/>
      <c r="Y139" s="378"/>
      <c r="Z139" s="378"/>
    </row>
    <row r="140" spans="1:26" ht="18">
      <c r="A140" s="378"/>
      <c r="B140" s="378"/>
      <c r="C140" s="378"/>
      <c r="D140" s="384"/>
      <c r="E140" s="378"/>
      <c r="F140" s="378"/>
      <c r="G140" s="378"/>
      <c r="H140" s="378"/>
      <c r="I140" s="378"/>
      <c r="J140" s="378"/>
      <c r="K140" s="378"/>
      <c r="L140" s="378"/>
      <c r="M140" s="378"/>
      <c r="N140" s="378"/>
      <c r="O140" s="378"/>
      <c r="P140" s="378"/>
      <c r="Q140" s="378"/>
      <c r="R140" s="378"/>
      <c r="S140" s="378"/>
      <c r="T140" s="378"/>
      <c r="U140" s="378"/>
      <c r="V140" s="378"/>
      <c r="W140" s="378"/>
      <c r="X140" s="378"/>
      <c r="Y140" s="378"/>
      <c r="Z140" s="378"/>
    </row>
    <row r="141" spans="1:26" ht="18">
      <c r="A141" s="378"/>
      <c r="B141" s="378"/>
      <c r="C141" s="378"/>
      <c r="D141" s="384"/>
      <c r="E141" s="378"/>
      <c r="F141" s="378"/>
      <c r="G141" s="378"/>
      <c r="H141" s="378"/>
      <c r="I141" s="378"/>
      <c r="J141" s="378"/>
      <c r="K141" s="378"/>
      <c r="L141" s="378"/>
      <c r="M141" s="378"/>
      <c r="N141" s="378"/>
      <c r="O141" s="378"/>
      <c r="P141" s="378"/>
      <c r="Q141" s="378"/>
      <c r="R141" s="378"/>
      <c r="S141" s="378"/>
      <c r="T141" s="378"/>
      <c r="U141" s="378"/>
      <c r="V141" s="378"/>
      <c r="W141" s="378"/>
      <c r="X141" s="378"/>
      <c r="Y141" s="378"/>
      <c r="Z141" s="378"/>
    </row>
    <row r="142" spans="1:26" ht="18">
      <c r="A142" s="378"/>
      <c r="B142" s="378"/>
      <c r="C142" s="378"/>
      <c r="D142" s="384"/>
      <c r="E142" s="378"/>
      <c r="F142" s="378"/>
      <c r="G142" s="378"/>
      <c r="H142" s="378"/>
      <c r="I142" s="378"/>
      <c r="J142" s="378"/>
      <c r="K142" s="378"/>
      <c r="L142" s="378"/>
      <c r="M142" s="378"/>
      <c r="N142" s="378"/>
      <c r="O142" s="378"/>
      <c r="P142" s="378"/>
      <c r="Q142" s="378"/>
      <c r="R142" s="378"/>
      <c r="S142" s="378"/>
      <c r="T142" s="378"/>
      <c r="U142" s="378"/>
      <c r="V142" s="378"/>
      <c r="W142" s="378"/>
      <c r="X142" s="378"/>
      <c r="Y142" s="378"/>
      <c r="Z142" s="378"/>
    </row>
    <row r="143" spans="1:26" ht="18">
      <c r="A143" s="378"/>
      <c r="B143" s="378"/>
      <c r="C143" s="378"/>
      <c r="D143" s="384"/>
      <c r="E143" s="378"/>
      <c r="F143" s="378"/>
      <c r="G143" s="378"/>
      <c r="H143" s="378"/>
      <c r="I143" s="378"/>
      <c r="J143" s="378"/>
      <c r="K143" s="378"/>
      <c r="L143" s="378"/>
      <c r="M143" s="378"/>
      <c r="N143" s="378"/>
      <c r="O143" s="378"/>
      <c r="P143" s="378"/>
      <c r="Q143" s="378"/>
      <c r="R143" s="378"/>
      <c r="S143" s="378"/>
      <c r="T143" s="378"/>
      <c r="U143" s="378"/>
      <c r="V143" s="378"/>
      <c r="W143" s="378"/>
      <c r="X143" s="378"/>
      <c r="Y143" s="378"/>
      <c r="Z143" s="378"/>
    </row>
    <row r="144" spans="1:26" ht="18">
      <c r="A144" s="378"/>
      <c r="B144" s="378"/>
      <c r="C144" s="378"/>
      <c r="D144" s="384"/>
      <c r="E144" s="378"/>
      <c r="F144" s="378"/>
      <c r="G144" s="378"/>
      <c r="H144" s="378"/>
      <c r="I144" s="378"/>
      <c r="J144" s="378"/>
      <c r="K144" s="378"/>
      <c r="L144" s="378"/>
      <c r="M144" s="378"/>
      <c r="N144" s="378"/>
      <c r="O144" s="378"/>
      <c r="P144" s="378"/>
      <c r="Q144" s="378"/>
      <c r="R144" s="378"/>
      <c r="S144" s="378"/>
      <c r="T144" s="378"/>
      <c r="U144" s="378"/>
      <c r="V144" s="378"/>
      <c r="W144" s="378"/>
      <c r="X144" s="378"/>
      <c r="Y144" s="378"/>
      <c r="Z144" s="378"/>
    </row>
    <row r="145" spans="1:26" ht="18">
      <c r="A145" s="378"/>
      <c r="B145" s="378"/>
      <c r="C145" s="378"/>
      <c r="D145" s="384"/>
      <c r="E145" s="378"/>
      <c r="F145" s="378"/>
      <c r="G145" s="378"/>
      <c r="H145" s="378"/>
      <c r="I145" s="378"/>
      <c r="J145" s="378"/>
      <c r="K145" s="378"/>
      <c r="L145" s="378"/>
      <c r="M145" s="378"/>
      <c r="N145" s="378"/>
      <c r="O145" s="378"/>
      <c r="P145" s="378"/>
      <c r="Q145" s="378"/>
      <c r="R145" s="378"/>
      <c r="S145" s="378"/>
      <c r="T145" s="378"/>
      <c r="U145" s="378"/>
      <c r="V145" s="378"/>
      <c r="W145" s="378"/>
      <c r="X145" s="378"/>
      <c r="Y145" s="378"/>
      <c r="Z145" s="378"/>
    </row>
    <row r="146" spans="1:26" ht="18">
      <c r="A146" s="378"/>
      <c r="B146" s="378"/>
      <c r="C146" s="378"/>
      <c r="D146" s="384"/>
      <c r="E146" s="378"/>
      <c r="F146" s="378"/>
      <c r="G146" s="378"/>
      <c r="H146" s="378"/>
      <c r="I146" s="378"/>
      <c r="J146" s="378"/>
      <c r="K146" s="378"/>
      <c r="L146" s="378"/>
      <c r="M146" s="378"/>
      <c r="N146" s="378"/>
      <c r="O146" s="378"/>
      <c r="P146" s="378"/>
      <c r="Q146" s="378"/>
      <c r="R146" s="378"/>
      <c r="S146" s="378"/>
      <c r="T146" s="378"/>
      <c r="U146" s="378"/>
      <c r="V146" s="378"/>
      <c r="W146" s="378"/>
      <c r="X146" s="378"/>
      <c r="Y146" s="378"/>
      <c r="Z146" s="378"/>
    </row>
    <row r="147" spans="1:26" ht="18">
      <c r="A147" s="378"/>
      <c r="B147" s="378"/>
      <c r="C147" s="378"/>
      <c r="D147" s="384"/>
      <c r="E147" s="378"/>
      <c r="F147" s="378"/>
      <c r="G147" s="378"/>
      <c r="H147" s="378"/>
      <c r="I147" s="378"/>
      <c r="J147" s="378"/>
      <c r="K147" s="378"/>
      <c r="L147" s="378"/>
      <c r="M147" s="378"/>
      <c r="N147" s="378"/>
      <c r="O147" s="378"/>
      <c r="P147" s="378"/>
      <c r="Q147" s="378"/>
      <c r="R147" s="378"/>
      <c r="S147" s="378"/>
      <c r="T147" s="378"/>
      <c r="U147" s="378"/>
      <c r="V147" s="378"/>
      <c r="W147" s="378"/>
      <c r="X147" s="378"/>
      <c r="Y147" s="378"/>
      <c r="Z147" s="378"/>
    </row>
    <row r="148" spans="1:26" ht="18">
      <c r="A148" s="378"/>
      <c r="B148" s="378"/>
      <c r="C148" s="378"/>
      <c r="D148" s="384"/>
      <c r="E148" s="378"/>
      <c r="F148" s="378"/>
      <c r="G148" s="378"/>
      <c r="H148" s="378"/>
      <c r="I148" s="378"/>
      <c r="J148" s="378"/>
      <c r="K148" s="378"/>
      <c r="L148" s="378"/>
      <c r="M148" s="378"/>
      <c r="N148" s="378"/>
      <c r="O148" s="378"/>
      <c r="P148" s="378"/>
      <c r="Q148" s="378"/>
      <c r="R148" s="378"/>
      <c r="S148" s="378"/>
      <c r="T148" s="378"/>
      <c r="U148" s="378"/>
      <c r="V148" s="378"/>
      <c r="W148" s="378"/>
      <c r="X148" s="378"/>
      <c r="Y148" s="378"/>
      <c r="Z148" s="378"/>
    </row>
    <row r="149" spans="1:26" ht="18">
      <c r="A149" s="378"/>
      <c r="B149" s="378"/>
      <c r="C149" s="378"/>
      <c r="D149" s="384"/>
      <c r="E149" s="378"/>
      <c r="F149" s="378"/>
      <c r="G149" s="378"/>
      <c r="H149" s="378"/>
      <c r="I149" s="378"/>
      <c r="J149" s="378"/>
      <c r="K149" s="378"/>
      <c r="L149" s="378"/>
      <c r="M149" s="378"/>
      <c r="N149" s="378"/>
      <c r="O149" s="378"/>
      <c r="P149" s="378"/>
      <c r="Q149" s="378"/>
      <c r="R149" s="378"/>
      <c r="S149" s="378"/>
      <c r="T149" s="378"/>
      <c r="U149" s="378"/>
      <c r="V149" s="378"/>
      <c r="W149" s="378"/>
      <c r="X149" s="378"/>
      <c r="Y149" s="378"/>
      <c r="Z149" s="378"/>
    </row>
    <row r="150" spans="1:26" ht="18">
      <c r="A150" s="378"/>
      <c r="B150" s="378"/>
      <c r="C150" s="378"/>
      <c r="D150" s="384"/>
      <c r="E150" s="378"/>
      <c r="F150" s="378"/>
      <c r="G150" s="378"/>
      <c r="H150" s="378"/>
      <c r="I150" s="378"/>
      <c r="J150" s="378"/>
      <c r="K150" s="378"/>
      <c r="L150" s="378"/>
      <c r="M150" s="378"/>
      <c r="N150" s="378"/>
      <c r="O150" s="378"/>
      <c r="P150" s="378"/>
      <c r="Q150" s="378"/>
      <c r="R150" s="378"/>
      <c r="S150" s="378"/>
      <c r="T150" s="378"/>
      <c r="U150" s="378"/>
      <c r="V150" s="378"/>
      <c r="W150" s="378"/>
      <c r="X150" s="378"/>
      <c r="Y150" s="378"/>
      <c r="Z150" s="378"/>
    </row>
    <row r="151" spans="1:26" ht="18">
      <c r="A151" s="378"/>
      <c r="B151" s="378"/>
      <c r="C151" s="378"/>
      <c r="D151" s="384"/>
      <c r="E151" s="378"/>
      <c r="F151" s="378"/>
      <c r="G151" s="378"/>
      <c r="H151" s="378"/>
      <c r="I151" s="378"/>
      <c r="J151" s="378"/>
      <c r="K151" s="378"/>
      <c r="L151" s="378"/>
      <c r="M151" s="378"/>
      <c r="N151" s="378"/>
      <c r="O151" s="378"/>
      <c r="P151" s="378"/>
      <c r="Q151" s="378"/>
      <c r="R151" s="378"/>
      <c r="S151" s="378"/>
      <c r="T151" s="378"/>
      <c r="U151" s="378"/>
      <c r="V151" s="378"/>
      <c r="W151" s="378"/>
      <c r="X151" s="378"/>
      <c r="Y151" s="378"/>
      <c r="Z151" s="378"/>
    </row>
    <row r="152" spans="1:26" ht="18">
      <c r="A152" s="378"/>
      <c r="B152" s="378"/>
      <c r="C152" s="378"/>
      <c r="D152" s="384"/>
      <c r="E152" s="378"/>
      <c r="F152" s="378"/>
      <c r="G152" s="378"/>
      <c r="H152" s="378"/>
      <c r="I152" s="378"/>
      <c r="J152" s="378"/>
      <c r="K152" s="378"/>
      <c r="L152" s="378"/>
      <c r="M152" s="378"/>
      <c r="N152" s="378"/>
      <c r="O152" s="378"/>
      <c r="P152" s="378"/>
      <c r="Q152" s="378"/>
      <c r="R152" s="378"/>
      <c r="S152" s="378"/>
      <c r="T152" s="378"/>
      <c r="U152" s="378"/>
      <c r="V152" s="378"/>
      <c r="W152" s="378"/>
      <c r="X152" s="378"/>
      <c r="Y152" s="378"/>
      <c r="Z152" s="378"/>
    </row>
    <row r="153" spans="1:26" ht="18">
      <c r="A153" s="378"/>
      <c r="B153" s="378"/>
      <c r="C153" s="378"/>
      <c r="D153" s="384"/>
      <c r="E153" s="378"/>
      <c r="F153" s="378"/>
      <c r="G153" s="378"/>
      <c r="H153" s="378"/>
      <c r="I153" s="378"/>
      <c r="J153" s="378"/>
      <c r="K153" s="378"/>
      <c r="L153" s="378"/>
      <c r="M153" s="378"/>
      <c r="N153" s="378"/>
      <c r="O153" s="378"/>
      <c r="P153" s="378"/>
      <c r="Q153" s="378"/>
      <c r="R153" s="378"/>
      <c r="S153" s="378"/>
      <c r="T153" s="378"/>
      <c r="U153" s="378"/>
      <c r="V153" s="378"/>
      <c r="W153" s="378"/>
      <c r="X153" s="378"/>
      <c r="Y153" s="378"/>
      <c r="Z153" s="378"/>
    </row>
    <row r="154" spans="1:26" ht="18">
      <c r="A154" s="378"/>
      <c r="B154" s="378"/>
      <c r="C154" s="378"/>
      <c r="D154" s="384"/>
      <c r="E154" s="378"/>
      <c r="F154" s="378"/>
      <c r="G154" s="378"/>
      <c r="H154" s="378"/>
      <c r="I154" s="378"/>
      <c r="J154" s="378"/>
      <c r="K154" s="378"/>
      <c r="L154" s="378"/>
      <c r="M154" s="378"/>
      <c r="N154" s="378"/>
      <c r="O154" s="378"/>
      <c r="P154" s="378"/>
      <c r="Q154" s="378"/>
      <c r="R154" s="378"/>
      <c r="S154" s="378"/>
      <c r="T154" s="378"/>
      <c r="U154" s="378"/>
      <c r="V154" s="378"/>
      <c r="W154" s="378"/>
      <c r="X154" s="378"/>
      <c r="Y154" s="378"/>
      <c r="Z154" s="378"/>
    </row>
    <row r="155" spans="1:26" ht="18">
      <c r="A155" s="378"/>
      <c r="B155" s="378"/>
      <c r="C155" s="378"/>
      <c r="D155" s="384"/>
      <c r="E155" s="378"/>
      <c r="F155" s="378"/>
      <c r="G155" s="378"/>
      <c r="H155" s="378"/>
      <c r="I155" s="378"/>
      <c r="J155" s="378"/>
      <c r="K155" s="378"/>
      <c r="L155" s="378"/>
      <c r="M155" s="378"/>
      <c r="N155" s="378"/>
      <c r="O155" s="378"/>
      <c r="P155" s="378"/>
      <c r="Q155" s="378"/>
      <c r="R155" s="378"/>
      <c r="S155" s="378"/>
      <c r="T155" s="378"/>
      <c r="U155" s="378"/>
      <c r="V155" s="378"/>
      <c r="W155" s="378"/>
      <c r="X155" s="378"/>
      <c r="Y155" s="378"/>
      <c r="Z155" s="378"/>
    </row>
    <row r="156" spans="1:26" ht="18">
      <c r="A156" s="378"/>
      <c r="B156" s="378"/>
      <c r="C156" s="378"/>
      <c r="D156" s="384"/>
      <c r="E156" s="378"/>
      <c r="F156" s="378"/>
      <c r="G156" s="378"/>
      <c r="H156" s="378"/>
      <c r="I156" s="378"/>
      <c r="J156" s="378"/>
      <c r="K156" s="378"/>
      <c r="L156" s="378"/>
      <c r="M156" s="378"/>
      <c r="N156" s="378"/>
      <c r="O156" s="378"/>
      <c r="P156" s="378"/>
      <c r="Q156" s="378"/>
      <c r="R156" s="378"/>
      <c r="S156" s="378"/>
      <c r="T156" s="378"/>
      <c r="U156" s="378"/>
      <c r="V156" s="378"/>
      <c r="W156" s="378"/>
      <c r="X156" s="378"/>
      <c r="Y156" s="378"/>
      <c r="Z156" s="378"/>
    </row>
    <row r="157" spans="1:26" ht="18">
      <c r="A157" s="378"/>
      <c r="B157" s="378"/>
      <c r="C157" s="378"/>
      <c r="D157" s="384"/>
      <c r="E157" s="378"/>
      <c r="F157" s="378"/>
      <c r="G157" s="378"/>
      <c r="H157" s="378"/>
      <c r="I157" s="378"/>
      <c r="J157" s="378"/>
      <c r="K157" s="378"/>
      <c r="L157" s="378"/>
      <c r="M157" s="378"/>
      <c r="N157" s="378"/>
      <c r="O157" s="378"/>
      <c r="P157" s="378"/>
      <c r="Q157" s="378"/>
      <c r="R157" s="378"/>
      <c r="S157" s="378"/>
      <c r="T157" s="378"/>
      <c r="U157" s="378"/>
      <c r="V157" s="378"/>
      <c r="W157" s="378"/>
      <c r="X157" s="378"/>
      <c r="Y157" s="378"/>
      <c r="Z157" s="378"/>
    </row>
    <row r="158" spans="1:26" ht="18">
      <c r="A158" s="378"/>
      <c r="B158" s="378"/>
      <c r="C158" s="378"/>
      <c r="D158" s="384"/>
      <c r="E158" s="378"/>
      <c r="F158" s="378"/>
      <c r="G158" s="378"/>
      <c r="H158" s="378"/>
      <c r="I158" s="378"/>
      <c r="J158" s="378"/>
      <c r="K158" s="378"/>
      <c r="L158" s="378"/>
      <c r="M158" s="378"/>
      <c r="N158" s="378"/>
      <c r="O158" s="378"/>
      <c r="P158" s="378"/>
      <c r="Q158" s="378"/>
      <c r="R158" s="378"/>
      <c r="S158" s="378"/>
      <c r="T158" s="378"/>
      <c r="U158" s="378"/>
      <c r="V158" s="378"/>
      <c r="W158" s="378"/>
      <c r="X158" s="378"/>
      <c r="Y158" s="378"/>
      <c r="Z158" s="378"/>
    </row>
    <row r="159" spans="1:26" ht="18">
      <c r="A159" s="378"/>
      <c r="B159" s="378"/>
      <c r="C159" s="378"/>
      <c r="D159" s="384"/>
      <c r="E159" s="378"/>
      <c r="F159" s="378"/>
      <c r="G159" s="378"/>
      <c r="H159" s="378"/>
      <c r="I159" s="378"/>
      <c r="J159" s="378"/>
      <c r="K159" s="378"/>
      <c r="L159" s="378"/>
      <c r="M159" s="378"/>
      <c r="N159" s="378"/>
      <c r="O159" s="378"/>
      <c r="P159" s="378"/>
      <c r="Q159" s="378"/>
      <c r="R159" s="378"/>
      <c r="S159" s="378"/>
      <c r="T159" s="378"/>
      <c r="U159" s="378"/>
      <c r="V159" s="378"/>
      <c r="W159" s="378"/>
      <c r="X159" s="378"/>
      <c r="Y159" s="378"/>
      <c r="Z159" s="378"/>
    </row>
    <row r="160" spans="1:26" ht="18">
      <c r="A160" s="378"/>
      <c r="B160" s="378"/>
      <c r="C160" s="378"/>
      <c r="D160" s="384"/>
      <c r="E160" s="378"/>
      <c r="F160" s="378"/>
      <c r="G160" s="378"/>
      <c r="H160" s="378"/>
      <c r="I160" s="378"/>
      <c r="J160" s="378"/>
      <c r="K160" s="378"/>
      <c r="L160" s="378"/>
      <c r="M160" s="378"/>
      <c r="N160" s="378"/>
      <c r="O160" s="378"/>
      <c r="P160" s="378"/>
      <c r="Q160" s="378"/>
      <c r="R160" s="378"/>
      <c r="S160" s="378"/>
      <c r="T160" s="378"/>
      <c r="U160" s="378"/>
      <c r="V160" s="378"/>
      <c r="W160" s="378"/>
      <c r="X160" s="378"/>
      <c r="Y160" s="378"/>
      <c r="Z160" s="378"/>
    </row>
    <row r="161" spans="1:26" ht="18">
      <c r="A161" s="378"/>
      <c r="B161" s="378"/>
      <c r="C161" s="378"/>
      <c r="D161" s="384"/>
      <c r="E161" s="378"/>
      <c r="F161" s="378"/>
      <c r="G161" s="378"/>
      <c r="H161" s="378"/>
      <c r="I161" s="378"/>
      <c r="J161" s="378"/>
      <c r="K161" s="378"/>
      <c r="L161" s="378"/>
      <c r="M161" s="378"/>
      <c r="N161" s="378"/>
      <c r="O161" s="378"/>
      <c r="P161" s="378"/>
      <c r="Q161" s="378"/>
      <c r="R161" s="378"/>
      <c r="S161" s="378"/>
      <c r="T161" s="378"/>
      <c r="U161" s="378"/>
      <c r="V161" s="378"/>
      <c r="W161" s="378"/>
      <c r="X161" s="378"/>
      <c r="Y161" s="378"/>
      <c r="Z161" s="378"/>
    </row>
    <row r="162" spans="1:26" ht="18">
      <c r="A162" s="378"/>
      <c r="B162" s="378"/>
      <c r="C162" s="378"/>
      <c r="D162" s="384"/>
      <c r="E162" s="378"/>
      <c r="F162" s="378"/>
      <c r="G162" s="378"/>
      <c r="H162" s="378"/>
      <c r="I162" s="378"/>
      <c r="J162" s="378"/>
      <c r="K162" s="378"/>
      <c r="L162" s="378"/>
      <c r="M162" s="378"/>
      <c r="N162" s="378"/>
      <c r="O162" s="378"/>
      <c r="P162" s="378"/>
      <c r="Q162" s="378"/>
      <c r="R162" s="378"/>
      <c r="S162" s="378"/>
      <c r="T162" s="378"/>
      <c r="U162" s="378"/>
      <c r="V162" s="378"/>
      <c r="W162" s="378"/>
      <c r="X162" s="378"/>
      <c r="Y162" s="378"/>
      <c r="Z162" s="378"/>
    </row>
    <row r="163" spans="1:26" ht="18">
      <c r="A163" s="378"/>
      <c r="B163" s="378"/>
      <c r="C163" s="378"/>
      <c r="D163" s="384"/>
      <c r="E163" s="378"/>
      <c r="F163" s="378"/>
      <c r="G163" s="378"/>
      <c r="H163" s="378"/>
      <c r="I163" s="378"/>
      <c r="J163" s="378"/>
      <c r="K163" s="378"/>
      <c r="L163" s="378"/>
      <c r="M163" s="378"/>
      <c r="N163" s="378"/>
      <c r="O163" s="378"/>
      <c r="P163" s="378"/>
      <c r="Q163" s="378"/>
      <c r="R163" s="378"/>
      <c r="S163" s="378"/>
      <c r="T163" s="378"/>
      <c r="U163" s="378"/>
      <c r="V163" s="378"/>
      <c r="W163" s="378"/>
      <c r="X163" s="378"/>
      <c r="Y163" s="378"/>
      <c r="Z163" s="378"/>
    </row>
    <row r="164" spans="1:26" ht="18">
      <c r="A164" s="378"/>
      <c r="B164" s="378"/>
      <c r="C164" s="378"/>
      <c r="D164" s="384"/>
      <c r="E164" s="378"/>
      <c r="F164" s="378"/>
      <c r="G164" s="378"/>
      <c r="H164" s="378"/>
      <c r="I164" s="378"/>
      <c r="J164" s="378"/>
      <c r="K164" s="378"/>
      <c r="L164" s="378"/>
      <c r="M164" s="378"/>
      <c r="N164" s="378"/>
      <c r="O164" s="378"/>
      <c r="P164" s="378"/>
      <c r="Q164" s="378"/>
      <c r="R164" s="378"/>
      <c r="S164" s="378"/>
      <c r="T164" s="378"/>
      <c r="U164" s="378"/>
      <c r="V164" s="378"/>
      <c r="W164" s="378"/>
      <c r="X164" s="378"/>
      <c r="Y164" s="378"/>
      <c r="Z164" s="378"/>
    </row>
    <row r="165" spans="1:26" ht="18">
      <c r="A165" s="378"/>
      <c r="B165" s="378"/>
      <c r="C165" s="378"/>
      <c r="D165" s="384"/>
      <c r="E165" s="378"/>
      <c r="F165" s="378"/>
      <c r="G165" s="378"/>
      <c r="H165" s="378"/>
      <c r="I165" s="378"/>
      <c r="J165" s="378"/>
      <c r="K165" s="378"/>
      <c r="L165" s="378"/>
      <c r="M165" s="378"/>
      <c r="N165" s="378"/>
      <c r="O165" s="378"/>
      <c r="P165" s="378"/>
      <c r="Q165" s="378"/>
      <c r="R165" s="378"/>
      <c r="S165" s="378"/>
      <c r="T165" s="378"/>
      <c r="U165" s="378"/>
      <c r="V165" s="378"/>
      <c r="W165" s="378"/>
      <c r="X165" s="378"/>
      <c r="Y165" s="378"/>
      <c r="Z165" s="378"/>
    </row>
    <row r="166" spans="1:26" ht="18">
      <c r="A166" s="378"/>
      <c r="B166" s="378"/>
      <c r="C166" s="378"/>
      <c r="D166" s="384"/>
      <c r="E166" s="378"/>
      <c r="F166" s="378"/>
      <c r="G166" s="378"/>
      <c r="H166" s="378"/>
      <c r="I166" s="378"/>
      <c r="J166" s="378"/>
      <c r="K166" s="378"/>
      <c r="L166" s="378"/>
      <c r="M166" s="378"/>
      <c r="N166" s="378"/>
      <c r="O166" s="378"/>
      <c r="P166" s="378"/>
      <c r="Q166" s="378"/>
      <c r="R166" s="378"/>
      <c r="S166" s="378"/>
      <c r="T166" s="378"/>
      <c r="U166" s="378"/>
      <c r="V166" s="378"/>
      <c r="W166" s="378"/>
      <c r="X166" s="378"/>
      <c r="Y166" s="378"/>
      <c r="Z166" s="378"/>
    </row>
    <row r="167" spans="1:26" ht="18">
      <c r="A167" s="378"/>
      <c r="B167" s="378"/>
      <c r="C167" s="378"/>
      <c r="D167" s="384"/>
      <c r="E167" s="378"/>
      <c r="F167" s="378"/>
      <c r="G167" s="378"/>
      <c r="H167" s="378"/>
      <c r="I167" s="378"/>
      <c r="J167" s="378"/>
      <c r="K167" s="378"/>
      <c r="L167" s="378"/>
      <c r="M167" s="378"/>
      <c r="N167" s="378"/>
      <c r="O167" s="378"/>
      <c r="P167" s="378"/>
      <c r="Q167" s="378"/>
      <c r="R167" s="378"/>
      <c r="S167" s="378"/>
      <c r="T167" s="378"/>
      <c r="U167" s="378"/>
      <c r="V167" s="378"/>
      <c r="W167" s="378"/>
      <c r="X167" s="378"/>
      <c r="Y167" s="378"/>
      <c r="Z167" s="378"/>
    </row>
    <row r="168" spans="1:26" ht="18">
      <c r="A168" s="378"/>
      <c r="B168" s="378"/>
      <c r="C168" s="378"/>
      <c r="D168" s="384"/>
      <c r="E168" s="378"/>
      <c r="F168" s="378"/>
      <c r="G168" s="378"/>
      <c r="H168" s="378"/>
      <c r="I168" s="378"/>
      <c r="J168" s="378"/>
      <c r="K168" s="378"/>
      <c r="L168" s="378"/>
      <c r="M168" s="378"/>
      <c r="N168" s="378"/>
      <c r="O168" s="378"/>
      <c r="P168" s="378"/>
      <c r="Q168" s="378"/>
      <c r="R168" s="378"/>
      <c r="S168" s="378"/>
      <c r="T168" s="378"/>
      <c r="U168" s="378"/>
      <c r="V168" s="378"/>
      <c r="W168" s="378"/>
      <c r="X168" s="378"/>
      <c r="Y168" s="378"/>
      <c r="Z168" s="378"/>
    </row>
    <row r="169" spans="1:26" ht="18">
      <c r="A169" s="378"/>
      <c r="B169" s="378"/>
      <c r="C169" s="378"/>
      <c r="D169" s="384"/>
      <c r="E169" s="378"/>
      <c r="F169" s="378"/>
      <c r="G169" s="378"/>
      <c r="H169" s="378"/>
      <c r="I169" s="378"/>
      <c r="J169" s="378"/>
      <c r="K169" s="378"/>
      <c r="L169" s="378"/>
      <c r="M169" s="378"/>
      <c r="N169" s="378"/>
      <c r="O169" s="378"/>
      <c r="P169" s="378"/>
      <c r="Q169" s="378"/>
      <c r="R169" s="378"/>
      <c r="S169" s="378"/>
      <c r="T169" s="378"/>
      <c r="U169" s="378"/>
      <c r="V169" s="378"/>
      <c r="W169" s="378"/>
      <c r="X169" s="378"/>
      <c r="Y169" s="378"/>
      <c r="Z169" s="378"/>
    </row>
    <row r="170" spans="1:26" ht="18">
      <c r="A170" s="378"/>
      <c r="B170" s="378"/>
      <c r="C170" s="378"/>
      <c r="D170" s="384"/>
      <c r="E170" s="378"/>
      <c r="F170" s="378"/>
      <c r="G170" s="378"/>
      <c r="H170" s="378"/>
      <c r="I170" s="378"/>
      <c r="J170" s="378"/>
      <c r="K170" s="378"/>
      <c r="L170" s="378"/>
      <c r="M170" s="378"/>
      <c r="N170" s="378"/>
      <c r="O170" s="378"/>
      <c r="P170" s="378"/>
      <c r="Q170" s="378"/>
      <c r="R170" s="378"/>
      <c r="S170" s="378"/>
      <c r="T170" s="378"/>
      <c r="U170" s="378"/>
      <c r="V170" s="378"/>
      <c r="W170" s="378"/>
      <c r="X170" s="378"/>
      <c r="Y170" s="378"/>
      <c r="Z170" s="378"/>
    </row>
    <row r="171" spans="1:26" ht="18">
      <c r="A171" s="378"/>
      <c r="B171" s="378"/>
      <c r="C171" s="378"/>
      <c r="D171" s="384"/>
      <c r="E171" s="378"/>
      <c r="F171" s="378"/>
      <c r="G171" s="378"/>
      <c r="H171" s="378"/>
      <c r="I171" s="378"/>
      <c r="J171" s="378"/>
      <c r="K171" s="378"/>
      <c r="L171" s="378"/>
      <c r="M171" s="378"/>
      <c r="N171" s="378"/>
      <c r="O171" s="378"/>
      <c r="P171" s="378"/>
      <c r="Q171" s="378"/>
      <c r="R171" s="378"/>
      <c r="S171" s="378"/>
      <c r="T171" s="378"/>
      <c r="U171" s="378"/>
      <c r="V171" s="378"/>
      <c r="W171" s="378"/>
      <c r="X171" s="378"/>
      <c r="Y171" s="378"/>
      <c r="Z171" s="378"/>
    </row>
    <row r="172" spans="1:26" ht="18">
      <c r="A172" s="378"/>
      <c r="B172" s="378"/>
      <c r="C172" s="378"/>
      <c r="D172" s="384"/>
      <c r="E172" s="378"/>
      <c r="F172" s="378"/>
      <c r="G172" s="378"/>
      <c r="H172" s="378"/>
      <c r="I172" s="378"/>
      <c r="J172" s="378"/>
      <c r="K172" s="378"/>
      <c r="L172" s="378"/>
      <c r="M172" s="378"/>
      <c r="N172" s="378"/>
      <c r="O172" s="378"/>
      <c r="P172" s="378"/>
      <c r="Q172" s="378"/>
      <c r="R172" s="378"/>
      <c r="S172" s="378"/>
      <c r="T172" s="378"/>
      <c r="U172" s="378"/>
      <c r="V172" s="378"/>
      <c r="W172" s="378"/>
      <c r="X172" s="378"/>
      <c r="Y172" s="378"/>
      <c r="Z172" s="378"/>
    </row>
    <row r="173" spans="1:26" ht="18">
      <c r="A173" s="378"/>
      <c r="B173" s="378"/>
      <c r="C173" s="378"/>
      <c r="D173" s="384"/>
      <c r="E173" s="378"/>
      <c r="F173" s="378"/>
      <c r="G173" s="378"/>
      <c r="H173" s="378"/>
      <c r="I173" s="378"/>
      <c r="J173" s="378"/>
      <c r="K173" s="378"/>
      <c r="L173" s="378"/>
      <c r="M173" s="378"/>
      <c r="N173" s="378"/>
      <c r="O173" s="378"/>
      <c r="P173" s="378"/>
      <c r="Q173" s="378"/>
      <c r="R173" s="378"/>
      <c r="S173" s="378"/>
      <c r="T173" s="378"/>
      <c r="U173" s="378"/>
      <c r="V173" s="378"/>
      <c r="W173" s="378"/>
      <c r="X173" s="378"/>
      <c r="Y173" s="378"/>
      <c r="Z173" s="378"/>
    </row>
    <row r="174" spans="1:26" ht="18">
      <c r="A174" s="378"/>
      <c r="B174" s="378"/>
      <c r="C174" s="378"/>
      <c r="D174" s="384"/>
      <c r="E174" s="378"/>
      <c r="F174" s="378"/>
      <c r="G174" s="378"/>
      <c r="H174" s="378"/>
      <c r="I174" s="378"/>
      <c r="J174" s="378"/>
      <c r="K174" s="378"/>
      <c r="L174" s="378"/>
      <c r="M174" s="378"/>
      <c r="N174" s="378"/>
      <c r="O174" s="378"/>
      <c r="P174" s="378"/>
      <c r="Q174" s="378"/>
      <c r="R174" s="378"/>
      <c r="S174" s="378"/>
      <c r="T174" s="378"/>
      <c r="U174" s="378"/>
      <c r="V174" s="378"/>
      <c r="W174" s="378"/>
      <c r="X174" s="378"/>
      <c r="Y174" s="378"/>
      <c r="Z174" s="378"/>
    </row>
    <row r="175" spans="1:26" ht="18">
      <c r="A175" s="378"/>
      <c r="B175" s="378"/>
      <c r="C175" s="378"/>
      <c r="D175" s="384"/>
      <c r="E175" s="378"/>
      <c r="F175" s="378"/>
      <c r="G175" s="378"/>
      <c r="H175" s="378"/>
      <c r="I175" s="378"/>
      <c r="J175" s="378"/>
      <c r="K175" s="378"/>
      <c r="L175" s="378"/>
      <c r="M175" s="378"/>
      <c r="N175" s="378"/>
      <c r="O175" s="378"/>
      <c r="P175" s="378"/>
      <c r="Q175" s="378"/>
      <c r="R175" s="378"/>
      <c r="S175" s="378"/>
      <c r="T175" s="378"/>
      <c r="U175" s="378"/>
      <c r="V175" s="378"/>
      <c r="W175" s="378"/>
      <c r="X175" s="378"/>
      <c r="Y175" s="378"/>
      <c r="Z175" s="378"/>
    </row>
    <row r="176" spans="1:26" ht="18">
      <c r="A176" s="378"/>
      <c r="B176" s="378"/>
      <c r="C176" s="378"/>
      <c r="D176" s="384"/>
      <c r="E176" s="378"/>
      <c r="F176" s="378"/>
      <c r="G176" s="378"/>
      <c r="H176" s="378"/>
      <c r="I176" s="378"/>
      <c r="J176" s="378"/>
      <c r="K176" s="378"/>
      <c r="L176" s="378"/>
      <c r="M176" s="378"/>
      <c r="N176" s="378"/>
      <c r="O176" s="378"/>
      <c r="P176" s="378"/>
      <c r="Q176" s="378"/>
      <c r="R176" s="378"/>
      <c r="S176" s="378"/>
      <c r="T176" s="378"/>
      <c r="U176" s="378"/>
      <c r="V176" s="378"/>
      <c r="W176" s="378"/>
      <c r="X176" s="378"/>
      <c r="Y176" s="378"/>
      <c r="Z176" s="378"/>
    </row>
    <row r="177" spans="1:26" ht="18">
      <c r="A177" s="378"/>
      <c r="B177" s="378"/>
      <c r="C177" s="378"/>
      <c r="D177" s="384"/>
      <c r="E177" s="378"/>
      <c r="F177" s="378"/>
      <c r="G177" s="378"/>
      <c r="H177" s="378"/>
      <c r="I177" s="378"/>
      <c r="J177" s="378"/>
      <c r="K177" s="378"/>
      <c r="L177" s="378"/>
      <c r="M177" s="378"/>
      <c r="N177" s="378"/>
      <c r="O177" s="378"/>
      <c r="P177" s="378"/>
      <c r="Q177" s="378"/>
      <c r="R177" s="378"/>
      <c r="S177" s="378"/>
      <c r="T177" s="378"/>
      <c r="U177" s="378"/>
      <c r="V177" s="378"/>
      <c r="W177" s="378"/>
      <c r="X177" s="378"/>
      <c r="Y177" s="378"/>
      <c r="Z177" s="378"/>
    </row>
    <row r="178" spans="1:26" ht="18">
      <c r="A178" s="378"/>
      <c r="B178" s="378"/>
      <c r="C178" s="378"/>
      <c r="D178" s="384"/>
      <c r="E178" s="378"/>
      <c r="F178" s="378"/>
      <c r="G178" s="378"/>
      <c r="H178" s="378"/>
      <c r="I178" s="378"/>
      <c r="J178" s="378"/>
      <c r="K178" s="378"/>
      <c r="L178" s="378"/>
      <c r="M178" s="378"/>
      <c r="N178" s="378"/>
      <c r="O178" s="378"/>
      <c r="P178" s="378"/>
      <c r="Q178" s="378"/>
      <c r="R178" s="378"/>
      <c r="S178" s="378"/>
      <c r="T178" s="378"/>
      <c r="U178" s="378"/>
      <c r="V178" s="378"/>
      <c r="W178" s="378"/>
      <c r="X178" s="378"/>
      <c r="Y178" s="378"/>
      <c r="Z178" s="378"/>
    </row>
    <row r="179" spans="1:26" ht="18">
      <c r="A179" s="378"/>
      <c r="B179" s="378"/>
      <c r="C179" s="378"/>
      <c r="D179" s="384"/>
      <c r="E179" s="378"/>
      <c r="F179" s="378"/>
      <c r="G179" s="378"/>
      <c r="H179" s="378"/>
      <c r="I179" s="378"/>
      <c r="J179" s="378"/>
      <c r="K179" s="378"/>
      <c r="L179" s="378"/>
      <c r="M179" s="378"/>
      <c r="N179" s="378"/>
      <c r="O179" s="378"/>
      <c r="P179" s="378"/>
      <c r="Q179" s="378"/>
      <c r="R179" s="378"/>
      <c r="S179" s="378"/>
      <c r="T179" s="378"/>
      <c r="U179" s="378"/>
      <c r="V179" s="378"/>
      <c r="W179" s="378"/>
      <c r="X179" s="378"/>
      <c r="Y179" s="378"/>
      <c r="Z179" s="378"/>
    </row>
    <row r="180" spans="1:26" ht="18">
      <c r="A180" s="378"/>
      <c r="B180" s="378"/>
      <c r="C180" s="378"/>
      <c r="D180" s="384"/>
      <c r="E180" s="378"/>
      <c r="F180" s="378"/>
      <c r="G180" s="378"/>
      <c r="H180" s="378"/>
      <c r="I180" s="378"/>
      <c r="J180" s="378"/>
      <c r="K180" s="378"/>
      <c r="L180" s="378"/>
      <c r="M180" s="378"/>
      <c r="N180" s="378"/>
      <c r="O180" s="378"/>
      <c r="P180" s="378"/>
      <c r="Q180" s="378"/>
      <c r="R180" s="378"/>
      <c r="S180" s="378"/>
      <c r="T180" s="378"/>
      <c r="U180" s="378"/>
      <c r="V180" s="378"/>
      <c r="W180" s="378"/>
      <c r="X180" s="378"/>
      <c r="Y180" s="378"/>
      <c r="Z180" s="378"/>
    </row>
    <row r="181" spans="1:26" ht="18">
      <c r="A181" s="378"/>
      <c r="B181" s="378"/>
      <c r="C181" s="378"/>
      <c r="D181" s="384"/>
      <c r="E181" s="378"/>
      <c r="F181" s="378"/>
      <c r="G181" s="378"/>
      <c r="H181" s="378"/>
      <c r="I181" s="378"/>
      <c r="J181" s="378"/>
      <c r="K181" s="378"/>
      <c r="L181" s="378"/>
      <c r="M181" s="378"/>
      <c r="N181" s="378"/>
      <c r="O181" s="378"/>
      <c r="P181" s="378"/>
      <c r="Q181" s="378"/>
      <c r="R181" s="378"/>
      <c r="S181" s="378"/>
      <c r="T181" s="378"/>
      <c r="U181" s="378"/>
      <c r="V181" s="378"/>
      <c r="W181" s="378"/>
      <c r="X181" s="378"/>
      <c r="Y181" s="378"/>
      <c r="Z181" s="378"/>
    </row>
    <row r="182" spans="1:26" ht="18">
      <c r="A182" s="378"/>
      <c r="B182" s="378"/>
      <c r="C182" s="378"/>
      <c r="D182" s="384"/>
      <c r="E182" s="378"/>
      <c r="F182" s="378"/>
      <c r="G182" s="378"/>
      <c r="H182" s="378"/>
      <c r="I182" s="378"/>
      <c r="J182" s="378"/>
      <c r="K182" s="378"/>
      <c r="L182" s="378"/>
      <c r="M182" s="378"/>
      <c r="N182" s="378"/>
      <c r="O182" s="378"/>
      <c r="P182" s="378"/>
      <c r="Q182" s="378"/>
      <c r="R182" s="378"/>
      <c r="S182" s="378"/>
      <c r="T182" s="378"/>
      <c r="U182" s="378"/>
      <c r="V182" s="378"/>
      <c r="W182" s="378"/>
      <c r="X182" s="378"/>
      <c r="Y182" s="378"/>
      <c r="Z182" s="378"/>
    </row>
    <row r="183" spans="1:26" ht="18">
      <c r="A183" s="378"/>
      <c r="B183" s="378"/>
      <c r="C183" s="378"/>
      <c r="D183" s="384"/>
      <c r="E183" s="378"/>
      <c r="F183" s="378"/>
      <c r="G183" s="378"/>
      <c r="H183" s="378"/>
      <c r="I183" s="378"/>
      <c r="J183" s="378"/>
      <c r="K183" s="378"/>
      <c r="L183" s="378"/>
      <c r="M183" s="378"/>
      <c r="N183" s="378"/>
      <c r="O183" s="378"/>
      <c r="P183" s="378"/>
      <c r="Q183" s="378"/>
      <c r="R183" s="378"/>
      <c r="S183" s="378"/>
      <c r="T183" s="378"/>
      <c r="U183" s="378"/>
      <c r="V183" s="378"/>
      <c r="W183" s="378"/>
      <c r="X183" s="378"/>
      <c r="Y183" s="378"/>
      <c r="Z183" s="378"/>
    </row>
    <row r="184" spans="1:26" ht="18">
      <c r="A184" s="378"/>
      <c r="B184" s="378"/>
      <c r="C184" s="378"/>
      <c r="D184" s="384"/>
      <c r="E184" s="378"/>
      <c r="F184" s="378"/>
      <c r="G184" s="378"/>
      <c r="H184" s="378"/>
      <c r="I184" s="378"/>
      <c r="J184" s="378"/>
      <c r="K184" s="378"/>
      <c r="L184" s="378"/>
      <c r="M184" s="378"/>
      <c r="N184" s="378"/>
      <c r="O184" s="378"/>
      <c r="P184" s="378"/>
      <c r="Q184" s="378"/>
      <c r="R184" s="378"/>
      <c r="S184" s="378"/>
      <c r="T184" s="378"/>
      <c r="U184" s="378"/>
      <c r="V184" s="378"/>
      <c r="W184" s="378"/>
      <c r="X184" s="378"/>
      <c r="Y184" s="378"/>
      <c r="Z184" s="378"/>
    </row>
    <row r="185" spans="1:26" ht="18">
      <c r="A185" s="378"/>
      <c r="B185" s="378"/>
      <c r="C185" s="378"/>
      <c r="D185" s="384"/>
      <c r="E185" s="378"/>
      <c r="F185" s="378"/>
      <c r="G185" s="378"/>
      <c r="H185" s="378"/>
      <c r="I185" s="378"/>
      <c r="J185" s="378"/>
      <c r="K185" s="378"/>
      <c r="L185" s="378"/>
      <c r="M185" s="378"/>
      <c r="N185" s="378"/>
      <c r="O185" s="378"/>
      <c r="P185" s="378"/>
      <c r="Q185" s="378"/>
      <c r="R185" s="378"/>
      <c r="S185" s="378"/>
      <c r="T185" s="378"/>
      <c r="U185" s="378"/>
      <c r="V185" s="378"/>
      <c r="W185" s="378"/>
      <c r="X185" s="378"/>
      <c r="Y185" s="378"/>
      <c r="Z185" s="378"/>
    </row>
    <row r="186" spans="1:26" ht="18">
      <c r="A186" s="378"/>
      <c r="B186" s="378"/>
      <c r="C186" s="378"/>
      <c r="D186" s="384"/>
      <c r="E186" s="378"/>
      <c r="F186" s="378"/>
      <c r="G186" s="378"/>
      <c r="H186" s="378"/>
      <c r="I186" s="378"/>
      <c r="J186" s="378"/>
      <c r="K186" s="378"/>
      <c r="L186" s="378"/>
      <c r="M186" s="378"/>
      <c r="N186" s="378"/>
      <c r="O186" s="378"/>
      <c r="P186" s="378"/>
      <c r="Q186" s="378"/>
      <c r="R186" s="378"/>
      <c r="S186" s="378"/>
      <c r="T186" s="378"/>
      <c r="U186" s="378"/>
      <c r="V186" s="378"/>
      <c r="W186" s="378"/>
      <c r="X186" s="378"/>
      <c r="Y186" s="378"/>
      <c r="Z186" s="378"/>
    </row>
    <row r="187" spans="1:26" ht="18">
      <c r="A187" s="378"/>
      <c r="B187" s="378"/>
      <c r="C187" s="378"/>
      <c r="D187" s="384"/>
      <c r="E187" s="378"/>
      <c r="F187" s="378"/>
      <c r="G187" s="378"/>
      <c r="H187" s="378"/>
      <c r="I187" s="378"/>
      <c r="J187" s="378"/>
      <c r="K187" s="378"/>
      <c r="L187" s="378"/>
      <c r="M187" s="378"/>
      <c r="N187" s="378"/>
      <c r="O187" s="378"/>
      <c r="P187" s="378"/>
      <c r="Q187" s="378"/>
      <c r="R187" s="378"/>
      <c r="S187" s="378"/>
      <c r="T187" s="378"/>
      <c r="U187" s="378"/>
      <c r="V187" s="378"/>
      <c r="W187" s="378"/>
      <c r="X187" s="378"/>
      <c r="Y187" s="378"/>
      <c r="Z187" s="378"/>
    </row>
    <row r="188" spans="1:26" ht="18">
      <c r="A188" s="378"/>
      <c r="B188" s="378"/>
      <c r="C188" s="378"/>
      <c r="D188" s="384"/>
      <c r="E188" s="378"/>
      <c r="F188" s="378"/>
      <c r="G188" s="378"/>
      <c r="H188" s="378"/>
      <c r="I188" s="378"/>
      <c r="J188" s="378"/>
      <c r="K188" s="378"/>
      <c r="L188" s="378"/>
      <c r="M188" s="378"/>
      <c r="N188" s="378"/>
      <c r="O188" s="378"/>
      <c r="P188" s="378"/>
      <c r="Q188" s="378"/>
      <c r="R188" s="378"/>
      <c r="S188" s="378"/>
      <c r="T188" s="378"/>
      <c r="U188" s="378"/>
      <c r="V188" s="378"/>
      <c r="W188" s="378"/>
      <c r="X188" s="378"/>
      <c r="Y188" s="378"/>
      <c r="Z188" s="378"/>
    </row>
    <row r="189" spans="1:26" ht="18">
      <c r="A189" s="378"/>
      <c r="B189" s="378"/>
      <c r="C189" s="378"/>
      <c r="D189" s="384"/>
      <c r="E189" s="378"/>
      <c r="F189" s="378"/>
      <c r="G189" s="378"/>
      <c r="H189" s="378"/>
      <c r="I189" s="378"/>
      <c r="J189" s="378"/>
      <c r="K189" s="378"/>
      <c r="L189" s="378"/>
      <c r="M189" s="378"/>
      <c r="N189" s="378"/>
      <c r="O189" s="378"/>
      <c r="P189" s="378"/>
      <c r="Q189" s="378"/>
      <c r="R189" s="378"/>
      <c r="S189" s="378"/>
      <c r="T189" s="378"/>
      <c r="U189" s="378"/>
      <c r="V189" s="378"/>
      <c r="W189" s="378"/>
      <c r="X189" s="378"/>
      <c r="Y189" s="378"/>
      <c r="Z189" s="378"/>
    </row>
    <row r="190" spans="1:26" ht="18">
      <c r="A190" s="378"/>
      <c r="B190" s="378"/>
      <c r="C190" s="378"/>
      <c r="D190" s="384"/>
      <c r="E190" s="378"/>
      <c r="F190" s="378"/>
      <c r="G190" s="378"/>
      <c r="H190" s="378"/>
      <c r="I190" s="378"/>
      <c r="J190" s="378"/>
      <c r="K190" s="378"/>
      <c r="L190" s="378"/>
      <c r="M190" s="378"/>
      <c r="N190" s="378"/>
      <c r="O190" s="378"/>
      <c r="P190" s="378"/>
      <c r="Q190" s="378"/>
      <c r="R190" s="378"/>
      <c r="S190" s="378"/>
      <c r="T190" s="378"/>
      <c r="U190" s="378"/>
      <c r="V190" s="378"/>
      <c r="W190" s="378"/>
      <c r="X190" s="378"/>
      <c r="Y190" s="378"/>
      <c r="Z190" s="378"/>
    </row>
    <row r="191" spans="1:26" ht="18">
      <c r="A191" s="378"/>
      <c r="B191" s="378"/>
      <c r="C191" s="378"/>
      <c r="D191" s="384"/>
      <c r="E191" s="378"/>
      <c r="F191" s="378"/>
      <c r="G191" s="378"/>
      <c r="H191" s="378"/>
      <c r="I191" s="378"/>
      <c r="J191" s="378"/>
      <c r="K191" s="378"/>
      <c r="L191" s="378"/>
      <c r="M191" s="378"/>
      <c r="N191" s="378"/>
      <c r="O191" s="378"/>
      <c r="P191" s="378"/>
      <c r="Q191" s="378"/>
      <c r="R191" s="378"/>
      <c r="S191" s="378"/>
      <c r="T191" s="378"/>
      <c r="U191" s="378"/>
      <c r="V191" s="378"/>
      <c r="W191" s="378"/>
      <c r="X191" s="378"/>
      <c r="Y191" s="378"/>
      <c r="Z191" s="378"/>
    </row>
    <row r="192" spans="1:26" ht="18">
      <c r="A192" s="378"/>
      <c r="B192" s="378"/>
      <c r="C192" s="378"/>
      <c r="D192" s="384"/>
      <c r="E192" s="378"/>
      <c r="F192" s="378"/>
      <c r="G192" s="378"/>
      <c r="H192" s="378"/>
      <c r="I192" s="378"/>
      <c r="J192" s="378"/>
      <c r="K192" s="378"/>
      <c r="L192" s="378"/>
      <c r="M192" s="378"/>
      <c r="N192" s="378"/>
      <c r="O192" s="378"/>
      <c r="P192" s="378"/>
      <c r="Q192" s="378"/>
      <c r="R192" s="378"/>
      <c r="S192" s="378"/>
      <c r="T192" s="378"/>
      <c r="U192" s="378"/>
      <c r="V192" s="378"/>
      <c r="W192" s="378"/>
      <c r="X192" s="378"/>
      <c r="Y192" s="378"/>
      <c r="Z192" s="378"/>
    </row>
    <row r="193" spans="1:26" ht="18">
      <c r="A193" s="378"/>
      <c r="B193" s="378"/>
      <c r="C193" s="378"/>
      <c r="D193" s="384"/>
      <c r="E193" s="378"/>
      <c r="F193" s="378"/>
      <c r="G193" s="378"/>
      <c r="H193" s="378"/>
      <c r="I193" s="378"/>
      <c r="J193" s="378"/>
      <c r="K193" s="378"/>
      <c r="L193" s="378"/>
      <c r="M193" s="378"/>
      <c r="N193" s="378"/>
      <c r="O193" s="378"/>
      <c r="P193" s="378"/>
      <c r="Q193" s="378"/>
      <c r="R193" s="378"/>
      <c r="S193" s="378"/>
      <c r="T193" s="378"/>
      <c r="U193" s="378"/>
      <c r="V193" s="378"/>
      <c r="W193" s="378"/>
      <c r="X193" s="378"/>
      <c r="Y193" s="378"/>
      <c r="Z193" s="378"/>
    </row>
    <row r="194" spans="1:26" ht="18">
      <c r="A194" s="378"/>
      <c r="B194" s="378"/>
      <c r="C194" s="378"/>
      <c r="D194" s="384"/>
      <c r="E194" s="378"/>
      <c r="F194" s="378"/>
      <c r="G194" s="378"/>
      <c r="H194" s="378"/>
      <c r="I194" s="378"/>
      <c r="J194" s="378"/>
      <c r="K194" s="378"/>
      <c r="L194" s="378"/>
      <c r="M194" s="378"/>
      <c r="N194" s="378"/>
      <c r="O194" s="378"/>
      <c r="P194" s="378"/>
      <c r="Q194" s="378"/>
      <c r="R194" s="378"/>
      <c r="S194" s="378"/>
      <c r="T194" s="378"/>
      <c r="U194" s="378"/>
      <c r="V194" s="378"/>
      <c r="W194" s="378"/>
      <c r="X194" s="378"/>
      <c r="Y194" s="378"/>
      <c r="Z194" s="378"/>
    </row>
    <row r="195" spans="1:26" ht="18">
      <c r="A195" s="378"/>
      <c r="B195" s="378"/>
      <c r="C195" s="378"/>
      <c r="D195" s="384"/>
      <c r="E195" s="378"/>
      <c r="F195" s="378"/>
      <c r="G195" s="378"/>
      <c r="H195" s="378"/>
      <c r="I195" s="378"/>
      <c r="J195" s="378"/>
      <c r="K195" s="378"/>
      <c r="L195" s="378"/>
      <c r="M195" s="378"/>
      <c r="N195" s="378"/>
      <c r="O195" s="378"/>
      <c r="P195" s="378"/>
      <c r="Q195" s="378"/>
      <c r="R195" s="378"/>
      <c r="S195" s="378"/>
      <c r="T195" s="378"/>
      <c r="U195" s="378"/>
      <c r="V195" s="378"/>
      <c r="W195" s="378"/>
      <c r="X195" s="378"/>
      <c r="Y195" s="378"/>
      <c r="Z195" s="378"/>
    </row>
    <row r="196" spans="1:26" ht="18">
      <c r="A196" s="378"/>
      <c r="B196" s="378"/>
      <c r="C196" s="378"/>
      <c r="D196" s="384"/>
      <c r="E196" s="378"/>
      <c r="F196" s="378"/>
      <c r="G196" s="378"/>
      <c r="H196" s="378"/>
      <c r="I196" s="378"/>
      <c r="J196" s="378"/>
      <c r="K196" s="378"/>
      <c r="L196" s="378"/>
      <c r="M196" s="378"/>
      <c r="N196" s="378"/>
      <c r="O196" s="378"/>
      <c r="P196" s="378"/>
      <c r="Q196" s="378"/>
      <c r="R196" s="378"/>
      <c r="S196" s="378"/>
      <c r="T196" s="378"/>
      <c r="U196" s="378"/>
      <c r="V196" s="378"/>
      <c r="W196" s="378"/>
      <c r="X196" s="378"/>
      <c r="Y196" s="378"/>
      <c r="Z196" s="378"/>
    </row>
    <row r="197" spans="1:26" ht="18">
      <c r="A197" s="378"/>
      <c r="B197" s="378"/>
      <c r="C197" s="378"/>
      <c r="D197" s="384"/>
      <c r="E197" s="378"/>
      <c r="F197" s="378"/>
      <c r="G197" s="378"/>
      <c r="H197" s="378"/>
      <c r="I197" s="378"/>
      <c r="J197" s="378"/>
      <c r="K197" s="378"/>
      <c r="L197" s="378"/>
      <c r="M197" s="378"/>
      <c r="N197" s="378"/>
      <c r="O197" s="378"/>
      <c r="P197" s="378"/>
      <c r="Q197" s="378"/>
      <c r="R197" s="378"/>
      <c r="S197" s="378"/>
      <c r="T197" s="378"/>
      <c r="U197" s="378"/>
      <c r="V197" s="378"/>
      <c r="W197" s="378"/>
      <c r="X197" s="378"/>
      <c r="Y197" s="378"/>
      <c r="Z197" s="378"/>
    </row>
    <row r="198" spans="1:26" ht="18">
      <c r="A198" s="378"/>
      <c r="B198" s="378"/>
      <c r="C198" s="378"/>
      <c r="D198" s="384"/>
      <c r="E198" s="378"/>
      <c r="F198" s="378"/>
      <c r="G198" s="378"/>
      <c r="H198" s="378"/>
      <c r="I198" s="378"/>
      <c r="J198" s="378"/>
      <c r="K198" s="378"/>
      <c r="L198" s="378"/>
      <c r="M198" s="378"/>
      <c r="N198" s="378"/>
      <c r="O198" s="378"/>
      <c r="P198" s="378"/>
      <c r="Q198" s="378"/>
      <c r="R198" s="378"/>
      <c r="S198" s="378"/>
      <c r="T198" s="378"/>
      <c r="U198" s="378"/>
      <c r="V198" s="378"/>
      <c r="W198" s="378"/>
      <c r="X198" s="378"/>
      <c r="Y198" s="378"/>
      <c r="Z198" s="378"/>
    </row>
    <row r="199" spans="1:26" ht="18">
      <c r="A199" s="378"/>
      <c r="B199" s="378"/>
      <c r="C199" s="378"/>
      <c r="D199" s="384"/>
      <c r="E199" s="378"/>
      <c r="F199" s="378"/>
      <c r="G199" s="378"/>
      <c r="H199" s="378"/>
      <c r="I199" s="378"/>
      <c r="J199" s="378"/>
      <c r="K199" s="378"/>
      <c r="L199" s="378"/>
      <c r="M199" s="378"/>
      <c r="N199" s="378"/>
      <c r="O199" s="378"/>
      <c r="P199" s="378"/>
      <c r="Q199" s="378"/>
      <c r="R199" s="378"/>
      <c r="S199" s="378"/>
      <c r="T199" s="378"/>
      <c r="U199" s="378"/>
      <c r="V199" s="378"/>
      <c r="W199" s="378"/>
      <c r="X199" s="378"/>
      <c r="Y199" s="378"/>
      <c r="Z199" s="378"/>
    </row>
    <row r="200" spans="1:26" ht="18">
      <c r="A200" s="378"/>
      <c r="B200" s="378"/>
      <c r="C200" s="378"/>
      <c r="D200" s="384"/>
      <c r="E200" s="378"/>
      <c r="F200" s="378"/>
      <c r="G200" s="378"/>
      <c r="H200" s="378"/>
      <c r="I200" s="378"/>
      <c r="J200" s="378"/>
      <c r="K200" s="378"/>
      <c r="L200" s="378"/>
      <c r="M200" s="378"/>
      <c r="N200" s="378"/>
      <c r="O200" s="378"/>
      <c r="P200" s="378"/>
      <c r="Q200" s="378"/>
      <c r="R200" s="378"/>
      <c r="S200" s="378"/>
      <c r="T200" s="378"/>
      <c r="U200" s="378"/>
      <c r="V200" s="378"/>
      <c r="W200" s="378"/>
      <c r="X200" s="378"/>
      <c r="Y200" s="378"/>
      <c r="Z200" s="378"/>
    </row>
    <row r="201" spans="1:26" ht="18">
      <c r="A201" s="378"/>
      <c r="B201" s="378"/>
      <c r="C201" s="378"/>
      <c r="D201" s="384"/>
      <c r="E201" s="378"/>
      <c r="F201" s="378"/>
      <c r="G201" s="378"/>
      <c r="H201" s="378"/>
      <c r="I201" s="378"/>
      <c r="J201" s="378"/>
      <c r="K201" s="378"/>
      <c r="L201" s="378"/>
      <c r="M201" s="378"/>
      <c r="N201" s="378"/>
      <c r="O201" s="378"/>
      <c r="P201" s="378"/>
      <c r="Q201" s="378"/>
      <c r="R201" s="378"/>
      <c r="S201" s="378"/>
      <c r="T201" s="378"/>
      <c r="U201" s="378"/>
      <c r="V201" s="378"/>
      <c r="W201" s="378"/>
      <c r="X201" s="378"/>
      <c r="Y201" s="378"/>
      <c r="Z201" s="378"/>
    </row>
    <row r="202" spans="1:26" ht="18">
      <c r="A202" s="378"/>
      <c r="B202" s="378"/>
      <c r="C202" s="378"/>
      <c r="D202" s="384"/>
      <c r="E202" s="378"/>
      <c r="F202" s="378"/>
      <c r="G202" s="378"/>
      <c r="H202" s="378"/>
      <c r="I202" s="378"/>
      <c r="J202" s="378"/>
      <c r="K202" s="378"/>
      <c r="L202" s="378"/>
      <c r="M202" s="378"/>
      <c r="N202" s="378"/>
      <c r="O202" s="378"/>
      <c r="P202" s="378"/>
      <c r="Q202" s="378"/>
      <c r="R202" s="378"/>
      <c r="S202" s="378"/>
      <c r="T202" s="378"/>
      <c r="U202" s="378"/>
      <c r="V202" s="378"/>
      <c r="W202" s="378"/>
      <c r="X202" s="378"/>
      <c r="Y202" s="378"/>
      <c r="Z202" s="378"/>
    </row>
    <row r="203" spans="1:26" ht="18">
      <c r="A203" s="378"/>
      <c r="B203" s="378"/>
      <c r="C203" s="378"/>
      <c r="D203" s="384"/>
      <c r="E203" s="378"/>
      <c r="F203" s="378"/>
      <c r="G203" s="378"/>
      <c r="H203" s="378"/>
      <c r="I203" s="378"/>
      <c r="J203" s="378"/>
      <c r="K203" s="378"/>
      <c r="L203" s="378"/>
      <c r="M203" s="378"/>
      <c r="N203" s="378"/>
      <c r="O203" s="378"/>
      <c r="P203" s="378"/>
      <c r="Q203" s="378"/>
      <c r="R203" s="378"/>
      <c r="S203" s="378"/>
      <c r="T203" s="378"/>
      <c r="U203" s="378"/>
      <c r="V203" s="378"/>
      <c r="W203" s="378"/>
      <c r="X203" s="378"/>
      <c r="Y203" s="378"/>
      <c r="Z203" s="378"/>
    </row>
    <row r="204" spans="1:26" ht="18">
      <c r="A204" s="378"/>
      <c r="B204" s="378"/>
      <c r="C204" s="378"/>
      <c r="D204" s="384"/>
      <c r="E204" s="378"/>
      <c r="F204" s="378"/>
      <c r="G204" s="378"/>
      <c r="H204" s="378"/>
      <c r="I204" s="378"/>
      <c r="J204" s="378"/>
      <c r="K204" s="378"/>
      <c r="L204" s="378"/>
      <c r="M204" s="378"/>
      <c r="N204" s="378"/>
      <c r="O204" s="378"/>
      <c r="P204" s="378"/>
      <c r="Q204" s="378"/>
      <c r="R204" s="378"/>
      <c r="S204" s="378"/>
      <c r="T204" s="378"/>
      <c r="U204" s="378"/>
      <c r="V204" s="378"/>
      <c r="W204" s="378"/>
      <c r="X204" s="378"/>
      <c r="Y204" s="378"/>
      <c r="Z204" s="378"/>
    </row>
    <row r="205" spans="1:26" ht="18">
      <c r="A205" s="378"/>
      <c r="B205" s="378"/>
      <c r="C205" s="378"/>
      <c r="D205" s="384"/>
      <c r="E205" s="378"/>
      <c r="F205" s="378"/>
      <c r="G205" s="378"/>
      <c r="H205" s="378"/>
      <c r="I205" s="378"/>
      <c r="J205" s="378"/>
      <c r="K205" s="378"/>
      <c r="L205" s="378"/>
      <c r="M205" s="378"/>
      <c r="N205" s="378"/>
      <c r="O205" s="378"/>
      <c r="P205" s="378"/>
      <c r="Q205" s="378"/>
      <c r="R205" s="378"/>
      <c r="S205" s="378"/>
      <c r="T205" s="378"/>
      <c r="U205" s="378"/>
      <c r="V205" s="378"/>
      <c r="W205" s="378"/>
      <c r="X205" s="378"/>
      <c r="Y205" s="378"/>
      <c r="Z205" s="378"/>
    </row>
    <row r="206" spans="1:26" ht="18">
      <c r="A206" s="378"/>
      <c r="B206" s="378"/>
      <c r="C206" s="378"/>
      <c r="D206" s="384"/>
      <c r="E206" s="378"/>
      <c r="F206" s="378"/>
      <c r="G206" s="378"/>
      <c r="H206" s="378"/>
      <c r="I206" s="378"/>
      <c r="J206" s="378"/>
      <c r="K206" s="378"/>
      <c r="L206" s="378"/>
      <c r="M206" s="378"/>
      <c r="N206" s="378"/>
      <c r="O206" s="378"/>
      <c r="P206" s="378"/>
      <c r="Q206" s="378"/>
      <c r="R206" s="378"/>
      <c r="S206" s="378"/>
      <c r="T206" s="378"/>
      <c r="U206" s="378"/>
      <c r="V206" s="378"/>
      <c r="W206" s="378"/>
      <c r="X206" s="378"/>
      <c r="Y206" s="378"/>
      <c r="Z206" s="378"/>
    </row>
    <row r="207" spans="1:26" ht="18">
      <c r="A207" s="378"/>
      <c r="B207" s="378"/>
      <c r="C207" s="378"/>
      <c r="D207" s="384"/>
      <c r="E207" s="378"/>
      <c r="F207" s="378"/>
      <c r="G207" s="378"/>
      <c r="H207" s="378"/>
      <c r="I207" s="378"/>
      <c r="J207" s="378"/>
      <c r="K207" s="378"/>
      <c r="L207" s="378"/>
      <c r="M207" s="378"/>
      <c r="N207" s="378"/>
      <c r="O207" s="378"/>
      <c r="P207" s="378"/>
      <c r="Q207" s="378"/>
      <c r="R207" s="378"/>
      <c r="S207" s="378"/>
      <c r="T207" s="378"/>
      <c r="U207" s="378"/>
      <c r="V207" s="378"/>
      <c r="W207" s="378"/>
      <c r="X207" s="378"/>
      <c r="Y207" s="378"/>
      <c r="Z207" s="378"/>
    </row>
    <row r="208" spans="1:26" ht="18">
      <c r="A208" s="378"/>
      <c r="B208" s="378"/>
      <c r="C208" s="378"/>
      <c r="D208" s="384"/>
      <c r="E208" s="378"/>
      <c r="F208" s="378"/>
      <c r="G208" s="378"/>
      <c r="H208" s="378"/>
      <c r="I208" s="378"/>
      <c r="J208" s="378"/>
      <c r="K208" s="378"/>
      <c r="L208" s="378"/>
      <c r="M208" s="378"/>
      <c r="N208" s="378"/>
      <c r="O208" s="378"/>
      <c r="P208" s="378"/>
      <c r="Q208" s="378"/>
      <c r="R208" s="378"/>
      <c r="S208" s="378"/>
      <c r="T208" s="378"/>
      <c r="U208" s="378"/>
      <c r="V208" s="378"/>
      <c r="W208" s="378"/>
      <c r="X208" s="378"/>
      <c r="Y208" s="378"/>
      <c r="Z208" s="378"/>
    </row>
    <row r="209" spans="1:26" ht="18">
      <c r="A209" s="378"/>
      <c r="B209" s="378"/>
      <c r="C209" s="378"/>
      <c r="D209" s="384"/>
      <c r="E209" s="378"/>
      <c r="F209" s="378"/>
      <c r="G209" s="378"/>
      <c r="H209" s="378"/>
      <c r="I209" s="378"/>
      <c r="J209" s="378"/>
      <c r="K209" s="378"/>
      <c r="L209" s="378"/>
      <c r="M209" s="378"/>
      <c r="N209" s="378"/>
      <c r="O209" s="378"/>
      <c r="P209" s="378"/>
      <c r="Q209" s="378"/>
      <c r="R209" s="378"/>
      <c r="S209" s="378"/>
      <c r="T209" s="378"/>
      <c r="U209" s="378"/>
      <c r="V209" s="378"/>
      <c r="W209" s="378"/>
      <c r="X209" s="378"/>
      <c r="Y209" s="378"/>
      <c r="Z209" s="378"/>
    </row>
    <row r="210" spans="1:26" ht="18">
      <c r="A210" s="378"/>
      <c r="B210" s="378"/>
      <c r="C210" s="378"/>
      <c r="D210" s="384"/>
      <c r="E210" s="378"/>
      <c r="F210" s="378"/>
      <c r="G210" s="378"/>
      <c r="H210" s="378"/>
      <c r="I210" s="378"/>
      <c r="J210" s="378"/>
      <c r="K210" s="378"/>
      <c r="L210" s="378"/>
      <c r="M210" s="378"/>
      <c r="N210" s="378"/>
      <c r="O210" s="378"/>
      <c r="P210" s="378"/>
      <c r="Q210" s="378"/>
      <c r="R210" s="378"/>
      <c r="S210" s="378"/>
      <c r="T210" s="378"/>
      <c r="U210" s="378"/>
      <c r="V210" s="378"/>
      <c r="W210" s="378"/>
      <c r="X210" s="378"/>
      <c r="Y210" s="378"/>
      <c r="Z210" s="378"/>
    </row>
    <row r="211" spans="1:26" ht="18">
      <c r="A211" s="378"/>
      <c r="B211" s="378"/>
      <c r="C211" s="378"/>
      <c r="D211" s="384"/>
      <c r="E211" s="378"/>
      <c r="F211" s="378"/>
      <c r="G211" s="378"/>
      <c r="H211" s="378"/>
      <c r="I211" s="378"/>
      <c r="J211" s="378"/>
      <c r="K211" s="378"/>
      <c r="L211" s="378"/>
      <c r="M211" s="378"/>
      <c r="N211" s="378"/>
      <c r="O211" s="378"/>
      <c r="P211" s="378"/>
      <c r="Q211" s="378"/>
      <c r="R211" s="378"/>
      <c r="S211" s="378"/>
      <c r="T211" s="378"/>
      <c r="U211" s="378"/>
      <c r="V211" s="378"/>
      <c r="W211" s="378"/>
      <c r="X211" s="378"/>
      <c r="Y211" s="378"/>
      <c r="Z211" s="378"/>
    </row>
    <row r="212" spans="1:26" ht="18">
      <c r="A212" s="378"/>
      <c r="B212" s="378"/>
      <c r="C212" s="378"/>
      <c r="D212" s="384"/>
      <c r="E212" s="378"/>
      <c r="F212" s="378"/>
      <c r="G212" s="378"/>
      <c r="H212" s="378"/>
      <c r="I212" s="378"/>
      <c r="J212" s="378"/>
      <c r="K212" s="378"/>
      <c r="L212" s="378"/>
      <c r="M212" s="378"/>
      <c r="N212" s="378"/>
      <c r="O212" s="378"/>
      <c r="P212" s="378"/>
      <c r="Q212" s="378"/>
      <c r="R212" s="378"/>
      <c r="S212" s="378"/>
      <c r="T212" s="378"/>
      <c r="U212" s="378"/>
      <c r="V212" s="378"/>
      <c r="W212" s="378"/>
      <c r="X212" s="378"/>
      <c r="Y212" s="378"/>
      <c r="Z212" s="378"/>
    </row>
    <row r="213" spans="1:26" ht="18">
      <c r="A213" s="378"/>
      <c r="B213" s="378"/>
      <c r="C213" s="378"/>
      <c r="D213" s="384"/>
      <c r="E213" s="378"/>
      <c r="F213" s="378"/>
      <c r="G213" s="378"/>
      <c r="H213" s="378"/>
      <c r="I213" s="378"/>
      <c r="J213" s="378"/>
      <c r="K213" s="378"/>
      <c r="L213" s="378"/>
      <c r="M213" s="378"/>
      <c r="N213" s="378"/>
      <c r="O213" s="378"/>
      <c r="P213" s="378"/>
      <c r="Q213" s="378"/>
      <c r="R213" s="378"/>
      <c r="S213" s="378"/>
      <c r="T213" s="378"/>
      <c r="U213" s="378"/>
      <c r="V213" s="378"/>
      <c r="W213" s="378"/>
      <c r="X213" s="378"/>
      <c r="Y213" s="378"/>
      <c r="Z213" s="378"/>
    </row>
    <row r="214" spans="1:26" ht="18">
      <c r="A214" s="378"/>
      <c r="B214" s="378"/>
      <c r="C214" s="378"/>
      <c r="D214" s="384"/>
      <c r="E214" s="378"/>
      <c r="F214" s="378"/>
      <c r="G214" s="378"/>
      <c r="H214" s="378"/>
      <c r="I214" s="378"/>
      <c r="J214" s="378"/>
      <c r="K214" s="378"/>
      <c r="L214" s="378"/>
      <c r="M214" s="378"/>
      <c r="N214" s="378"/>
      <c r="O214" s="378"/>
      <c r="P214" s="378"/>
      <c r="Q214" s="378"/>
      <c r="R214" s="378"/>
      <c r="S214" s="378"/>
      <c r="T214" s="378"/>
      <c r="U214" s="378"/>
      <c r="V214" s="378"/>
      <c r="W214" s="378"/>
      <c r="X214" s="378"/>
      <c r="Y214" s="378"/>
      <c r="Z214" s="378"/>
    </row>
    <row r="215" spans="1:26" ht="18">
      <c r="A215" s="378"/>
      <c r="B215" s="378"/>
      <c r="C215" s="378"/>
      <c r="D215" s="384"/>
      <c r="E215" s="378"/>
      <c r="F215" s="378"/>
      <c r="G215" s="378"/>
      <c r="H215" s="378"/>
      <c r="I215" s="378"/>
      <c r="J215" s="378"/>
      <c r="K215" s="378"/>
      <c r="L215" s="378"/>
      <c r="M215" s="378"/>
      <c r="N215" s="378"/>
      <c r="O215" s="378"/>
      <c r="P215" s="378"/>
      <c r="Q215" s="378"/>
      <c r="R215" s="378"/>
      <c r="S215" s="378"/>
      <c r="T215" s="378"/>
      <c r="U215" s="378"/>
      <c r="V215" s="378"/>
      <c r="W215" s="378"/>
      <c r="X215" s="378"/>
      <c r="Y215" s="378"/>
      <c r="Z215" s="378"/>
    </row>
    <row r="216" spans="1:26" ht="18">
      <c r="A216" s="378"/>
      <c r="B216" s="378"/>
      <c r="C216" s="378"/>
      <c r="D216" s="384"/>
      <c r="E216" s="378"/>
      <c r="F216" s="378"/>
      <c r="G216" s="378"/>
      <c r="H216" s="378"/>
      <c r="I216" s="378"/>
      <c r="J216" s="378"/>
      <c r="K216" s="378"/>
      <c r="L216" s="378"/>
      <c r="M216" s="378"/>
      <c r="N216" s="378"/>
      <c r="O216" s="378"/>
      <c r="P216" s="378"/>
      <c r="Q216" s="378"/>
      <c r="R216" s="378"/>
      <c r="S216" s="378"/>
      <c r="T216" s="378"/>
      <c r="U216" s="378"/>
      <c r="V216" s="378"/>
      <c r="W216" s="378"/>
      <c r="X216" s="378"/>
      <c r="Y216" s="378"/>
      <c r="Z216" s="378"/>
    </row>
    <row r="217" spans="1:26" ht="18">
      <c r="A217" s="378"/>
      <c r="B217" s="378"/>
      <c r="C217" s="378"/>
      <c r="D217" s="384"/>
      <c r="E217" s="378"/>
      <c r="F217" s="378"/>
      <c r="G217" s="378"/>
      <c r="H217" s="378"/>
      <c r="I217" s="378"/>
      <c r="J217" s="378"/>
      <c r="K217" s="378"/>
      <c r="L217" s="378"/>
      <c r="M217" s="378"/>
      <c r="N217" s="378"/>
      <c r="O217" s="378"/>
      <c r="P217" s="378"/>
      <c r="Q217" s="378"/>
      <c r="R217" s="378"/>
      <c r="S217" s="378"/>
      <c r="T217" s="378"/>
      <c r="U217" s="378"/>
      <c r="V217" s="378"/>
      <c r="W217" s="378"/>
      <c r="X217" s="378"/>
      <c r="Y217" s="378"/>
      <c r="Z217" s="378"/>
    </row>
    <row r="218" spans="1:26" ht="18">
      <c r="A218" s="378"/>
      <c r="B218" s="378"/>
      <c r="C218" s="378"/>
      <c r="D218" s="384"/>
      <c r="E218" s="378"/>
      <c r="F218" s="378"/>
      <c r="G218" s="378"/>
      <c r="H218" s="378"/>
      <c r="I218" s="378"/>
      <c r="J218" s="378"/>
      <c r="K218" s="378"/>
      <c r="L218" s="378"/>
      <c r="M218" s="378"/>
      <c r="N218" s="378"/>
      <c r="O218" s="378"/>
      <c r="P218" s="378"/>
      <c r="Q218" s="378"/>
      <c r="R218" s="378"/>
      <c r="S218" s="378"/>
      <c r="T218" s="378"/>
      <c r="U218" s="378"/>
      <c r="V218" s="378"/>
      <c r="W218" s="378"/>
      <c r="X218" s="378"/>
      <c r="Y218" s="378"/>
      <c r="Z218" s="378"/>
    </row>
    <row r="219" spans="1:26" ht="18">
      <c r="A219" s="378"/>
      <c r="B219" s="378"/>
      <c r="C219" s="378"/>
      <c r="D219" s="384"/>
      <c r="E219" s="378"/>
      <c r="F219" s="378"/>
      <c r="G219" s="378"/>
      <c r="H219" s="378"/>
      <c r="I219" s="378"/>
      <c r="J219" s="378"/>
      <c r="K219" s="378"/>
      <c r="L219" s="378"/>
      <c r="M219" s="378"/>
      <c r="N219" s="378"/>
      <c r="O219" s="378"/>
      <c r="P219" s="378"/>
      <c r="Q219" s="378"/>
      <c r="R219" s="378"/>
      <c r="S219" s="378"/>
      <c r="T219" s="378"/>
      <c r="U219" s="378"/>
      <c r="V219" s="378"/>
      <c r="W219" s="378"/>
      <c r="X219" s="378"/>
      <c r="Y219" s="378"/>
      <c r="Z219" s="378"/>
    </row>
    <row r="220" spans="1:26" ht="18">
      <c r="A220" s="378"/>
      <c r="B220" s="378"/>
      <c r="C220" s="378"/>
      <c r="D220" s="384"/>
      <c r="E220" s="378"/>
      <c r="F220" s="378"/>
      <c r="G220" s="378"/>
      <c r="H220" s="378"/>
      <c r="I220" s="378"/>
      <c r="J220" s="378"/>
      <c r="K220" s="378"/>
      <c r="L220" s="378"/>
      <c r="M220" s="378"/>
      <c r="N220" s="378"/>
      <c r="O220" s="378"/>
      <c r="P220" s="378"/>
      <c r="Q220" s="378"/>
      <c r="R220" s="378"/>
      <c r="S220" s="378"/>
      <c r="T220" s="378"/>
      <c r="U220" s="378"/>
      <c r="V220" s="378"/>
      <c r="W220" s="378"/>
      <c r="X220" s="378"/>
      <c r="Y220" s="378"/>
      <c r="Z220" s="378"/>
    </row>
    <row r="221" spans="1:26" ht="18">
      <c r="A221" s="378"/>
      <c r="B221" s="378"/>
      <c r="C221" s="378"/>
      <c r="D221" s="384"/>
      <c r="E221" s="378"/>
      <c r="F221" s="378"/>
      <c r="G221" s="378"/>
      <c r="H221" s="378"/>
      <c r="I221" s="378"/>
      <c r="J221" s="378"/>
      <c r="K221" s="378"/>
      <c r="L221" s="378"/>
      <c r="M221" s="378"/>
      <c r="N221" s="378"/>
      <c r="O221" s="378"/>
      <c r="P221" s="378"/>
      <c r="Q221" s="378"/>
      <c r="R221" s="378"/>
      <c r="S221" s="378"/>
      <c r="T221" s="378"/>
      <c r="U221" s="378"/>
      <c r="V221" s="378"/>
      <c r="W221" s="378"/>
      <c r="X221" s="378"/>
      <c r="Y221" s="378"/>
      <c r="Z221" s="378"/>
    </row>
    <row r="222" spans="1:26" ht="18">
      <c r="A222" s="378"/>
      <c r="B222" s="378"/>
      <c r="C222" s="378"/>
      <c r="D222" s="384"/>
      <c r="E222" s="378"/>
      <c r="F222" s="378"/>
      <c r="G222" s="378"/>
      <c r="H222" s="378"/>
      <c r="I222" s="378"/>
      <c r="J222" s="378"/>
      <c r="K222" s="378"/>
      <c r="L222" s="378"/>
      <c r="M222" s="378"/>
      <c r="N222" s="378"/>
      <c r="O222" s="378"/>
      <c r="P222" s="378"/>
      <c r="Q222" s="378"/>
      <c r="R222" s="378"/>
      <c r="S222" s="378"/>
      <c r="T222" s="378"/>
      <c r="U222" s="378"/>
      <c r="V222" s="378"/>
      <c r="W222" s="378"/>
      <c r="X222" s="378"/>
      <c r="Y222" s="378"/>
      <c r="Z222" s="378"/>
    </row>
    <row r="223" spans="1:26" ht="18">
      <c r="A223" s="378"/>
      <c r="B223" s="378"/>
      <c r="C223" s="378"/>
      <c r="D223" s="384"/>
      <c r="E223" s="378"/>
      <c r="F223" s="378"/>
      <c r="G223" s="378"/>
      <c r="H223" s="378"/>
      <c r="I223" s="378"/>
      <c r="J223" s="378"/>
      <c r="K223" s="378"/>
      <c r="L223" s="378"/>
      <c r="M223" s="378"/>
      <c r="N223" s="378"/>
      <c r="O223" s="378"/>
      <c r="P223" s="378"/>
      <c r="Q223" s="378"/>
      <c r="R223" s="378"/>
      <c r="S223" s="378"/>
      <c r="T223" s="378"/>
      <c r="U223" s="378"/>
      <c r="V223" s="378"/>
      <c r="W223" s="378"/>
      <c r="X223" s="378"/>
      <c r="Y223" s="378"/>
      <c r="Z223" s="378"/>
    </row>
    <row r="224" spans="1:26" ht="18">
      <c r="A224" s="378"/>
      <c r="B224" s="378"/>
      <c r="C224" s="378"/>
      <c r="D224" s="384"/>
      <c r="E224" s="378"/>
      <c r="F224" s="378"/>
      <c r="G224" s="378"/>
      <c r="H224" s="378"/>
      <c r="I224" s="378"/>
      <c r="J224" s="378"/>
      <c r="K224" s="378"/>
      <c r="L224" s="378"/>
      <c r="M224" s="378"/>
      <c r="N224" s="378"/>
      <c r="O224" s="378"/>
      <c r="P224" s="378"/>
      <c r="Q224" s="378"/>
      <c r="R224" s="378"/>
      <c r="S224" s="378"/>
      <c r="T224" s="378"/>
      <c r="U224" s="378"/>
      <c r="V224" s="378"/>
      <c r="W224" s="378"/>
      <c r="X224" s="378"/>
      <c r="Y224" s="378"/>
      <c r="Z224" s="378"/>
    </row>
    <row r="225" spans="1:26" ht="18">
      <c r="A225" s="378"/>
      <c r="B225" s="378"/>
      <c r="C225" s="378"/>
      <c r="D225" s="384"/>
      <c r="E225" s="378"/>
      <c r="F225" s="378"/>
      <c r="G225" s="378"/>
      <c r="H225" s="378"/>
      <c r="I225" s="378"/>
      <c r="J225" s="378"/>
      <c r="K225" s="378"/>
      <c r="L225" s="378"/>
      <c r="M225" s="378"/>
      <c r="N225" s="378"/>
      <c r="O225" s="378"/>
      <c r="P225" s="378"/>
      <c r="Q225" s="378"/>
      <c r="R225" s="378"/>
      <c r="S225" s="378"/>
      <c r="T225" s="378"/>
      <c r="U225" s="378"/>
      <c r="V225" s="378"/>
      <c r="W225" s="378"/>
      <c r="X225" s="378"/>
      <c r="Y225" s="378"/>
      <c r="Z225" s="378"/>
    </row>
    <row r="226" spans="1:26" ht="18">
      <c r="A226" s="378"/>
      <c r="B226" s="378"/>
      <c r="C226" s="378"/>
      <c r="D226" s="384"/>
      <c r="E226" s="378"/>
      <c r="F226" s="378"/>
      <c r="G226" s="378"/>
      <c r="H226" s="378"/>
      <c r="I226" s="378"/>
      <c r="J226" s="378"/>
      <c r="K226" s="378"/>
      <c r="L226" s="378"/>
      <c r="M226" s="378"/>
      <c r="N226" s="378"/>
      <c r="O226" s="378"/>
      <c r="P226" s="378"/>
      <c r="Q226" s="378"/>
      <c r="R226" s="378"/>
      <c r="S226" s="378"/>
      <c r="T226" s="378"/>
      <c r="U226" s="378"/>
      <c r="V226" s="378"/>
      <c r="W226" s="378"/>
      <c r="X226" s="378"/>
      <c r="Y226" s="378"/>
      <c r="Z226" s="378"/>
    </row>
    <row r="227" spans="1:26" ht="18">
      <c r="A227" s="378"/>
      <c r="B227" s="378"/>
      <c r="C227" s="378"/>
      <c r="D227" s="384"/>
      <c r="E227" s="378"/>
      <c r="F227" s="378"/>
      <c r="G227" s="378"/>
      <c r="H227" s="378"/>
      <c r="I227" s="378"/>
      <c r="J227" s="378"/>
      <c r="K227" s="378"/>
      <c r="L227" s="378"/>
      <c r="M227" s="378"/>
      <c r="N227" s="378"/>
      <c r="O227" s="378"/>
      <c r="P227" s="378"/>
      <c r="Q227" s="378"/>
      <c r="R227" s="378"/>
      <c r="S227" s="378"/>
      <c r="T227" s="378"/>
      <c r="U227" s="378"/>
      <c r="V227" s="378"/>
      <c r="W227" s="378"/>
      <c r="X227" s="378"/>
      <c r="Y227" s="378"/>
      <c r="Z227" s="378"/>
    </row>
    <row r="228" spans="1:26" ht="18">
      <c r="A228" s="378"/>
      <c r="B228" s="378"/>
      <c r="C228" s="378"/>
      <c r="D228" s="384"/>
      <c r="E228" s="378"/>
      <c r="F228" s="378"/>
      <c r="G228" s="378"/>
      <c r="H228" s="378"/>
      <c r="I228" s="378"/>
      <c r="J228" s="378"/>
      <c r="K228" s="378"/>
      <c r="L228" s="378"/>
      <c r="M228" s="378"/>
      <c r="N228" s="378"/>
      <c r="O228" s="378"/>
      <c r="P228" s="378"/>
      <c r="Q228" s="378"/>
      <c r="R228" s="378"/>
      <c r="S228" s="378"/>
      <c r="T228" s="378"/>
      <c r="U228" s="378"/>
      <c r="V228" s="378"/>
      <c r="W228" s="378"/>
      <c r="X228" s="378"/>
      <c r="Y228" s="378"/>
      <c r="Z228" s="378"/>
    </row>
    <row r="229" spans="1:26" ht="18">
      <c r="A229" s="378"/>
      <c r="B229" s="378"/>
      <c r="C229" s="378"/>
      <c r="D229" s="384"/>
      <c r="E229" s="378"/>
      <c r="F229" s="378"/>
      <c r="G229" s="378"/>
      <c r="H229" s="378"/>
      <c r="I229" s="378"/>
      <c r="J229" s="378"/>
      <c r="K229" s="378"/>
      <c r="L229" s="378"/>
      <c r="M229" s="378"/>
      <c r="N229" s="378"/>
      <c r="O229" s="378"/>
      <c r="P229" s="378"/>
      <c r="Q229" s="378"/>
      <c r="R229" s="378"/>
      <c r="S229" s="378"/>
      <c r="T229" s="378"/>
      <c r="U229" s="378"/>
      <c r="V229" s="378"/>
      <c r="W229" s="378"/>
      <c r="X229" s="378"/>
      <c r="Y229" s="378"/>
      <c r="Z229" s="378"/>
    </row>
    <row r="230" spans="1:26" ht="18">
      <c r="A230" s="378"/>
      <c r="B230" s="378"/>
      <c r="C230" s="378"/>
      <c r="D230" s="384"/>
      <c r="E230" s="378"/>
      <c r="F230" s="378"/>
      <c r="G230" s="378"/>
      <c r="H230" s="378"/>
      <c r="I230" s="378"/>
      <c r="J230" s="378"/>
      <c r="K230" s="378"/>
      <c r="L230" s="378"/>
      <c r="M230" s="378"/>
      <c r="N230" s="378"/>
      <c r="O230" s="378"/>
      <c r="P230" s="378"/>
      <c r="Q230" s="378"/>
      <c r="R230" s="378"/>
      <c r="S230" s="378"/>
      <c r="T230" s="378"/>
      <c r="U230" s="378"/>
      <c r="V230" s="378"/>
      <c r="W230" s="378"/>
      <c r="X230" s="378"/>
      <c r="Y230" s="378"/>
      <c r="Z230" s="378"/>
    </row>
    <row r="231" spans="1:26" ht="18">
      <c r="A231" s="378"/>
      <c r="B231" s="378"/>
      <c r="C231" s="378"/>
      <c r="D231" s="384"/>
      <c r="E231" s="378"/>
      <c r="F231" s="378"/>
      <c r="G231" s="378"/>
      <c r="H231" s="378"/>
      <c r="I231" s="378"/>
      <c r="J231" s="378"/>
      <c r="K231" s="378"/>
      <c r="L231" s="378"/>
      <c r="M231" s="378"/>
      <c r="N231" s="378"/>
      <c r="O231" s="378"/>
      <c r="P231" s="378"/>
      <c r="Q231" s="378"/>
      <c r="R231" s="378"/>
      <c r="S231" s="378"/>
      <c r="T231" s="378"/>
      <c r="U231" s="378"/>
      <c r="V231" s="378"/>
      <c r="W231" s="378"/>
      <c r="X231" s="378"/>
      <c r="Y231" s="378"/>
      <c r="Z231" s="378"/>
    </row>
    <row r="232" spans="1:26" ht="18">
      <c r="A232" s="378"/>
      <c r="B232" s="378"/>
      <c r="C232" s="378"/>
      <c r="D232" s="384"/>
      <c r="E232" s="378"/>
      <c r="F232" s="378"/>
      <c r="G232" s="378"/>
      <c r="H232" s="378"/>
      <c r="I232" s="378"/>
      <c r="J232" s="378"/>
      <c r="K232" s="378"/>
      <c r="L232" s="378"/>
      <c r="M232" s="378"/>
      <c r="N232" s="378"/>
      <c r="O232" s="378"/>
      <c r="P232" s="378"/>
      <c r="Q232" s="378"/>
      <c r="R232" s="378"/>
      <c r="S232" s="378"/>
      <c r="T232" s="378"/>
      <c r="U232" s="378"/>
      <c r="V232" s="378"/>
      <c r="W232" s="378"/>
      <c r="X232" s="378"/>
      <c r="Y232" s="378"/>
      <c r="Z232" s="378"/>
    </row>
    <row r="233" spans="1:26" ht="18">
      <c r="A233" s="378"/>
      <c r="B233" s="378"/>
      <c r="C233" s="378"/>
      <c r="D233" s="384"/>
      <c r="E233" s="378"/>
      <c r="F233" s="378"/>
      <c r="G233" s="378"/>
      <c r="H233" s="378"/>
      <c r="I233" s="378"/>
      <c r="J233" s="378"/>
      <c r="K233" s="378"/>
      <c r="L233" s="378"/>
      <c r="M233" s="378"/>
      <c r="N233" s="378"/>
      <c r="O233" s="378"/>
      <c r="P233" s="378"/>
      <c r="Q233" s="378"/>
      <c r="R233" s="378"/>
      <c r="S233" s="378"/>
      <c r="T233" s="378"/>
      <c r="U233" s="378"/>
      <c r="V233" s="378"/>
      <c r="W233" s="378"/>
      <c r="X233" s="378"/>
      <c r="Y233" s="378"/>
      <c r="Z233" s="378"/>
    </row>
    <row r="234" spans="1:26" ht="18">
      <c r="A234" s="378"/>
      <c r="B234" s="378"/>
      <c r="C234" s="378"/>
      <c r="D234" s="384"/>
      <c r="E234" s="378"/>
      <c r="F234" s="378"/>
      <c r="G234" s="378"/>
      <c r="H234" s="378"/>
      <c r="I234" s="378"/>
      <c r="J234" s="378"/>
      <c r="K234" s="378"/>
      <c r="L234" s="378"/>
      <c r="M234" s="378"/>
      <c r="N234" s="378"/>
      <c r="O234" s="378"/>
      <c r="P234" s="378"/>
      <c r="Q234" s="378"/>
      <c r="R234" s="378"/>
      <c r="S234" s="378"/>
      <c r="T234" s="378"/>
      <c r="U234" s="378"/>
      <c r="V234" s="378"/>
      <c r="W234" s="378"/>
      <c r="X234" s="378"/>
      <c r="Y234" s="378"/>
      <c r="Z234" s="378"/>
    </row>
    <row r="235" spans="1:26" ht="18">
      <c r="A235" s="378"/>
      <c r="B235" s="378"/>
      <c r="C235" s="378"/>
      <c r="D235" s="384"/>
      <c r="E235" s="378"/>
      <c r="F235" s="378"/>
      <c r="G235" s="378"/>
      <c r="H235" s="378"/>
      <c r="I235" s="378"/>
      <c r="J235" s="378"/>
      <c r="K235" s="378"/>
      <c r="L235" s="378"/>
      <c r="M235" s="378"/>
      <c r="N235" s="378"/>
      <c r="O235" s="378"/>
      <c r="P235" s="378"/>
      <c r="Q235" s="378"/>
      <c r="R235" s="378"/>
      <c r="S235" s="378"/>
      <c r="T235" s="378"/>
      <c r="U235" s="378"/>
      <c r="V235" s="378"/>
      <c r="W235" s="378"/>
      <c r="X235" s="378"/>
      <c r="Y235" s="378"/>
      <c r="Z235" s="378"/>
    </row>
    <row r="236" spans="1:26" ht="18">
      <c r="A236" s="378"/>
      <c r="B236" s="378"/>
      <c r="C236" s="378"/>
      <c r="D236" s="384"/>
      <c r="E236" s="378"/>
      <c r="F236" s="378"/>
      <c r="G236" s="378"/>
      <c r="H236" s="378"/>
      <c r="I236" s="378"/>
      <c r="J236" s="378"/>
      <c r="K236" s="378"/>
      <c r="L236" s="378"/>
      <c r="M236" s="378"/>
      <c r="N236" s="378"/>
      <c r="O236" s="378"/>
      <c r="P236" s="378"/>
      <c r="Q236" s="378"/>
      <c r="R236" s="378"/>
      <c r="S236" s="378"/>
      <c r="T236" s="378"/>
      <c r="U236" s="378"/>
      <c r="V236" s="378"/>
      <c r="W236" s="378"/>
      <c r="X236" s="378"/>
      <c r="Y236" s="378"/>
      <c r="Z236" s="378"/>
    </row>
    <row r="237" spans="1:26" ht="18">
      <c r="A237" s="378"/>
      <c r="B237" s="378"/>
      <c r="C237" s="378"/>
      <c r="D237" s="384"/>
      <c r="E237" s="378"/>
      <c r="F237" s="378"/>
      <c r="G237" s="378"/>
      <c r="H237" s="378"/>
      <c r="I237" s="378"/>
      <c r="J237" s="378"/>
      <c r="K237" s="378"/>
      <c r="L237" s="378"/>
      <c r="M237" s="378"/>
      <c r="N237" s="378"/>
      <c r="O237" s="378"/>
      <c r="P237" s="378"/>
      <c r="Q237" s="378"/>
      <c r="R237" s="378"/>
      <c r="S237" s="378"/>
      <c r="T237" s="378"/>
      <c r="U237" s="378"/>
      <c r="V237" s="378"/>
      <c r="W237" s="378"/>
      <c r="X237" s="378"/>
      <c r="Y237" s="378"/>
      <c r="Z237" s="378"/>
    </row>
    <row r="238" spans="1:26" ht="18">
      <c r="A238" s="378"/>
      <c r="B238" s="378"/>
      <c r="C238" s="378"/>
      <c r="D238" s="384"/>
      <c r="E238" s="378"/>
      <c r="F238" s="378"/>
      <c r="G238" s="378"/>
      <c r="H238" s="378"/>
      <c r="I238" s="378"/>
      <c r="J238" s="378"/>
      <c r="K238" s="378"/>
      <c r="L238" s="378"/>
      <c r="M238" s="378"/>
      <c r="N238" s="378"/>
      <c r="O238" s="378"/>
      <c r="P238" s="378"/>
      <c r="Q238" s="378"/>
      <c r="R238" s="378"/>
      <c r="S238" s="378"/>
      <c r="T238" s="378"/>
      <c r="U238" s="378"/>
      <c r="V238" s="378"/>
      <c r="W238" s="378"/>
      <c r="X238" s="378"/>
      <c r="Y238" s="378"/>
      <c r="Z238" s="378"/>
    </row>
    <row r="239" spans="1:26" ht="18">
      <c r="A239" s="378"/>
      <c r="B239" s="378"/>
      <c r="C239" s="378"/>
      <c r="D239" s="384"/>
      <c r="E239" s="378"/>
      <c r="F239" s="378"/>
      <c r="G239" s="378"/>
      <c r="H239" s="378"/>
      <c r="I239" s="378"/>
      <c r="J239" s="378"/>
      <c r="K239" s="378"/>
      <c r="L239" s="378"/>
      <c r="M239" s="378"/>
      <c r="N239" s="378"/>
      <c r="O239" s="378"/>
      <c r="P239" s="378"/>
      <c r="Q239" s="378"/>
      <c r="R239" s="378"/>
      <c r="S239" s="378"/>
      <c r="T239" s="378"/>
      <c r="U239" s="378"/>
      <c r="V239" s="378"/>
      <c r="W239" s="378"/>
      <c r="X239" s="378"/>
      <c r="Y239" s="378"/>
      <c r="Z239" s="378"/>
    </row>
    <row r="240" spans="1:26" ht="18">
      <c r="A240" s="378"/>
      <c r="B240" s="378"/>
      <c r="C240" s="378"/>
      <c r="D240" s="384"/>
      <c r="E240" s="378"/>
      <c r="F240" s="378"/>
      <c r="G240" s="378"/>
      <c r="H240" s="378"/>
      <c r="I240" s="378"/>
      <c r="J240" s="378"/>
      <c r="K240" s="378"/>
      <c r="L240" s="378"/>
      <c r="M240" s="378"/>
      <c r="N240" s="378"/>
      <c r="O240" s="378"/>
      <c r="P240" s="378"/>
      <c r="Q240" s="378"/>
      <c r="R240" s="378"/>
      <c r="S240" s="378"/>
      <c r="T240" s="378"/>
      <c r="U240" s="378"/>
      <c r="V240" s="378"/>
      <c r="W240" s="378"/>
      <c r="X240" s="378"/>
      <c r="Y240" s="378"/>
      <c r="Z240" s="378"/>
    </row>
    <row r="241" spans="1:26" ht="18">
      <c r="A241" s="378"/>
      <c r="B241" s="378"/>
      <c r="C241" s="378"/>
      <c r="D241" s="384"/>
      <c r="E241" s="378"/>
      <c r="F241" s="378"/>
      <c r="G241" s="378"/>
      <c r="H241" s="378"/>
      <c r="I241" s="378"/>
      <c r="J241" s="378"/>
      <c r="K241" s="378"/>
      <c r="L241" s="378"/>
      <c r="M241" s="378"/>
      <c r="N241" s="378"/>
      <c r="O241" s="378"/>
      <c r="P241" s="378"/>
      <c r="Q241" s="378"/>
      <c r="R241" s="378"/>
      <c r="S241" s="378"/>
      <c r="T241" s="378"/>
      <c r="U241" s="378"/>
      <c r="V241" s="378"/>
      <c r="W241" s="378"/>
      <c r="X241" s="378"/>
      <c r="Y241" s="378"/>
      <c r="Z241" s="378"/>
    </row>
    <row r="242" spans="1:26" ht="18">
      <c r="A242" s="378"/>
      <c r="B242" s="378"/>
      <c r="C242" s="378"/>
      <c r="D242" s="384"/>
      <c r="E242" s="378"/>
      <c r="F242" s="378"/>
      <c r="G242" s="378"/>
      <c r="H242" s="378"/>
      <c r="I242" s="378"/>
      <c r="J242" s="378"/>
      <c r="K242" s="378"/>
      <c r="L242" s="378"/>
      <c r="M242" s="378"/>
      <c r="N242" s="378"/>
      <c r="O242" s="378"/>
      <c r="P242" s="378"/>
      <c r="Q242" s="378"/>
      <c r="R242" s="378"/>
      <c r="S242" s="378"/>
      <c r="T242" s="378"/>
      <c r="U242" s="378"/>
      <c r="V242" s="378"/>
      <c r="W242" s="378"/>
      <c r="X242" s="378"/>
      <c r="Y242" s="378"/>
      <c r="Z242" s="378"/>
    </row>
    <row r="243" spans="1:26" ht="18">
      <c r="A243" s="378"/>
      <c r="B243" s="378"/>
      <c r="C243" s="378"/>
      <c r="D243" s="384"/>
      <c r="E243" s="378"/>
      <c r="F243" s="378"/>
      <c r="G243" s="378"/>
      <c r="H243" s="378"/>
      <c r="I243" s="378"/>
      <c r="J243" s="378"/>
      <c r="K243" s="378"/>
      <c r="L243" s="378"/>
      <c r="M243" s="378"/>
      <c r="N243" s="378"/>
      <c r="O243" s="378"/>
      <c r="P243" s="378"/>
      <c r="Q243" s="378"/>
      <c r="R243" s="378"/>
      <c r="S243" s="378"/>
      <c r="T243" s="378"/>
      <c r="U243" s="378"/>
      <c r="V243" s="378"/>
      <c r="W243" s="378"/>
      <c r="X243" s="378"/>
      <c r="Y243" s="378"/>
      <c r="Z243" s="378"/>
    </row>
    <row r="244" spans="1:26" ht="18">
      <c r="A244" s="378"/>
      <c r="B244" s="378"/>
      <c r="C244" s="378"/>
      <c r="D244" s="384"/>
      <c r="E244" s="378"/>
      <c r="F244" s="378"/>
      <c r="G244" s="378"/>
      <c r="H244" s="378"/>
      <c r="I244" s="378"/>
      <c r="J244" s="378"/>
      <c r="K244" s="378"/>
      <c r="L244" s="378"/>
      <c r="M244" s="378"/>
      <c r="N244" s="378"/>
      <c r="O244" s="378"/>
      <c r="P244" s="378"/>
      <c r="Q244" s="378"/>
      <c r="R244" s="378"/>
      <c r="S244" s="378"/>
      <c r="T244" s="378"/>
      <c r="U244" s="378"/>
      <c r="V244" s="378"/>
      <c r="W244" s="378"/>
      <c r="X244" s="378"/>
      <c r="Y244" s="378"/>
      <c r="Z244" s="378"/>
    </row>
    <row r="245" spans="1:26" ht="18">
      <c r="A245" s="378"/>
      <c r="B245" s="378"/>
      <c r="C245" s="378"/>
      <c r="D245" s="384"/>
      <c r="E245" s="378"/>
      <c r="F245" s="378"/>
      <c r="G245" s="378"/>
      <c r="H245" s="378"/>
      <c r="I245" s="378"/>
      <c r="J245" s="378"/>
      <c r="K245" s="378"/>
      <c r="L245" s="378"/>
      <c r="M245" s="378"/>
      <c r="N245" s="378"/>
      <c r="O245" s="378"/>
      <c r="P245" s="378"/>
      <c r="Q245" s="378"/>
      <c r="R245" s="378"/>
      <c r="S245" s="378"/>
      <c r="T245" s="378"/>
      <c r="U245" s="378"/>
      <c r="V245" s="378"/>
      <c r="W245" s="378"/>
      <c r="X245" s="378"/>
      <c r="Y245" s="378"/>
      <c r="Z245" s="378"/>
    </row>
    <row r="246" spans="1:26" ht="18">
      <c r="A246" s="378"/>
      <c r="B246" s="378"/>
      <c r="C246" s="378"/>
      <c r="D246" s="384"/>
      <c r="E246" s="378"/>
      <c r="F246" s="378"/>
      <c r="G246" s="378"/>
      <c r="H246" s="378"/>
      <c r="I246" s="378"/>
      <c r="J246" s="378"/>
      <c r="K246" s="378"/>
      <c r="L246" s="378"/>
      <c r="M246" s="378"/>
      <c r="N246" s="378"/>
      <c r="O246" s="378"/>
      <c r="P246" s="378"/>
      <c r="Q246" s="378"/>
      <c r="R246" s="378"/>
      <c r="S246" s="378"/>
      <c r="T246" s="378"/>
      <c r="U246" s="378"/>
      <c r="V246" s="378"/>
      <c r="W246" s="378"/>
      <c r="X246" s="378"/>
      <c r="Y246" s="378"/>
      <c r="Z246" s="378"/>
    </row>
    <row r="247" spans="1:26" ht="18">
      <c r="A247" s="378"/>
      <c r="B247" s="378"/>
      <c r="C247" s="378"/>
      <c r="D247" s="384"/>
      <c r="E247" s="378"/>
      <c r="F247" s="378"/>
      <c r="G247" s="378"/>
      <c r="H247" s="378"/>
      <c r="I247" s="378"/>
      <c r="J247" s="378"/>
      <c r="K247" s="378"/>
      <c r="L247" s="378"/>
      <c r="M247" s="378"/>
      <c r="N247" s="378"/>
      <c r="O247" s="378"/>
      <c r="P247" s="378"/>
      <c r="Q247" s="378"/>
      <c r="R247" s="378"/>
      <c r="S247" s="378"/>
      <c r="T247" s="378"/>
      <c r="U247" s="378"/>
      <c r="V247" s="378"/>
      <c r="W247" s="378"/>
      <c r="X247" s="378"/>
      <c r="Y247" s="378"/>
      <c r="Z247" s="378"/>
    </row>
    <row r="248" spans="1:26" ht="18">
      <c r="A248" s="378"/>
      <c r="B248" s="378"/>
      <c r="C248" s="378"/>
      <c r="D248" s="384"/>
      <c r="E248" s="378"/>
      <c r="F248" s="378"/>
      <c r="G248" s="378"/>
      <c r="H248" s="378"/>
      <c r="I248" s="378"/>
      <c r="J248" s="378"/>
      <c r="K248" s="378"/>
      <c r="L248" s="378"/>
      <c r="M248" s="378"/>
      <c r="N248" s="378"/>
      <c r="O248" s="378"/>
      <c r="P248" s="378"/>
      <c r="Q248" s="378"/>
      <c r="R248" s="378"/>
      <c r="S248" s="378"/>
      <c r="T248" s="378"/>
      <c r="U248" s="378"/>
      <c r="V248" s="378"/>
      <c r="W248" s="378"/>
      <c r="X248" s="378"/>
      <c r="Y248" s="378"/>
      <c r="Z248" s="378"/>
    </row>
    <row r="249" spans="1:26" ht="18">
      <c r="A249" s="378"/>
      <c r="B249" s="378"/>
      <c r="C249" s="378"/>
      <c r="D249" s="384"/>
      <c r="E249" s="378"/>
      <c r="F249" s="378"/>
      <c r="G249" s="378"/>
      <c r="H249" s="378"/>
      <c r="I249" s="378"/>
      <c r="J249" s="378"/>
      <c r="K249" s="378"/>
      <c r="L249" s="378"/>
      <c r="M249" s="378"/>
      <c r="N249" s="378"/>
      <c r="O249" s="378"/>
      <c r="P249" s="378"/>
      <c r="Q249" s="378"/>
      <c r="R249" s="378"/>
      <c r="S249" s="378"/>
      <c r="T249" s="378"/>
      <c r="U249" s="378"/>
      <c r="V249" s="378"/>
      <c r="W249" s="378"/>
      <c r="X249" s="378"/>
      <c r="Y249" s="378"/>
      <c r="Z249" s="378"/>
    </row>
    <row r="250" spans="1:26" ht="18">
      <c r="A250" s="378"/>
      <c r="B250" s="378"/>
      <c r="C250" s="378"/>
      <c r="D250" s="384"/>
      <c r="E250" s="378"/>
      <c r="F250" s="378"/>
      <c r="G250" s="378"/>
      <c r="H250" s="378"/>
      <c r="I250" s="378"/>
      <c r="J250" s="378"/>
      <c r="K250" s="378"/>
      <c r="L250" s="378"/>
      <c r="M250" s="378"/>
      <c r="N250" s="378"/>
      <c r="O250" s="378"/>
      <c r="P250" s="378"/>
      <c r="Q250" s="378"/>
      <c r="R250" s="378"/>
      <c r="S250" s="378"/>
      <c r="T250" s="378"/>
      <c r="U250" s="378"/>
      <c r="V250" s="378"/>
      <c r="W250" s="378"/>
      <c r="X250" s="378"/>
      <c r="Y250" s="378"/>
      <c r="Z250" s="378"/>
    </row>
    <row r="251" spans="1:26" ht="18">
      <c r="A251" s="378"/>
      <c r="B251" s="378"/>
      <c r="C251" s="378"/>
      <c r="D251" s="384"/>
      <c r="E251" s="378"/>
      <c r="F251" s="378"/>
      <c r="G251" s="378"/>
      <c r="H251" s="378"/>
      <c r="I251" s="378"/>
      <c r="J251" s="378"/>
      <c r="K251" s="378"/>
      <c r="L251" s="378"/>
      <c r="M251" s="378"/>
      <c r="N251" s="378"/>
      <c r="O251" s="378"/>
      <c r="P251" s="378"/>
      <c r="Q251" s="378"/>
      <c r="R251" s="378"/>
      <c r="S251" s="378"/>
      <c r="T251" s="378"/>
      <c r="U251" s="378"/>
      <c r="V251" s="378"/>
      <c r="W251" s="378"/>
      <c r="X251" s="378"/>
      <c r="Y251" s="378"/>
      <c r="Z251" s="378"/>
    </row>
    <row r="252" spans="1:26" ht="18">
      <c r="A252" s="378"/>
      <c r="B252" s="378"/>
      <c r="C252" s="378"/>
      <c r="D252" s="384"/>
      <c r="E252" s="378"/>
      <c r="F252" s="378"/>
      <c r="G252" s="378"/>
      <c r="H252" s="378"/>
      <c r="I252" s="378"/>
      <c r="J252" s="378"/>
      <c r="K252" s="378"/>
      <c r="L252" s="378"/>
      <c r="M252" s="378"/>
      <c r="N252" s="378"/>
      <c r="O252" s="378"/>
      <c r="P252" s="378"/>
      <c r="Q252" s="378"/>
      <c r="R252" s="378"/>
      <c r="S252" s="378"/>
      <c r="T252" s="378"/>
      <c r="U252" s="378"/>
      <c r="V252" s="378"/>
      <c r="W252" s="378"/>
      <c r="X252" s="378"/>
      <c r="Y252" s="378"/>
      <c r="Z252" s="378"/>
    </row>
    <row r="253" spans="1:26" ht="18">
      <c r="A253" s="378"/>
      <c r="B253" s="378"/>
      <c r="C253" s="378"/>
      <c r="D253" s="384"/>
      <c r="E253" s="378"/>
      <c r="F253" s="378"/>
      <c r="G253" s="378"/>
      <c r="H253" s="378"/>
      <c r="I253" s="378"/>
      <c r="J253" s="378"/>
      <c r="K253" s="378"/>
      <c r="L253" s="378"/>
      <c r="M253" s="378"/>
      <c r="N253" s="378"/>
      <c r="O253" s="378"/>
      <c r="P253" s="378"/>
      <c r="Q253" s="378"/>
      <c r="R253" s="378"/>
      <c r="S253" s="378"/>
      <c r="T253" s="378"/>
      <c r="U253" s="378"/>
      <c r="V253" s="378"/>
      <c r="W253" s="378"/>
      <c r="X253" s="378"/>
      <c r="Y253" s="378"/>
      <c r="Z253" s="378"/>
    </row>
    <row r="254" spans="1:26" ht="18">
      <c r="A254" s="378"/>
      <c r="B254" s="378"/>
      <c r="C254" s="378"/>
      <c r="D254" s="384"/>
      <c r="E254" s="378"/>
      <c r="F254" s="378"/>
      <c r="G254" s="378"/>
      <c r="H254" s="378"/>
      <c r="I254" s="378"/>
      <c r="J254" s="378"/>
      <c r="K254" s="378"/>
      <c r="L254" s="378"/>
      <c r="M254" s="378"/>
      <c r="N254" s="378"/>
      <c r="O254" s="378"/>
      <c r="P254" s="378"/>
      <c r="Q254" s="378"/>
      <c r="R254" s="378"/>
      <c r="S254" s="378"/>
      <c r="T254" s="378"/>
      <c r="U254" s="378"/>
      <c r="V254" s="378"/>
      <c r="W254" s="378"/>
      <c r="X254" s="378"/>
      <c r="Y254" s="378"/>
      <c r="Z254" s="378"/>
    </row>
    <row r="255" spans="1:26" ht="18">
      <c r="A255" s="378"/>
      <c r="B255" s="378"/>
      <c r="C255" s="378"/>
      <c r="D255" s="384"/>
      <c r="E255" s="378"/>
      <c r="F255" s="378"/>
      <c r="G255" s="378"/>
      <c r="H255" s="378"/>
      <c r="I255" s="378"/>
      <c r="J255" s="378"/>
      <c r="K255" s="378"/>
      <c r="L255" s="378"/>
      <c r="M255" s="378"/>
      <c r="N255" s="378"/>
      <c r="O255" s="378"/>
      <c r="P255" s="378"/>
      <c r="Q255" s="378"/>
      <c r="R255" s="378"/>
      <c r="S255" s="378"/>
      <c r="T255" s="378"/>
      <c r="U255" s="378"/>
      <c r="V255" s="378"/>
      <c r="W255" s="378"/>
      <c r="X255" s="378"/>
      <c r="Y255" s="378"/>
      <c r="Z255" s="378"/>
    </row>
    <row r="256" spans="1:26" ht="18">
      <c r="A256" s="378"/>
      <c r="B256" s="378"/>
      <c r="C256" s="378"/>
      <c r="D256" s="384"/>
      <c r="E256" s="378"/>
      <c r="F256" s="378"/>
      <c r="G256" s="378"/>
      <c r="H256" s="378"/>
      <c r="I256" s="378"/>
      <c r="J256" s="378"/>
      <c r="K256" s="378"/>
      <c r="L256" s="378"/>
      <c r="M256" s="378"/>
      <c r="N256" s="378"/>
      <c r="O256" s="378"/>
      <c r="P256" s="378"/>
      <c r="Q256" s="378"/>
      <c r="R256" s="378"/>
      <c r="S256" s="378"/>
      <c r="T256" s="378"/>
      <c r="U256" s="378"/>
      <c r="V256" s="378"/>
      <c r="W256" s="378"/>
      <c r="X256" s="378"/>
      <c r="Y256" s="378"/>
      <c r="Z256" s="378"/>
    </row>
    <row r="257" spans="1:26" ht="18">
      <c r="A257" s="378"/>
      <c r="B257" s="378"/>
      <c r="C257" s="378"/>
      <c r="D257" s="384"/>
      <c r="E257" s="378"/>
      <c r="F257" s="378"/>
      <c r="G257" s="378"/>
      <c r="H257" s="378"/>
      <c r="I257" s="378"/>
      <c r="J257" s="378"/>
      <c r="K257" s="378"/>
      <c r="L257" s="378"/>
      <c r="M257" s="378"/>
      <c r="N257" s="378"/>
      <c r="O257" s="378"/>
      <c r="P257" s="378"/>
      <c r="Q257" s="378"/>
      <c r="R257" s="378"/>
      <c r="S257" s="378"/>
      <c r="T257" s="378"/>
      <c r="U257" s="378"/>
      <c r="V257" s="378"/>
      <c r="W257" s="378"/>
      <c r="X257" s="378"/>
      <c r="Y257" s="378"/>
      <c r="Z257" s="378"/>
    </row>
    <row r="258" spans="1:26" ht="18">
      <c r="A258" s="378"/>
      <c r="B258" s="378"/>
      <c r="C258" s="378"/>
      <c r="D258" s="384"/>
      <c r="E258" s="378"/>
      <c r="F258" s="378"/>
      <c r="G258" s="378"/>
      <c r="H258" s="378"/>
      <c r="I258" s="378"/>
      <c r="J258" s="378"/>
      <c r="K258" s="378"/>
      <c r="L258" s="378"/>
      <c r="M258" s="378"/>
      <c r="N258" s="378"/>
      <c r="O258" s="378"/>
      <c r="P258" s="378"/>
      <c r="Q258" s="378"/>
      <c r="R258" s="378"/>
      <c r="S258" s="378"/>
      <c r="T258" s="378"/>
      <c r="U258" s="378"/>
      <c r="V258" s="378"/>
      <c r="W258" s="378"/>
      <c r="X258" s="378"/>
      <c r="Y258" s="378"/>
      <c r="Z258" s="378"/>
    </row>
    <row r="259" spans="1:26" ht="18">
      <c r="A259" s="378"/>
      <c r="B259" s="378"/>
      <c r="C259" s="378"/>
      <c r="D259" s="384"/>
      <c r="E259" s="378"/>
      <c r="F259" s="378"/>
      <c r="G259" s="378"/>
      <c r="H259" s="378"/>
      <c r="I259" s="378"/>
      <c r="J259" s="378"/>
      <c r="K259" s="378"/>
      <c r="L259" s="378"/>
      <c r="M259" s="378"/>
      <c r="N259" s="378"/>
      <c r="O259" s="378"/>
      <c r="P259" s="378"/>
      <c r="Q259" s="378"/>
      <c r="R259" s="378"/>
      <c r="S259" s="378"/>
      <c r="T259" s="378"/>
      <c r="U259" s="378"/>
      <c r="V259" s="378"/>
      <c r="W259" s="378"/>
      <c r="X259" s="378"/>
      <c r="Y259" s="378"/>
      <c r="Z259" s="378"/>
    </row>
    <row r="260" spans="1:26" ht="18">
      <c r="A260" s="378"/>
      <c r="B260" s="378"/>
      <c r="C260" s="378"/>
      <c r="D260" s="384"/>
      <c r="E260" s="378"/>
      <c r="F260" s="378"/>
      <c r="G260" s="378"/>
      <c r="H260" s="378"/>
      <c r="I260" s="378"/>
      <c r="J260" s="378"/>
      <c r="K260" s="378"/>
      <c r="L260" s="378"/>
      <c r="M260" s="378"/>
      <c r="N260" s="378"/>
      <c r="O260" s="378"/>
      <c r="P260" s="378"/>
      <c r="Q260" s="378"/>
      <c r="R260" s="378"/>
      <c r="S260" s="378"/>
      <c r="T260" s="378"/>
      <c r="U260" s="378"/>
      <c r="V260" s="378"/>
      <c r="W260" s="378"/>
      <c r="X260" s="378"/>
      <c r="Y260" s="378"/>
      <c r="Z260" s="378"/>
    </row>
    <row r="261" spans="1:26" ht="18">
      <c r="A261" s="378"/>
      <c r="B261" s="378"/>
      <c r="C261" s="378"/>
      <c r="D261" s="384"/>
      <c r="E261" s="378"/>
      <c r="F261" s="378"/>
      <c r="G261" s="378"/>
      <c r="H261" s="378"/>
      <c r="I261" s="378"/>
      <c r="J261" s="378"/>
      <c r="K261" s="378"/>
      <c r="L261" s="378"/>
      <c r="M261" s="378"/>
      <c r="N261" s="378"/>
      <c r="O261" s="378"/>
      <c r="P261" s="378"/>
      <c r="Q261" s="378"/>
      <c r="R261" s="378"/>
      <c r="S261" s="378"/>
      <c r="T261" s="378"/>
      <c r="U261" s="378"/>
      <c r="V261" s="378"/>
      <c r="W261" s="378"/>
      <c r="X261" s="378"/>
      <c r="Y261" s="378"/>
      <c r="Z261" s="378"/>
    </row>
    <row r="262" spans="1:26" ht="18">
      <c r="A262" s="378"/>
      <c r="B262" s="378"/>
      <c r="C262" s="378"/>
      <c r="D262" s="384"/>
      <c r="E262" s="378"/>
      <c r="F262" s="378"/>
      <c r="G262" s="378"/>
      <c r="H262" s="378"/>
      <c r="I262" s="378"/>
      <c r="J262" s="378"/>
      <c r="K262" s="378"/>
      <c r="L262" s="378"/>
      <c r="M262" s="378"/>
      <c r="N262" s="378"/>
      <c r="O262" s="378"/>
      <c r="P262" s="378"/>
      <c r="Q262" s="378"/>
      <c r="R262" s="378"/>
      <c r="S262" s="378"/>
      <c r="T262" s="378"/>
      <c r="U262" s="378"/>
      <c r="V262" s="378"/>
      <c r="W262" s="378"/>
      <c r="X262" s="378"/>
      <c r="Y262" s="378"/>
      <c r="Z262" s="378"/>
    </row>
    <row r="263" spans="1:26" ht="18">
      <c r="A263" s="378"/>
      <c r="B263" s="378"/>
      <c r="C263" s="378"/>
      <c r="D263" s="384"/>
      <c r="E263" s="378"/>
      <c r="F263" s="378"/>
      <c r="G263" s="378"/>
      <c r="H263" s="378"/>
      <c r="I263" s="378"/>
      <c r="J263" s="378"/>
      <c r="K263" s="378"/>
      <c r="L263" s="378"/>
      <c r="M263" s="378"/>
      <c r="N263" s="378"/>
      <c r="O263" s="378"/>
      <c r="P263" s="378"/>
      <c r="Q263" s="378"/>
      <c r="R263" s="378"/>
      <c r="S263" s="378"/>
      <c r="T263" s="378"/>
      <c r="U263" s="378"/>
      <c r="V263" s="378"/>
      <c r="W263" s="378"/>
      <c r="X263" s="378"/>
      <c r="Y263" s="378"/>
      <c r="Z263" s="378"/>
    </row>
    <row r="264" spans="1:26" ht="18">
      <c r="A264" s="378"/>
      <c r="B264" s="378"/>
      <c r="C264" s="378"/>
      <c r="D264" s="384"/>
      <c r="E264" s="378"/>
      <c r="F264" s="378"/>
      <c r="G264" s="378"/>
      <c r="H264" s="378"/>
      <c r="I264" s="378"/>
      <c r="J264" s="378"/>
      <c r="K264" s="378"/>
      <c r="L264" s="378"/>
      <c r="M264" s="378"/>
      <c r="N264" s="378"/>
      <c r="O264" s="378"/>
      <c r="P264" s="378"/>
      <c r="Q264" s="378"/>
      <c r="R264" s="378"/>
      <c r="S264" s="378"/>
      <c r="T264" s="378"/>
      <c r="U264" s="378"/>
      <c r="V264" s="378"/>
      <c r="W264" s="378"/>
      <c r="X264" s="378"/>
      <c r="Y264" s="378"/>
      <c r="Z264" s="378"/>
    </row>
    <row r="265" spans="1:26" ht="18">
      <c r="A265" s="378"/>
      <c r="B265" s="378"/>
      <c r="C265" s="378"/>
      <c r="D265" s="384"/>
      <c r="E265" s="378"/>
      <c r="F265" s="378"/>
      <c r="G265" s="378"/>
      <c r="H265" s="378"/>
      <c r="I265" s="378"/>
      <c r="J265" s="378"/>
      <c r="K265" s="378"/>
      <c r="L265" s="378"/>
      <c r="M265" s="378"/>
      <c r="N265" s="378"/>
      <c r="O265" s="378"/>
      <c r="P265" s="378"/>
      <c r="Q265" s="378"/>
      <c r="R265" s="378"/>
      <c r="S265" s="378"/>
      <c r="T265" s="378"/>
      <c r="U265" s="378"/>
      <c r="V265" s="378"/>
      <c r="W265" s="378"/>
      <c r="X265" s="378"/>
      <c r="Y265" s="378"/>
      <c r="Z265" s="378"/>
    </row>
    <row r="266" spans="1:26" ht="18">
      <c r="A266" s="378"/>
      <c r="B266" s="378"/>
      <c r="C266" s="378"/>
      <c r="D266" s="384"/>
      <c r="E266" s="378"/>
      <c r="F266" s="378"/>
      <c r="G266" s="378"/>
      <c r="H266" s="378"/>
      <c r="I266" s="378"/>
      <c r="J266" s="378"/>
      <c r="K266" s="378"/>
      <c r="L266" s="378"/>
      <c r="M266" s="378"/>
      <c r="N266" s="378"/>
      <c r="O266" s="378"/>
      <c r="P266" s="378"/>
      <c r="Q266" s="378"/>
      <c r="R266" s="378"/>
      <c r="S266" s="378"/>
      <c r="T266" s="378"/>
      <c r="U266" s="378"/>
      <c r="V266" s="378"/>
      <c r="W266" s="378"/>
      <c r="X266" s="378"/>
      <c r="Y266" s="378"/>
      <c r="Z266" s="378"/>
    </row>
    <row r="267" spans="1:26" ht="18">
      <c r="A267" s="378"/>
      <c r="B267" s="378"/>
      <c r="C267" s="378"/>
      <c r="D267" s="384"/>
      <c r="E267" s="378"/>
      <c r="F267" s="378"/>
      <c r="G267" s="378"/>
      <c r="H267" s="378"/>
      <c r="I267" s="378"/>
      <c r="J267" s="378"/>
      <c r="K267" s="378"/>
      <c r="L267" s="378"/>
      <c r="M267" s="378"/>
      <c r="N267" s="378"/>
      <c r="O267" s="378"/>
      <c r="P267" s="378"/>
      <c r="Q267" s="378"/>
      <c r="R267" s="378"/>
      <c r="S267" s="378"/>
      <c r="T267" s="378"/>
      <c r="U267" s="378"/>
      <c r="V267" s="378"/>
      <c r="W267" s="378"/>
      <c r="X267" s="378"/>
      <c r="Y267" s="378"/>
      <c r="Z267" s="378"/>
    </row>
    <row r="268" spans="1:26" ht="18">
      <c r="A268" s="378"/>
      <c r="B268" s="378"/>
      <c r="C268" s="378"/>
      <c r="D268" s="384"/>
      <c r="E268" s="378"/>
      <c r="F268" s="378"/>
      <c r="G268" s="378"/>
      <c r="H268" s="378"/>
      <c r="I268" s="378"/>
      <c r="J268" s="378"/>
      <c r="K268" s="378"/>
      <c r="L268" s="378"/>
      <c r="M268" s="378"/>
      <c r="N268" s="378"/>
      <c r="O268" s="378"/>
      <c r="P268" s="378"/>
      <c r="Q268" s="378"/>
      <c r="R268" s="378"/>
      <c r="S268" s="378"/>
      <c r="T268" s="378"/>
      <c r="U268" s="378"/>
      <c r="V268" s="378"/>
      <c r="W268" s="378"/>
      <c r="X268" s="378"/>
      <c r="Y268" s="378"/>
      <c r="Z268" s="378"/>
    </row>
    <row r="269" spans="1:26" ht="18">
      <c r="A269" s="378"/>
      <c r="B269" s="378"/>
      <c r="C269" s="378"/>
      <c r="D269" s="384"/>
      <c r="E269" s="378"/>
      <c r="F269" s="378"/>
      <c r="G269" s="378"/>
      <c r="H269" s="378"/>
      <c r="I269" s="378"/>
      <c r="J269" s="378"/>
      <c r="K269" s="378"/>
      <c r="L269" s="378"/>
      <c r="M269" s="378"/>
      <c r="N269" s="378"/>
      <c r="O269" s="378"/>
      <c r="P269" s="378"/>
      <c r="Q269" s="378"/>
      <c r="R269" s="378"/>
      <c r="S269" s="378"/>
      <c r="T269" s="378"/>
      <c r="U269" s="378"/>
      <c r="V269" s="378"/>
      <c r="W269" s="378"/>
      <c r="X269" s="378"/>
      <c r="Y269" s="378"/>
      <c r="Z269" s="378"/>
    </row>
    <row r="270" spans="1:26" ht="18">
      <c r="A270" s="378"/>
      <c r="B270" s="378"/>
      <c r="C270" s="378"/>
      <c r="D270" s="384"/>
      <c r="E270" s="378"/>
      <c r="F270" s="378"/>
      <c r="G270" s="378"/>
      <c r="H270" s="378"/>
      <c r="I270" s="378"/>
      <c r="J270" s="378"/>
      <c r="K270" s="378"/>
      <c r="L270" s="378"/>
      <c r="M270" s="378"/>
      <c r="N270" s="378"/>
      <c r="O270" s="378"/>
      <c r="P270" s="378"/>
      <c r="Q270" s="378"/>
      <c r="R270" s="378"/>
      <c r="S270" s="378"/>
      <c r="T270" s="378"/>
      <c r="U270" s="378"/>
      <c r="V270" s="378"/>
      <c r="W270" s="378"/>
      <c r="X270" s="378"/>
      <c r="Y270" s="378"/>
      <c r="Z270" s="378"/>
    </row>
    <row r="271" spans="1:26" ht="18">
      <c r="A271" s="378"/>
      <c r="B271" s="378"/>
      <c r="C271" s="378"/>
      <c r="D271" s="384"/>
      <c r="E271" s="378"/>
      <c r="F271" s="378"/>
      <c r="G271" s="378"/>
      <c r="H271" s="378"/>
      <c r="I271" s="378"/>
      <c r="J271" s="378"/>
      <c r="K271" s="378"/>
      <c r="L271" s="378"/>
      <c r="M271" s="378"/>
      <c r="N271" s="378"/>
      <c r="O271" s="378"/>
      <c r="P271" s="378"/>
      <c r="Q271" s="378"/>
      <c r="R271" s="378"/>
      <c r="S271" s="378"/>
      <c r="T271" s="378"/>
      <c r="U271" s="378"/>
      <c r="V271" s="378"/>
      <c r="W271" s="378"/>
      <c r="X271" s="378"/>
      <c r="Y271" s="378"/>
      <c r="Z271" s="378"/>
    </row>
    <row r="272" spans="1:26" ht="18">
      <c r="A272" s="378"/>
      <c r="B272" s="378"/>
      <c r="C272" s="378"/>
      <c r="D272" s="384"/>
      <c r="E272" s="378"/>
      <c r="F272" s="378"/>
      <c r="G272" s="378"/>
      <c r="H272" s="378"/>
      <c r="I272" s="378"/>
      <c r="J272" s="378"/>
      <c r="K272" s="378"/>
      <c r="L272" s="378"/>
      <c r="M272" s="378"/>
      <c r="N272" s="378"/>
      <c r="O272" s="378"/>
      <c r="P272" s="378"/>
      <c r="Q272" s="378"/>
      <c r="R272" s="378"/>
      <c r="S272" s="378"/>
      <c r="T272" s="378"/>
      <c r="U272" s="378"/>
      <c r="V272" s="378"/>
      <c r="W272" s="378"/>
      <c r="X272" s="378"/>
      <c r="Y272" s="378"/>
      <c r="Z272" s="378"/>
    </row>
    <row r="273" spans="1:26" ht="18">
      <c r="A273" s="378"/>
      <c r="B273" s="378"/>
      <c r="C273" s="378"/>
      <c r="D273" s="384"/>
      <c r="E273" s="378"/>
      <c r="F273" s="378"/>
      <c r="G273" s="378"/>
      <c r="H273" s="378"/>
      <c r="I273" s="378"/>
      <c r="J273" s="378"/>
      <c r="K273" s="378"/>
      <c r="L273" s="378"/>
      <c r="M273" s="378"/>
      <c r="N273" s="378"/>
      <c r="O273" s="378"/>
      <c r="P273" s="378"/>
      <c r="Q273" s="378"/>
      <c r="R273" s="378"/>
      <c r="S273" s="378"/>
      <c r="T273" s="378"/>
      <c r="U273" s="378"/>
      <c r="V273" s="378"/>
      <c r="W273" s="378"/>
      <c r="X273" s="378"/>
      <c r="Y273" s="378"/>
      <c r="Z273" s="378"/>
    </row>
    <row r="274" spans="1:26" ht="18">
      <c r="A274" s="378"/>
      <c r="B274" s="378"/>
      <c r="C274" s="378"/>
      <c r="D274" s="384"/>
      <c r="E274" s="378"/>
      <c r="F274" s="378"/>
      <c r="G274" s="378"/>
      <c r="H274" s="378"/>
      <c r="I274" s="378"/>
      <c r="J274" s="378"/>
      <c r="K274" s="378"/>
      <c r="L274" s="378"/>
      <c r="M274" s="378"/>
      <c r="N274" s="378"/>
      <c r="O274" s="378"/>
      <c r="P274" s="378"/>
      <c r="Q274" s="378"/>
      <c r="R274" s="378"/>
      <c r="S274" s="378"/>
      <c r="T274" s="378"/>
      <c r="U274" s="378"/>
      <c r="V274" s="378"/>
      <c r="W274" s="378"/>
      <c r="X274" s="378"/>
      <c r="Y274" s="378"/>
      <c r="Z274" s="378"/>
    </row>
    <row r="275" spans="1:26" ht="18">
      <c r="A275" s="378"/>
      <c r="B275" s="378"/>
      <c r="C275" s="378"/>
      <c r="D275" s="384"/>
      <c r="E275" s="378"/>
      <c r="F275" s="378"/>
      <c r="G275" s="378"/>
      <c r="H275" s="378"/>
      <c r="I275" s="378"/>
      <c r="J275" s="378"/>
      <c r="K275" s="378"/>
      <c r="L275" s="378"/>
      <c r="M275" s="378"/>
      <c r="N275" s="378"/>
      <c r="O275" s="378"/>
      <c r="P275" s="378"/>
      <c r="Q275" s="378"/>
      <c r="R275" s="378"/>
      <c r="S275" s="378"/>
      <c r="T275" s="378"/>
      <c r="U275" s="378"/>
      <c r="V275" s="378"/>
      <c r="W275" s="378"/>
      <c r="X275" s="378"/>
      <c r="Y275" s="378"/>
      <c r="Z275" s="378"/>
    </row>
    <row r="276" spans="1:26" ht="18">
      <c r="A276" s="378"/>
      <c r="B276" s="378"/>
      <c r="C276" s="378"/>
      <c r="D276" s="384"/>
      <c r="E276" s="378"/>
      <c r="F276" s="378"/>
      <c r="G276" s="378"/>
      <c r="H276" s="378"/>
      <c r="I276" s="378"/>
      <c r="J276" s="378"/>
      <c r="K276" s="378"/>
      <c r="L276" s="378"/>
      <c r="M276" s="378"/>
      <c r="N276" s="378"/>
      <c r="O276" s="378"/>
      <c r="P276" s="378"/>
      <c r="Q276" s="378"/>
      <c r="R276" s="378"/>
      <c r="S276" s="378"/>
      <c r="T276" s="378"/>
      <c r="U276" s="378"/>
      <c r="V276" s="378"/>
      <c r="W276" s="378"/>
      <c r="X276" s="378"/>
      <c r="Y276" s="378"/>
      <c r="Z276" s="378"/>
    </row>
    <row r="277" spans="1:26" ht="18">
      <c r="A277" s="378"/>
      <c r="B277" s="378"/>
      <c r="C277" s="378"/>
      <c r="D277" s="384"/>
      <c r="E277" s="378"/>
      <c r="F277" s="378"/>
      <c r="G277" s="378"/>
      <c r="H277" s="378"/>
      <c r="I277" s="378"/>
      <c r="J277" s="378"/>
      <c r="K277" s="378"/>
      <c r="L277" s="378"/>
      <c r="M277" s="378"/>
      <c r="N277" s="378"/>
      <c r="O277" s="378"/>
      <c r="P277" s="378"/>
      <c r="Q277" s="378"/>
      <c r="R277" s="378"/>
      <c r="S277" s="378"/>
      <c r="T277" s="378"/>
      <c r="U277" s="378"/>
      <c r="V277" s="378"/>
      <c r="W277" s="378"/>
      <c r="X277" s="378"/>
      <c r="Y277" s="378"/>
      <c r="Z277" s="378"/>
    </row>
    <row r="278" spans="1:26" ht="18">
      <c r="A278" s="378"/>
      <c r="B278" s="378"/>
      <c r="C278" s="378"/>
      <c r="D278" s="384"/>
      <c r="E278" s="378"/>
      <c r="F278" s="378"/>
      <c r="G278" s="378"/>
      <c r="H278" s="378"/>
      <c r="I278" s="378"/>
      <c r="J278" s="378"/>
      <c r="K278" s="378"/>
      <c r="L278" s="378"/>
      <c r="M278" s="378"/>
      <c r="N278" s="378"/>
      <c r="O278" s="378"/>
      <c r="P278" s="378"/>
      <c r="Q278" s="378"/>
      <c r="R278" s="378"/>
      <c r="S278" s="378"/>
      <c r="T278" s="378"/>
      <c r="U278" s="378"/>
      <c r="V278" s="378"/>
      <c r="W278" s="378"/>
      <c r="X278" s="378"/>
      <c r="Y278" s="378"/>
      <c r="Z278" s="378"/>
    </row>
    <row r="279" spans="1:26" ht="18">
      <c r="A279" s="378"/>
      <c r="B279" s="378"/>
      <c r="C279" s="378"/>
      <c r="D279" s="384"/>
      <c r="E279" s="378"/>
      <c r="F279" s="378"/>
      <c r="G279" s="378"/>
      <c r="H279" s="378"/>
      <c r="I279" s="378"/>
      <c r="J279" s="378"/>
      <c r="K279" s="378"/>
      <c r="L279" s="378"/>
      <c r="M279" s="378"/>
      <c r="N279" s="378"/>
      <c r="O279" s="378"/>
      <c r="P279" s="378"/>
      <c r="Q279" s="378"/>
      <c r="R279" s="378"/>
      <c r="S279" s="378"/>
      <c r="T279" s="378"/>
      <c r="U279" s="378"/>
      <c r="V279" s="378"/>
      <c r="W279" s="378"/>
      <c r="X279" s="378"/>
      <c r="Y279" s="378"/>
      <c r="Z279" s="378"/>
    </row>
    <row r="280" spans="1:26" ht="18">
      <c r="A280" s="378"/>
      <c r="B280" s="378"/>
      <c r="C280" s="378"/>
      <c r="D280" s="384"/>
      <c r="E280" s="378"/>
      <c r="F280" s="378"/>
      <c r="G280" s="378"/>
      <c r="H280" s="378"/>
      <c r="I280" s="378"/>
      <c r="J280" s="378"/>
      <c r="K280" s="378"/>
      <c r="L280" s="378"/>
      <c r="M280" s="378"/>
      <c r="N280" s="378"/>
      <c r="O280" s="378"/>
      <c r="P280" s="378"/>
      <c r="Q280" s="378"/>
      <c r="R280" s="378"/>
      <c r="S280" s="378"/>
      <c r="T280" s="378"/>
      <c r="U280" s="378"/>
      <c r="V280" s="378"/>
      <c r="W280" s="378"/>
      <c r="X280" s="378"/>
      <c r="Y280" s="378"/>
      <c r="Z280" s="378"/>
    </row>
    <row r="281" spans="1:26" ht="18">
      <c r="A281" s="378"/>
      <c r="B281" s="378"/>
      <c r="C281" s="378"/>
      <c r="D281" s="384"/>
      <c r="E281" s="378"/>
      <c r="F281" s="378"/>
      <c r="G281" s="378"/>
      <c r="H281" s="378"/>
      <c r="I281" s="378"/>
      <c r="J281" s="378"/>
      <c r="K281" s="378"/>
      <c r="L281" s="378"/>
      <c r="M281" s="378"/>
      <c r="N281" s="378"/>
      <c r="O281" s="378"/>
      <c r="P281" s="378"/>
      <c r="Q281" s="378"/>
      <c r="R281" s="378"/>
      <c r="S281" s="378"/>
      <c r="T281" s="378"/>
      <c r="U281" s="378"/>
      <c r="V281" s="378"/>
      <c r="W281" s="378"/>
      <c r="X281" s="378"/>
      <c r="Y281" s="378"/>
      <c r="Z281" s="378"/>
    </row>
    <row r="282" spans="1:26" ht="18">
      <c r="A282" s="378"/>
      <c r="B282" s="378"/>
      <c r="C282" s="378"/>
      <c r="D282" s="384"/>
      <c r="E282" s="378"/>
      <c r="F282" s="378"/>
      <c r="G282" s="378"/>
      <c r="H282" s="378"/>
      <c r="I282" s="378"/>
      <c r="J282" s="378"/>
      <c r="K282" s="378"/>
      <c r="L282" s="378"/>
      <c r="M282" s="378"/>
      <c r="N282" s="378"/>
      <c r="O282" s="378"/>
      <c r="P282" s="378"/>
      <c r="Q282" s="378"/>
      <c r="R282" s="378"/>
      <c r="S282" s="378"/>
      <c r="T282" s="378"/>
      <c r="U282" s="378"/>
      <c r="V282" s="378"/>
      <c r="W282" s="378"/>
      <c r="X282" s="378"/>
      <c r="Y282" s="378"/>
      <c r="Z282" s="378"/>
    </row>
    <row r="283" spans="1:26" ht="18">
      <c r="A283" s="378"/>
      <c r="B283" s="378"/>
      <c r="C283" s="378"/>
      <c r="D283" s="384"/>
      <c r="E283" s="378"/>
      <c r="F283" s="378"/>
      <c r="G283" s="378"/>
      <c r="H283" s="378"/>
      <c r="I283" s="378"/>
      <c r="J283" s="378"/>
      <c r="K283" s="378"/>
      <c r="L283" s="378"/>
      <c r="M283" s="378"/>
      <c r="N283" s="378"/>
      <c r="O283" s="378"/>
      <c r="P283" s="378"/>
      <c r="Q283" s="378"/>
      <c r="R283" s="378"/>
      <c r="S283" s="378"/>
      <c r="T283" s="378"/>
      <c r="U283" s="378"/>
      <c r="V283" s="378"/>
      <c r="W283" s="378"/>
      <c r="X283" s="378"/>
      <c r="Y283" s="378"/>
      <c r="Z283" s="378"/>
    </row>
    <row r="284" spans="1:26" ht="18">
      <c r="A284" s="378"/>
      <c r="B284" s="378"/>
      <c r="C284" s="378"/>
      <c r="D284" s="384"/>
      <c r="E284" s="378"/>
      <c r="F284" s="378"/>
      <c r="G284" s="378"/>
      <c r="H284" s="378"/>
      <c r="I284" s="378"/>
      <c r="J284" s="378"/>
      <c r="K284" s="378"/>
      <c r="L284" s="378"/>
      <c r="M284" s="378"/>
      <c r="N284" s="378"/>
      <c r="O284" s="378"/>
      <c r="P284" s="378"/>
      <c r="Q284" s="378"/>
      <c r="R284" s="378"/>
      <c r="S284" s="378"/>
      <c r="T284" s="378"/>
      <c r="U284" s="378"/>
      <c r="V284" s="378"/>
      <c r="W284" s="378"/>
      <c r="X284" s="378"/>
      <c r="Y284" s="378"/>
      <c r="Z284" s="378"/>
    </row>
    <row r="285" spans="1:26" ht="18">
      <c r="A285" s="378"/>
      <c r="B285" s="378"/>
      <c r="C285" s="378"/>
      <c r="D285" s="384"/>
      <c r="E285" s="378"/>
      <c r="F285" s="378"/>
      <c r="G285" s="378"/>
      <c r="H285" s="378"/>
      <c r="I285" s="378"/>
      <c r="J285" s="378"/>
      <c r="K285" s="378"/>
      <c r="L285" s="378"/>
      <c r="M285" s="378"/>
      <c r="N285" s="378"/>
      <c r="O285" s="378"/>
      <c r="P285" s="378"/>
      <c r="Q285" s="378"/>
      <c r="R285" s="378"/>
      <c r="S285" s="378"/>
      <c r="T285" s="378"/>
      <c r="U285" s="378"/>
      <c r="V285" s="378"/>
      <c r="W285" s="378"/>
      <c r="X285" s="378"/>
      <c r="Y285" s="378"/>
      <c r="Z285" s="378"/>
    </row>
    <row r="286" spans="1:26" ht="18">
      <c r="A286" s="378"/>
      <c r="B286" s="378"/>
      <c r="C286" s="378"/>
      <c r="D286" s="384"/>
      <c r="E286" s="378"/>
      <c r="F286" s="378"/>
      <c r="G286" s="378"/>
      <c r="H286" s="378"/>
      <c r="I286" s="378"/>
      <c r="J286" s="378"/>
      <c r="K286" s="378"/>
      <c r="L286" s="378"/>
      <c r="M286" s="378"/>
      <c r="N286" s="378"/>
      <c r="O286" s="378"/>
      <c r="P286" s="378"/>
      <c r="Q286" s="378"/>
      <c r="R286" s="378"/>
      <c r="S286" s="378"/>
      <c r="T286" s="378"/>
      <c r="U286" s="378"/>
      <c r="V286" s="378"/>
      <c r="W286" s="378"/>
      <c r="X286" s="378"/>
      <c r="Y286" s="378"/>
      <c r="Z286" s="378"/>
    </row>
    <row r="287" spans="1:26" ht="18">
      <c r="A287" s="378"/>
      <c r="B287" s="378"/>
      <c r="C287" s="378"/>
      <c r="D287" s="384"/>
      <c r="E287" s="378"/>
      <c r="F287" s="378"/>
      <c r="G287" s="378"/>
      <c r="H287" s="378"/>
      <c r="I287" s="378"/>
      <c r="J287" s="378"/>
      <c r="K287" s="378"/>
      <c r="L287" s="378"/>
      <c r="M287" s="378"/>
      <c r="N287" s="378"/>
      <c r="O287" s="378"/>
      <c r="P287" s="378"/>
      <c r="Q287" s="378"/>
      <c r="R287" s="378"/>
      <c r="S287" s="378"/>
      <c r="T287" s="378"/>
      <c r="U287" s="378"/>
      <c r="V287" s="378"/>
      <c r="W287" s="378"/>
      <c r="X287" s="378"/>
      <c r="Y287" s="378"/>
      <c r="Z287" s="378"/>
    </row>
    <row r="288" spans="1:26" ht="18">
      <c r="A288" s="378"/>
      <c r="B288" s="378"/>
      <c r="C288" s="378"/>
      <c r="D288" s="384"/>
      <c r="E288" s="378"/>
      <c r="F288" s="378"/>
      <c r="G288" s="378"/>
      <c r="H288" s="378"/>
      <c r="I288" s="378"/>
      <c r="J288" s="378"/>
      <c r="K288" s="378"/>
      <c r="L288" s="378"/>
      <c r="M288" s="378"/>
      <c r="N288" s="378"/>
      <c r="O288" s="378"/>
      <c r="P288" s="378"/>
      <c r="Q288" s="378"/>
      <c r="R288" s="378"/>
      <c r="S288" s="378"/>
      <c r="T288" s="378"/>
      <c r="U288" s="378"/>
      <c r="V288" s="378"/>
      <c r="W288" s="378"/>
      <c r="X288" s="378"/>
      <c r="Y288" s="378"/>
      <c r="Z288" s="378"/>
    </row>
    <row r="289" spans="1:26" ht="18">
      <c r="A289" s="378"/>
      <c r="B289" s="378"/>
      <c r="C289" s="378"/>
      <c r="D289" s="384"/>
      <c r="E289" s="378"/>
      <c r="F289" s="378"/>
      <c r="G289" s="378"/>
      <c r="H289" s="378"/>
      <c r="I289" s="378"/>
      <c r="J289" s="378"/>
      <c r="K289" s="378"/>
      <c r="L289" s="378"/>
      <c r="M289" s="378"/>
      <c r="N289" s="378"/>
      <c r="O289" s="378"/>
      <c r="P289" s="378"/>
      <c r="Q289" s="378"/>
      <c r="R289" s="378"/>
      <c r="S289" s="378"/>
      <c r="T289" s="378"/>
      <c r="U289" s="378"/>
      <c r="V289" s="378"/>
      <c r="W289" s="378"/>
      <c r="X289" s="378"/>
      <c r="Y289" s="378"/>
      <c r="Z289" s="378"/>
    </row>
    <row r="290" spans="1:26" ht="18">
      <c r="A290" s="378"/>
      <c r="B290" s="378"/>
      <c r="C290" s="378"/>
      <c r="D290" s="384"/>
      <c r="E290" s="378"/>
      <c r="F290" s="378"/>
      <c r="G290" s="378"/>
      <c r="H290" s="378"/>
      <c r="I290" s="378"/>
      <c r="J290" s="378"/>
      <c r="K290" s="378"/>
      <c r="L290" s="378"/>
      <c r="M290" s="378"/>
      <c r="N290" s="378"/>
      <c r="O290" s="378"/>
      <c r="P290" s="378"/>
      <c r="Q290" s="378"/>
      <c r="R290" s="378"/>
      <c r="S290" s="378"/>
      <c r="T290" s="378"/>
      <c r="U290" s="378"/>
      <c r="V290" s="378"/>
      <c r="W290" s="378"/>
      <c r="X290" s="378"/>
      <c r="Y290" s="378"/>
      <c r="Z290" s="378"/>
    </row>
    <row r="291" spans="1:26" ht="18">
      <c r="A291" s="378"/>
      <c r="B291" s="378"/>
      <c r="C291" s="378"/>
      <c r="D291" s="384"/>
      <c r="E291" s="378"/>
      <c r="F291" s="378"/>
      <c r="G291" s="378"/>
      <c r="H291" s="378"/>
      <c r="I291" s="378"/>
      <c r="J291" s="378"/>
      <c r="K291" s="378"/>
      <c r="L291" s="378"/>
      <c r="M291" s="378"/>
      <c r="N291" s="378"/>
      <c r="O291" s="378"/>
      <c r="P291" s="378"/>
      <c r="Q291" s="378"/>
      <c r="R291" s="378"/>
      <c r="S291" s="378"/>
      <c r="T291" s="378"/>
      <c r="U291" s="378"/>
      <c r="V291" s="378"/>
      <c r="W291" s="378"/>
      <c r="X291" s="378"/>
      <c r="Y291" s="378"/>
      <c r="Z291" s="378"/>
    </row>
    <row r="292" spans="1:26" ht="18">
      <c r="A292" s="378"/>
      <c r="B292" s="378"/>
      <c r="C292" s="378"/>
      <c r="D292" s="384"/>
      <c r="E292" s="378"/>
      <c r="F292" s="378"/>
      <c r="G292" s="378"/>
      <c r="H292" s="378"/>
      <c r="I292" s="378"/>
      <c r="J292" s="378"/>
      <c r="K292" s="378"/>
      <c r="L292" s="378"/>
      <c r="M292" s="378"/>
      <c r="N292" s="378"/>
      <c r="O292" s="378"/>
      <c r="P292" s="378"/>
      <c r="Q292" s="378"/>
      <c r="R292" s="378"/>
      <c r="S292" s="378"/>
      <c r="T292" s="378"/>
      <c r="U292" s="378"/>
      <c r="V292" s="378"/>
      <c r="W292" s="378"/>
      <c r="X292" s="378"/>
      <c r="Y292" s="378"/>
      <c r="Z292" s="378"/>
    </row>
    <row r="293" spans="1:26" ht="18">
      <c r="A293" s="378"/>
      <c r="B293" s="378"/>
      <c r="C293" s="378"/>
      <c r="D293" s="384"/>
      <c r="E293" s="378"/>
      <c r="F293" s="378"/>
      <c r="G293" s="378"/>
      <c r="H293" s="378"/>
      <c r="I293" s="378"/>
      <c r="J293" s="378"/>
      <c r="K293" s="378"/>
      <c r="L293" s="378"/>
      <c r="M293" s="378"/>
      <c r="N293" s="378"/>
      <c r="O293" s="378"/>
      <c r="P293" s="378"/>
      <c r="Q293" s="378"/>
      <c r="R293" s="378"/>
      <c r="S293" s="378"/>
      <c r="T293" s="378"/>
      <c r="U293" s="378"/>
      <c r="V293" s="378"/>
      <c r="W293" s="378"/>
      <c r="X293" s="378"/>
      <c r="Y293" s="378"/>
      <c r="Z293" s="378"/>
    </row>
    <row r="294" spans="1:26" ht="18">
      <c r="A294" s="378"/>
      <c r="B294" s="378"/>
      <c r="C294" s="378"/>
      <c r="D294" s="384"/>
      <c r="E294" s="378"/>
      <c r="F294" s="378"/>
      <c r="G294" s="378"/>
      <c r="H294" s="378"/>
      <c r="I294" s="378"/>
      <c r="J294" s="378"/>
      <c r="K294" s="378"/>
      <c r="L294" s="378"/>
      <c r="M294" s="378"/>
      <c r="N294" s="378"/>
      <c r="O294" s="378"/>
      <c r="P294" s="378"/>
      <c r="Q294" s="378"/>
      <c r="R294" s="378"/>
      <c r="S294" s="378"/>
      <c r="T294" s="378"/>
      <c r="U294" s="378"/>
      <c r="V294" s="378"/>
      <c r="W294" s="378"/>
      <c r="X294" s="378"/>
      <c r="Y294" s="378"/>
      <c r="Z294" s="378"/>
    </row>
    <row r="295" spans="1:26" ht="18">
      <c r="A295" s="378"/>
      <c r="B295" s="378"/>
      <c r="C295" s="378"/>
      <c r="D295" s="384"/>
      <c r="E295" s="378"/>
      <c r="F295" s="378"/>
      <c r="G295" s="378"/>
      <c r="H295" s="378"/>
      <c r="I295" s="378"/>
      <c r="J295" s="378"/>
      <c r="K295" s="378"/>
      <c r="L295" s="378"/>
      <c r="M295" s="378"/>
      <c r="N295" s="378"/>
      <c r="O295" s="378"/>
      <c r="P295" s="378"/>
      <c r="Q295" s="378"/>
      <c r="R295" s="378"/>
      <c r="S295" s="378"/>
      <c r="T295" s="378"/>
      <c r="U295" s="378"/>
      <c r="V295" s="378"/>
      <c r="W295" s="378"/>
      <c r="X295" s="378"/>
      <c r="Y295" s="378"/>
      <c r="Z295" s="378"/>
    </row>
    <row r="296" spans="1:26" ht="18">
      <c r="A296" s="378"/>
      <c r="B296" s="378"/>
      <c r="C296" s="378"/>
      <c r="D296" s="384"/>
      <c r="E296" s="378"/>
      <c r="F296" s="378"/>
      <c r="G296" s="378"/>
      <c r="H296" s="378"/>
      <c r="I296" s="378"/>
      <c r="J296" s="378"/>
      <c r="K296" s="378"/>
      <c r="L296" s="378"/>
      <c r="M296" s="378"/>
      <c r="N296" s="378"/>
      <c r="O296" s="378"/>
      <c r="P296" s="378"/>
      <c r="Q296" s="378"/>
      <c r="R296" s="378"/>
      <c r="S296" s="378"/>
      <c r="T296" s="378"/>
      <c r="U296" s="378"/>
      <c r="V296" s="378"/>
      <c r="W296" s="378"/>
      <c r="X296" s="378"/>
      <c r="Y296" s="378"/>
      <c r="Z296" s="378"/>
    </row>
    <row r="297" spans="1:26" ht="18">
      <c r="A297" s="378"/>
      <c r="B297" s="378"/>
      <c r="C297" s="378"/>
      <c r="D297" s="384"/>
      <c r="E297" s="378"/>
      <c r="F297" s="378"/>
      <c r="G297" s="378"/>
      <c r="H297" s="378"/>
      <c r="I297" s="378"/>
      <c r="J297" s="378"/>
      <c r="K297" s="378"/>
      <c r="L297" s="378"/>
      <c r="M297" s="378"/>
      <c r="N297" s="378"/>
      <c r="O297" s="378"/>
      <c r="P297" s="378"/>
      <c r="Q297" s="378"/>
      <c r="R297" s="378"/>
      <c r="S297" s="378"/>
      <c r="T297" s="378"/>
      <c r="U297" s="378"/>
      <c r="V297" s="378"/>
      <c r="W297" s="378"/>
      <c r="X297" s="378"/>
      <c r="Y297" s="378"/>
      <c r="Z297" s="378"/>
    </row>
    <row r="298" spans="1:26" ht="18">
      <c r="A298" s="378"/>
      <c r="B298" s="378"/>
      <c r="C298" s="378"/>
      <c r="D298" s="384"/>
      <c r="E298" s="378"/>
      <c r="F298" s="378"/>
      <c r="G298" s="378"/>
      <c r="H298" s="378"/>
      <c r="I298" s="378"/>
      <c r="J298" s="378"/>
      <c r="K298" s="378"/>
      <c r="L298" s="378"/>
      <c r="M298" s="378"/>
      <c r="N298" s="378"/>
      <c r="O298" s="378"/>
      <c r="P298" s="378"/>
      <c r="Q298" s="378"/>
      <c r="R298" s="378"/>
      <c r="S298" s="378"/>
      <c r="T298" s="378"/>
      <c r="U298" s="378"/>
      <c r="V298" s="378"/>
      <c r="W298" s="378"/>
      <c r="X298" s="378"/>
      <c r="Y298" s="378"/>
      <c r="Z298" s="378"/>
    </row>
    <row r="299" spans="1:26" ht="18">
      <c r="A299" s="378"/>
      <c r="B299" s="378"/>
      <c r="C299" s="378"/>
      <c r="D299" s="384"/>
      <c r="E299" s="378"/>
      <c r="F299" s="378"/>
      <c r="G299" s="378"/>
      <c r="H299" s="378"/>
      <c r="I299" s="378"/>
      <c r="J299" s="378"/>
      <c r="K299" s="378"/>
      <c r="L299" s="378"/>
      <c r="M299" s="378"/>
      <c r="N299" s="378"/>
      <c r="O299" s="378"/>
      <c r="P299" s="378"/>
      <c r="Q299" s="378"/>
      <c r="R299" s="378"/>
      <c r="S299" s="378"/>
      <c r="T299" s="378"/>
      <c r="U299" s="378"/>
      <c r="V299" s="378"/>
      <c r="W299" s="378"/>
      <c r="X299" s="378"/>
      <c r="Y299" s="378"/>
      <c r="Z299" s="378"/>
    </row>
    <row r="300" spans="1:26" ht="18">
      <c r="A300" s="378"/>
      <c r="B300" s="378"/>
      <c r="C300" s="378"/>
      <c r="D300" s="384"/>
      <c r="E300" s="378"/>
      <c r="F300" s="378"/>
      <c r="G300" s="378"/>
      <c r="H300" s="378"/>
      <c r="I300" s="378"/>
      <c r="J300" s="378"/>
      <c r="K300" s="378"/>
      <c r="L300" s="378"/>
      <c r="M300" s="378"/>
      <c r="N300" s="378"/>
      <c r="O300" s="378"/>
      <c r="P300" s="378"/>
      <c r="Q300" s="378"/>
      <c r="R300" s="378"/>
      <c r="S300" s="378"/>
      <c r="T300" s="378"/>
      <c r="U300" s="378"/>
      <c r="V300" s="378"/>
      <c r="W300" s="378"/>
      <c r="X300" s="378"/>
      <c r="Y300" s="378"/>
      <c r="Z300" s="378"/>
    </row>
    <row r="301" spans="1:26" ht="18">
      <c r="A301" s="378"/>
      <c r="B301" s="378"/>
      <c r="C301" s="378"/>
      <c r="D301" s="384"/>
      <c r="E301" s="378"/>
      <c r="F301" s="378"/>
      <c r="G301" s="378"/>
      <c r="H301" s="378"/>
      <c r="I301" s="378"/>
      <c r="J301" s="378"/>
      <c r="K301" s="378"/>
      <c r="L301" s="378"/>
      <c r="M301" s="378"/>
      <c r="N301" s="378"/>
      <c r="O301" s="378"/>
      <c r="P301" s="378"/>
      <c r="Q301" s="378"/>
      <c r="R301" s="378"/>
      <c r="S301" s="378"/>
      <c r="T301" s="378"/>
      <c r="U301" s="378"/>
      <c r="V301" s="378"/>
      <c r="W301" s="378"/>
      <c r="X301" s="378"/>
      <c r="Y301" s="378"/>
      <c r="Z301" s="378"/>
    </row>
    <row r="302" spans="1:26" ht="18">
      <c r="A302" s="378"/>
      <c r="B302" s="378"/>
      <c r="C302" s="378"/>
      <c r="D302" s="384"/>
      <c r="E302" s="378"/>
      <c r="F302" s="378"/>
      <c r="G302" s="378"/>
      <c r="H302" s="378"/>
      <c r="I302" s="378"/>
      <c r="J302" s="378"/>
      <c r="K302" s="378"/>
      <c r="L302" s="378"/>
      <c r="M302" s="378"/>
      <c r="N302" s="378"/>
      <c r="O302" s="378"/>
      <c r="P302" s="378"/>
      <c r="Q302" s="378"/>
      <c r="R302" s="378"/>
      <c r="S302" s="378"/>
      <c r="T302" s="378"/>
      <c r="U302" s="378"/>
      <c r="V302" s="378"/>
      <c r="W302" s="378"/>
      <c r="X302" s="378"/>
      <c r="Y302" s="378"/>
      <c r="Z302" s="378"/>
    </row>
    <row r="303" spans="1:26" ht="18">
      <c r="A303" s="378"/>
      <c r="B303" s="378"/>
      <c r="C303" s="378"/>
      <c r="D303" s="384"/>
      <c r="E303" s="378"/>
      <c r="F303" s="378"/>
      <c r="G303" s="378"/>
      <c r="H303" s="378"/>
      <c r="I303" s="378"/>
      <c r="J303" s="378"/>
      <c r="K303" s="378"/>
      <c r="L303" s="378"/>
      <c r="M303" s="378"/>
      <c r="N303" s="378"/>
      <c r="O303" s="378"/>
      <c r="P303" s="378"/>
      <c r="Q303" s="378"/>
      <c r="R303" s="378"/>
      <c r="S303" s="378"/>
      <c r="T303" s="378"/>
      <c r="U303" s="378"/>
      <c r="V303" s="378"/>
      <c r="W303" s="378"/>
      <c r="X303" s="378"/>
      <c r="Y303" s="378"/>
      <c r="Z303" s="378"/>
    </row>
    <row r="304" spans="1:26" ht="18">
      <c r="A304" s="378"/>
      <c r="B304" s="378"/>
      <c r="C304" s="378"/>
      <c r="D304" s="384"/>
      <c r="E304" s="378"/>
      <c r="F304" s="378"/>
      <c r="G304" s="378"/>
      <c r="H304" s="378"/>
      <c r="I304" s="378"/>
      <c r="J304" s="378"/>
      <c r="K304" s="378"/>
      <c r="L304" s="378"/>
      <c r="M304" s="378"/>
      <c r="N304" s="378"/>
      <c r="O304" s="378"/>
      <c r="P304" s="378"/>
      <c r="Q304" s="378"/>
      <c r="R304" s="378"/>
      <c r="S304" s="378"/>
      <c r="T304" s="378"/>
      <c r="U304" s="378"/>
      <c r="V304" s="378"/>
      <c r="W304" s="378"/>
      <c r="X304" s="378"/>
      <c r="Y304" s="378"/>
      <c r="Z304" s="378"/>
    </row>
    <row r="305" spans="1:26" ht="18">
      <c r="A305" s="378"/>
      <c r="B305" s="378"/>
      <c r="C305" s="378"/>
      <c r="D305" s="384"/>
      <c r="E305" s="378"/>
      <c r="F305" s="378"/>
      <c r="G305" s="378"/>
      <c r="H305" s="378"/>
      <c r="I305" s="378"/>
      <c r="J305" s="378"/>
      <c r="K305" s="378"/>
      <c r="L305" s="378"/>
      <c r="M305" s="378"/>
      <c r="N305" s="378"/>
      <c r="O305" s="378"/>
      <c r="P305" s="378"/>
      <c r="Q305" s="378"/>
      <c r="R305" s="378"/>
      <c r="S305" s="378"/>
      <c r="T305" s="378"/>
      <c r="U305" s="378"/>
      <c r="V305" s="378"/>
      <c r="W305" s="378"/>
      <c r="X305" s="378"/>
      <c r="Y305" s="378"/>
      <c r="Z305" s="378"/>
    </row>
    <row r="306" spans="1:26" ht="18">
      <c r="A306" s="378"/>
      <c r="B306" s="378"/>
      <c r="C306" s="378"/>
      <c r="D306" s="384"/>
      <c r="E306" s="378"/>
      <c r="F306" s="378"/>
      <c r="G306" s="378"/>
      <c r="H306" s="378"/>
      <c r="I306" s="378"/>
      <c r="J306" s="378"/>
      <c r="K306" s="378"/>
      <c r="L306" s="378"/>
      <c r="M306" s="378"/>
      <c r="N306" s="378"/>
      <c r="O306" s="378"/>
      <c r="P306" s="378"/>
      <c r="Q306" s="378"/>
      <c r="R306" s="378"/>
      <c r="S306" s="378"/>
      <c r="T306" s="378"/>
      <c r="U306" s="378"/>
      <c r="V306" s="378"/>
      <c r="W306" s="378"/>
      <c r="X306" s="378"/>
      <c r="Y306" s="378"/>
      <c r="Z306" s="378"/>
    </row>
    <row r="307" spans="1:26" ht="18">
      <c r="A307" s="378"/>
      <c r="B307" s="378"/>
      <c r="C307" s="378"/>
      <c r="D307" s="384"/>
      <c r="E307" s="378"/>
      <c r="F307" s="378"/>
      <c r="G307" s="378"/>
      <c r="H307" s="378"/>
      <c r="I307" s="378"/>
      <c r="J307" s="378"/>
      <c r="K307" s="378"/>
      <c r="L307" s="378"/>
      <c r="M307" s="378"/>
      <c r="N307" s="378"/>
      <c r="O307" s="378"/>
      <c r="P307" s="378"/>
      <c r="Q307" s="378"/>
      <c r="R307" s="378"/>
      <c r="S307" s="378"/>
      <c r="T307" s="378"/>
      <c r="U307" s="378"/>
      <c r="V307" s="378"/>
      <c r="W307" s="378"/>
      <c r="X307" s="378"/>
      <c r="Y307" s="378"/>
      <c r="Z307" s="378"/>
    </row>
    <row r="308" spans="1:26" ht="18">
      <c r="A308" s="378"/>
      <c r="B308" s="378"/>
      <c r="C308" s="378"/>
      <c r="D308" s="384"/>
      <c r="E308" s="378"/>
      <c r="F308" s="378"/>
      <c r="G308" s="378"/>
      <c r="H308" s="378"/>
      <c r="I308" s="378"/>
      <c r="J308" s="378"/>
      <c r="K308" s="378"/>
      <c r="L308" s="378"/>
      <c r="M308" s="378"/>
      <c r="N308" s="378"/>
      <c r="O308" s="378"/>
      <c r="P308" s="378"/>
      <c r="Q308" s="378"/>
      <c r="R308" s="378"/>
      <c r="S308" s="378"/>
      <c r="T308" s="378"/>
      <c r="U308" s="378"/>
      <c r="V308" s="378"/>
      <c r="W308" s="378"/>
      <c r="X308" s="378"/>
      <c r="Y308" s="378"/>
      <c r="Z308" s="378"/>
    </row>
    <row r="309" spans="1:26" ht="18">
      <c r="A309" s="378"/>
      <c r="B309" s="378"/>
      <c r="C309" s="378"/>
      <c r="D309" s="384"/>
      <c r="E309" s="378"/>
      <c r="F309" s="378"/>
      <c r="G309" s="378"/>
      <c r="H309" s="378"/>
      <c r="I309" s="378"/>
      <c r="J309" s="378"/>
      <c r="K309" s="378"/>
      <c r="L309" s="378"/>
      <c r="M309" s="378"/>
      <c r="N309" s="378"/>
      <c r="O309" s="378"/>
      <c r="P309" s="378"/>
      <c r="Q309" s="378"/>
      <c r="R309" s="378"/>
      <c r="S309" s="378"/>
      <c r="T309" s="378"/>
      <c r="U309" s="378"/>
      <c r="V309" s="378"/>
      <c r="W309" s="378"/>
      <c r="X309" s="378"/>
      <c r="Y309" s="378"/>
      <c r="Z309" s="378"/>
    </row>
    <row r="310" spans="1:26" ht="18">
      <c r="A310" s="378"/>
      <c r="B310" s="378"/>
      <c r="C310" s="378"/>
      <c r="D310" s="384"/>
      <c r="E310" s="378"/>
      <c r="F310" s="378"/>
      <c r="G310" s="378"/>
      <c r="H310" s="378"/>
      <c r="I310" s="378"/>
      <c r="J310" s="378"/>
      <c r="K310" s="378"/>
      <c r="L310" s="378"/>
      <c r="M310" s="378"/>
      <c r="N310" s="378"/>
      <c r="O310" s="378"/>
      <c r="P310" s="378"/>
      <c r="Q310" s="378"/>
      <c r="R310" s="378"/>
      <c r="S310" s="378"/>
      <c r="T310" s="378"/>
      <c r="U310" s="378"/>
      <c r="V310" s="378"/>
      <c r="W310" s="378"/>
      <c r="X310" s="378"/>
      <c r="Y310" s="378"/>
      <c r="Z310" s="378"/>
    </row>
    <row r="311" spans="1:26" ht="18">
      <c r="A311" s="378"/>
      <c r="B311" s="378"/>
      <c r="C311" s="378"/>
      <c r="D311" s="384"/>
      <c r="E311" s="378"/>
      <c r="F311" s="378"/>
      <c r="G311" s="378"/>
      <c r="H311" s="378"/>
      <c r="I311" s="378"/>
      <c r="J311" s="378"/>
      <c r="K311" s="378"/>
      <c r="L311" s="378"/>
      <c r="M311" s="378"/>
      <c r="N311" s="378"/>
      <c r="O311" s="378"/>
      <c r="P311" s="378"/>
      <c r="Q311" s="378"/>
      <c r="R311" s="378"/>
      <c r="S311" s="378"/>
      <c r="T311" s="378"/>
      <c r="U311" s="378"/>
      <c r="V311" s="378"/>
      <c r="W311" s="378"/>
      <c r="X311" s="378"/>
      <c r="Y311" s="378"/>
      <c r="Z311" s="378"/>
    </row>
    <row r="312" spans="1:26" ht="18">
      <c r="A312" s="378"/>
      <c r="B312" s="378"/>
      <c r="C312" s="378"/>
      <c r="D312" s="384"/>
      <c r="E312" s="378"/>
      <c r="F312" s="378"/>
      <c r="G312" s="378"/>
      <c r="H312" s="378"/>
      <c r="I312" s="378"/>
      <c r="J312" s="378"/>
      <c r="K312" s="378"/>
      <c r="L312" s="378"/>
      <c r="M312" s="378"/>
      <c r="N312" s="378"/>
      <c r="O312" s="378"/>
      <c r="P312" s="378"/>
      <c r="Q312" s="378"/>
      <c r="R312" s="378"/>
      <c r="S312" s="378"/>
      <c r="T312" s="378"/>
      <c r="U312" s="378"/>
      <c r="V312" s="378"/>
      <c r="W312" s="378"/>
      <c r="X312" s="378"/>
      <c r="Y312" s="378"/>
      <c r="Z312" s="378"/>
    </row>
    <row r="313" spans="1:26" ht="18">
      <c r="A313" s="378"/>
      <c r="B313" s="378"/>
      <c r="C313" s="378"/>
      <c r="D313" s="384"/>
      <c r="E313" s="378"/>
      <c r="F313" s="378"/>
      <c r="G313" s="378"/>
      <c r="H313" s="378"/>
      <c r="I313" s="378"/>
      <c r="J313" s="378"/>
      <c r="K313" s="378"/>
      <c r="L313" s="378"/>
      <c r="M313" s="378"/>
      <c r="N313" s="378"/>
      <c r="O313" s="378"/>
      <c r="P313" s="378"/>
      <c r="Q313" s="378"/>
      <c r="R313" s="378"/>
      <c r="S313" s="378"/>
      <c r="T313" s="378"/>
      <c r="U313" s="378"/>
      <c r="V313" s="378"/>
      <c r="W313" s="378"/>
      <c r="X313" s="378"/>
      <c r="Y313" s="378"/>
      <c r="Z313" s="378"/>
    </row>
    <row r="314" spans="1:26" ht="18">
      <c r="A314" s="378"/>
      <c r="B314" s="378"/>
      <c r="C314" s="378"/>
      <c r="D314" s="384"/>
      <c r="E314" s="378"/>
      <c r="F314" s="378"/>
      <c r="G314" s="378"/>
      <c r="H314" s="378"/>
      <c r="I314" s="378"/>
      <c r="J314" s="378"/>
      <c r="K314" s="378"/>
      <c r="L314" s="378"/>
      <c r="M314" s="378"/>
      <c r="N314" s="378"/>
      <c r="O314" s="378"/>
      <c r="P314" s="378"/>
      <c r="Q314" s="378"/>
      <c r="R314" s="378"/>
      <c r="S314" s="378"/>
      <c r="T314" s="378"/>
      <c r="U314" s="378"/>
      <c r="V314" s="378"/>
      <c r="W314" s="378"/>
      <c r="X314" s="378"/>
      <c r="Y314" s="378"/>
      <c r="Z314" s="378"/>
    </row>
    <row r="315" spans="1:26" ht="18">
      <c r="A315" s="378"/>
      <c r="B315" s="378"/>
      <c r="C315" s="378"/>
      <c r="D315" s="384"/>
      <c r="E315" s="378"/>
      <c r="F315" s="378"/>
      <c r="G315" s="378"/>
      <c r="H315" s="378"/>
      <c r="I315" s="378"/>
      <c r="J315" s="378"/>
      <c r="K315" s="378"/>
      <c r="L315" s="378"/>
      <c r="M315" s="378"/>
      <c r="N315" s="378"/>
      <c r="O315" s="378"/>
      <c r="P315" s="378"/>
      <c r="Q315" s="378"/>
      <c r="R315" s="378"/>
      <c r="S315" s="378"/>
      <c r="T315" s="378"/>
      <c r="U315" s="378"/>
      <c r="V315" s="378"/>
      <c r="W315" s="378"/>
      <c r="X315" s="378"/>
      <c r="Y315" s="378"/>
      <c r="Z315" s="378"/>
    </row>
    <row r="316" spans="1:26" ht="18">
      <c r="A316" s="378"/>
      <c r="B316" s="378"/>
      <c r="C316" s="378"/>
      <c r="D316" s="384"/>
      <c r="E316" s="378"/>
      <c r="F316" s="378"/>
      <c r="G316" s="378"/>
      <c r="H316" s="378"/>
      <c r="I316" s="378"/>
      <c r="J316" s="378"/>
      <c r="K316" s="378"/>
      <c r="L316" s="378"/>
      <c r="M316" s="378"/>
      <c r="N316" s="378"/>
      <c r="O316" s="378"/>
      <c r="P316" s="378"/>
      <c r="Q316" s="378"/>
      <c r="R316" s="378"/>
      <c r="S316" s="378"/>
      <c r="T316" s="378"/>
      <c r="U316" s="378"/>
      <c r="V316" s="378"/>
      <c r="W316" s="378"/>
      <c r="X316" s="378"/>
      <c r="Y316" s="378"/>
      <c r="Z316" s="378"/>
    </row>
    <row r="317" spans="1:26" ht="18">
      <c r="A317" s="378"/>
      <c r="B317" s="378"/>
      <c r="C317" s="378"/>
      <c r="D317" s="384"/>
      <c r="E317" s="378"/>
      <c r="F317" s="378"/>
      <c r="G317" s="378"/>
      <c r="H317" s="378"/>
      <c r="I317" s="378"/>
      <c r="J317" s="378"/>
      <c r="K317" s="378"/>
      <c r="L317" s="378"/>
      <c r="M317" s="378"/>
      <c r="N317" s="378"/>
      <c r="O317" s="378"/>
      <c r="P317" s="378"/>
      <c r="Q317" s="378"/>
      <c r="R317" s="378"/>
      <c r="S317" s="378"/>
      <c r="T317" s="378"/>
      <c r="U317" s="378"/>
      <c r="V317" s="378"/>
      <c r="W317" s="378"/>
      <c r="X317" s="378"/>
      <c r="Y317" s="378"/>
      <c r="Z317" s="378"/>
    </row>
    <row r="318" spans="1:26" ht="18">
      <c r="A318" s="378"/>
      <c r="B318" s="378"/>
      <c r="C318" s="378"/>
      <c r="D318" s="384"/>
      <c r="E318" s="378"/>
      <c r="F318" s="378"/>
      <c r="G318" s="378"/>
      <c r="H318" s="378"/>
      <c r="I318" s="378"/>
      <c r="J318" s="378"/>
      <c r="K318" s="378"/>
      <c r="L318" s="378"/>
      <c r="M318" s="378"/>
      <c r="N318" s="378"/>
      <c r="O318" s="378"/>
      <c r="P318" s="378"/>
      <c r="Q318" s="378"/>
      <c r="R318" s="378"/>
      <c r="S318" s="378"/>
      <c r="T318" s="378"/>
      <c r="U318" s="378"/>
      <c r="V318" s="378"/>
      <c r="W318" s="378"/>
      <c r="X318" s="378"/>
      <c r="Y318" s="378"/>
      <c r="Z318" s="378"/>
    </row>
    <row r="319" spans="1:26" ht="18">
      <c r="A319" s="378"/>
      <c r="B319" s="378"/>
      <c r="C319" s="378"/>
      <c r="D319" s="384"/>
      <c r="E319" s="378"/>
      <c r="F319" s="378"/>
      <c r="G319" s="378"/>
      <c r="H319" s="378"/>
      <c r="I319" s="378"/>
      <c r="J319" s="378"/>
      <c r="K319" s="378"/>
      <c r="L319" s="378"/>
      <c r="M319" s="378"/>
      <c r="N319" s="378"/>
      <c r="O319" s="378"/>
      <c r="P319" s="378"/>
      <c r="Q319" s="378"/>
      <c r="R319" s="378"/>
      <c r="S319" s="378"/>
      <c r="T319" s="378"/>
      <c r="U319" s="378"/>
      <c r="V319" s="378"/>
      <c r="W319" s="378"/>
      <c r="X319" s="378"/>
      <c r="Y319" s="378"/>
      <c r="Z319" s="378"/>
    </row>
    <row r="320" spans="1:26" ht="18">
      <c r="A320" s="378"/>
      <c r="B320" s="378"/>
      <c r="C320" s="378"/>
      <c r="D320" s="384"/>
      <c r="E320" s="378"/>
      <c r="F320" s="378"/>
      <c r="G320" s="378"/>
      <c r="H320" s="378"/>
      <c r="I320" s="378"/>
      <c r="J320" s="378"/>
      <c r="K320" s="378"/>
      <c r="L320" s="378"/>
      <c r="M320" s="378"/>
      <c r="N320" s="378"/>
      <c r="O320" s="378"/>
      <c r="P320" s="378"/>
      <c r="Q320" s="378"/>
      <c r="R320" s="378"/>
      <c r="S320" s="378"/>
      <c r="T320" s="378"/>
      <c r="U320" s="378"/>
      <c r="V320" s="378"/>
      <c r="W320" s="378"/>
      <c r="X320" s="378"/>
      <c r="Y320" s="378"/>
      <c r="Z320" s="378"/>
    </row>
    <row r="321" spans="1:26" ht="18">
      <c r="A321" s="378"/>
      <c r="B321" s="378"/>
      <c r="C321" s="378"/>
      <c r="D321" s="384"/>
      <c r="E321" s="378"/>
      <c r="F321" s="378"/>
      <c r="G321" s="378"/>
      <c r="H321" s="378"/>
      <c r="I321" s="378"/>
      <c r="J321" s="378"/>
      <c r="K321" s="378"/>
      <c r="L321" s="378"/>
      <c r="M321" s="378"/>
      <c r="N321" s="378"/>
      <c r="O321" s="378"/>
      <c r="P321" s="378"/>
      <c r="Q321" s="378"/>
      <c r="R321" s="378"/>
      <c r="S321" s="378"/>
      <c r="T321" s="378"/>
      <c r="U321" s="378"/>
      <c r="V321" s="378"/>
      <c r="W321" s="378"/>
      <c r="X321" s="378"/>
      <c r="Y321" s="378"/>
      <c r="Z321" s="378"/>
    </row>
    <row r="322" spans="1:26" ht="18">
      <c r="A322" s="378"/>
      <c r="B322" s="378"/>
      <c r="C322" s="378"/>
      <c r="D322" s="384"/>
      <c r="E322" s="378"/>
      <c r="F322" s="378"/>
      <c r="G322" s="378"/>
      <c r="H322" s="378"/>
      <c r="I322" s="378"/>
      <c r="J322" s="378"/>
      <c r="K322" s="378"/>
      <c r="L322" s="378"/>
      <c r="M322" s="378"/>
      <c r="N322" s="378"/>
      <c r="O322" s="378"/>
      <c r="P322" s="378"/>
      <c r="Q322" s="378"/>
      <c r="R322" s="378"/>
      <c r="S322" s="378"/>
      <c r="T322" s="378"/>
      <c r="U322" s="378"/>
      <c r="V322" s="378"/>
      <c r="W322" s="378"/>
      <c r="X322" s="378"/>
      <c r="Y322" s="378"/>
      <c r="Z322" s="378"/>
    </row>
    <row r="323" spans="1:26" ht="18">
      <c r="A323" s="378"/>
      <c r="B323" s="378"/>
      <c r="C323" s="378"/>
      <c r="D323" s="384"/>
      <c r="E323" s="378"/>
      <c r="F323" s="378"/>
      <c r="G323" s="378"/>
      <c r="H323" s="378"/>
      <c r="I323" s="378"/>
      <c r="J323" s="378"/>
      <c r="K323" s="378"/>
      <c r="L323" s="378"/>
      <c r="M323" s="378"/>
      <c r="N323" s="378"/>
      <c r="O323" s="378"/>
      <c r="P323" s="378"/>
      <c r="Q323" s="378"/>
      <c r="R323" s="378"/>
      <c r="S323" s="378"/>
      <c r="T323" s="378"/>
      <c r="U323" s="378"/>
      <c r="V323" s="378"/>
      <c r="W323" s="378"/>
      <c r="X323" s="378"/>
      <c r="Y323" s="378"/>
      <c r="Z323" s="378"/>
    </row>
    <row r="324" spans="1:26" ht="18">
      <c r="A324" s="378"/>
      <c r="B324" s="378"/>
      <c r="C324" s="378"/>
      <c r="D324" s="384"/>
      <c r="E324" s="378"/>
      <c r="F324" s="378"/>
      <c r="G324" s="378"/>
      <c r="H324" s="378"/>
      <c r="I324" s="378"/>
      <c r="J324" s="378"/>
      <c r="K324" s="378"/>
      <c r="L324" s="378"/>
      <c r="M324" s="378"/>
      <c r="N324" s="378"/>
      <c r="O324" s="378"/>
      <c r="P324" s="378"/>
      <c r="Q324" s="378"/>
      <c r="R324" s="378"/>
      <c r="S324" s="378"/>
      <c r="T324" s="378"/>
      <c r="U324" s="378"/>
      <c r="V324" s="378"/>
      <c r="W324" s="378"/>
      <c r="X324" s="378"/>
      <c r="Y324" s="378"/>
      <c r="Z324" s="378"/>
    </row>
    <row r="325" spans="1:26" ht="18">
      <c r="A325" s="378"/>
      <c r="B325" s="378"/>
      <c r="C325" s="378"/>
      <c r="D325" s="384"/>
      <c r="E325" s="378"/>
      <c r="F325" s="378"/>
      <c r="G325" s="378"/>
      <c r="H325" s="378"/>
      <c r="I325" s="378"/>
      <c r="J325" s="378"/>
      <c r="K325" s="378"/>
      <c r="L325" s="378"/>
      <c r="M325" s="378"/>
      <c r="N325" s="378"/>
      <c r="O325" s="378"/>
      <c r="P325" s="378"/>
      <c r="Q325" s="378"/>
      <c r="R325" s="378"/>
      <c r="S325" s="378"/>
      <c r="T325" s="378"/>
      <c r="U325" s="378"/>
      <c r="V325" s="378"/>
      <c r="W325" s="378"/>
      <c r="X325" s="378"/>
      <c r="Y325" s="378"/>
      <c r="Z325" s="378"/>
    </row>
    <row r="326" spans="1:26" ht="18">
      <c r="A326" s="378"/>
      <c r="B326" s="378"/>
      <c r="C326" s="378"/>
      <c r="D326" s="384"/>
      <c r="E326" s="378"/>
      <c r="F326" s="378"/>
      <c r="G326" s="378"/>
      <c r="H326" s="378"/>
      <c r="I326" s="378"/>
      <c r="J326" s="378"/>
      <c r="K326" s="378"/>
      <c r="L326" s="378"/>
      <c r="M326" s="378"/>
      <c r="N326" s="378"/>
      <c r="O326" s="378"/>
      <c r="P326" s="378"/>
      <c r="Q326" s="378"/>
      <c r="R326" s="378"/>
      <c r="S326" s="378"/>
      <c r="T326" s="378"/>
      <c r="U326" s="378"/>
      <c r="V326" s="378"/>
      <c r="W326" s="378"/>
      <c r="X326" s="378"/>
      <c r="Y326" s="378"/>
      <c r="Z326" s="378"/>
    </row>
    <row r="327" spans="1:26" ht="18">
      <c r="A327" s="378"/>
      <c r="B327" s="378"/>
      <c r="C327" s="378"/>
      <c r="D327" s="384"/>
      <c r="E327" s="378"/>
      <c r="F327" s="378"/>
      <c r="G327" s="378"/>
      <c r="H327" s="378"/>
      <c r="I327" s="378"/>
      <c r="J327" s="378"/>
      <c r="K327" s="378"/>
      <c r="L327" s="378"/>
      <c r="M327" s="378"/>
      <c r="N327" s="378"/>
      <c r="O327" s="378"/>
      <c r="P327" s="378"/>
      <c r="Q327" s="378"/>
      <c r="R327" s="378"/>
      <c r="S327" s="378"/>
      <c r="T327" s="378"/>
      <c r="U327" s="378"/>
      <c r="V327" s="378"/>
      <c r="W327" s="378"/>
      <c r="X327" s="378"/>
      <c r="Y327" s="378"/>
      <c r="Z327" s="378"/>
    </row>
    <row r="328" spans="1:26" ht="18">
      <c r="A328" s="378"/>
      <c r="B328" s="378"/>
      <c r="C328" s="378"/>
      <c r="D328" s="384"/>
      <c r="E328" s="378"/>
      <c r="F328" s="378"/>
      <c r="G328" s="378"/>
      <c r="H328" s="378"/>
      <c r="I328" s="378"/>
      <c r="J328" s="378"/>
      <c r="K328" s="378"/>
      <c r="L328" s="378"/>
      <c r="M328" s="378"/>
      <c r="N328" s="378"/>
      <c r="O328" s="378"/>
      <c r="P328" s="378"/>
      <c r="Q328" s="378"/>
      <c r="R328" s="378"/>
      <c r="S328" s="378"/>
      <c r="T328" s="378"/>
      <c r="U328" s="378"/>
      <c r="V328" s="378"/>
      <c r="W328" s="378"/>
      <c r="X328" s="378"/>
      <c r="Y328" s="378"/>
      <c r="Z328" s="378"/>
    </row>
    <row r="329" spans="1:26" ht="18">
      <c r="A329" s="378"/>
      <c r="B329" s="378"/>
      <c r="C329" s="378"/>
      <c r="D329" s="384"/>
      <c r="E329" s="378"/>
      <c r="F329" s="378"/>
      <c r="G329" s="378"/>
      <c r="H329" s="378"/>
      <c r="I329" s="378"/>
      <c r="J329" s="378"/>
      <c r="K329" s="378"/>
      <c r="L329" s="378"/>
      <c r="M329" s="378"/>
      <c r="N329" s="378"/>
      <c r="O329" s="378"/>
      <c r="P329" s="378"/>
      <c r="Q329" s="378"/>
      <c r="R329" s="378"/>
      <c r="S329" s="378"/>
      <c r="T329" s="378"/>
      <c r="U329" s="378"/>
      <c r="V329" s="378"/>
      <c r="W329" s="378"/>
      <c r="X329" s="378"/>
      <c r="Y329" s="378"/>
      <c r="Z329" s="378"/>
    </row>
    <row r="330" spans="1:26" ht="18">
      <c r="A330" s="378"/>
      <c r="B330" s="378"/>
      <c r="C330" s="378"/>
      <c r="D330" s="384"/>
      <c r="E330" s="378"/>
      <c r="F330" s="378"/>
      <c r="G330" s="378"/>
      <c r="H330" s="378"/>
      <c r="I330" s="378"/>
      <c r="J330" s="378"/>
      <c r="K330" s="378"/>
      <c r="L330" s="378"/>
      <c r="M330" s="378"/>
      <c r="N330" s="378"/>
      <c r="O330" s="378"/>
      <c r="P330" s="378"/>
      <c r="Q330" s="378"/>
      <c r="R330" s="378"/>
      <c r="S330" s="378"/>
      <c r="T330" s="378"/>
      <c r="U330" s="378"/>
      <c r="V330" s="378"/>
      <c r="W330" s="378"/>
      <c r="X330" s="378"/>
      <c r="Y330" s="378"/>
      <c r="Z330" s="378"/>
    </row>
    <row r="331" spans="1:26" ht="18">
      <c r="A331" s="378"/>
      <c r="B331" s="378"/>
      <c r="C331" s="378"/>
      <c r="D331" s="384"/>
      <c r="E331" s="378"/>
      <c r="F331" s="378"/>
      <c r="G331" s="378"/>
      <c r="H331" s="378"/>
      <c r="I331" s="378"/>
      <c r="J331" s="378"/>
      <c r="K331" s="378"/>
      <c r="L331" s="378"/>
      <c r="M331" s="378"/>
      <c r="N331" s="378"/>
      <c r="O331" s="378"/>
      <c r="P331" s="378"/>
      <c r="Q331" s="378"/>
      <c r="R331" s="378"/>
      <c r="S331" s="378"/>
      <c r="T331" s="378"/>
      <c r="U331" s="378"/>
      <c r="V331" s="378"/>
      <c r="W331" s="378"/>
      <c r="X331" s="378"/>
      <c r="Y331" s="378"/>
      <c r="Z331" s="378"/>
    </row>
    <row r="332" spans="1:26" ht="18">
      <c r="A332" s="378"/>
      <c r="B332" s="378"/>
      <c r="C332" s="378"/>
      <c r="D332" s="384"/>
      <c r="E332" s="378"/>
      <c r="F332" s="378"/>
      <c r="G332" s="378"/>
      <c r="H332" s="378"/>
      <c r="I332" s="378"/>
      <c r="J332" s="378"/>
      <c r="K332" s="378"/>
      <c r="L332" s="378"/>
      <c r="M332" s="378"/>
      <c r="N332" s="378"/>
      <c r="O332" s="378"/>
      <c r="P332" s="378"/>
      <c r="Q332" s="378"/>
      <c r="R332" s="378"/>
      <c r="S332" s="378"/>
      <c r="T332" s="378"/>
      <c r="U332" s="378"/>
      <c r="V332" s="378"/>
      <c r="W332" s="378"/>
      <c r="X332" s="378"/>
      <c r="Y332" s="378"/>
      <c r="Z332" s="378"/>
    </row>
    <row r="333" spans="1:26" ht="18">
      <c r="A333" s="378"/>
      <c r="B333" s="378"/>
      <c r="C333" s="378"/>
      <c r="D333" s="384"/>
      <c r="E333" s="378"/>
      <c r="F333" s="378"/>
      <c r="G333" s="378"/>
      <c r="H333" s="378"/>
      <c r="I333" s="378"/>
      <c r="J333" s="378"/>
      <c r="K333" s="378"/>
      <c r="L333" s="378"/>
      <c r="M333" s="378"/>
      <c r="N333" s="378"/>
      <c r="O333" s="378"/>
      <c r="P333" s="378"/>
      <c r="Q333" s="378"/>
      <c r="R333" s="378"/>
      <c r="S333" s="378"/>
      <c r="T333" s="378"/>
      <c r="U333" s="378"/>
      <c r="V333" s="378"/>
      <c r="W333" s="378"/>
      <c r="X333" s="378"/>
      <c r="Y333" s="378"/>
      <c r="Z333" s="378"/>
    </row>
    <row r="334" spans="1:26" ht="18">
      <c r="A334" s="378"/>
      <c r="B334" s="378"/>
      <c r="C334" s="378"/>
      <c r="D334" s="384"/>
      <c r="E334" s="378"/>
      <c r="F334" s="378"/>
      <c r="G334" s="378"/>
      <c r="H334" s="378"/>
      <c r="I334" s="378"/>
      <c r="J334" s="378"/>
      <c r="K334" s="378"/>
      <c r="L334" s="378"/>
      <c r="M334" s="378"/>
      <c r="N334" s="378"/>
      <c r="O334" s="378"/>
      <c r="P334" s="378"/>
      <c r="Q334" s="378"/>
      <c r="R334" s="378"/>
      <c r="S334" s="378"/>
      <c r="T334" s="378"/>
      <c r="U334" s="378"/>
      <c r="V334" s="378"/>
      <c r="W334" s="378"/>
      <c r="X334" s="378"/>
      <c r="Y334" s="378"/>
      <c r="Z334" s="378"/>
    </row>
    <row r="335" spans="1:26" ht="18">
      <c r="A335" s="378"/>
      <c r="B335" s="378"/>
      <c r="C335" s="378"/>
      <c r="D335" s="384"/>
      <c r="E335" s="378"/>
      <c r="F335" s="378"/>
      <c r="G335" s="378"/>
      <c r="H335" s="378"/>
      <c r="I335" s="378"/>
      <c r="J335" s="378"/>
      <c r="K335" s="378"/>
      <c r="L335" s="378"/>
      <c r="M335" s="378"/>
      <c r="N335" s="378"/>
      <c r="O335" s="378"/>
      <c r="P335" s="378"/>
      <c r="Q335" s="378"/>
      <c r="R335" s="378"/>
      <c r="S335" s="378"/>
      <c r="T335" s="378"/>
      <c r="U335" s="378"/>
      <c r="V335" s="378"/>
      <c r="W335" s="378"/>
      <c r="X335" s="378"/>
      <c r="Y335" s="378"/>
      <c r="Z335" s="378"/>
    </row>
    <row r="336" spans="1:26" ht="18">
      <c r="A336" s="378"/>
      <c r="B336" s="378"/>
      <c r="C336" s="378"/>
      <c r="D336" s="384"/>
      <c r="E336" s="378"/>
      <c r="F336" s="378"/>
      <c r="G336" s="378"/>
      <c r="H336" s="378"/>
      <c r="I336" s="378"/>
      <c r="J336" s="378"/>
      <c r="K336" s="378"/>
      <c r="L336" s="378"/>
      <c r="M336" s="378"/>
      <c r="N336" s="378"/>
      <c r="O336" s="378"/>
      <c r="P336" s="378"/>
      <c r="Q336" s="378"/>
      <c r="R336" s="378"/>
      <c r="S336" s="378"/>
      <c r="T336" s="378"/>
      <c r="U336" s="378"/>
      <c r="V336" s="378"/>
      <c r="W336" s="378"/>
      <c r="X336" s="378"/>
      <c r="Y336" s="378"/>
      <c r="Z336" s="378"/>
    </row>
    <row r="337" spans="1:26" ht="18">
      <c r="A337" s="378"/>
      <c r="B337" s="378"/>
      <c r="C337" s="378"/>
      <c r="D337" s="384"/>
      <c r="E337" s="378"/>
      <c r="F337" s="378"/>
      <c r="G337" s="378"/>
      <c r="H337" s="378"/>
      <c r="I337" s="378"/>
      <c r="J337" s="378"/>
      <c r="K337" s="378"/>
      <c r="L337" s="378"/>
      <c r="M337" s="378"/>
      <c r="N337" s="378"/>
      <c r="O337" s="378"/>
      <c r="P337" s="378"/>
      <c r="Q337" s="378"/>
      <c r="R337" s="378"/>
      <c r="S337" s="378"/>
      <c r="T337" s="378"/>
      <c r="U337" s="378"/>
      <c r="V337" s="378"/>
      <c r="W337" s="378"/>
      <c r="X337" s="378"/>
      <c r="Y337" s="378"/>
      <c r="Z337" s="378"/>
    </row>
    <row r="338" spans="1:26" ht="18">
      <c r="A338" s="378"/>
      <c r="B338" s="378"/>
      <c r="C338" s="378"/>
      <c r="D338" s="384"/>
      <c r="E338" s="378"/>
      <c r="F338" s="378"/>
      <c r="G338" s="378"/>
      <c r="H338" s="378"/>
      <c r="I338" s="378"/>
      <c r="J338" s="378"/>
      <c r="K338" s="378"/>
      <c r="L338" s="378"/>
      <c r="M338" s="378"/>
      <c r="N338" s="378"/>
      <c r="O338" s="378"/>
      <c r="P338" s="378"/>
      <c r="Q338" s="378"/>
      <c r="R338" s="378"/>
      <c r="S338" s="378"/>
      <c r="T338" s="378"/>
      <c r="U338" s="378"/>
      <c r="V338" s="378"/>
      <c r="W338" s="378"/>
      <c r="X338" s="378"/>
      <c r="Y338" s="378"/>
      <c r="Z338" s="378"/>
    </row>
    <row r="339" spans="1:26" ht="18">
      <c r="A339" s="378"/>
      <c r="B339" s="378"/>
      <c r="C339" s="378"/>
      <c r="D339" s="384"/>
      <c r="E339" s="378"/>
      <c r="F339" s="378"/>
      <c r="G339" s="378"/>
      <c r="H339" s="378"/>
      <c r="I339" s="378"/>
      <c r="J339" s="378"/>
      <c r="K339" s="378"/>
      <c r="L339" s="378"/>
      <c r="M339" s="378"/>
      <c r="N339" s="378"/>
      <c r="O339" s="378"/>
      <c r="P339" s="378"/>
      <c r="Q339" s="378"/>
      <c r="R339" s="378"/>
      <c r="S339" s="378"/>
      <c r="T339" s="378"/>
      <c r="U339" s="378"/>
      <c r="V339" s="378"/>
      <c r="W339" s="378"/>
      <c r="X339" s="378"/>
      <c r="Y339" s="378"/>
      <c r="Z339" s="378"/>
    </row>
    <row r="340" spans="1:26" ht="18">
      <c r="A340" s="378"/>
      <c r="B340" s="378"/>
      <c r="C340" s="378"/>
      <c r="D340" s="384"/>
      <c r="E340" s="378"/>
      <c r="F340" s="378"/>
      <c r="G340" s="378"/>
      <c r="H340" s="378"/>
      <c r="I340" s="378"/>
      <c r="J340" s="378"/>
      <c r="K340" s="378"/>
      <c r="L340" s="378"/>
      <c r="M340" s="378"/>
      <c r="N340" s="378"/>
      <c r="O340" s="378"/>
      <c r="P340" s="378"/>
      <c r="Q340" s="378"/>
      <c r="R340" s="378"/>
      <c r="S340" s="378"/>
      <c r="T340" s="378"/>
      <c r="U340" s="378"/>
      <c r="V340" s="378"/>
      <c r="W340" s="378"/>
      <c r="X340" s="378"/>
      <c r="Y340" s="378"/>
      <c r="Z340" s="378"/>
    </row>
    <row r="341" spans="1:26" ht="18">
      <c r="A341" s="378"/>
      <c r="B341" s="378"/>
      <c r="C341" s="378"/>
      <c r="D341" s="384"/>
      <c r="E341" s="378"/>
      <c r="F341" s="378"/>
      <c r="G341" s="378"/>
      <c r="H341" s="378"/>
      <c r="I341" s="378"/>
      <c r="J341" s="378"/>
      <c r="K341" s="378"/>
      <c r="L341" s="378"/>
      <c r="M341" s="378"/>
      <c r="N341" s="378"/>
      <c r="O341" s="378"/>
      <c r="P341" s="378"/>
      <c r="Q341" s="378"/>
      <c r="R341" s="378"/>
      <c r="S341" s="378"/>
      <c r="T341" s="378"/>
      <c r="U341" s="378"/>
      <c r="V341" s="378"/>
      <c r="W341" s="378"/>
      <c r="X341" s="378"/>
      <c r="Y341" s="378"/>
      <c r="Z341" s="378"/>
    </row>
    <row r="342" spans="1:26" ht="18">
      <c r="A342" s="378"/>
      <c r="B342" s="378"/>
      <c r="C342" s="378"/>
      <c r="D342" s="384"/>
      <c r="E342" s="378"/>
      <c r="F342" s="378"/>
      <c r="G342" s="378"/>
      <c r="H342" s="378"/>
      <c r="I342" s="378"/>
      <c r="J342" s="378"/>
      <c r="K342" s="378"/>
      <c r="L342" s="378"/>
      <c r="M342" s="378"/>
      <c r="N342" s="378"/>
      <c r="O342" s="378"/>
      <c r="P342" s="378"/>
      <c r="Q342" s="378"/>
      <c r="R342" s="378"/>
      <c r="S342" s="378"/>
      <c r="T342" s="378"/>
      <c r="U342" s="378"/>
      <c r="V342" s="378"/>
      <c r="W342" s="378"/>
      <c r="X342" s="378"/>
      <c r="Y342" s="378"/>
      <c r="Z342" s="378"/>
    </row>
    <row r="343" spans="1:26" ht="18">
      <c r="A343" s="378"/>
      <c r="B343" s="378"/>
      <c r="C343" s="378"/>
      <c r="D343" s="384"/>
      <c r="E343" s="378"/>
      <c r="F343" s="378"/>
      <c r="G343" s="378"/>
      <c r="H343" s="378"/>
      <c r="I343" s="378"/>
      <c r="J343" s="378"/>
      <c r="K343" s="378"/>
      <c r="L343" s="378"/>
      <c r="M343" s="378"/>
      <c r="N343" s="378"/>
      <c r="O343" s="378"/>
      <c r="P343" s="378"/>
      <c r="Q343" s="378"/>
      <c r="R343" s="378"/>
      <c r="S343" s="378"/>
      <c r="T343" s="378"/>
      <c r="U343" s="378"/>
      <c r="V343" s="378"/>
      <c r="W343" s="378"/>
      <c r="X343" s="378"/>
      <c r="Y343" s="378"/>
      <c r="Z343" s="378"/>
    </row>
    <row r="344" spans="1:26" ht="18">
      <c r="A344" s="378"/>
      <c r="B344" s="378"/>
      <c r="C344" s="378"/>
      <c r="D344" s="384"/>
      <c r="E344" s="378"/>
      <c r="F344" s="378"/>
      <c r="G344" s="378"/>
      <c r="H344" s="378"/>
      <c r="I344" s="378"/>
      <c r="J344" s="378"/>
      <c r="K344" s="378"/>
      <c r="L344" s="378"/>
      <c r="M344" s="378"/>
      <c r="N344" s="378"/>
      <c r="O344" s="378"/>
      <c r="P344" s="378"/>
      <c r="Q344" s="378"/>
      <c r="R344" s="378"/>
      <c r="S344" s="378"/>
      <c r="T344" s="378"/>
      <c r="U344" s="378"/>
      <c r="V344" s="378"/>
      <c r="W344" s="378"/>
      <c r="X344" s="378"/>
      <c r="Y344" s="378"/>
      <c r="Z344" s="378"/>
    </row>
    <row r="345" spans="1:26" ht="18">
      <c r="A345" s="378"/>
      <c r="B345" s="378"/>
      <c r="C345" s="378"/>
      <c r="D345" s="384"/>
      <c r="E345" s="378"/>
      <c r="F345" s="378"/>
      <c r="G345" s="378"/>
      <c r="H345" s="378"/>
      <c r="I345" s="378"/>
      <c r="J345" s="378"/>
      <c r="K345" s="378"/>
      <c r="L345" s="378"/>
      <c r="M345" s="378"/>
      <c r="N345" s="378"/>
      <c r="O345" s="378"/>
      <c r="P345" s="378"/>
      <c r="Q345" s="378"/>
      <c r="R345" s="378"/>
      <c r="S345" s="378"/>
      <c r="T345" s="378"/>
      <c r="U345" s="378"/>
      <c r="V345" s="378"/>
      <c r="W345" s="378"/>
      <c r="X345" s="378"/>
      <c r="Y345" s="378"/>
      <c r="Z345" s="378"/>
    </row>
    <row r="346" spans="1:26" ht="18">
      <c r="A346" s="378"/>
      <c r="B346" s="378"/>
      <c r="C346" s="378"/>
      <c r="D346" s="384"/>
      <c r="E346" s="378"/>
      <c r="F346" s="378"/>
      <c r="G346" s="378"/>
      <c r="H346" s="378"/>
      <c r="I346" s="378"/>
      <c r="J346" s="378"/>
      <c r="K346" s="378"/>
      <c r="L346" s="378"/>
      <c r="M346" s="378"/>
      <c r="N346" s="378"/>
      <c r="O346" s="378"/>
      <c r="P346" s="378"/>
      <c r="Q346" s="378"/>
      <c r="R346" s="378"/>
      <c r="S346" s="378"/>
      <c r="T346" s="378"/>
      <c r="U346" s="378"/>
      <c r="V346" s="378"/>
      <c r="W346" s="378"/>
      <c r="X346" s="378"/>
      <c r="Y346" s="378"/>
      <c r="Z346" s="378"/>
    </row>
    <row r="347" spans="1:26" ht="18">
      <c r="A347" s="378"/>
      <c r="B347" s="378"/>
      <c r="C347" s="378"/>
      <c r="D347" s="384"/>
      <c r="E347" s="378"/>
      <c r="F347" s="378"/>
      <c r="G347" s="378"/>
      <c r="H347" s="378"/>
      <c r="I347" s="378"/>
      <c r="J347" s="378"/>
      <c r="K347" s="378"/>
      <c r="L347" s="378"/>
      <c r="M347" s="378"/>
      <c r="N347" s="378"/>
      <c r="O347" s="378"/>
      <c r="P347" s="378"/>
      <c r="Q347" s="378"/>
      <c r="R347" s="378"/>
      <c r="S347" s="378"/>
      <c r="T347" s="378"/>
      <c r="U347" s="378"/>
      <c r="V347" s="378"/>
      <c r="W347" s="378"/>
      <c r="X347" s="378"/>
      <c r="Y347" s="378"/>
      <c r="Z347" s="378"/>
    </row>
    <row r="348" spans="1:26" ht="18">
      <c r="A348" s="378"/>
      <c r="B348" s="378"/>
      <c r="C348" s="378"/>
      <c r="D348" s="384"/>
      <c r="E348" s="378"/>
      <c r="F348" s="378"/>
      <c r="G348" s="378"/>
      <c r="H348" s="378"/>
      <c r="I348" s="378"/>
      <c r="J348" s="378"/>
      <c r="K348" s="378"/>
      <c r="L348" s="378"/>
      <c r="M348" s="378"/>
      <c r="N348" s="378"/>
      <c r="O348" s="378"/>
      <c r="P348" s="378"/>
      <c r="Q348" s="378"/>
      <c r="R348" s="378"/>
      <c r="S348" s="378"/>
      <c r="T348" s="378"/>
      <c r="U348" s="378"/>
      <c r="V348" s="378"/>
      <c r="W348" s="378"/>
      <c r="X348" s="378"/>
      <c r="Y348" s="378"/>
      <c r="Z348" s="378"/>
    </row>
    <row r="349" spans="1:26" ht="18">
      <c r="A349" s="378"/>
      <c r="B349" s="378"/>
      <c r="C349" s="378"/>
      <c r="D349" s="384"/>
      <c r="E349" s="378"/>
      <c r="F349" s="378"/>
      <c r="G349" s="378"/>
      <c r="H349" s="378"/>
      <c r="I349" s="378"/>
      <c r="J349" s="378"/>
      <c r="K349" s="378"/>
      <c r="L349" s="378"/>
      <c r="M349" s="378"/>
      <c r="N349" s="378"/>
      <c r="O349" s="378"/>
      <c r="P349" s="378"/>
      <c r="Q349" s="378"/>
      <c r="R349" s="378"/>
      <c r="S349" s="378"/>
      <c r="T349" s="378"/>
      <c r="U349" s="378"/>
      <c r="V349" s="378"/>
      <c r="W349" s="378"/>
      <c r="X349" s="378"/>
      <c r="Y349" s="378"/>
      <c r="Z349" s="378"/>
    </row>
    <row r="350" spans="1:26" ht="18">
      <c r="A350" s="378"/>
      <c r="B350" s="378"/>
      <c r="C350" s="378"/>
      <c r="D350" s="384"/>
      <c r="E350" s="378"/>
      <c r="F350" s="378"/>
      <c r="G350" s="378"/>
      <c r="H350" s="378"/>
      <c r="I350" s="378"/>
      <c r="J350" s="378"/>
      <c r="K350" s="378"/>
      <c r="L350" s="378"/>
      <c r="M350" s="378"/>
      <c r="N350" s="378"/>
      <c r="O350" s="378"/>
      <c r="P350" s="378"/>
      <c r="Q350" s="378"/>
      <c r="R350" s="378"/>
      <c r="S350" s="378"/>
      <c r="T350" s="378"/>
      <c r="U350" s="378"/>
      <c r="V350" s="378"/>
      <c r="W350" s="378"/>
      <c r="X350" s="378"/>
      <c r="Y350" s="378"/>
      <c r="Z350" s="378"/>
    </row>
    <row r="351" spans="1:26" ht="18">
      <c r="A351" s="378"/>
      <c r="B351" s="378"/>
      <c r="C351" s="378"/>
      <c r="D351" s="384"/>
      <c r="E351" s="378"/>
      <c r="F351" s="378"/>
      <c r="G351" s="378"/>
      <c r="H351" s="378"/>
      <c r="I351" s="378"/>
      <c r="J351" s="378"/>
      <c r="K351" s="378"/>
      <c r="L351" s="378"/>
      <c r="M351" s="378"/>
      <c r="N351" s="378"/>
      <c r="O351" s="378"/>
      <c r="P351" s="378"/>
      <c r="Q351" s="378"/>
      <c r="R351" s="378"/>
      <c r="S351" s="378"/>
      <c r="T351" s="378"/>
      <c r="U351" s="378"/>
      <c r="V351" s="378"/>
      <c r="W351" s="378"/>
      <c r="X351" s="378"/>
      <c r="Y351" s="378"/>
      <c r="Z351" s="378"/>
    </row>
    <row r="352" spans="1:26" ht="18">
      <c r="A352" s="378"/>
      <c r="B352" s="378"/>
      <c r="C352" s="378"/>
      <c r="D352" s="384"/>
      <c r="E352" s="378"/>
      <c r="F352" s="378"/>
      <c r="G352" s="378"/>
      <c r="H352" s="378"/>
      <c r="I352" s="378"/>
      <c r="J352" s="378"/>
      <c r="K352" s="378"/>
      <c r="L352" s="378"/>
      <c r="M352" s="378"/>
      <c r="N352" s="378"/>
      <c r="O352" s="378"/>
      <c r="P352" s="378"/>
      <c r="Q352" s="378"/>
      <c r="R352" s="378"/>
      <c r="S352" s="378"/>
      <c r="T352" s="378"/>
      <c r="U352" s="378"/>
      <c r="V352" s="378"/>
      <c r="W352" s="378"/>
      <c r="X352" s="378"/>
      <c r="Y352" s="378"/>
      <c r="Z352" s="378"/>
    </row>
    <row r="353" spans="1:26" ht="18">
      <c r="A353" s="378"/>
      <c r="B353" s="378"/>
      <c r="C353" s="378"/>
      <c r="D353" s="384"/>
      <c r="E353" s="378"/>
      <c r="F353" s="378"/>
      <c r="G353" s="378"/>
      <c r="H353" s="378"/>
      <c r="I353" s="378"/>
      <c r="J353" s="378"/>
      <c r="K353" s="378"/>
      <c r="L353" s="378"/>
      <c r="M353" s="378"/>
      <c r="N353" s="378"/>
      <c r="O353" s="378"/>
      <c r="P353" s="378"/>
      <c r="Q353" s="378"/>
      <c r="R353" s="378"/>
      <c r="S353" s="378"/>
      <c r="T353" s="378"/>
      <c r="U353" s="378"/>
      <c r="V353" s="378"/>
      <c r="W353" s="378"/>
      <c r="X353" s="378"/>
      <c r="Y353" s="378"/>
      <c r="Z353" s="378"/>
    </row>
    <row r="354" spans="1:26" ht="18">
      <c r="A354" s="378"/>
      <c r="B354" s="378"/>
      <c r="C354" s="378"/>
      <c r="D354" s="384"/>
      <c r="E354" s="378"/>
      <c r="F354" s="378"/>
      <c r="G354" s="378"/>
      <c r="H354" s="378"/>
      <c r="I354" s="378"/>
      <c r="J354" s="378"/>
      <c r="K354" s="378"/>
      <c r="L354" s="378"/>
      <c r="M354" s="378"/>
      <c r="N354" s="378"/>
      <c r="O354" s="378"/>
      <c r="P354" s="378"/>
      <c r="Q354" s="378"/>
      <c r="R354" s="378"/>
      <c r="S354" s="378"/>
      <c r="T354" s="378"/>
      <c r="U354" s="378"/>
      <c r="V354" s="378"/>
      <c r="W354" s="378"/>
      <c r="X354" s="378"/>
      <c r="Y354" s="378"/>
      <c r="Z354" s="378"/>
    </row>
    <row r="355" spans="1:26" ht="18">
      <c r="A355" s="378"/>
      <c r="B355" s="378"/>
      <c r="C355" s="378"/>
      <c r="D355" s="384"/>
      <c r="E355" s="378"/>
      <c r="F355" s="378"/>
      <c r="G355" s="378"/>
      <c r="H355" s="378"/>
      <c r="I355" s="378"/>
      <c r="J355" s="378"/>
      <c r="K355" s="378"/>
      <c r="L355" s="378"/>
      <c r="M355" s="378"/>
      <c r="N355" s="378"/>
      <c r="O355" s="378"/>
      <c r="P355" s="378"/>
      <c r="Q355" s="378"/>
      <c r="R355" s="378"/>
      <c r="S355" s="378"/>
      <c r="T355" s="378"/>
      <c r="U355" s="378"/>
      <c r="V355" s="378"/>
      <c r="W355" s="378"/>
      <c r="X355" s="378"/>
      <c r="Y355" s="378"/>
      <c r="Z355" s="378"/>
    </row>
    <row r="356" spans="1:26" ht="18">
      <c r="A356" s="378"/>
      <c r="B356" s="378"/>
      <c r="C356" s="378"/>
      <c r="D356" s="384"/>
      <c r="E356" s="378"/>
      <c r="F356" s="378"/>
      <c r="G356" s="378"/>
      <c r="H356" s="378"/>
      <c r="I356" s="378"/>
      <c r="J356" s="378"/>
      <c r="K356" s="378"/>
      <c r="L356" s="378"/>
      <c r="M356" s="378"/>
      <c r="N356" s="378"/>
      <c r="O356" s="378"/>
      <c r="P356" s="378"/>
      <c r="Q356" s="378"/>
      <c r="R356" s="378"/>
      <c r="S356" s="378"/>
      <c r="T356" s="378"/>
      <c r="U356" s="378"/>
      <c r="V356" s="378"/>
      <c r="W356" s="378"/>
      <c r="X356" s="378"/>
      <c r="Y356" s="378"/>
      <c r="Z356" s="378"/>
    </row>
    <row r="357" spans="1:26" ht="18">
      <c r="A357" s="378"/>
      <c r="B357" s="378"/>
      <c r="C357" s="378"/>
      <c r="D357" s="384"/>
      <c r="E357" s="378"/>
      <c r="F357" s="378"/>
      <c r="G357" s="378"/>
      <c r="H357" s="378"/>
      <c r="I357" s="378"/>
      <c r="J357" s="378"/>
      <c r="K357" s="378"/>
      <c r="L357" s="378"/>
      <c r="M357" s="378"/>
      <c r="N357" s="378"/>
      <c r="O357" s="378"/>
      <c r="P357" s="378"/>
      <c r="Q357" s="378"/>
      <c r="R357" s="378"/>
      <c r="S357" s="378"/>
      <c r="T357" s="378"/>
      <c r="U357" s="378"/>
      <c r="V357" s="378"/>
      <c r="W357" s="378"/>
      <c r="X357" s="378"/>
      <c r="Y357" s="378"/>
      <c r="Z357" s="378"/>
    </row>
    <row r="358" spans="1:26" ht="18">
      <c r="A358" s="378"/>
      <c r="B358" s="378"/>
      <c r="C358" s="378"/>
      <c r="D358" s="384"/>
      <c r="E358" s="378"/>
      <c r="F358" s="378"/>
      <c r="G358" s="378"/>
      <c r="H358" s="378"/>
      <c r="I358" s="378"/>
      <c r="J358" s="378"/>
      <c r="K358" s="378"/>
      <c r="L358" s="378"/>
      <c r="M358" s="378"/>
      <c r="N358" s="378"/>
      <c r="O358" s="378"/>
      <c r="P358" s="378"/>
      <c r="Q358" s="378"/>
      <c r="R358" s="378"/>
      <c r="S358" s="378"/>
      <c r="T358" s="378"/>
      <c r="U358" s="378"/>
      <c r="V358" s="378"/>
      <c r="W358" s="378"/>
      <c r="X358" s="378"/>
      <c r="Y358" s="378"/>
      <c r="Z358" s="378"/>
    </row>
    <row r="359" spans="1:26" ht="18">
      <c r="A359" s="378"/>
      <c r="B359" s="378"/>
      <c r="C359" s="378"/>
      <c r="D359" s="384"/>
      <c r="E359" s="378"/>
      <c r="F359" s="378"/>
      <c r="G359" s="378"/>
      <c r="H359" s="378"/>
      <c r="I359" s="378"/>
      <c r="J359" s="378"/>
      <c r="K359" s="378"/>
      <c r="L359" s="378"/>
      <c r="M359" s="378"/>
      <c r="N359" s="378"/>
      <c r="O359" s="378"/>
      <c r="P359" s="378"/>
      <c r="Q359" s="378"/>
      <c r="R359" s="378"/>
      <c r="S359" s="378"/>
      <c r="T359" s="378"/>
      <c r="U359" s="378"/>
      <c r="V359" s="378"/>
      <c r="W359" s="378"/>
      <c r="X359" s="378"/>
      <c r="Y359" s="378"/>
      <c r="Z359" s="378"/>
    </row>
    <row r="360" spans="1:26" ht="18">
      <c r="A360" s="378"/>
      <c r="B360" s="378"/>
      <c r="C360" s="378"/>
      <c r="D360" s="384"/>
      <c r="E360" s="378"/>
      <c r="F360" s="378"/>
      <c r="G360" s="378"/>
      <c r="H360" s="378"/>
      <c r="I360" s="378"/>
      <c r="J360" s="378"/>
      <c r="K360" s="378"/>
      <c r="L360" s="378"/>
      <c r="M360" s="378"/>
      <c r="N360" s="378"/>
      <c r="O360" s="378"/>
      <c r="P360" s="378"/>
      <c r="Q360" s="378"/>
      <c r="R360" s="378"/>
      <c r="S360" s="378"/>
      <c r="T360" s="378"/>
      <c r="U360" s="378"/>
      <c r="V360" s="378"/>
      <c r="W360" s="378"/>
      <c r="X360" s="378"/>
      <c r="Y360" s="378"/>
      <c r="Z360" s="378"/>
    </row>
    <row r="361" spans="1:26" ht="18">
      <c r="A361" s="378"/>
      <c r="B361" s="378"/>
      <c r="C361" s="378"/>
      <c r="D361" s="384"/>
      <c r="E361" s="378"/>
      <c r="F361" s="378"/>
      <c r="G361" s="378"/>
      <c r="H361" s="378"/>
      <c r="I361" s="378"/>
      <c r="J361" s="378"/>
      <c r="K361" s="378"/>
      <c r="L361" s="378"/>
      <c r="M361" s="378"/>
      <c r="N361" s="378"/>
      <c r="O361" s="378"/>
      <c r="P361" s="378"/>
      <c r="Q361" s="378"/>
      <c r="R361" s="378"/>
      <c r="S361" s="378"/>
      <c r="T361" s="378"/>
      <c r="U361" s="378"/>
      <c r="V361" s="378"/>
      <c r="W361" s="378"/>
      <c r="X361" s="378"/>
      <c r="Y361" s="378"/>
      <c r="Z361" s="378"/>
    </row>
    <row r="362" spans="1:26" ht="18">
      <c r="A362" s="378"/>
      <c r="B362" s="378"/>
      <c r="C362" s="378"/>
      <c r="D362" s="384"/>
      <c r="E362" s="378"/>
      <c r="F362" s="378"/>
      <c r="G362" s="378"/>
      <c r="H362" s="378"/>
      <c r="I362" s="378"/>
      <c r="J362" s="378"/>
      <c r="K362" s="378"/>
      <c r="L362" s="378"/>
      <c r="M362" s="378"/>
      <c r="N362" s="378"/>
      <c r="O362" s="378"/>
      <c r="P362" s="378"/>
      <c r="Q362" s="378"/>
      <c r="R362" s="378"/>
      <c r="S362" s="378"/>
      <c r="T362" s="378"/>
      <c r="U362" s="378"/>
      <c r="V362" s="378"/>
      <c r="W362" s="378"/>
      <c r="X362" s="378"/>
      <c r="Y362" s="378"/>
      <c r="Z362" s="378"/>
    </row>
    <row r="363" spans="1:26" ht="18">
      <c r="A363" s="378"/>
      <c r="B363" s="378"/>
      <c r="C363" s="378"/>
      <c r="D363" s="384"/>
      <c r="E363" s="378"/>
      <c r="F363" s="378"/>
      <c r="G363" s="378"/>
      <c r="H363" s="378"/>
      <c r="I363" s="378"/>
      <c r="J363" s="378"/>
      <c r="K363" s="378"/>
      <c r="L363" s="378"/>
      <c r="M363" s="378"/>
      <c r="N363" s="378"/>
      <c r="O363" s="378"/>
      <c r="P363" s="378"/>
      <c r="Q363" s="378"/>
      <c r="R363" s="378"/>
      <c r="S363" s="378"/>
      <c r="T363" s="378"/>
      <c r="U363" s="378"/>
      <c r="V363" s="378"/>
      <c r="W363" s="378"/>
      <c r="X363" s="378"/>
      <c r="Y363" s="378"/>
      <c r="Z363" s="378"/>
    </row>
    <row r="364" spans="1:26" ht="18">
      <c r="A364" s="378"/>
      <c r="B364" s="378"/>
      <c r="C364" s="378"/>
      <c r="D364" s="384"/>
      <c r="E364" s="378"/>
      <c r="F364" s="378"/>
      <c r="G364" s="378"/>
      <c r="H364" s="378"/>
      <c r="I364" s="378"/>
      <c r="J364" s="378"/>
      <c r="K364" s="378"/>
      <c r="L364" s="378"/>
      <c r="M364" s="378"/>
      <c r="N364" s="378"/>
      <c r="O364" s="378"/>
      <c r="P364" s="378"/>
      <c r="Q364" s="378"/>
      <c r="R364" s="378"/>
      <c r="S364" s="378"/>
      <c r="T364" s="378"/>
      <c r="U364" s="378"/>
      <c r="V364" s="378"/>
      <c r="W364" s="378"/>
      <c r="X364" s="378"/>
      <c r="Y364" s="378"/>
      <c r="Z364" s="378"/>
    </row>
    <row r="365" spans="1:26" ht="18">
      <c r="A365" s="378"/>
      <c r="B365" s="378"/>
      <c r="C365" s="378"/>
      <c r="D365" s="384"/>
      <c r="E365" s="378"/>
      <c r="F365" s="378"/>
      <c r="G365" s="378"/>
      <c r="H365" s="378"/>
      <c r="I365" s="378"/>
      <c r="J365" s="378"/>
      <c r="K365" s="378"/>
      <c r="L365" s="378"/>
      <c r="M365" s="378"/>
      <c r="N365" s="378"/>
      <c r="O365" s="378"/>
      <c r="P365" s="378"/>
      <c r="Q365" s="378"/>
      <c r="R365" s="378"/>
      <c r="S365" s="378"/>
      <c r="T365" s="378"/>
      <c r="U365" s="378"/>
      <c r="V365" s="378"/>
      <c r="W365" s="378"/>
      <c r="X365" s="378"/>
      <c r="Y365" s="378"/>
      <c r="Z365" s="378"/>
    </row>
    <row r="366" spans="1:26" ht="18">
      <c r="A366" s="378"/>
      <c r="B366" s="378"/>
      <c r="C366" s="378"/>
      <c r="D366" s="384"/>
      <c r="E366" s="378"/>
      <c r="F366" s="378"/>
      <c r="G366" s="378"/>
      <c r="H366" s="378"/>
      <c r="I366" s="378"/>
      <c r="J366" s="378"/>
      <c r="K366" s="378"/>
      <c r="L366" s="378"/>
      <c r="M366" s="378"/>
      <c r="N366" s="378"/>
      <c r="O366" s="378"/>
      <c r="P366" s="378"/>
      <c r="Q366" s="378"/>
      <c r="R366" s="378"/>
      <c r="S366" s="378"/>
      <c r="T366" s="378"/>
      <c r="U366" s="378"/>
      <c r="V366" s="378"/>
      <c r="W366" s="378"/>
      <c r="X366" s="378"/>
      <c r="Y366" s="378"/>
      <c r="Z366" s="378"/>
    </row>
    <row r="367" spans="1:26" ht="18">
      <c r="A367" s="378"/>
      <c r="B367" s="378"/>
      <c r="C367" s="378"/>
      <c r="D367" s="384"/>
      <c r="E367" s="378"/>
      <c r="F367" s="378"/>
      <c r="G367" s="378"/>
      <c r="H367" s="378"/>
      <c r="I367" s="378"/>
      <c r="J367" s="378"/>
      <c r="K367" s="378"/>
      <c r="L367" s="378"/>
      <c r="M367" s="378"/>
      <c r="N367" s="378"/>
      <c r="O367" s="378"/>
      <c r="P367" s="378"/>
      <c r="Q367" s="378"/>
      <c r="R367" s="378"/>
      <c r="S367" s="378"/>
      <c r="T367" s="378"/>
      <c r="U367" s="378"/>
      <c r="V367" s="378"/>
      <c r="W367" s="378"/>
      <c r="X367" s="378"/>
      <c r="Y367" s="378"/>
      <c r="Z367" s="378"/>
    </row>
    <row r="368" spans="1:26" ht="18">
      <c r="A368" s="378"/>
      <c r="B368" s="378"/>
      <c r="C368" s="378"/>
      <c r="D368" s="384"/>
      <c r="E368" s="378"/>
      <c r="F368" s="378"/>
      <c r="G368" s="378"/>
      <c r="H368" s="378"/>
      <c r="I368" s="378"/>
      <c r="J368" s="378"/>
      <c r="K368" s="378"/>
      <c r="L368" s="378"/>
      <c r="M368" s="378"/>
      <c r="N368" s="378"/>
      <c r="O368" s="378"/>
      <c r="P368" s="378"/>
      <c r="Q368" s="378"/>
      <c r="R368" s="378"/>
      <c r="S368" s="378"/>
      <c r="T368" s="378"/>
      <c r="U368" s="378"/>
      <c r="V368" s="378"/>
      <c r="W368" s="378"/>
      <c r="X368" s="378"/>
      <c r="Y368" s="378"/>
      <c r="Z368" s="378"/>
    </row>
    <row r="369" spans="1:26" ht="18">
      <c r="A369" s="378"/>
      <c r="B369" s="378"/>
      <c r="C369" s="378"/>
      <c r="D369" s="384"/>
      <c r="E369" s="378"/>
      <c r="F369" s="378"/>
      <c r="G369" s="378"/>
      <c r="H369" s="378"/>
      <c r="I369" s="378"/>
      <c r="J369" s="378"/>
      <c r="K369" s="378"/>
      <c r="L369" s="378"/>
      <c r="M369" s="378"/>
      <c r="N369" s="378"/>
      <c r="O369" s="378"/>
      <c r="P369" s="378"/>
      <c r="Q369" s="378"/>
      <c r="R369" s="378"/>
      <c r="S369" s="378"/>
      <c r="T369" s="378"/>
      <c r="U369" s="378"/>
      <c r="V369" s="378"/>
      <c r="W369" s="378"/>
      <c r="X369" s="378"/>
      <c r="Y369" s="378"/>
      <c r="Z369" s="378"/>
    </row>
    <row r="370" spans="1:26" ht="18">
      <c r="A370" s="378"/>
      <c r="B370" s="378"/>
      <c r="C370" s="378"/>
      <c r="D370" s="384"/>
      <c r="E370" s="378"/>
      <c r="F370" s="378"/>
      <c r="G370" s="378"/>
      <c r="H370" s="378"/>
      <c r="I370" s="378"/>
      <c r="J370" s="378"/>
      <c r="K370" s="378"/>
      <c r="L370" s="378"/>
      <c r="M370" s="378"/>
      <c r="N370" s="378"/>
      <c r="O370" s="378"/>
      <c r="P370" s="378"/>
      <c r="Q370" s="378"/>
      <c r="R370" s="378"/>
      <c r="S370" s="378"/>
      <c r="T370" s="378"/>
      <c r="U370" s="378"/>
      <c r="V370" s="378"/>
      <c r="W370" s="378"/>
      <c r="X370" s="378"/>
      <c r="Y370" s="378"/>
      <c r="Z370" s="378"/>
    </row>
    <row r="371" spans="1:26" ht="18">
      <c r="A371" s="378"/>
      <c r="B371" s="378"/>
      <c r="C371" s="378"/>
      <c r="D371" s="384"/>
      <c r="E371" s="378"/>
      <c r="F371" s="378"/>
      <c r="G371" s="378"/>
      <c r="H371" s="378"/>
      <c r="I371" s="378"/>
      <c r="J371" s="378"/>
      <c r="K371" s="378"/>
      <c r="L371" s="378"/>
      <c r="M371" s="378"/>
      <c r="N371" s="378"/>
      <c r="O371" s="378"/>
      <c r="P371" s="378"/>
      <c r="Q371" s="378"/>
      <c r="R371" s="378"/>
      <c r="S371" s="378"/>
      <c r="T371" s="378"/>
      <c r="U371" s="378"/>
      <c r="V371" s="378"/>
      <c r="W371" s="378"/>
      <c r="X371" s="378"/>
      <c r="Y371" s="378"/>
      <c r="Z371" s="378"/>
    </row>
    <row r="372" spans="1:26" ht="18">
      <c r="A372" s="378"/>
      <c r="B372" s="378"/>
      <c r="C372" s="378"/>
      <c r="D372" s="384"/>
      <c r="E372" s="378"/>
      <c r="F372" s="378"/>
      <c r="G372" s="378"/>
      <c r="H372" s="378"/>
      <c r="I372" s="378"/>
      <c r="J372" s="378"/>
      <c r="K372" s="378"/>
      <c r="L372" s="378"/>
      <c r="M372" s="378"/>
      <c r="N372" s="378"/>
      <c r="O372" s="378"/>
      <c r="P372" s="378"/>
      <c r="Q372" s="378"/>
      <c r="R372" s="378"/>
      <c r="S372" s="378"/>
      <c r="T372" s="378"/>
      <c r="U372" s="378"/>
      <c r="V372" s="378"/>
      <c r="W372" s="378"/>
      <c r="X372" s="378"/>
      <c r="Y372" s="378"/>
      <c r="Z372" s="378"/>
    </row>
    <row r="373" spans="1:26" ht="18">
      <c r="A373" s="378"/>
      <c r="B373" s="378"/>
      <c r="C373" s="378"/>
      <c r="D373" s="384"/>
      <c r="E373" s="378"/>
      <c r="F373" s="378"/>
      <c r="G373" s="378"/>
      <c r="H373" s="378"/>
      <c r="I373" s="378"/>
      <c r="J373" s="378"/>
      <c r="K373" s="378"/>
      <c r="L373" s="378"/>
      <c r="M373" s="378"/>
      <c r="N373" s="378"/>
      <c r="O373" s="378"/>
      <c r="P373" s="378"/>
      <c r="Q373" s="378"/>
      <c r="R373" s="378"/>
      <c r="S373" s="378"/>
      <c r="T373" s="378"/>
      <c r="U373" s="378"/>
      <c r="V373" s="378"/>
      <c r="W373" s="378"/>
      <c r="X373" s="378"/>
      <c r="Y373" s="378"/>
      <c r="Z373" s="378"/>
    </row>
    <row r="374" spans="1:26" ht="18">
      <c r="A374" s="378"/>
      <c r="B374" s="378"/>
      <c r="C374" s="378"/>
      <c r="D374" s="384"/>
      <c r="E374" s="378"/>
      <c r="F374" s="378"/>
      <c r="G374" s="378"/>
      <c r="H374" s="378"/>
      <c r="I374" s="378"/>
      <c r="J374" s="378"/>
      <c r="K374" s="378"/>
      <c r="L374" s="378"/>
      <c r="M374" s="378"/>
      <c r="N374" s="378"/>
      <c r="O374" s="378"/>
      <c r="P374" s="378"/>
      <c r="Q374" s="378"/>
      <c r="R374" s="378"/>
      <c r="S374" s="378"/>
      <c r="T374" s="378"/>
      <c r="U374" s="378"/>
      <c r="V374" s="378"/>
      <c r="W374" s="378"/>
      <c r="X374" s="378"/>
      <c r="Y374" s="378"/>
      <c r="Z374" s="378"/>
    </row>
    <row r="375" spans="1:26" ht="18">
      <c r="A375" s="378"/>
      <c r="B375" s="378"/>
      <c r="C375" s="378"/>
      <c r="D375" s="384"/>
      <c r="E375" s="378"/>
      <c r="F375" s="378"/>
      <c r="G375" s="378"/>
      <c r="H375" s="378"/>
      <c r="I375" s="378"/>
      <c r="J375" s="378"/>
      <c r="K375" s="378"/>
      <c r="L375" s="378"/>
      <c r="M375" s="378"/>
      <c r="N375" s="378"/>
      <c r="O375" s="378"/>
      <c r="P375" s="378"/>
      <c r="Q375" s="378"/>
      <c r="R375" s="378"/>
      <c r="S375" s="378"/>
      <c r="T375" s="378"/>
      <c r="U375" s="378"/>
      <c r="V375" s="378"/>
      <c r="W375" s="378"/>
      <c r="X375" s="378"/>
      <c r="Y375" s="378"/>
      <c r="Z375" s="378"/>
    </row>
    <row r="376" spans="1:26" ht="18">
      <c r="A376" s="378"/>
      <c r="B376" s="378"/>
      <c r="C376" s="378"/>
      <c r="D376" s="384"/>
      <c r="E376" s="378"/>
      <c r="F376" s="378"/>
      <c r="G376" s="378"/>
      <c r="H376" s="378"/>
      <c r="I376" s="378"/>
      <c r="J376" s="378"/>
      <c r="K376" s="378"/>
      <c r="L376" s="378"/>
      <c r="M376" s="378"/>
      <c r="N376" s="378"/>
      <c r="O376" s="378"/>
      <c r="P376" s="378"/>
      <c r="Q376" s="378"/>
      <c r="R376" s="378"/>
      <c r="S376" s="378"/>
      <c r="T376" s="378"/>
      <c r="U376" s="378"/>
      <c r="V376" s="378"/>
      <c r="W376" s="378"/>
      <c r="X376" s="378"/>
      <c r="Y376" s="378"/>
      <c r="Z376" s="378"/>
    </row>
    <row r="377" spans="1:26" ht="18">
      <c r="A377" s="378"/>
      <c r="B377" s="378"/>
      <c r="C377" s="378"/>
      <c r="D377" s="384"/>
      <c r="E377" s="378"/>
      <c r="F377" s="378"/>
      <c r="G377" s="378"/>
      <c r="H377" s="378"/>
      <c r="I377" s="378"/>
      <c r="J377" s="378"/>
      <c r="K377" s="378"/>
      <c r="L377" s="378"/>
      <c r="M377" s="378"/>
      <c r="N377" s="378"/>
      <c r="O377" s="378"/>
      <c r="P377" s="378"/>
      <c r="Q377" s="378"/>
      <c r="R377" s="378"/>
      <c r="S377" s="378"/>
      <c r="T377" s="378"/>
      <c r="U377" s="378"/>
      <c r="V377" s="378"/>
      <c r="W377" s="378"/>
      <c r="X377" s="378"/>
      <c r="Y377" s="378"/>
      <c r="Z377" s="378"/>
    </row>
    <row r="378" spans="1:26" ht="18">
      <c r="A378" s="378"/>
      <c r="B378" s="378"/>
      <c r="C378" s="378"/>
      <c r="D378" s="384"/>
      <c r="E378" s="378"/>
      <c r="F378" s="378"/>
      <c r="G378" s="378"/>
      <c r="H378" s="378"/>
      <c r="I378" s="378"/>
      <c r="J378" s="378"/>
      <c r="K378" s="378"/>
      <c r="L378" s="378"/>
      <c r="M378" s="378"/>
      <c r="N378" s="378"/>
      <c r="O378" s="378"/>
      <c r="P378" s="378"/>
      <c r="Q378" s="378"/>
      <c r="R378" s="378"/>
      <c r="S378" s="378"/>
      <c r="T378" s="378"/>
      <c r="U378" s="378"/>
      <c r="V378" s="378"/>
      <c r="W378" s="378"/>
      <c r="X378" s="378"/>
      <c r="Y378" s="378"/>
      <c r="Z378" s="378"/>
    </row>
    <row r="379" spans="1:26" ht="18">
      <c r="A379" s="378"/>
      <c r="B379" s="378"/>
      <c r="C379" s="378"/>
      <c r="D379" s="384"/>
      <c r="E379" s="378"/>
      <c r="F379" s="378"/>
      <c r="G379" s="378"/>
      <c r="H379" s="378"/>
      <c r="I379" s="378"/>
      <c r="J379" s="378"/>
      <c r="K379" s="378"/>
      <c r="L379" s="378"/>
      <c r="M379" s="378"/>
      <c r="N379" s="378"/>
      <c r="O379" s="378"/>
      <c r="P379" s="378"/>
      <c r="Q379" s="378"/>
      <c r="R379" s="378"/>
      <c r="S379" s="378"/>
      <c r="T379" s="378"/>
      <c r="U379" s="378"/>
      <c r="V379" s="378"/>
      <c r="W379" s="378"/>
      <c r="X379" s="378"/>
      <c r="Y379" s="378"/>
      <c r="Z379" s="378"/>
    </row>
    <row r="380" spans="1:26" ht="18">
      <c r="A380" s="378"/>
      <c r="B380" s="378"/>
      <c r="C380" s="378"/>
      <c r="D380" s="384"/>
      <c r="E380" s="378"/>
      <c r="F380" s="378"/>
      <c r="G380" s="378"/>
      <c r="H380" s="378"/>
      <c r="I380" s="378"/>
      <c r="J380" s="378"/>
      <c r="K380" s="378"/>
      <c r="L380" s="378"/>
      <c r="M380" s="378"/>
      <c r="N380" s="378"/>
      <c r="O380" s="378"/>
      <c r="P380" s="378"/>
      <c r="Q380" s="378"/>
      <c r="R380" s="378"/>
      <c r="S380" s="378"/>
      <c r="T380" s="378"/>
      <c r="U380" s="378"/>
      <c r="V380" s="378"/>
      <c r="W380" s="378"/>
      <c r="X380" s="378"/>
      <c r="Y380" s="378"/>
      <c r="Z380" s="378"/>
    </row>
    <row r="381" spans="1:26" ht="18">
      <c r="A381" s="378"/>
      <c r="B381" s="378"/>
      <c r="C381" s="378"/>
      <c r="D381" s="384"/>
      <c r="E381" s="378"/>
      <c r="F381" s="378"/>
      <c r="G381" s="378"/>
      <c r="H381" s="378"/>
      <c r="I381" s="378"/>
      <c r="J381" s="378"/>
      <c r="K381" s="378"/>
      <c r="L381" s="378"/>
      <c r="M381" s="378"/>
      <c r="N381" s="378"/>
      <c r="O381" s="378"/>
      <c r="P381" s="378"/>
      <c r="Q381" s="378"/>
      <c r="R381" s="378"/>
      <c r="S381" s="378"/>
      <c r="T381" s="378"/>
      <c r="U381" s="378"/>
      <c r="V381" s="378"/>
      <c r="W381" s="378"/>
      <c r="X381" s="378"/>
      <c r="Y381" s="378"/>
      <c r="Z381" s="378"/>
    </row>
    <row r="382" spans="1:26" ht="18">
      <c r="A382" s="378"/>
      <c r="B382" s="378"/>
      <c r="C382" s="378"/>
      <c r="D382" s="384"/>
      <c r="E382" s="378"/>
      <c r="F382" s="378"/>
      <c r="G382" s="378"/>
      <c r="H382" s="378"/>
      <c r="I382" s="378"/>
      <c r="J382" s="378"/>
      <c r="K382" s="378"/>
      <c r="L382" s="378"/>
      <c r="M382" s="378"/>
      <c r="N382" s="378"/>
      <c r="O382" s="378"/>
      <c r="P382" s="378"/>
      <c r="Q382" s="378"/>
      <c r="R382" s="378"/>
      <c r="S382" s="378"/>
      <c r="T382" s="378"/>
      <c r="U382" s="378"/>
      <c r="V382" s="378"/>
      <c r="W382" s="378"/>
      <c r="X382" s="378"/>
      <c r="Y382" s="378"/>
      <c r="Z382" s="378"/>
    </row>
    <row r="383" spans="1:26" ht="18">
      <c r="A383" s="378"/>
      <c r="B383" s="378"/>
      <c r="C383" s="378"/>
      <c r="D383" s="384"/>
      <c r="E383" s="378"/>
      <c r="F383" s="378"/>
      <c r="G383" s="378"/>
      <c r="H383" s="378"/>
      <c r="I383" s="378"/>
      <c r="J383" s="378"/>
      <c r="K383" s="378"/>
      <c r="L383" s="378"/>
      <c r="M383" s="378"/>
      <c r="N383" s="378"/>
      <c r="O383" s="378"/>
      <c r="P383" s="378"/>
      <c r="Q383" s="378"/>
      <c r="R383" s="378"/>
      <c r="S383" s="378"/>
      <c r="T383" s="378"/>
      <c r="U383" s="378"/>
      <c r="V383" s="378"/>
      <c r="W383" s="378"/>
      <c r="X383" s="378"/>
      <c r="Y383" s="378"/>
      <c r="Z383" s="378"/>
    </row>
    <row r="384" spans="1:26" ht="18">
      <c r="A384" s="378"/>
      <c r="B384" s="378"/>
      <c r="C384" s="378"/>
      <c r="D384" s="384"/>
      <c r="E384" s="378"/>
      <c r="F384" s="378"/>
      <c r="G384" s="378"/>
      <c r="H384" s="378"/>
      <c r="I384" s="378"/>
      <c r="J384" s="378"/>
      <c r="K384" s="378"/>
      <c r="L384" s="378"/>
      <c r="M384" s="378"/>
      <c r="N384" s="378"/>
      <c r="O384" s="378"/>
      <c r="P384" s="378"/>
      <c r="Q384" s="378"/>
      <c r="R384" s="378"/>
      <c r="S384" s="378"/>
      <c r="T384" s="378"/>
      <c r="U384" s="378"/>
      <c r="V384" s="378"/>
      <c r="W384" s="378"/>
      <c r="X384" s="378"/>
      <c r="Y384" s="378"/>
      <c r="Z384" s="378"/>
    </row>
    <row r="385" spans="1:26" ht="18">
      <c r="A385" s="378"/>
      <c r="B385" s="378"/>
      <c r="C385" s="378"/>
      <c r="D385" s="384"/>
      <c r="E385" s="378"/>
      <c r="F385" s="378"/>
      <c r="G385" s="378"/>
      <c r="H385" s="378"/>
      <c r="I385" s="378"/>
      <c r="J385" s="378"/>
      <c r="K385" s="378"/>
      <c r="L385" s="378"/>
      <c r="M385" s="378"/>
      <c r="N385" s="378"/>
      <c r="O385" s="378"/>
      <c r="P385" s="378"/>
      <c r="Q385" s="378"/>
      <c r="R385" s="378"/>
      <c r="S385" s="378"/>
      <c r="T385" s="378"/>
      <c r="U385" s="378"/>
      <c r="V385" s="378"/>
      <c r="W385" s="378"/>
      <c r="X385" s="378"/>
      <c r="Y385" s="378"/>
      <c r="Z385" s="378"/>
    </row>
    <row r="386" spans="1:26" ht="18">
      <c r="A386" s="378"/>
      <c r="B386" s="378"/>
      <c r="C386" s="378"/>
      <c r="D386" s="384"/>
      <c r="E386" s="378"/>
      <c r="F386" s="378"/>
      <c r="G386" s="378"/>
      <c r="H386" s="378"/>
      <c r="I386" s="378"/>
      <c r="J386" s="378"/>
      <c r="K386" s="378"/>
      <c r="L386" s="378"/>
      <c r="M386" s="378"/>
      <c r="N386" s="378"/>
      <c r="O386" s="378"/>
      <c r="P386" s="378"/>
      <c r="Q386" s="378"/>
      <c r="R386" s="378"/>
      <c r="S386" s="378"/>
      <c r="T386" s="378"/>
      <c r="U386" s="378"/>
      <c r="V386" s="378"/>
      <c r="W386" s="378"/>
      <c r="X386" s="378"/>
      <c r="Y386" s="378"/>
      <c r="Z386" s="378"/>
    </row>
    <row r="387" spans="1:26" ht="18">
      <c r="A387" s="378"/>
      <c r="B387" s="378"/>
      <c r="C387" s="378"/>
      <c r="D387" s="384"/>
      <c r="E387" s="378"/>
      <c r="F387" s="378"/>
      <c r="G387" s="378"/>
      <c r="H387" s="378"/>
      <c r="I387" s="378"/>
      <c r="J387" s="378"/>
      <c r="K387" s="378"/>
      <c r="L387" s="378"/>
      <c r="M387" s="378"/>
      <c r="N387" s="378"/>
      <c r="O387" s="378"/>
      <c r="P387" s="378"/>
      <c r="Q387" s="378"/>
      <c r="R387" s="378"/>
      <c r="S387" s="378"/>
      <c r="T387" s="378"/>
      <c r="U387" s="378"/>
      <c r="V387" s="378"/>
      <c r="W387" s="378"/>
      <c r="X387" s="378"/>
      <c r="Y387" s="378"/>
      <c r="Z387" s="378"/>
    </row>
    <row r="388" spans="1:26" ht="18">
      <c r="A388" s="378"/>
      <c r="B388" s="378"/>
      <c r="C388" s="378"/>
      <c r="D388" s="384"/>
      <c r="E388" s="378"/>
      <c r="F388" s="378"/>
      <c r="G388" s="378"/>
      <c r="H388" s="378"/>
      <c r="I388" s="378"/>
      <c r="J388" s="378"/>
      <c r="K388" s="378"/>
      <c r="L388" s="378"/>
      <c r="M388" s="378"/>
      <c r="N388" s="378"/>
      <c r="O388" s="378"/>
      <c r="P388" s="378"/>
      <c r="Q388" s="378"/>
      <c r="R388" s="378"/>
      <c r="S388" s="378"/>
      <c r="T388" s="378"/>
      <c r="U388" s="378"/>
      <c r="V388" s="378"/>
      <c r="W388" s="378"/>
      <c r="X388" s="378"/>
      <c r="Y388" s="378"/>
      <c r="Z388" s="378"/>
    </row>
    <row r="389" spans="1:26" ht="18">
      <c r="A389" s="378"/>
      <c r="B389" s="378"/>
      <c r="C389" s="378"/>
      <c r="D389" s="384"/>
      <c r="E389" s="378"/>
      <c r="F389" s="378"/>
      <c r="G389" s="378"/>
      <c r="H389" s="378"/>
      <c r="I389" s="378"/>
      <c r="J389" s="378"/>
      <c r="K389" s="378"/>
      <c r="L389" s="378"/>
      <c r="M389" s="378"/>
      <c r="N389" s="378"/>
      <c r="O389" s="378"/>
      <c r="P389" s="378"/>
      <c r="Q389" s="378"/>
      <c r="R389" s="378"/>
      <c r="S389" s="378"/>
      <c r="T389" s="378"/>
      <c r="U389" s="378"/>
      <c r="V389" s="378"/>
      <c r="W389" s="378"/>
      <c r="X389" s="378"/>
      <c r="Y389" s="378"/>
      <c r="Z389" s="378"/>
    </row>
    <row r="390" spans="1:26" ht="18">
      <c r="A390" s="378"/>
      <c r="B390" s="378"/>
      <c r="C390" s="378"/>
      <c r="D390" s="384"/>
      <c r="E390" s="378"/>
      <c r="F390" s="378"/>
      <c r="G390" s="378"/>
      <c r="H390" s="378"/>
      <c r="I390" s="378"/>
      <c r="J390" s="378"/>
      <c r="K390" s="378"/>
      <c r="L390" s="378"/>
      <c r="M390" s="378"/>
      <c r="N390" s="378"/>
      <c r="O390" s="378"/>
      <c r="P390" s="378"/>
      <c r="Q390" s="378"/>
      <c r="R390" s="378"/>
      <c r="S390" s="378"/>
      <c r="T390" s="378"/>
      <c r="U390" s="378"/>
      <c r="V390" s="378"/>
      <c r="W390" s="378"/>
      <c r="X390" s="378"/>
      <c r="Y390" s="378"/>
      <c r="Z390" s="378"/>
    </row>
    <row r="391" spans="1:26" ht="18">
      <c r="A391" s="378"/>
      <c r="B391" s="378"/>
      <c r="C391" s="378"/>
      <c r="D391" s="384"/>
      <c r="E391" s="378"/>
      <c r="F391" s="378"/>
      <c r="G391" s="378"/>
      <c r="H391" s="378"/>
      <c r="I391" s="378"/>
      <c r="J391" s="378"/>
      <c r="K391" s="378"/>
      <c r="L391" s="378"/>
      <c r="M391" s="378"/>
      <c r="N391" s="378"/>
      <c r="O391" s="378"/>
      <c r="P391" s="378"/>
      <c r="Q391" s="378"/>
      <c r="R391" s="378"/>
      <c r="S391" s="378"/>
      <c r="T391" s="378"/>
      <c r="U391" s="378"/>
      <c r="V391" s="378"/>
      <c r="W391" s="378"/>
      <c r="X391" s="378"/>
      <c r="Y391" s="378"/>
      <c r="Z391" s="378"/>
    </row>
    <row r="392" spans="1:26" ht="18">
      <c r="A392" s="378"/>
      <c r="B392" s="378"/>
      <c r="C392" s="378"/>
      <c r="D392" s="384"/>
      <c r="E392" s="378"/>
      <c r="F392" s="378"/>
      <c r="G392" s="378"/>
      <c r="H392" s="378"/>
      <c r="I392" s="378"/>
      <c r="J392" s="378"/>
      <c r="K392" s="378"/>
      <c r="L392" s="378"/>
      <c r="M392" s="378"/>
      <c r="N392" s="378"/>
      <c r="O392" s="378"/>
      <c r="P392" s="378"/>
      <c r="Q392" s="378"/>
      <c r="R392" s="378"/>
      <c r="S392" s="378"/>
      <c r="T392" s="378"/>
      <c r="U392" s="378"/>
      <c r="V392" s="378"/>
      <c r="W392" s="378"/>
      <c r="X392" s="378"/>
      <c r="Y392" s="378"/>
      <c r="Z392" s="378"/>
    </row>
    <row r="393" spans="1:26" ht="18">
      <c r="A393" s="378"/>
      <c r="B393" s="378"/>
      <c r="C393" s="378"/>
      <c r="D393" s="384"/>
      <c r="E393" s="378"/>
      <c r="F393" s="378"/>
      <c r="G393" s="378"/>
      <c r="H393" s="378"/>
      <c r="I393" s="378"/>
      <c r="J393" s="378"/>
      <c r="K393" s="378"/>
      <c r="L393" s="378"/>
      <c r="M393" s="378"/>
      <c r="N393" s="378"/>
      <c r="O393" s="378"/>
      <c r="P393" s="378"/>
      <c r="Q393" s="378"/>
      <c r="R393" s="378"/>
      <c r="S393" s="378"/>
      <c r="T393" s="378"/>
      <c r="U393" s="378"/>
      <c r="V393" s="378"/>
      <c r="W393" s="378"/>
      <c r="X393" s="378"/>
      <c r="Y393" s="378"/>
      <c r="Z393" s="378"/>
    </row>
    <row r="394" spans="1:26" ht="18">
      <c r="A394" s="378"/>
      <c r="B394" s="378"/>
      <c r="C394" s="378"/>
      <c r="D394" s="384"/>
      <c r="E394" s="378"/>
      <c r="F394" s="378"/>
      <c r="G394" s="378"/>
      <c r="H394" s="378"/>
      <c r="I394" s="378"/>
      <c r="J394" s="378"/>
      <c r="K394" s="378"/>
      <c r="L394" s="378"/>
      <c r="M394" s="378"/>
      <c r="N394" s="378"/>
      <c r="O394" s="378"/>
      <c r="P394" s="378"/>
      <c r="Q394" s="378"/>
      <c r="R394" s="378"/>
      <c r="S394" s="378"/>
      <c r="T394" s="378"/>
      <c r="U394" s="378"/>
      <c r="V394" s="378"/>
      <c r="W394" s="378"/>
      <c r="X394" s="378"/>
      <c r="Y394" s="378"/>
      <c r="Z394" s="378"/>
    </row>
    <row r="395" spans="1:26" ht="18">
      <c r="A395" s="378"/>
      <c r="B395" s="378"/>
      <c r="C395" s="378"/>
      <c r="D395" s="384"/>
      <c r="E395" s="378"/>
      <c r="F395" s="378"/>
      <c r="G395" s="378"/>
      <c r="H395" s="378"/>
      <c r="I395" s="378"/>
      <c r="J395" s="378"/>
      <c r="K395" s="378"/>
      <c r="L395" s="378"/>
      <c r="M395" s="378"/>
      <c r="N395" s="378"/>
      <c r="O395" s="378"/>
      <c r="P395" s="378"/>
      <c r="Q395" s="378"/>
      <c r="R395" s="378"/>
      <c r="S395" s="378"/>
      <c r="T395" s="378"/>
      <c r="U395" s="378"/>
      <c r="V395" s="378"/>
      <c r="W395" s="378"/>
      <c r="X395" s="378"/>
      <c r="Y395" s="378"/>
      <c r="Z395" s="378"/>
    </row>
    <row r="396" spans="1:26" ht="18">
      <c r="A396" s="378"/>
      <c r="B396" s="378"/>
      <c r="C396" s="378"/>
      <c r="D396" s="384"/>
      <c r="E396" s="378"/>
      <c r="F396" s="378"/>
      <c r="G396" s="378"/>
      <c r="H396" s="378"/>
      <c r="I396" s="378"/>
      <c r="J396" s="378"/>
      <c r="K396" s="378"/>
      <c r="L396" s="378"/>
      <c r="M396" s="378"/>
      <c r="N396" s="378"/>
      <c r="O396" s="378"/>
      <c r="P396" s="378"/>
      <c r="Q396" s="378"/>
      <c r="R396" s="378"/>
      <c r="S396" s="378"/>
      <c r="T396" s="378"/>
      <c r="U396" s="378"/>
      <c r="V396" s="378"/>
      <c r="W396" s="378"/>
      <c r="X396" s="378"/>
      <c r="Y396" s="378"/>
      <c r="Z396" s="378"/>
    </row>
    <row r="397" spans="1:26" ht="18">
      <c r="A397" s="378"/>
      <c r="B397" s="378"/>
      <c r="C397" s="378"/>
      <c r="D397" s="384"/>
      <c r="E397" s="378"/>
      <c r="F397" s="378"/>
      <c r="G397" s="378"/>
      <c r="H397" s="378"/>
      <c r="I397" s="378"/>
      <c r="J397" s="378"/>
      <c r="K397" s="378"/>
      <c r="L397" s="378"/>
      <c r="M397" s="378"/>
      <c r="N397" s="378"/>
      <c r="O397" s="378"/>
      <c r="P397" s="378"/>
      <c r="Q397" s="378"/>
      <c r="R397" s="378"/>
      <c r="S397" s="378"/>
      <c r="T397" s="378"/>
      <c r="U397" s="378"/>
      <c r="V397" s="378"/>
      <c r="W397" s="378"/>
      <c r="X397" s="378"/>
      <c r="Y397" s="378"/>
      <c r="Z397" s="378"/>
    </row>
    <row r="398" spans="1:26" ht="18">
      <c r="A398" s="378"/>
      <c r="B398" s="378"/>
      <c r="C398" s="378"/>
      <c r="D398" s="384"/>
      <c r="E398" s="378"/>
      <c r="F398" s="378"/>
      <c r="G398" s="378"/>
      <c r="H398" s="378"/>
      <c r="I398" s="378"/>
      <c r="J398" s="378"/>
      <c r="K398" s="378"/>
      <c r="L398" s="378"/>
      <c r="M398" s="378"/>
      <c r="N398" s="378"/>
      <c r="O398" s="378"/>
      <c r="P398" s="378"/>
      <c r="Q398" s="378"/>
      <c r="R398" s="378"/>
      <c r="S398" s="378"/>
      <c r="T398" s="378"/>
      <c r="U398" s="378"/>
      <c r="V398" s="378"/>
      <c r="W398" s="378"/>
      <c r="X398" s="378"/>
      <c r="Y398" s="378"/>
      <c r="Z398" s="378"/>
    </row>
    <row r="399" spans="1:26" ht="18">
      <c r="A399" s="378"/>
      <c r="B399" s="378"/>
      <c r="C399" s="378"/>
      <c r="D399" s="384"/>
      <c r="E399" s="378"/>
      <c r="F399" s="378"/>
      <c r="G399" s="378"/>
      <c r="H399" s="378"/>
      <c r="I399" s="378"/>
      <c r="J399" s="378"/>
      <c r="K399" s="378"/>
      <c r="L399" s="378"/>
      <c r="M399" s="378"/>
      <c r="N399" s="378"/>
      <c r="O399" s="378"/>
      <c r="P399" s="378"/>
      <c r="Q399" s="378"/>
      <c r="R399" s="378"/>
      <c r="S399" s="378"/>
      <c r="T399" s="378"/>
      <c r="U399" s="378"/>
      <c r="V399" s="378"/>
      <c r="W399" s="378"/>
      <c r="X399" s="378"/>
      <c r="Y399" s="378"/>
      <c r="Z399" s="378"/>
    </row>
    <row r="400" spans="1:26" ht="18">
      <c r="A400" s="378"/>
      <c r="B400" s="378"/>
      <c r="C400" s="378"/>
      <c r="D400" s="384"/>
      <c r="E400" s="378"/>
      <c r="F400" s="378"/>
      <c r="G400" s="378"/>
      <c r="H400" s="378"/>
      <c r="I400" s="378"/>
      <c r="J400" s="378"/>
      <c r="K400" s="378"/>
      <c r="L400" s="378"/>
      <c r="M400" s="378"/>
      <c r="N400" s="378"/>
      <c r="O400" s="378"/>
      <c r="P400" s="378"/>
      <c r="Q400" s="378"/>
      <c r="R400" s="378"/>
      <c r="S400" s="378"/>
      <c r="T400" s="378"/>
      <c r="U400" s="378"/>
      <c r="V400" s="378"/>
      <c r="W400" s="378"/>
      <c r="X400" s="378"/>
      <c r="Y400" s="378"/>
      <c r="Z400" s="378"/>
    </row>
    <row r="401" spans="1:26" ht="18">
      <c r="A401" s="378"/>
      <c r="B401" s="378"/>
      <c r="C401" s="378"/>
      <c r="D401" s="384"/>
      <c r="E401" s="378"/>
      <c r="F401" s="378"/>
      <c r="G401" s="378"/>
      <c r="H401" s="378"/>
      <c r="I401" s="378"/>
      <c r="J401" s="378"/>
      <c r="K401" s="378"/>
      <c r="L401" s="378"/>
      <c r="M401" s="378"/>
      <c r="N401" s="378"/>
      <c r="O401" s="378"/>
      <c r="P401" s="378"/>
      <c r="Q401" s="378"/>
      <c r="R401" s="378"/>
      <c r="S401" s="378"/>
      <c r="T401" s="378"/>
      <c r="U401" s="378"/>
      <c r="V401" s="378"/>
      <c r="W401" s="378"/>
      <c r="X401" s="378"/>
      <c r="Y401" s="378"/>
      <c r="Z401" s="378"/>
    </row>
    <row r="402" spans="1:26" ht="18">
      <c r="A402" s="378"/>
      <c r="B402" s="378"/>
      <c r="C402" s="378"/>
      <c r="D402" s="384"/>
      <c r="E402" s="378"/>
      <c r="F402" s="378"/>
      <c r="G402" s="378"/>
      <c r="H402" s="378"/>
      <c r="I402" s="378"/>
      <c r="J402" s="378"/>
      <c r="K402" s="378"/>
      <c r="L402" s="378"/>
      <c r="M402" s="378"/>
      <c r="N402" s="378"/>
      <c r="O402" s="378"/>
      <c r="P402" s="378"/>
      <c r="Q402" s="378"/>
      <c r="R402" s="378"/>
      <c r="S402" s="378"/>
      <c r="T402" s="378"/>
      <c r="U402" s="378"/>
      <c r="V402" s="378"/>
      <c r="W402" s="378"/>
      <c r="X402" s="378"/>
      <c r="Y402" s="378"/>
      <c r="Z402" s="378"/>
    </row>
    <row r="403" spans="1:26" ht="18">
      <c r="A403" s="378"/>
      <c r="B403" s="378"/>
      <c r="C403" s="378"/>
      <c r="D403" s="384"/>
      <c r="E403" s="378"/>
      <c r="F403" s="378"/>
      <c r="G403" s="378"/>
      <c r="H403" s="378"/>
      <c r="I403" s="378"/>
      <c r="J403" s="378"/>
      <c r="K403" s="378"/>
      <c r="L403" s="378"/>
      <c r="M403" s="378"/>
      <c r="N403" s="378"/>
      <c r="O403" s="378"/>
      <c r="P403" s="378"/>
      <c r="Q403" s="378"/>
      <c r="R403" s="378"/>
      <c r="S403" s="378"/>
      <c r="T403" s="378"/>
      <c r="U403" s="378"/>
      <c r="V403" s="378"/>
      <c r="W403" s="378"/>
      <c r="X403" s="378"/>
      <c r="Y403" s="378"/>
      <c r="Z403" s="378"/>
    </row>
    <row r="404" spans="1:26" ht="18">
      <c r="A404" s="378"/>
      <c r="B404" s="378"/>
      <c r="C404" s="378"/>
      <c r="D404" s="384"/>
      <c r="E404" s="378"/>
      <c r="F404" s="378"/>
      <c r="G404" s="378"/>
      <c r="H404" s="378"/>
      <c r="I404" s="378"/>
      <c r="J404" s="378"/>
      <c r="K404" s="378"/>
      <c r="L404" s="378"/>
      <c r="M404" s="378"/>
      <c r="N404" s="378"/>
      <c r="O404" s="378"/>
      <c r="P404" s="378"/>
      <c r="Q404" s="378"/>
      <c r="R404" s="378"/>
      <c r="S404" s="378"/>
      <c r="T404" s="378"/>
      <c r="U404" s="378"/>
      <c r="V404" s="378"/>
      <c r="W404" s="378"/>
      <c r="X404" s="378"/>
      <c r="Y404" s="378"/>
      <c r="Z404" s="378"/>
    </row>
    <row r="405" spans="1:26" ht="18">
      <c r="A405" s="378"/>
      <c r="B405" s="378"/>
      <c r="C405" s="378"/>
      <c r="D405" s="384"/>
      <c r="E405" s="378"/>
      <c r="F405" s="378"/>
      <c r="G405" s="378"/>
      <c r="H405" s="378"/>
      <c r="I405" s="378"/>
      <c r="J405" s="378"/>
      <c r="K405" s="378"/>
      <c r="L405" s="378"/>
      <c r="M405" s="378"/>
      <c r="N405" s="378"/>
      <c r="O405" s="378"/>
      <c r="P405" s="378"/>
      <c r="Q405" s="378"/>
      <c r="R405" s="378"/>
      <c r="S405" s="378"/>
      <c r="T405" s="378"/>
      <c r="U405" s="378"/>
      <c r="V405" s="378"/>
      <c r="W405" s="378"/>
      <c r="X405" s="378"/>
      <c r="Y405" s="378"/>
      <c r="Z405" s="378"/>
    </row>
    <row r="406" spans="1:26" ht="18">
      <c r="A406" s="378"/>
      <c r="B406" s="378"/>
      <c r="C406" s="378"/>
      <c r="D406" s="384"/>
      <c r="E406" s="378"/>
      <c r="F406" s="378"/>
      <c r="G406" s="378"/>
      <c r="H406" s="378"/>
      <c r="I406" s="378"/>
      <c r="J406" s="378"/>
      <c r="K406" s="378"/>
      <c r="L406" s="378"/>
      <c r="M406" s="378"/>
      <c r="N406" s="378"/>
      <c r="O406" s="378"/>
      <c r="P406" s="378"/>
      <c r="Q406" s="378"/>
      <c r="R406" s="378"/>
      <c r="S406" s="378"/>
      <c r="T406" s="378"/>
      <c r="U406" s="378"/>
      <c r="V406" s="378"/>
      <c r="W406" s="378"/>
      <c r="X406" s="378"/>
      <c r="Y406" s="378"/>
      <c r="Z406" s="378"/>
    </row>
    <row r="407" spans="1:26" ht="18">
      <c r="A407" s="378"/>
      <c r="B407" s="378"/>
      <c r="C407" s="378"/>
      <c r="D407" s="384"/>
      <c r="E407" s="378"/>
      <c r="F407" s="378"/>
      <c r="G407" s="378"/>
      <c r="H407" s="378"/>
      <c r="I407" s="378"/>
      <c r="J407" s="378"/>
      <c r="K407" s="378"/>
      <c r="L407" s="378"/>
      <c r="M407" s="378"/>
      <c r="N407" s="378"/>
      <c r="O407" s="378"/>
      <c r="P407" s="378"/>
      <c r="Q407" s="378"/>
      <c r="R407" s="378"/>
      <c r="S407" s="378"/>
      <c r="T407" s="378"/>
      <c r="U407" s="378"/>
      <c r="V407" s="378"/>
      <c r="W407" s="378"/>
      <c r="X407" s="378"/>
      <c r="Y407" s="378"/>
      <c r="Z407" s="378"/>
    </row>
    <row r="408" spans="1:26" ht="18">
      <c r="A408" s="378"/>
      <c r="B408" s="378"/>
      <c r="C408" s="378"/>
      <c r="D408" s="384"/>
      <c r="E408" s="378"/>
      <c r="F408" s="378"/>
      <c r="G408" s="378"/>
      <c r="H408" s="378"/>
      <c r="I408" s="378"/>
      <c r="J408" s="378"/>
      <c r="K408" s="378"/>
      <c r="L408" s="378"/>
      <c r="M408" s="378"/>
      <c r="N408" s="378"/>
      <c r="O408" s="378"/>
      <c r="P408" s="378"/>
      <c r="Q408" s="378"/>
      <c r="R408" s="378"/>
      <c r="S408" s="378"/>
      <c r="T408" s="378"/>
      <c r="U408" s="378"/>
      <c r="V408" s="378"/>
      <c r="W408" s="378"/>
      <c r="X408" s="378"/>
      <c r="Y408" s="378"/>
      <c r="Z408" s="378"/>
    </row>
    <row r="409" spans="1:26" ht="18">
      <c r="A409" s="378"/>
      <c r="B409" s="378"/>
      <c r="C409" s="378"/>
      <c r="D409" s="384"/>
      <c r="E409" s="378"/>
      <c r="F409" s="378"/>
      <c r="G409" s="378"/>
      <c r="H409" s="378"/>
      <c r="I409" s="378"/>
      <c r="J409" s="378"/>
      <c r="K409" s="378"/>
      <c r="L409" s="378"/>
      <c r="M409" s="378"/>
      <c r="N409" s="378"/>
      <c r="O409" s="378"/>
      <c r="P409" s="378"/>
      <c r="Q409" s="378"/>
      <c r="R409" s="378"/>
      <c r="S409" s="378"/>
      <c r="T409" s="378"/>
      <c r="U409" s="378"/>
      <c r="V409" s="378"/>
      <c r="W409" s="378"/>
      <c r="X409" s="378"/>
      <c r="Y409" s="378"/>
      <c r="Z409" s="378"/>
    </row>
    <row r="410" spans="1:26" ht="18">
      <c r="A410" s="378"/>
      <c r="B410" s="378"/>
      <c r="C410" s="378"/>
      <c r="D410" s="384"/>
      <c r="E410" s="378"/>
      <c r="F410" s="378"/>
      <c r="G410" s="378"/>
      <c r="H410" s="378"/>
      <c r="I410" s="378"/>
      <c r="J410" s="378"/>
      <c r="K410" s="378"/>
      <c r="L410" s="378"/>
      <c r="M410" s="378"/>
      <c r="N410" s="378"/>
      <c r="O410" s="378"/>
      <c r="P410" s="378"/>
      <c r="Q410" s="378"/>
      <c r="R410" s="378"/>
      <c r="S410" s="378"/>
      <c r="T410" s="378"/>
      <c r="U410" s="378"/>
      <c r="V410" s="378"/>
      <c r="W410" s="378"/>
      <c r="X410" s="378"/>
      <c r="Y410" s="378"/>
      <c r="Z410" s="378"/>
    </row>
    <row r="411" spans="1:26" ht="18">
      <c r="A411" s="378"/>
      <c r="B411" s="378"/>
      <c r="C411" s="378"/>
      <c r="D411" s="384"/>
      <c r="E411" s="378"/>
      <c r="F411" s="378"/>
      <c r="G411" s="378"/>
      <c r="H411" s="378"/>
      <c r="I411" s="378"/>
      <c r="J411" s="378"/>
      <c r="K411" s="378"/>
      <c r="L411" s="378"/>
      <c r="M411" s="378"/>
      <c r="N411" s="378"/>
      <c r="O411" s="378"/>
      <c r="P411" s="378"/>
      <c r="Q411" s="378"/>
      <c r="R411" s="378"/>
      <c r="S411" s="378"/>
      <c r="T411" s="378"/>
      <c r="U411" s="378"/>
      <c r="V411" s="378"/>
      <c r="W411" s="378"/>
      <c r="X411" s="378"/>
      <c r="Y411" s="378"/>
      <c r="Z411" s="378"/>
    </row>
    <row r="412" spans="1:26" ht="18">
      <c r="A412" s="378"/>
      <c r="B412" s="378"/>
      <c r="C412" s="378"/>
      <c r="D412" s="384"/>
      <c r="E412" s="378"/>
      <c r="F412" s="378"/>
      <c r="G412" s="378"/>
      <c r="H412" s="378"/>
      <c r="I412" s="378"/>
      <c r="J412" s="378"/>
      <c r="K412" s="378"/>
      <c r="L412" s="378"/>
      <c r="M412" s="378"/>
      <c r="N412" s="378"/>
      <c r="O412" s="378"/>
      <c r="P412" s="378"/>
      <c r="Q412" s="378"/>
      <c r="R412" s="378"/>
      <c r="S412" s="378"/>
      <c r="T412" s="378"/>
      <c r="U412" s="378"/>
      <c r="V412" s="378"/>
      <c r="W412" s="378"/>
      <c r="X412" s="378"/>
      <c r="Y412" s="378"/>
      <c r="Z412" s="378"/>
    </row>
    <row r="413" spans="1:26" ht="18">
      <c r="A413" s="378"/>
      <c r="B413" s="378"/>
      <c r="C413" s="378"/>
      <c r="D413" s="384"/>
      <c r="E413" s="378"/>
      <c r="F413" s="378"/>
      <c r="G413" s="378"/>
      <c r="H413" s="378"/>
      <c r="I413" s="378"/>
      <c r="J413" s="378"/>
      <c r="K413" s="378"/>
      <c r="L413" s="378"/>
      <c r="M413" s="378"/>
      <c r="N413" s="378"/>
      <c r="O413" s="378"/>
      <c r="P413" s="378"/>
      <c r="Q413" s="378"/>
      <c r="R413" s="378"/>
      <c r="S413" s="378"/>
      <c r="T413" s="378"/>
      <c r="U413" s="378"/>
      <c r="V413" s="378"/>
      <c r="W413" s="378"/>
      <c r="X413" s="378"/>
      <c r="Y413" s="378"/>
      <c r="Z413" s="378"/>
    </row>
    <row r="414" spans="1:26" ht="18">
      <c r="A414" s="378"/>
      <c r="B414" s="378"/>
      <c r="C414" s="378"/>
      <c r="D414" s="384"/>
      <c r="E414" s="378"/>
      <c r="F414" s="378"/>
      <c r="G414" s="378"/>
      <c r="H414" s="378"/>
      <c r="I414" s="378"/>
      <c r="J414" s="378"/>
      <c r="K414" s="378"/>
      <c r="L414" s="378"/>
      <c r="M414" s="378"/>
      <c r="N414" s="378"/>
      <c r="O414" s="378"/>
      <c r="P414" s="378"/>
      <c r="Q414" s="378"/>
      <c r="R414" s="378"/>
      <c r="S414" s="378"/>
      <c r="T414" s="378"/>
      <c r="U414" s="378"/>
      <c r="V414" s="378"/>
      <c r="W414" s="378"/>
      <c r="X414" s="378"/>
      <c r="Y414" s="378"/>
      <c r="Z414" s="378"/>
    </row>
    <row r="415" spans="1:26" ht="18">
      <c r="A415" s="378"/>
      <c r="B415" s="378"/>
      <c r="C415" s="378"/>
      <c r="D415" s="384"/>
      <c r="E415" s="378"/>
      <c r="F415" s="378"/>
      <c r="G415" s="378"/>
      <c r="H415" s="378"/>
      <c r="I415" s="378"/>
      <c r="J415" s="378"/>
      <c r="K415" s="378"/>
      <c r="L415" s="378"/>
      <c r="M415" s="378"/>
      <c r="N415" s="378"/>
      <c r="O415" s="378"/>
      <c r="P415" s="378"/>
      <c r="Q415" s="378"/>
      <c r="R415" s="378"/>
      <c r="S415" s="378"/>
      <c r="T415" s="378"/>
      <c r="U415" s="378"/>
      <c r="V415" s="378"/>
      <c r="W415" s="378"/>
      <c r="X415" s="378"/>
      <c r="Y415" s="378"/>
      <c r="Z415" s="378"/>
    </row>
    <row r="416" spans="1:26" ht="18">
      <c r="A416" s="378"/>
      <c r="B416" s="378"/>
      <c r="C416" s="378"/>
      <c r="D416" s="384"/>
      <c r="E416" s="378"/>
      <c r="F416" s="378"/>
      <c r="G416" s="378"/>
      <c r="H416" s="378"/>
      <c r="I416" s="378"/>
      <c r="J416" s="378"/>
      <c r="K416" s="378"/>
      <c r="L416" s="378"/>
      <c r="M416" s="378"/>
      <c r="N416" s="378"/>
      <c r="O416" s="378"/>
      <c r="P416" s="378"/>
      <c r="Q416" s="378"/>
      <c r="R416" s="378"/>
      <c r="S416" s="378"/>
      <c r="T416" s="378"/>
      <c r="U416" s="378"/>
      <c r="V416" s="378"/>
      <c r="W416" s="378"/>
      <c r="X416" s="378"/>
      <c r="Y416" s="378"/>
      <c r="Z416" s="378"/>
    </row>
    <row r="417" spans="1:26" ht="18">
      <c r="A417" s="378"/>
      <c r="B417" s="378"/>
      <c r="C417" s="378"/>
      <c r="D417" s="384"/>
      <c r="E417" s="378"/>
      <c r="F417" s="378"/>
      <c r="G417" s="378"/>
      <c r="H417" s="378"/>
      <c r="I417" s="378"/>
      <c r="J417" s="378"/>
      <c r="K417" s="378"/>
      <c r="L417" s="378"/>
      <c r="M417" s="378"/>
      <c r="N417" s="378"/>
      <c r="O417" s="378"/>
      <c r="P417" s="378"/>
      <c r="Q417" s="378"/>
      <c r="R417" s="378"/>
      <c r="S417" s="378"/>
      <c r="T417" s="378"/>
      <c r="U417" s="378"/>
      <c r="V417" s="378"/>
      <c r="W417" s="378"/>
      <c r="X417" s="378"/>
      <c r="Y417" s="378"/>
      <c r="Z417" s="378"/>
    </row>
    <row r="418" spans="1:26" ht="18">
      <c r="A418" s="378"/>
      <c r="B418" s="378"/>
      <c r="C418" s="378"/>
      <c r="D418" s="384"/>
      <c r="E418" s="378"/>
      <c r="F418" s="378"/>
      <c r="G418" s="378"/>
      <c r="H418" s="378"/>
      <c r="I418" s="378"/>
      <c r="J418" s="378"/>
      <c r="K418" s="378"/>
      <c r="L418" s="378"/>
      <c r="M418" s="378"/>
      <c r="N418" s="378"/>
      <c r="O418" s="378"/>
      <c r="P418" s="378"/>
      <c r="Q418" s="378"/>
      <c r="R418" s="378"/>
      <c r="S418" s="378"/>
      <c r="T418" s="378"/>
      <c r="U418" s="378"/>
      <c r="V418" s="378"/>
      <c r="W418" s="378"/>
      <c r="X418" s="378"/>
      <c r="Y418" s="378"/>
      <c r="Z418" s="378"/>
    </row>
    <row r="419" spans="1:26" ht="18">
      <c r="A419" s="378"/>
      <c r="B419" s="378"/>
      <c r="C419" s="378"/>
      <c r="D419" s="384"/>
      <c r="E419" s="378"/>
      <c r="F419" s="378"/>
      <c r="G419" s="378"/>
      <c r="H419" s="378"/>
      <c r="I419" s="378"/>
      <c r="J419" s="378"/>
      <c r="K419" s="378"/>
      <c r="L419" s="378"/>
      <c r="M419" s="378"/>
      <c r="N419" s="378"/>
      <c r="O419" s="378"/>
      <c r="P419" s="378"/>
      <c r="Q419" s="378"/>
      <c r="R419" s="378"/>
      <c r="S419" s="378"/>
      <c r="T419" s="378"/>
      <c r="U419" s="378"/>
      <c r="V419" s="378"/>
      <c r="W419" s="378"/>
      <c r="X419" s="378"/>
      <c r="Y419" s="378"/>
      <c r="Z419" s="378"/>
    </row>
    <row r="420" spans="1:26" ht="18">
      <c r="A420" s="378"/>
      <c r="B420" s="378"/>
      <c r="C420" s="378"/>
      <c r="D420" s="384"/>
      <c r="E420" s="378"/>
      <c r="F420" s="378"/>
      <c r="G420" s="378"/>
      <c r="H420" s="378"/>
      <c r="I420" s="378"/>
      <c r="J420" s="378"/>
      <c r="K420" s="378"/>
      <c r="L420" s="378"/>
      <c r="M420" s="378"/>
      <c r="N420" s="378"/>
      <c r="O420" s="378"/>
      <c r="P420" s="378"/>
      <c r="Q420" s="378"/>
      <c r="R420" s="378"/>
      <c r="S420" s="378"/>
      <c r="T420" s="378"/>
      <c r="U420" s="378"/>
      <c r="V420" s="378"/>
      <c r="W420" s="378"/>
      <c r="X420" s="378"/>
      <c r="Y420" s="378"/>
      <c r="Z420" s="378"/>
    </row>
    <row r="421" spans="1:26" ht="18">
      <c r="A421" s="378"/>
      <c r="B421" s="378"/>
      <c r="C421" s="378"/>
      <c r="D421" s="384"/>
      <c r="E421" s="378"/>
      <c r="F421" s="378"/>
      <c r="G421" s="378"/>
      <c r="H421" s="378"/>
      <c r="I421" s="378"/>
      <c r="J421" s="378"/>
      <c r="K421" s="378"/>
      <c r="L421" s="378"/>
      <c r="M421" s="378"/>
      <c r="N421" s="378"/>
      <c r="O421" s="378"/>
      <c r="P421" s="378"/>
      <c r="Q421" s="378"/>
      <c r="R421" s="378"/>
      <c r="S421" s="378"/>
      <c r="T421" s="378"/>
      <c r="U421" s="378"/>
      <c r="V421" s="378"/>
      <c r="W421" s="378"/>
      <c r="X421" s="378"/>
      <c r="Y421" s="378"/>
      <c r="Z421" s="378"/>
    </row>
    <row r="422" spans="1:26" ht="18">
      <c r="A422" s="378"/>
      <c r="B422" s="378"/>
      <c r="C422" s="378"/>
      <c r="D422" s="384"/>
      <c r="E422" s="378"/>
      <c r="F422" s="378"/>
      <c r="G422" s="378"/>
      <c r="H422" s="378"/>
      <c r="I422" s="378"/>
      <c r="J422" s="378"/>
      <c r="K422" s="378"/>
      <c r="L422" s="378"/>
      <c r="M422" s="378"/>
      <c r="N422" s="378"/>
      <c r="O422" s="378"/>
      <c r="P422" s="378"/>
      <c r="Q422" s="378"/>
      <c r="R422" s="378"/>
      <c r="S422" s="378"/>
      <c r="T422" s="378"/>
      <c r="U422" s="378"/>
      <c r="V422" s="378"/>
      <c r="W422" s="378"/>
      <c r="X422" s="378"/>
      <c r="Y422" s="378"/>
      <c r="Z422" s="378"/>
    </row>
    <row r="423" spans="1:26" ht="18">
      <c r="A423" s="378"/>
      <c r="B423" s="378"/>
      <c r="C423" s="378"/>
      <c r="D423" s="384"/>
      <c r="E423" s="378"/>
      <c r="F423" s="378"/>
      <c r="G423" s="378"/>
      <c r="H423" s="378"/>
      <c r="I423" s="378"/>
      <c r="J423" s="378"/>
      <c r="K423" s="378"/>
      <c r="L423" s="378"/>
      <c r="M423" s="378"/>
      <c r="N423" s="378"/>
      <c r="O423" s="378"/>
      <c r="P423" s="378"/>
      <c r="Q423" s="378"/>
      <c r="R423" s="378"/>
      <c r="S423" s="378"/>
      <c r="T423" s="378"/>
      <c r="U423" s="378"/>
      <c r="V423" s="378"/>
      <c r="W423" s="378"/>
      <c r="X423" s="378"/>
      <c r="Y423" s="378"/>
      <c r="Z423" s="378"/>
    </row>
    <row r="424" spans="1:26" ht="18">
      <c r="A424" s="378"/>
      <c r="B424" s="378"/>
      <c r="C424" s="378"/>
      <c r="D424" s="384"/>
      <c r="E424" s="378"/>
      <c r="F424" s="378"/>
      <c r="G424" s="378"/>
      <c r="H424" s="378"/>
      <c r="I424" s="378"/>
      <c r="J424" s="378"/>
      <c r="K424" s="378"/>
      <c r="L424" s="378"/>
      <c r="M424" s="378"/>
      <c r="N424" s="378"/>
      <c r="O424" s="378"/>
      <c r="P424" s="378"/>
      <c r="Q424" s="378"/>
      <c r="R424" s="378"/>
      <c r="S424" s="378"/>
      <c r="T424" s="378"/>
      <c r="U424" s="378"/>
      <c r="V424" s="378"/>
      <c r="W424" s="378"/>
      <c r="X424" s="378"/>
      <c r="Y424" s="378"/>
      <c r="Z424" s="378"/>
    </row>
    <row r="425" spans="1:26" ht="18">
      <c r="A425" s="378"/>
      <c r="B425" s="378"/>
      <c r="C425" s="378"/>
      <c r="D425" s="384"/>
      <c r="E425" s="378"/>
      <c r="F425" s="378"/>
      <c r="G425" s="378"/>
      <c r="H425" s="378"/>
      <c r="I425" s="378"/>
      <c r="J425" s="378"/>
      <c r="K425" s="378"/>
      <c r="L425" s="378"/>
      <c r="M425" s="378"/>
      <c r="N425" s="378"/>
      <c r="O425" s="378"/>
      <c r="P425" s="378"/>
      <c r="Q425" s="378"/>
      <c r="R425" s="378"/>
      <c r="S425" s="378"/>
      <c r="T425" s="378"/>
      <c r="U425" s="378"/>
      <c r="V425" s="378"/>
      <c r="W425" s="378"/>
      <c r="X425" s="378"/>
      <c r="Y425" s="378"/>
      <c r="Z425" s="378"/>
    </row>
    <row r="426" spans="1:26" ht="18">
      <c r="A426" s="378"/>
      <c r="B426" s="378"/>
      <c r="C426" s="378"/>
      <c r="D426" s="384"/>
      <c r="E426" s="378"/>
      <c r="F426" s="378"/>
      <c r="G426" s="378"/>
      <c r="H426" s="378"/>
      <c r="I426" s="378"/>
      <c r="J426" s="378"/>
      <c r="K426" s="378"/>
      <c r="L426" s="378"/>
      <c r="M426" s="378"/>
      <c r="N426" s="378"/>
      <c r="O426" s="378"/>
      <c r="P426" s="378"/>
      <c r="Q426" s="378"/>
      <c r="R426" s="378"/>
      <c r="S426" s="378"/>
      <c r="T426" s="378"/>
      <c r="U426" s="378"/>
      <c r="V426" s="378"/>
      <c r="W426" s="378"/>
      <c r="X426" s="378"/>
      <c r="Y426" s="378"/>
      <c r="Z426" s="378"/>
    </row>
    <row r="427" spans="1:26" ht="18">
      <c r="A427" s="378"/>
      <c r="B427" s="378"/>
      <c r="C427" s="378"/>
      <c r="D427" s="384"/>
      <c r="E427" s="378"/>
      <c r="F427" s="378"/>
      <c r="G427" s="378"/>
      <c r="H427" s="378"/>
      <c r="I427" s="378"/>
      <c r="J427" s="378"/>
      <c r="K427" s="378"/>
      <c r="L427" s="378"/>
      <c r="M427" s="378"/>
      <c r="N427" s="378"/>
      <c r="O427" s="378"/>
      <c r="P427" s="378"/>
      <c r="Q427" s="378"/>
      <c r="R427" s="378"/>
      <c r="S427" s="378"/>
      <c r="T427" s="378"/>
      <c r="U427" s="378"/>
      <c r="V427" s="378"/>
      <c r="W427" s="378"/>
      <c r="X427" s="378"/>
      <c r="Y427" s="378"/>
      <c r="Z427" s="378"/>
    </row>
    <row r="428" spans="1:26" ht="18">
      <c r="A428" s="378"/>
      <c r="B428" s="378"/>
      <c r="C428" s="378"/>
      <c r="D428" s="384"/>
      <c r="E428" s="378"/>
      <c r="F428" s="378"/>
      <c r="G428" s="378"/>
      <c r="H428" s="378"/>
      <c r="I428" s="378"/>
      <c r="J428" s="378"/>
      <c r="K428" s="378"/>
      <c r="L428" s="378"/>
      <c r="M428" s="378"/>
      <c r="N428" s="378"/>
      <c r="O428" s="378"/>
      <c r="P428" s="378"/>
      <c r="Q428" s="378"/>
      <c r="R428" s="378"/>
      <c r="S428" s="378"/>
      <c r="T428" s="378"/>
      <c r="U428" s="378"/>
      <c r="V428" s="378"/>
      <c r="W428" s="378"/>
      <c r="X428" s="378"/>
      <c r="Y428" s="378"/>
      <c r="Z428" s="378"/>
    </row>
    <row r="429" spans="1:26" ht="18">
      <c r="A429" s="378"/>
      <c r="B429" s="378"/>
      <c r="C429" s="378"/>
      <c r="D429" s="384"/>
      <c r="E429" s="378"/>
      <c r="F429" s="378"/>
      <c r="G429" s="378"/>
      <c r="H429" s="378"/>
      <c r="I429" s="378"/>
      <c r="J429" s="378"/>
      <c r="K429" s="378"/>
      <c r="L429" s="378"/>
      <c r="M429" s="378"/>
      <c r="N429" s="378"/>
      <c r="O429" s="378"/>
      <c r="P429" s="378"/>
      <c r="Q429" s="378"/>
      <c r="R429" s="378"/>
      <c r="S429" s="378"/>
      <c r="T429" s="378"/>
      <c r="U429" s="378"/>
      <c r="V429" s="378"/>
      <c r="W429" s="378"/>
      <c r="X429" s="378"/>
      <c r="Y429" s="378"/>
      <c r="Z429" s="378"/>
    </row>
    <row r="430" spans="1:26" ht="18">
      <c r="A430" s="378"/>
      <c r="B430" s="378"/>
      <c r="C430" s="378"/>
      <c r="D430" s="384"/>
      <c r="E430" s="378"/>
      <c r="F430" s="378"/>
      <c r="G430" s="378"/>
      <c r="H430" s="378"/>
      <c r="I430" s="378"/>
      <c r="J430" s="378"/>
      <c r="K430" s="378"/>
      <c r="L430" s="378"/>
      <c r="M430" s="378"/>
      <c r="N430" s="378"/>
      <c r="O430" s="378"/>
      <c r="P430" s="378"/>
      <c r="Q430" s="378"/>
      <c r="R430" s="378"/>
      <c r="S430" s="378"/>
      <c r="T430" s="378"/>
      <c r="U430" s="378"/>
      <c r="V430" s="378"/>
      <c r="W430" s="378"/>
      <c r="X430" s="378"/>
      <c r="Y430" s="378"/>
      <c r="Z430" s="378"/>
    </row>
    <row r="431" spans="1:26" ht="18">
      <c r="A431" s="378"/>
      <c r="B431" s="378"/>
      <c r="C431" s="378"/>
      <c r="D431" s="384"/>
      <c r="E431" s="378"/>
      <c r="F431" s="378"/>
      <c r="G431" s="378"/>
      <c r="H431" s="378"/>
      <c r="I431" s="378"/>
      <c r="J431" s="378"/>
      <c r="K431" s="378"/>
      <c r="L431" s="378"/>
      <c r="M431" s="378"/>
      <c r="N431" s="378"/>
      <c r="O431" s="378"/>
      <c r="P431" s="378"/>
      <c r="Q431" s="378"/>
      <c r="R431" s="378"/>
      <c r="S431" s="378"/>
      <c r="T431" s="378"/>
      <c r="U431" s="378"/>
      <c r="V431" s="378"/>
      <c r="W431" s="378"/>
      <c r="X431" s="378"/>
      <c r="Y431" s="378"/>
      <c r="Z431" s="378"/>
    </row>
    <row r="432" spans="1:26" ht="18">
      <c r="A432" s="378"/>
      <c r="B432" s="378"/>
      <c r="C432" s="378"/>
      <c r="D432" s="384"/>
      <c r="E432" s="378"/>
      <c r="F432" s="378"/>
      <c r="G432" s="378"/>
      <c r="H432" s="378"/>
      <c r="I432" s="378"/>
      <c r="J432" s="378"/>
      <c r="K432" s="378"/>
      <c r="L432" s="378"/>
      <c r="M432" s="378"/>
      <c r="N432" s="378"/>
      <c r="O432" s="378"/>
      <c r="P432" s="378"/>
      <c r="Q432" s="378"/>
      <c r="R432" s="378"/>
      <c r="S432" s="378"/>
      <c r="T432" s="378"/>
      <c r="U432" s="378"/>
      <c r="V432" s="378"/>
      <c r="W432" s="378"/>
      <c r="X432" s="378"/>
      <c r="Y432" s="378"/>
      <c r="Z432" s="378"/>
    </row>
    <row r="433" spans="1:26" ht="18">
      <c r="A433" s="378"/>
      <c r="B433" s="378"/>
      <c r="C433" s="378"/>
      <c r="D433" s="384"/>
      <c r="E433" s="378"/>
      <c r="F433" s="378"/>
      <c r="G433" s="378"/>
      <c r="H433" s="378"/>
      <c r="I433" s="378"/>
      <c r="J433" s="378"/>
      <c r="K433" s="378"/>
      <c r="L433" s="378"/>
      <c r="M433" s="378"/>
      <c r="N433" s="378"/>
      <c r="O433" s="378"/>
      <c r="P433" s="378"/>
      <c r="Q433" s="378"/>
      <c r="R433" s="378"/>
      <c r="S433" s="378"/>
      <c r="T433" s="378"/>
      <c r="U433" s="378"/>
      <c r="V433" s="378"/>
      <c r="W433" s="378"/>
      <c r="X433" s="378"/>
      <c r="Y433" s="378"/>
      <c r="Z433" s="378"/>
    </row>
    <row r="434" spans="1:26" ht="18">
      <c r="A434" s="378"/>
      <c r="B434" s="378"/>
      <c r="C434" s="378"/>
      <c r="D434" s="384"/>
      <c r="E434" s="378"/>
      <c r="F434" s="378"/>
      <c r="G434" s="378"/>
      <c r="H434" s="378"/>
      <c r="I434" s="378"/>
      <c r="J434" s="378"/>
      <c r="K434" s="378"/>
      <c r="L434" s="378"/>
      <c r="M434" s="378"/>
      <c r="N434" s="378"/>
      <c r="O434" s="378"/>
      <c r="P434" s="378"/>
      <c r="Q434" s="378"/>
      <c r="R434" s="378"/>
      <c r="S434" s="378"/>
      <c r="T434" s="378"/>
      <c r="U434" s="378"/>
      <c r="V434" s="378"/>
      <c r="W434" s="378"/>
      <c r="X434" s="378"/>
      <c r="Y434" s="378"/>
      <c r="Z434" s="378"/>
    </row>
    <row r="435" spans="1:26" ht="18">
      <c r="A435" s="378"/>
      <c r="B435" s="378"/>
      <c r="C435" s="378"/>
      <c r="D435" s="384"/>
      <c r="E435" s="378"/>
      <c r="F435" s="378"/>
      <c r="G435" s="378"/>
      <c r="H435" s="378"/>
      <c r="I435" s="378"/>
      <c r="J435" s="378"/>
      <c r="K435" s="378"/>
      <c r="L435" s="378"/>
      <c r="M435" s="378"/>
      <c r="N435" s="378"/>
      <c r="O435" s="378"/>
      <c r="P435" s="378"/>
      <c r="Q435" s="378"/>
      <c r="R435" s="378"/>
      <c r="S435" s="378"/>
      <c r="T435" s="378"/>
      <c r="U435" s="378"/>
      <c r="V435" s="378"/>
      <c r="W435" s="378"/>
      <c r="X435" s="378"/>
      <c r="Y435" s="378"/>
      <c r="Z435" s="378"/>
    </row>
    <row r="436" spans="1:26" ht="18">
      <c r="A436" s="378"/>
      <c r="B436" s="378"/>
      <c r="C436" s="378"/>
      <c r="D436" s="384"/>
      <c r="E436" s="378"/>
      <c r="F436" s="378"/>
      <c r="G436" s="378"/>
      <c r="H436" s="378"/>
      <c r="I436" s="378"/>
      <c r="J436" s="378"/>
      <c r="K436" s="378"/>
      <c r="L436" s="378"/>
      <c r="M436" s="378"/>
      <c r="N436" s="378"/>
      <c r="O436" s="378"/>
      <c r="P436" s="378"/>
      <c r="Q436" s="378"/>
      <c r="R436" s="378"/>
      <c r="S436" s="378"/>
      <c r="T436" s="378"/>
      <c r="U436" s="378"/>
      <c r="V436" s="378"/>
      <c r="W436" s="378"/>
      <c r="X436" s="378"/>
      <c r="Y436" s="378"/>
      <c r="Z436" s="378"/>
    </row>
    <row r="437" spans="1:26" ht="18">
      <c r="A437" s="378"/>
      <c r="B437" s="378"/>
      <c r="C437" s="378"/>
      <c r="D437" s="384"/>
      <c r="E437" s="378"/>
      <c r="F437" s="378"/>
      <c r="G437" s="378"/>
      <c r="H437" s="378"/>
      <c r="I437" s="378"/>
      <c r="J437" s="378"/>
      <c r="K437" s="378"/>
      <c r="L437" s="378"/>
      <c r="M437" s="378"/>
      <c r="N437" s="378"/>
      <c r="O437" s="378"/>
      <c r="P437" s="378"/>
      <c r="Q437" s="378"/>
      <c r="R437" s="378"/>
      <c r="S437" s="378"/>
      <c r="T437" s="378"/>
      <c r="U437" s="378"/>
      <c r="V437" s="378"/>
      <c r="W437" s="378"/>
      <c r="X437" s="378"/>
      <c r="Y437" s="378"/>
      <c r="Z437" s="378"/>
    </row>
    <row r="438" spans="1:26" ht="18">
      <c r="A438" s="378"/>
      <c r="B438" s="378"/>
      <c r="C438" s="378"/>
      <c r="D438" s="384"/>
      <c r="E438" s="378"/>
      <c r="F438" s="378"/>
      <c r="G438" s="378"/>
      <c r="H438" s="378"/>
      <c r="I438" s="378"/>
      <c r="J438" s="378"/>
      <c r="K438" s="378"/>
      <c r="L438" s="378"/>
      <c r="M438" s="378"/>
      <c r="N438" s="378"/>
      <c r="O438" s="378"/>
      <c r="P438" s="378"/>
      <c r="Q438" s="378"/>
      <c r="R438" s="378"/>
      <c r="S438" s="378"/>
      <c r="T438" s="378"/>
      <c r="U438" s="378"/>
      <c r="V438" s="378"/>
      <c r="W438" s="378"/>
      <c r="X438" s="378"/>
      <c r="Y438" s="378"/>
      <c r="Z438" s="378"/>
    </row>
    <row r="439" spans="1:26" ht="18">
      <c r="A439" s="378"/>
      <c r="B439" s="378"/>
      <c r="C439" s="378"/>
      <c r="D439" s="384"/>
      <c r="E439" s="378"/>
      <c r="F439" s="378"/>
      <c r="G439" s="378"/>
      <c r="H439" s="378"/>
      <c r="I439" s="378"/>
      <c r="J439" s="378"/>
      <c r="K439" s="378"/>
      <c r="L439" s="378"/>
      <c r="M439" s="378"/>
      <c r="N439" s="378"/>
      <c r="O439" s="378"/>
      <c r="P439" s="378"/>
      <c r="Q439" s="378"/>
      <c r="R439" s="378"/>
      <c r="S439" s="378"/>
      <c r="T439" s="378"/>
      <c r="U439" s="378"/>
      <c r="V439" s="378"/>
      <c r="W439" s="378"/>
      <c r="X439" s="378"/>
      <c r="Y439" s="378"/>
      <c r="Z439" s="378"/>
    </row>
    <row r="440" spans="1:26" ht="18">
      <c r="A440" s="378"/>
      <c r="B440" s="378"/>
      <c r="C440" s="378"/>
      <c r="D440" s="384"/>
      <c r="E440" s="378"/>
      <c r="F440" s="378"/>
      <c r="G440" s="378"/>
      <c r="H440" s="378"/>
      <c r="I440" s="378"/>
      <c r="J440" s="378"/>
      <c r="K440" s="378"/>
      <c r="L440" s="378"/>
      <c r="M440" s="378"/>
      <c r="N440" s="378"/>
      <c r="O440" s="378"/>
      <c r="P440" s="378"/>
      <c r="Q440" s="378"/>
      <c r="R440" s="378"/>
      <c r="S440" s="378"/>
      <c r="T440" s="378"/>
      <c r="U440" s="378"/>
      <c r="V440" s="378"/>
      <c r="W440" s="378"/>
      <c r="X440" s="378"/>
      <c r="Y440" s="378"/>
      <c r="Z440" s="378"/>
    </row>
    <row r="441" spans="1:26" ht="18">
      <c r="A441" s="378"/>
      <c r="B441" s="378"/>
      <c r="C441" s="378"/>
      <c r="D441" s="384"/>
      <c r="E441" s="378"/>
      <c r="F441" s="378"/>
      <c r="G441" s="378"/>
      <c r="H441" s="378"/>
      <c r="I441" s="378"/>
      <c r="J441" s="378"/>
      <c r="K441" s="378"/>
      <c r="L441" s="378"/>
      <c r="M441" s="378"/>
      <c r="N441" s="378"/>
      <c r="O441" s="378"/>
      <c r="P441" s="378"/>
      <c r="Q441" s="378"/>
      <c r="R441" s="378"/>
      <c r="S441" s="378"/>
      <c r="T441" s="378"/>
      <c r="U441" s="378"/>
      <c r="V441" s="378"/>
      <c r="W441" s="378"/>
      <c r="X441" s="378"/>
      <c r="Y441" s="378"/>
      <c r="Z441" s="378"/>
    </row>
    <row r="442" spans="1:26" ht="18">
      <c r="A442" s="378"/>
      <c r="B442" s="378"/>
      <c r="C442" s="378"/>
      <c r="D442" s="384"/>
      <c r="E442" s="378"/>
      <c r="F442" s="378"/>
      <c r="G442" s="378"/>
      <c r="H442" s="378"/>
      <c r="I442" s="378"/>
      <c r="J442" s="378"/>
      <c r="K442" s="378"/>
      <c r="L442" s="378"/>
      <c r="M442" s="378"/>
      <c r="N442" s="378"/>
      <c r="O442" s="378"/>
      <c r="P442" s="378"/>
      <c r="Q442" s="378"/>
      <c r="R442" s="378"/>
      <c r="S442" s="378"/>
      <c r="T442" s="378"/>
      <c r="U442" s="378"/>
      <c r="V442" s="378"/>
      <c r="W442" s="378"/>
      <c r="X442" s="378"/>
      <c r="Y442" s="378"/>
      <c r="Z442" s="378"/>
    </row>
    <row r="443" spans="1:26" ht="18">
      <c r="A443" s="378"/>
      <c r="B443" s="378"/>
      <c r="C443" s="378"/>
      <c r="D443" s="384"/>
      <c r="E443" s="378"/>
      <c r="F443" s="378"/>
      <c r="G443" s="378"/>
      <c r="H443" s="378"/>
      <c r="I443" s="378"/>
      <c r="J443" s="378"/>
      <c r="K443" s="378"/>
      <c r="L443" s="378"/>
      <c r="M443" s="378"/>
      <c r="N443" s="378"/>
      <c r="O443" s="378"/>
      <c r="P443" s="378"/>
      <c r="Q443" s="378"/>
      <c r="R443" s="378"/>
      <c r="S443" s="378"/>
      <c r="T443" s="378"/>
      <c r="U443" s="378"/>
      <c r="V443" s="378"/>
      <c r="W443" s="378"/>
      <c r="X443" s="378"/>
      <c r="Y443" s="378"/>
      <c r="Z443" s="378"/>
    </row>
    <row r="444" spans="1:26" ht="18">
      <c r="A444" s="378"/>
      <c r="B444" s="378"/>
      <c r="C444" s="378"/>
      <c r="D444" s="384"/>
      <c r="E444" s="378"/>
      <c r="F444" s="378"/>
      <c r="G444" s="378"/>
      <c r="H444" s="378"/>
      <c r="I444" s="378"/>
      <c r="J444" s="378"/>
      <c r="K444" s="378"/>
      <c r="L444" s="378"/>
      <c r="M444" s="378"/>
      <c r="N444" s="378"/>
      <c r="O444" s="378"/>
      <c r="P444" s="378"/>
      <c r="Q444" s="378"/>
      <c r="R444" s="378"/>
      <c r="S444" s="378"/>
      <c r="T444" s="378"/>
      <c r="U444" s="378"/>
      <c r="V444" s="378"/>
      <c r="W444" s="378"/>
      <c r="X444" s="378"/>
      <c r="Y444" s="378"/>
      <c r="Z444" s="378"/>
    </row>
    <row r="445" spans="1:26" ht="18">
      <c r="A445" s="378"/>
      <c r="B445" s="378"/>
      <c r="C445" s="378"/>
      <c r="D445" s="384"/>
      <c r="E445" s="378"/>
      <c r="F445" s="378"/>
      <c r="G445" s="378"/>
      <c r="H445" s="378"/>
      <c r="I445" s="378"/>
      <c r="J445" s="378"/>
      <c r="K445" s="378"/>
      <c r="L445" s="378"/>
      <c r="M445" s="378"/>
      <c r="N445" s="378"/>
      <c r="O445" s="378"/>
      <c r="P445" s="378"/>
      <c r="Q445" s="378"/>
      <c r="R445" s="378"/>
      <c r="S445" s="378"/>
      <c r="T445" s="378"/>
      <c r="U445" s="378"/>
      <c r="V445" s="378"/>
      <c r="W445" s="378"/>
      <c r="X445" s="378"/>
      <c r="Y445" s="378"/>
      <c r="Z445" s="378"/>
    </row>
    <row r="446" spans="1:26" ht="18">
      <c r="A446" s="378"/>
      <c r="B446" s="378"/>
      <c r="C446" s="378"/>
      <c r="D446" s="384"/>
      <c r="E446" s="378"/>
      <c r="F446" s="378"/>
      <c r="G446" s="378"/>
      <c r="H446" s="378"/>
      <c r="I446" s="378"/>
      <c r="J446" s="378"/>
      <c r="K446" s="378"/>
      <c r="L446" s="378"/>
      <c r="M446" s="378"/>
      <c r="N446" s="378"/>
      <c r="O446" s="378"/>
      <c r="P446" s="378"/>
      <c r="Q446" s="378"/>
      <c r="R446" s="378"/>
      <c r="S446" s="378"/>
      <c r="T446" s="378"/>
      <c r="U446" s="378"/>
      <c r="V446" s="378"/>
      <c r="W446" s="378"/>
      <c r="X446" s="378"/>
      <c r="Y446" s="378"/>
      <c r="Z446" s="378"/>
    </row>
    <row r="447" spans="1:26" ht="18">
      <c r="A447" s="378"/>
      <c r="B447" s="378"/>
      <c r="C447" s="378"/>
      <c r="D447" s="384"/>
      <c r="E447" s="378"/>
      <c r="F447" s="378"/>
      <c r="G447" s="378"/>
      <c r="H447" s="378"/>
      <c r="I447" s="378"/>
      <c r="J447" s="378"/>
      <c r="K447" s="378"/>
      <c r="L447" s="378"/>
      <c r="M447" s="378"/>
      <c r="N447" s="378"/>
      <c r="O447" s="378"/>
      <c r="P447" s="378"/>
      <c r="Q447" s="378"/>
      <c r="R447" s="378"/>
      <c r="S447" s="378"/>
      <c r="T447" s="378"/>
      <c r="U447" s="378"/>
      <c r="V447" s="378"/>
      <c r="W447" s="378"/>
      <c r="X447" s="378"/>
      <c r="Y447" s="378"/>
      <c r="Z447" s="378"/>
    </row>
    <row r="448" spans="1:26" ht="18">
      <c r="A448" s="378"/>
      <c r="B448" s="378"/>
      <c r="C448" s="378"/>
      <c r="D448" s="384"/>
      <c r="E448" s="378"/>
      <c r="F448" s="378"/>
      <c r="G448" s="378"/>
      <c r="H448" s="378"/>
      <c r="I448" s="378"/>
      <c r="J448" s="378"/>
      <c r="K448" s="378"/>
      <c r="L448" s="378"/>
      <c r="M448" s="378"/>
      <c r="N448" s="378"/>
      <c r="O448" s="378"/>
      <c r="P448" s="378"/>
      <c r="Q448" s="378"/>
      <c r="R448" s="378"/>
      <c r="S448" s="378"/>
      <c r="T448" s="378"/>
      <c r="U448" s="378"/>
      <c r="V448" s="378"/>
      <c r="W448" s="378"/>
      <c r="X448" s="378"/>
      <c r="Y448" s="378"/>
      <c r="Z448" s="378"/>
    </row>
    <row r="449" spans="1:26" ht="18">
      <c r="A449" s="378"/>
      <c r="B449" s="378"/>
      <c r="C449" s="378"/>
      <c r="D449" s="384"/>
      <c r="E449" s="378"/>
      <c r="F449" s="378"/>
      <c r="G449" s="378"/>
      <c r="H449" s="378"/>
      <c r="I449" s="378"/>
      <c r="J449" s="378"/>
      <c r="K449" s="378"/>
      <c r="L449" s="378"/>
      <c r="M449" s="378"/>
      <c r="N449" s="378"/>
      <c r="O449" s="378"/>
      <c r="P449" s="378"/>
      <c r="Q449" s="378"/>
      <c r="R449" s="378"/>
      <c r="S449" s="378"/>
      <c r="T449" s="378"/>
      <c r="U449" s="378"/>
      <c r="V449" s="378"/>
      <c r="W449" s="378"/>
      <c r="X449" s="378"/>
      <c r="Y449" s="378"/>
      <c r="Z449" s="378"/>
    </row>
    <row r="450" spans="1:26" ht="18">
      <c r="A450" s="378"/>
      <c r="B450" s="378"/>
      <c r="C450" s="378"/>
      <c r="D450" s="384"/>
      <c r="E450" s="378"/>
      <c r="F450" s="378"/>
      <c r="G450" s="378"/>
      <c r="H450" s="378"/>
      <c r="I450" s="378"/>
      <c r="J450" s="378"/>
      <c r="K450" s="378"/>
      <c r="L450" s="378"/>
      <c r="M450" s="378"/>
      <c r="N450" s="378"/>
      <c r="O450" s="378"/>
      <c r="P450" s="378"/>
      <c r="Q450" s="378"/>
      <c r="R450" s="378"/>
      <c r="S450" s="378"/>
      <c r="T450" s="378"/>
      <c r="U450" s="378"/>
      <c r="V450" s="378"/>
      <c r="W450" s="378"/>
      <c r="X450" s="378"/>
      <c r="Y450" s="378"/>
      <c r="Z450" s="378"/>
    </row>
    <row r="451" spans="1:26" ht="18">
      <c r="A451" s="378"/>
      <c r="B451" s="378"/>
      <c r="C451" s="378"/>
      <c r="D451" s="384"/>
      <c r="E451" s="378"/>
      <c r="F451" s="378"/>
      <c r="G451" s="378"/>
      <c r="H451" s="378"/>
      <c r="I451" s="378"/>
      <c r="J451" s="378"/>
      <c r="K451" s="378"/>
      <c r="L451" s="378"/>
      <c r="M451" s="378"/>
      <c r="N451" s="378"/>
      <c r="O451" s="378"/>
      <c r="P451" s="378"/>
      <c r="Q451" s="378"/>
      <c r="R451" s="378"/>
      <c r="S451" s="378"/>
      <c r="T451" s="378"/>
      <c r="U451" s="378"/>
      <c r="V451" s="378"/>
      <c r="W451" s="378"/>
      <c r="X451" s="378"/>
      <c r="Y451" s="378"/>
      <c r="Z451" s="378"/>
    </row>
    <row r="452" spans="1:26" ht="18">
      <c r="A452" s="378"/>
      <c r="B452" s="378"/>
      <c r="C452" s="378"/>
      <c r="D452" s="384"/>
      <c r="E452" s="378"/>
      <c r="F452" s="378"/>
      <c r="G452" s="378"/>
      <c r="H452" s="378"/>
      <c r="I452" s="378"/>
      <c r="J452" s="378"/>
      <c r="K452" s="378"/>
      <c r="L452" s="378"/>
      <c r="M452" s="378"/>
      <c r="N452" s="378"/>
      <c r="O452" s="378"/>
      <c r="P452" s="378"/>
      <c r="Q452" s="378"/>
      <c r="R452" s="378"/>
      <c r="S452" s="378"/>
      <c r="T452" s="378"/>
      <c r="U452" s="378"/>
      <c r="V452" s="378"/>
      <c r="W452" s="378"/>
      <c r="X452" s="378"/>
      <c r="Y452" s="378"/>
      <c r="Z452" s="378"/>
    </row>
    <row r="453" spans="1:26" ht="18">
      <c r="A453" s="378"/>
      <c r="B453" s="378"/>
      <c r="C453" s="378"/>
      <c r="D453" s="384"/>
      <c r="E453" s="378"/>
      <c r="F453" s="378"/>
      <c r="G453" s="378"/>
      <c r="H453" s="378"/>
      <c r="I453" s="378"/>
      <c r="J453" s="378"/>
      <c r="K453" s="378"/>
      <c r="L453" s="378"/>
      <c r="M453" s="378"/>
      <c r="N453" s="378"/>
      <c r="O453" s="378"/>
      <c r="P453" s="378"/>
      <c r="Q453" s="378"/>
      <c r="R453" s="378"/>
      <c r="S453" s="378"/>
      <c r="T453" s="378"/>
      <c r="U453" s="378"/>
      <c r="V453" s="378"/>
      <c r="W453" s="378"/>
      <c r="X453" s="378"/>
      <c r="Y453" s="378"/>
      <c r="Z453" s="378"/>
    </row>
    <row r="454" spans="1:26" ht="18">
      <c r="A454" s="378"/>
      <c r="B454" s="378"/>
      <c r="C454" s="378"/>
      <c r="D454" s="384"/>
      <c r="E454" s="378"/>
      <c r="F454" s="378"/>
      <c r="G454" s="378"/>
      <c r="H454" s="378"/>
      <c r="I454" s="378"/>
      <c r="J454" s="378"/>
      <c r="K454" s="378"/>
      <c r="L454" s="378"/>
      <c r="M454" s="378"/>
      <c r="N454" s="378"/>
      <c r="O454" s="378"/>
      <c r="P454" s="378"/>
      <c r="Q454" s="378"/>
      <c r="R454" s="378"/>
      <c r="S454" s="378"/>
      <c r="T454" s="378"/>
      <c r="U454" s="378"/>
      <c r="V454" s="378"/>
      <c r="W454" s="378"/>
      <c r="X454" s="378"/>
      <c r="Y454" s="378"/>
      <c r="Z454" s="378"/>
    </row>
    <row r="455" spans="1:26" ht="18">
      <c r="A455" s="378"/>
      <c r="B455" s="378"/>
      <c r="C455" s="378"/>
      <c r="D455" s="384"/>
      <c r="E455" s="378"/>
      <c r="F455" s="378"/>
      <c r="G455" s="378"/>
      <c r="H455" s="378"/>
      <c r="I455" s="378"/>
      <c r="J455" s="378"/>
      <c r="K455" s="378"/>
      <c r="L455" s="378"/>
      <c r="M455" s="378"/>
      <c r="N455" s="378"/>
      <c r="O455" s="378"/>
      <c r="P455" s="378"/>
      <c r="Q455" s="378"/>
      <c r="R455" s="378"/>
      <c r="S455" s="378"/>
      <c r="T455" s="378"/>
      <c r="U455" s="378"/>
      <c r="V455" s="378"/>
      <c r="W455" s="378"/>
      <c r="X455" s="378"/>
      <c r="Y455" s="378"/>
      <c r="Z455" s="378"/>
    </row>
    <row r="456" spans="1:26" ht="18">
      <c r="A456" s="378"/>
      <c r="B456" s="378"/>
      <c r="C456" s="378"/>
      <c r="D456" s="384"/>
      <c r="E456" s="378"/>
      <c r="F456" s="378"/>
      <c r="G456" s="378"/>
      <c r="H456" s="378"/>
      <c r="I456" s="378"/>
      <c r="J456" s="378"/>
      <c r="K456" s="378"/>
      <c r="L456" s="378"/>
      <c r="M456" s="378"/>
      <c r="N456" s="378"/>
      <c r="O456" s="378"/>
      <c r="P456" s="378"/>
      <c r="Q456" s="378"/>
      <c r="R456" s="378"/>
      <c r="S456" s="378"/>
      <c r="T456" s="378"/>
      <c r="U456" s="378"/>
      <c r="V456" s="378"/>
      <c r="W456" s="378"/>
      <c r="X456" s="378"/>
      <c r="Y456" s="378"/>
      <c r="Z456" s="378"/>
    </row>
    <row r="457" spans="1:26" ht="18">
      <c r="A457" s="378"/>
      <c r="B457" s="378"/>
      <c r="C457" s="378"/>
      <c r="D457" s="384"/>
      <c r="E457" s="378"/>
      <c r="F457" s="378"/>
      <c r="G457" s="378"/>
      <c r="H457" s="378"/>
      <c r="I457" s="378"/>
      <c r="J457" s="378"/>
      <c r="K457" s="378"/>
      <c r="L457" s="378"/>
      <c r="M457" s="378"/>
      <c r="N457" s="378"/>
      <c r="O457" s="378"/>
      <c r="P457" s="378"/>
      <c r="Q457" s="378"/>
      <c r="R457" s="378"/>
      <c r="S457" s="378"/>
      <c r="T457" s="378"/>
      <c r="U457" s="378"/>
      <c r="V457" s="378"/>
      <c r="W457" s="378"/>
      <c r="X457" s="378"/>
      <c r="Y457" s="378"/>
      <c r="Z457" s="378"/>
    </row>
    <row r="458" spans="1:26" ht="18">
      <c r="A458" s="378"/>
      <c r="B458" s="378"/>
      <c r="C458" s="378"/>
      <c r="D458" s="384"/>
      <c r="E458" s="378"/>
      <c r="F458" s="378"/>
      <c r="G458" s="378"/>
      <c r="H458" s="378"/>
      <c r="I458" s="378"/>
      <c r="J458" s="378"/>
      <c r="K458" s="378"/>
      <c r="L458" s="378"/>
      <c r="M458" s="378"/>
      <c r="N458" s="378"/>
      <c r="O458" s="378"/>
      <c r="P458" s="378"/>
      <c r="Q458" s="378"/>
      <c r="R458" s="378"/>
      <c r="S458" s="378"/>
      <c r="T458" s="378"/>
      <c r="U458" s="378"/>
      <c r="V458" s="378"/>
      <c r="W458" s="378"/>
      <c r="X458" s="378"/>
      <c r="Y458" s="378"/>
      <c r="Z458" s="378"/>
    </row>
    <row r="459" spans="1:26" ht="18">
      <c r="A459" s="378"/>
      <c r="B459" s="378"/>
      <c r="C459" s="378"/>
      <c r="D459" s="384"/>
      <c r="E459" s="378"/>
      <c r="F459" s="378"/>
      <c r="G459" s="378"/>
      <c r="H459" s="378"/>
      <c r="I459" s="378"/>
      <c r="J459" s="378"/>
      <c r="K459" s="378"/>
      <c r="L459" s="378"/>
      <c r="M459" s="378"/>
      <c r="N459" s="378"/>
      <c r="O459" s="378"/>
      <c r="P459" s="378"/>
      <c r="Q459" s="378"/>
      <c r="R459" s="378"/>
      <c r="S459" s="378"/>
      <c r="T459" s="378"/>
      <c r="U459" s="378"/>
      <c r="V459" s="378"/>
      <c r="W459" s="378"/>
      <c r="X459" s="378"/>
      <c r="Y459" s="378"/>
      <c r="Z459" s="378"/>
    </row>
    <row r="460" spans="1:26" ht="18">
      <c r="A460" s="378"/>
      <c r="B460" s="378"/>
      <c r="C460" s="378"/>
      <c r="D460" s="384"/>
      <c r="E460" s="378"/>
      <c r="F460" s="378"/>
      <c r="G460" s="378"/>
      <c r="H460" s="378"/>
      <c r="I460" s="378"/>
      <c r="J460" s="378"/>
      <c r="K460" s="378"/>
      <c r="L460" s="378"/>
      <c r="M460" s="378"/>
      <c r="N460" s="378"/>
      <c r="O460" s="378"/>
      <c r="P460" s="378"/>
      <c r="Q460" s="378"/>
      <c r="R460" s="378"/>
      <c r="S460" s="378"/>
      <c r="T460" s="378"/>
      <c r="U460" s="378"/>
      <c r="V460" s="378"/>
      <c r="W460" s="378"/>
      <c r="X460" s="378"/>
      <c r="Y460" s="378"/>
      <c r="Z460" s="378"/>
    </row>
    <row r="461" spans="1:26" ht="18">
      <c r="A461" s="378"/>
      <c r="B461" s="378"/>
      <c r="C461" s="378"/>
      <c r="D461" s="384"/>
      <c r="E461" s="378"/>
      <c r="F461" s="378"/>
      <c r="G461" s="378"/>
      <c r="H461" s="378"/>
      <c r="I461" s="378"/>
      <c r="J461" s="378"/>
      <c r="K461" s="378"/>
      <c r="L461" s="378"/>
      <c r="M461" s="378"/>
      <c r="N461" s="378"/>
      <c r="O461" s="378"/>
      <c r="P461" s="378"/>
      <c r="Q461" s="378"/>
      <c r="R461" s="378"/>
      <c r="S461" s="378"/>
      <c r="T461" s="378"/>
      <c r="U461" s="378"/>
      <c r="V461" s="378"/>
      <c r="W461" s="378"/>
      <c r="X461" s="378"/>
      <c r="Y461" s="378"/>
      <c r="Z461" s="378"/>
    </row>
    <row r="462" spans="1:26" ht="18">
      <c r="A462" s="378"/>
      <c r="B462" s="378"/>
      <c r="C462" s="378"/>
      <c r="D462" s="384"/>
      <c r="E462" s="378"/>
      <c r="F462" s="378"/>
      <c r="G462" s="378"/>
      <c r="H462" s="378"/>
      <c r="I462" s="378"/>
      <c r="J462" s="378"/>
      <c r="K462" s="378"/>
      <c r="L462" s="378"/>
      <c r="M462" s="378"/>
      <c r="N462" s="378"/>
      <c r="O462" s="378"/>
      <c r="P462" s="378"/>
      <c r="Q462" s="378"/>
      <c r="R462" s="378"/>
      <c r="S462" s="378"/>
      <c r="T462" s="378"/>
      <c r="U462" s="378"/>
      <c r="V462" s="378"/>
      <c r="W462" s="378"/>
      <c r="X462" s="378"/>
      <c r="Y462" s="378"/>
      <c r="Z462" s="378"/>
    </row>
    <row r="463" spans="1:26" ht="18">
      <c r="A463" s="378"/>
      <c r="B463" s="378"/>
      <c r="C463" s="378"/>
      <c r="D463" s="384"/>
      <c r="E463" s="378"/>
      <c r="F463" s="378"/>
      <c r="G463" s="378"/>
      <c r="H463" s="378"/>
      <c r="I463" s="378"/>
      <c r="J463" s="378"/>
      <c r="K463" s="378"/>
      <c r="L463" s="378"/>
      <c r="M463" s="378"/>
      <c r="N463" s="378"/>
      <c r="O463" s="378"/>
      <c r="P463" s="378"/>
      <c r="Q463" s="378"/>
      <c r="R463" s="378"/>
      <c r="S463" s="378"/>
      <c r="T463" s="378"/>
      <c r="U463" s="378"/>
      <c r="V463" s="378"/>
      <c r="W463" s="378"/>
      <c r="X463" s="378"/>
      <c r="Y463" s="378"/>
      <c r="Z463" s="378"/>
    </row>
    <row r="464" spans="1:26" ht="18">
      <c r="A464" s="378"/>
      <c r="B464" s="378"/>
      <c r="C464" s="378"/>
      <c r="D464" s="384"/>
      <c r="E464" s="378"/>
      <c r="F464" s="378"/>
      <c r="G464" s="378"/>
      <c r="H464" s="378"/>
      <c r="I464" s="378"/>
      <c r="J464" s="378"/>
      <c r="K464" s="378"/>
      <c r="L464" s="378"/>
      <c r="M464" s="378"/>
      <c r="N464" s="378"/>
      <c r="O464" s="378"/>
      <c r="P464" s="378"/>
      <c r="Q464" s="378"/>
      <c r="R464" s="378"/>
      <c r="S464" s="378"/>
      <c r="T464" s="378"/>
      <c r="U464" s="378"/>
      <c r="V464" s="378"/>
      <c r="W464" s="378"/>
      <c r="X464" s="378"/>
      <c r="Y464" s="378"/>
      <c r="Z464" s="378"/>
    </row>
    <row r="465" spans="1:26" ht="18">
      <c r="A465" s="378"/>
      <c r="B465" s="378"/>
      <c r="C465" s="378"/>
      <c r="D465" s="384"/>
      <c r="E465" s="378"/>
      <c r="F465" s="378"/>
      <c r="G465" s="378"/>
      <c r="H465" s="378"/>
      <c r="I465" s="378"/>
      <c r="J465" s="378"/>
      <c r="K465" s="378"/>
      <c r="L465" s="378"/>
      <c r="M465" s="378"/>
      <c r="N465" s="378"/>
      <c r="O465" s="378"/>
      <c r="P465" s="378"/>
      <c r="Q465" s="378"/>
      <c r="R465" s="378"/>
      <c r="S465" s="378"/>
      <c r="T465" s="378"/>
      <c r="U465" s="378"/>
      <c r="V465" s="378"/>
      <c r="W465" s="378"/>
      <c r="X465" s="378"/>
      <c r="Y465" s="378"/>
      <c r="Z465" s="378"/>
    </row>
    <row r="466" spans="1:26" ht="18">
      <c r="A466" s="378"/>
      <c r="B466" s="378"/>
      <c r="C466" s="378"/>
      <c r="D466" s="384"/>
      <c r="E466" s="378"/>
      <c r="F466" s="378"/>
      <c r="G466" s="378"/>
      <c r="H466" s="378"/>
      <c r="I466" s="378"/>
      <c r="J466" s="378"/>
      <c r="K466" s="378"/>
      <c r="L466" s="378"/>
      <c r="M466" s="378"/>
      <c r="N466" s="378"/>
      <c r="O466" s="378"/>
      <c r="P466" s="378"/>
      <c r="Q466" s="378"/>
      <c r="R466" s="378"/>
      <c r="S466" s="378"/>
      <c r="T466" s="378"/>
      <c r="U466" s="378"/>
      <c r="V466" s="378"/>
      <c r="W466" s="378"/>
      <c r="X466" s="378"/>
      <c r="Y466" s="378"/>
      <c r="Z466" s="378"/>
    </row>
    <row r="467" spans="1:26" ht="18">
      <c r="A467" s="378"/>
      <c r="B467" s="378"/>
      <c r="C467" s="378"/>
      <c r="D467" s="384"/>
      <c r="E467" s="378"/>
      <c r="F467" s="378"/>
      <c r="G467" s="378"/>
      <c r="H467" s="378"/>
      <c r="I467" s="378"/>
      <c r="J467" s="378"/>
      <c r="K467" s="378"/>
      <c r="L467" s="378"/>
      <c r="M467" s="378"/>
      <c r="N467" s="378"/>
      <c r="O467" s="378"/>
      <c r="P467" s="378"/>
      <c r="Q467" s="378"/>
      <c r="R467" s="378"/>
      <c r="S467" s="378"/>
      <c r="T467" s="378"/>
      <c r="U467" s="378"/>
      <c r="V467" s="378"/>
      <c r="W467" s="378"/>
      <c r="X467" s="378"/>
      <c r="Y467" s="378"/>
      <c r="Z467" s="378"/>
    </row>
    <row r="468" spans="1:26" ht="18">
      <c r="A468" s="378"/>
      <c r="B468" s="378"/>
      <c r="C468" s="378"/>
      <c r="D468" s="384"/>
      <c r="E468" s="378"/>
      <c r="F468" s="378"/>
      <c r="G468" s="378"/>
      <c r="H468" s="378"/>
      <c r="I468" s="378"/>
      <c r="J468" s="378"/>
      <c r="K468" s="378"/>
      <c r="L468" s="378"/>
      <c r="M468" s="378"/>
      <c r="N468" s="378"/>
      <c r="O468" s="378"/>
      <c r="P468" s="378"/>
      <c r="Q468" s="378"/>
      <c r="R468" s="378"/>
      <c r="S468" s="378"/>
      <c r="T468" s="378"/>
      <c r="U468" s="378"/>
      <c r="V468" s="378"/>
      <c r="W468" s="378"/>
      <c r="X468" s="378"/>
      <c r="Y468" s="378"/>
      <c r="Z468" s="378"/>
    </row>
    <row r="469" spans="1:26" ht="18">
      <c r="A469" s="378"/>
      <c r="B469" s="378"/>
      <c r="C469" s="378"/>
      <c r="D469" s="384"/>
      <c r="E469" s="378"/>
      <c r="F469" s="378"/>
      <c r="G469" s="378"/>
      <c r="H469" s="378"/>
      <c r="I469" s="378"/>
      <c r="J469" s="378"/>
      <c r="K469" s="378"/>
      <c r="L469" s="378"/>
      <c r="M469" s="378"/>
      <c r="N469" s="378"/>
      <c r="O469" s="378"/>
      <c r="P469" s="378"/>
      <c r="Q469" s="378"/>
      <c r="R469" s="378"/>
      <c r="S469" s="378"/>
      <c r="T469" s="378"/>
      <c r="U469" s="378"/>
      <c r="V469" s="378"/>
      <c r="W469" s="378"/>
      <c r="X469" s="378"/>
      <c r="Y469" s="378"/>
      <c r="Z469" s="378"/>
    </row>
    <row r="470" spans="1:26" ht="18">
      <c r="A470" s="378"/>
      <c r="B470" s="378"/>
      <c r="C470" s="378"/>
      <c r="D470" s="384"/>
      <c r="E470" s="378"/>
      <c r="F470" s="378"/>
      <c r="G470" s="378"/>
      <c r="H470" s="378"/>
      <c r="I470" s="378"/>
      <c r="J470" s="378"/>
      <c r="K470" s="378"/>
      <c r="L470" s="378"/>
      <c r="M470" s="378"/>
      <c r="N470" s="378"/>
      <c r="O470" s="378"/>
      <c r="P470" s="378"/>
      <c r="Q470" s="378"/>
      <c r="R470" s="378"/>
      <c r="S470" s="378"/>
      <c r="T470" s="378"/>
      <c r="U470" s="378"/>
      <c r="V470" s="378"/>
      <c r="W470" s="378"/>
      <c r="X470" s="378"/>
      <c r="Y470" s="378"/>
      <c r="Z470" s="378"/>
    </row>
    <row r="471" spans="1:26" ht="18">
      <c r="A471" s="378"/>
      <c r="B471" s="378"/>
      <c r="C471" s="378"/>
      <c r="D471" s="384"/>
      <c r="E471" s="378"/>
      <c r="F471" s="378"/>
      <c r="G471" s="378"/>
      <c r="H471" s="378"/>
      <c r="I471" s="378"/>
      <c r="J471" s="378"/>
      <c r="K471" s="378"/>
      <c r="L471" s="378"/>
      <c r="M471" s="378"/>
      <c r="N471" s="378"/>
      <c r="O471" s="378"/>
      <c r="P471" s="378"/>
      <c r="Q471" s="378"/>
      <c r="R471" s="378"/>
      <c r="S471" s="378"/>
      <c r="T471" s="378"/>
      <c r="U471" s="378"/>
      <c r="V471" s="378"/>
      <c r="W471" s="378"/>
      <c r="X471" s="378"/>
      <c r="Y471" s="378"/>
      <c r="Z471" s="378"/>
    </row>
    <row r="472" spans="1:26" ht="18">
      <c r="A472" s="378"/>
      <c r="B472" s="378"/>
      <c r="C472" s="378"/>
      <c r="D472" s="384"/>
      <c r="E472" s="378"/>
      <c r="F472" s="378"/>
      <c r="G472" s="378"/>
      <c r="H472" s="378"/>
      <c r="I472" s="378"/>
      <c r="J472" s="378"/>
      <c r="K472" s="378"/>
      <c r="L472" s="378"/>
      <c r="M472" s="378"/>
      <c r="N472" s="378"/>
      <c r="O472" s="378"/>
      <c r="P472" s="378"/>
      <c r="Q472" s="378"/>
      <c r="R472" s="378"/>
      <c r="S472" s="378"/>
      <c r="T472" s="378"/>
      <c r="U472" s="378"/>
      <c r="V472" s="378"/>
      <c r="W472" s="378"/>
      <c r="X472" s="378"/>
      <c r="Y472" s="378"/>
      <c r="Z472" s="378"/>
    </row>
    <row r="473" spans="1:26" ht="18">
      <c r="A473" s="378"/>
      <c r="B473" s="378"/>
      <c r="C473" s="378"/>
      <c r="D473" s="384"/>
      <c r="E473" s="378"/>
      <c r="F473" s="378"/>
      <c r="G473" s="378"/>
      <c r="H473" s="378"/>
      <c r="I473" s="378"/>
      <c r="J473" s="378"/>
      <c r="K473" s="378"/>
      <c r="L473" s="378"/>
      <c r="M473" s="378"/>
      <c r="N473" s="378"/>
      <c r="O473" s="378"/>
      <c r="P473" s="378"/>
      <c r="Q473" s="378"/>
      <c r="R473" s="378"/>
      <c r="S473" s="378"/>
      <c r="T473" s="378"/>
      <c r="U473" s="378"/>
      <c r="V473" s="378"/>
      <c r="W473" s="378"/>
      <c r="X473" s="378"/>
      <c r="Y473" s="378"/>
      <c r="Z473" s="378"/>
    </row>
    <row r="474" spans="1:26" ht="18">
      <c r="A474" s="378"/>
      <c r="B474" s="378"/>
      <c r="C474" s="378"/>
      <c r="D474" s="384"/>
      <c r="E474" s="378"/>
      <c r="F474" s="378"/>
      <c r="G474" s="378"/>
      <c r="H474" s="378"/>
      <c r="I474" s="378"/>
      <c r="J474" s="378"/>
      <c r="K474" s="378"/>
      <c r="L474" s="378"/>
      <c r="M474" s="378"/>
      <c r="N474" s="378"/>
      <c r="O474" s="378"/>
      <c r="P474" s="378"/>
      <c r="Q474" s="378"/>
      <c r="R474" s="378"/>
      <c r="S474" s="378"/>
      <c r="T474" s="378"/>
      <c r="U474" s="378"/>
      <c r="V474" s="378"/>
      <c r="W474" s="378"/>
      <c r="X474" s="378"/>
      <c r="Y474" s="378"/>
      <c r="Z474" s="378"/>
    </row>
    <row r="475" spans="1:26" ht="18">
      <c r="A475" s="378"/>
      <c r="B475" s="378"/>
      <c r="C475" s="378"/>
      <c r="D475" s="384"/>
      <c r="E475" s="378"/>
      <c r="F475" s="378"/>
      <c r="G475" s="378"/>
      <c r="H475" s="378"/>
      <c r="I475" s="378"/>
      <c r="J475" s="378"/>
      <c r="K475" s="378"/>
      <c r="L475" s="378"/>
      <c r="M475" s="378"/>
      <c r="N475" s="378"/>
      <c r="O475" s="378"/>
      <c r="P475" s="378"/>
      <c r="Q475" s="378"/>
      <c r="R475" s="378"/>
      <c r="S475" s="378"/>
      <c r="T475" s="378"/>
      <c r="U475" s="378"/>
      <c r="V475" s="378"/>
      <c r="W475" s="378"/>
      <c r="X475" s="378"/>
      <c r="Y475" s="378"/>
      <c r="Z475" s="378"/>
    </row>
    <row r="476" spans="1:26" ht="18">
      <c r="A476" s="378"/>
      <c r="B476" s="378"/>
      <c r="C476" s="378"/>
      <c r="D476" s="384"/>
      <c r="E476" s="378"/>
      <c r="F476" s="378"/>
      <c r="G476" s="378"/>
      <c r="H476" s="378"/>
      <c r="I476" s="378"/>
      <c r="J476" s="378"/>
      <c r="K476" s="378"/>
      <c r="L476" s="378"/>
      <c r="M476" s="378"/>
      <c r="N476" s="378"/>
      <c r="O476" s="378"/>
      <c r="P476" s="378"/>
      <c r="Q476" s="378"/>
      <c r="R476" s="378"/>
      <c r="S476" s="378"/>
      <c r="T476" s="378"/>
      <c r="U476" s="378"/>
      <c r="V476" s="378"/>
      <c r="W476" s="378"/>
      <c r="X476" s="378"/>
      <c r="Y476" s="378"/>
      <c r="Z476" s="378"/>
    </row>
    <row r="477" spans="1:26" ht="18">
      <c r="A477" s="378"/>
      <c r="B477" s="378"/>
      <c r="C477" s="378"/>
      <c r="D477" s="384"/>
      <c r="E477" s="378"/>
      <c r="F477" s="378"/>
      <c r="G477" s="378"/>
      <c r="H477" s="378"/>
      <c r="I477" s="378"/>
      <c r="J477" s="378"/>
      <c r="K477" s="378"/>
      <c r="L477" s="378"/>
      <c r="M477" s="378"/>
      <c r="N477" s="378"/>
      <c r="O477" s="378"/>
      <c r="P477" s="378"/>
      <c r="Q477" s="378"/>
      <c r="R477" s="378"/>
      <c r="S477" s="378"/>
      <c r="T477" s="378"/>
      <c r="U477" s="378"/>
      <c r="V477" s="378"/>
      <c r="W477" s="378"/>
      <c r="X477" s="378"/>
      <c r="Y477" s="378"/>
      <c r="Z477" s="378"/>
    </row>
    <row r="478" spans="1:26" ht="18">
      <c r="A478" s="378"/>
      <c r="B478" s="378"/>
      <c r="C478" s="378"/>
      <c r="D478" s="384"/>
      <c r="E478" s="378"/>
      <c r="F478" s="378"/>
      <c r="G478" s="378"/>
      <c r="H478" s="378"/>
      <c r="I478" s="378"/>
      <c r="J478" s="378"/>
      <c r="K478" s="378"/>
      <c r="L478" s="378"/>
      <c r="M478" s="378"/>
      <c r="N478" s="378"/>
      <c r="O478" s="378"/>
      <c r="P478" s="378"/>
      <c r="Q478" s="378"/>
      <c r="R478" s="378"/>
      <c r="S478" s="378"/>
      <c r="T478" s="378"/>
      <c r="U478" s="378"/>
      <c r="V478" s="378"/>
      <c r="W478" s="378"/>
      <c r="X478" s="378"/>
      <c r="Y478" s="378"/>
      <c r="Z478" s="378"/>
    </row>
    <row r="479" spans="1:26" ht="18">
      <c r="A479" s="378"/>
      <c r="B479" s="378"/>
      <c r="C479" s="378"/>
      <c r="D479" s="384"/>
      <c r="E479" s="378"/>
      <c r="F479" s="378"/>
      <c r="G479" s="378"/>
      <c r="H479" s="378"/>
      <c r="I479" s="378"/>
      <c r="J479" s="378"/>
      <c r="K479" s="378"/>
      <c r="L479" s="378"/>
      <c r="M479" s="378"/>
      <c r="N479" s="378"/>
      <c r="O479" s="378"/>
      <c r="P479" s="378"/>
      <c r="Q479" s="378"/>
      <c r="R479" s="378"/>
      <c r="S479" s="378"/>
      <c r="T479" s="378"/>
      <c r="U479" s="378"/>
      <c r="V479" s="378"/>
      <c r="W479" s="378"/>
      <c r="X479" s="378"/>
      <c r="Y479" s="378"/>
      <c r="Z479" s="378"/>
    </row>
    <row r="480" spans="1:26" ht="18">
      <c r="A480" s="378"/>
      <c r="B480" s="378"/>
      <c r="C480" s="378"/>
      <c r="D480" s="384"/>
      <c r="E480" s="378"/>
      <c r="F480" s="378"/>
      <c r="G480" s="378"/>
      <c r="H480" s="378"/>
      <c r="I480" s="378"/>
      <c r="J480" s="378"/>
      <c r="K480" s="378"/>
      <c r="L480" s="378"/>
      <c r="M480" s="378"/>
      <c r="N480" s="378"/>
      <c r="O480" s="378"/>
      <c r="P480" s="378"/>
      <c r="Q480" s="378"/>
      <c r="R480" s="378"/>
      <c r="S480" s="378"/>
      <c r="T480" s="378"/>
      <c r="U480" s="378"/>
      <c r="V480" s="378"/>
      <c r="W480" s="378"/>
      <c r="X480" s="378"/>
      <c r="Y480" s="378"/>
      <c r="Z480" s="378"/>
    </row>
    <row r="481" spans="1:26" ht="18">
      <c r="A481" s="378"/>
      <c r="B481" s="378"/>
      <c r="C481" s="378"/>
      <c r="D481" s="384"/>
      <c r="E481" s="378"/>
      <c r="F481" s="378"/>
      <c r="G481" s="378"/>
      <c r="H481" s="378"/>
      <c r="I481" s="378"/>
      <c r="J481" s="378"/>
      <c r="K481" s="378"/>
      <c r="L481" s="378"/>
      <c r="M481" s="378"/>
      <c r="N481" s="378"/>
      <c r="O481" s="378"/>
      <c r="P481" s="378"/>
      <c r="Q481" s="378"/>
      <c r="R481" s="378"/>
      <c r="S481" s="378"/>
      <c r="T481" s="378"/>
      <c r="U481" s="378"/>
      <c r="V481" s="378"/>
      <c r="W481" s="378"/>
      <c r="X481" s="378"/>
      <c r="Y481" s="378"/>
      <c r="Z481" s="378"/>
    </row>
    <row r="482" spans="1:26" ht="18">
      <c r="A482" s="378"/>
      <c r="B482" s="378"/>
      <c r="C482" s="378"/>
      <c r="D482" s="384"/>
      <c r="E482" s="378"/>
      <c r="F482" s="378"/>
      <c r="G482" s="378"/>
      <c r="H482" s="378"/>
      <c r="I482" s="378"/>
      <c r="J482" s="378"/>
      <c r="K482" s="378"/>
      <c r="L482" s="378"/>
      <c r="M482" s="378"/>
      <c r="N482" s="378"/>
      <c r="O482" s="378"/>
      <c r="P482" s="378"/>
      <c r="Q482" s="378"/>
      <c r="R482" s="378"/>
      <c r="S482" s="378"/>
      <c r="T482" s="378"/>
      <c r="U482" s="378"/>
      <c r="V482" s="378"/>
      <c r="W482" s="378"/>
      <c r="X482" s="378"/>
      <c r="Y482" s="378"/>
      <c r="Z482" s="378"/>
    </row>
    <row r="483" spans="1:26" ht="18">
      <c r="A483" s="378"/>
      <c r="B483" s="378"/>
      <c r="C483" s="378"/>
      <c r="D483" s="384"/>
      <c r="E483" s="378"/>
      <c r="F483" s="378"/>
      <c r="G483" s="378"/>
      <c r="H483" s="378"/>
      <c r="I483" s="378"/>
      <c r="J483" s="378"/>
      <c r="K483" s="378"/>
      <c r="L483" s="378"/>
      <c r="M483" s="378"/>
      <c r="N483" s="378"/>
      <c r="O483" s="378"/>
      <c r="P483" s="378"/>
      <c r="Q483" s="378"/>
      <c r="R483" s="378"/>
      <c r="S483" s="378"/>
      <c r="T483" s="378"/>
      <c r="U483" s="378"/>
      <c r="V483" s="378"/>
      <c r="W483" s="378"/>
      <c r="X483" s="378"/>
      <c r="Y483" s="378"/>
      <c r="Z483" s="378"/>
    </row>
    <row r="484" spans="1:26" ht="18">
      <c r="A484" s="378"/>
      <c r="B484" s="378"/>
      <c r="C484" s="378"/>
      <c r="D484" s="384"/>
      <c r="E484" s="378"/>
      <c r="F484" s="378"/>
      <c r="G484" s="378"/>
      <c r="H484" s="378"/>
      <c r="I484" s="378"/>
      <c r="J484" s="378"/>
      <c r="K484" s="378"/>
      <c r="L484" s="378"/>
      <c r="M484" s="378"/>
      <c r="N484" s="378"/>
      <c r="O484" s="378"/>
      <c r="P484" s="378"/>
      <c r="Q484" s="378"/>
      <c r="R484" s="378"/>
      <c r="S484" s="378"/>
      <c r="T484" s="378"/>
      <c r="U484" s="378"/>
      <c r="V484" s="378"/>
      <c r="W484" s="378"/>
      <c r="X484" s="378"/>
      <c r="Y484" s="378"/>
      <c r="Z484" s="378"/>
    </row>
    <row r="485" spans="1:26" ht="18">
      <c r="A485" s="378"/>
      <c r="B485" s="378"/>
      <c r="C485" s="378"/>
      <c r="D485" s="384"/>
      <c r="E485" s="378"/>
      <c r="F485" s="378"/>
      <c r="G485" s="378"/>
      <c r="H485" s="378"/>
      <c r="I485" s="378"/>
      <c r="J485" s="378"/>
      <c r="K485" s="378"/>
      <c r="L485" s="378"/>
      <c r="M485" s="378"/>
      <c r="N485" s="378"/>
      <c r="O485" s="378"/>
      <c r="P485" s="378"/>
      <c r="Q485" s="378"/>
      <c r="R485" s="378"/>
      <c r="S485" s="378"/>
      <c r="T485" s="378"/>
      <c r="U485" s="378"/>
      <c r="V485" s="378"/>
      <c r="W485" s="378"/>
      <c r="X485" s="378"/>
      <c r="Y485" s="378"/>
      <c r="Z485" s="378"/>
    </row>
    <row r="486" spans="1:26" ht="18">
      <c r="A486" s="378"/>
      <c r="B486" s="378"/>
      <c r="C486" s="378"/>
      <c r="D486" s="384"/>
      <c r="E486" s="378"/>
      <c r="F486" s="378"/>
      <c r="G486" s="378"/>
      <c r="H486" s="378"/>
      <c r="I486" s="378"/>
      <c r="J486" s="378"/>
      <c r="K486" s="378"/>
      <c r="L486" s="378"/>
      <c r="M486" s="378"/>
      <c r="N486" s="378"/>
      <c r="O486" s="378"/>
      <c r="P486" s="378"/>
      <c r="Q486" s="378"/>
      <c r="R486" s="378"/>
      <c r="S486" s="378"/>
      <c r="T486" s="378"/>
      <c r="U486" s="378"/>
      <c r="V486" s="378"/>
      <c r="W486" s="378"/>
      <c r="X486" s="378"/>
      <c r="Y486" s="378"/>
      <c r="Z486" s="378"/>
    </row>
    <row r="487" spans="1:26" ht="18">
      <c r="A487" s="378"/>
      <c r="B487" s="378"/>
      <c r="C487" s="378"/>
      <c r="D487" s="384"/>
      <c r="E487" s="378"/>
      <c r="F487" s="378"/>
      <c r="G487" s="378"/>
      <c r="H487" s="378"/>
      <c r="I487" s="378"/>
      <c r="J487" s="378"/>
      <c r="K487" s="378"/>
      <c r="L487" s="378"/>
      <c r="M487" s="378"/>
      <c r="N487" s="378"/>
      <c r="O487" s="378"/>
      <c r="P487" s="378"/>
      <c r="Q487" s="378"/>
      <c r="R487" s="378"/>
      <c r="S487" s="378"/>
      <c r="T487" s="378"/>
      <c r="U487" s="378"/>
      <c r="V487" s="378"/>
      <c r="W487" s="378"/>
      <c r="X487" s="378"/>
      <c r="Y487" s="378"/>
      <c r="Z487" s="378"/>
    </row>
    <row r="488" spans="1:26" ht="18">
      <c r="A488" s="378"/>
      <c r="B488" s="378"/>
      <c r="C488" s="378"/>
      <c r="D488" s="384"/>
      <c r="E488" s="378"/>
      <c r="F488" s="378"/>
      <c r="G488" s="378"/>
      <c r="H488" s="378"/>
      <c r="I488" s="378"/>
      <c r="J488" s="378"/>
      <c r="K488" s="378"/>
      <c r="L488" s="378"/>
      <c r="M488" s="378"/>
      <c r="N488" s="378"/>
      <c r="O488" s="378"/>
      <c r="P488" s="378"/>
      <c r="Q488" s="378"/>
      <c r="R488" s="378"/>
      <c r="S488" s="378"/>
      <c r="T488" s="378"/>
      <c r="U488" s="378"/>
      <c r="V488" s="378"/>
      <c r="W488" s="378"/>
      <c r="X488" s="378"/>
      <c r="Y488" s="378"/>
      <c r="Z488" s="378"/>
    </row>
    <row r="489" spans="1:26" ht="18">
      <c r="A489" s="378"/>
      <c r="B489" s="378"/>
      <c r="C489" s="378"/>
      <c r="D489" s="384"/>
      <c r="E489" s="378"/>
      <c r="F489" s="378"/>
      <c r="G489" s="378"/>
      <c r="H489" s="378"/>
      <c r="I489" s="378"/>
      <c r="J489" s="378"/>
      <c r="K489" s="378"/>
      <c r="L489" s="378"/>
      <c r="M489" s="378"/>
      <c r="N489" s="378"/>
      <c r="O489" s="378"/>
      <c r="P489" s="378"/>
      <c r="Q489" s="378"/>
      <c r="R489" s="378"/>
      <c r="S489" s="378"/>
      <c r="T489" s="378"/>
      <c r="U489" s="378"/>
      <c r="V489" s="378"/>
      <c r="W489" s="378"/>
      <c r="X489" s="378"/>
      <c r="Y489" s="378"/>
      <c r="Z489" s="378"/>
    </row>
    <row r="490" spans="1:26" ht="18">
      <c r="A490" s="378"/>
      <c r="B490" s="378"/>
      <c r="C490" s="378"/>
      <c r="D490" s="384"/>
      <c r="E490" s="378"/>
      <c r="F490" s="378"/>
      <c r="G490" s="378"/>
      <c r="H490" s="378"/>
      <c r="I490" s="378"/>
      <c r="J490" s="378"/>
      <c r="K490" s="378"/>
      <c r="L490" s="378"/>
      <c r="M490" s="378"/>
      <c r="N490" s="378"/>
      <c r="O490" s="378"/>
      <c r="P490" s="378"/>
      <c r="Q490" s="378"/>
      <c r="R490" s="378"/>
      <c r="S490" s="378"/>
      <c r="T490" s="378"/>
      <c r="U490" s="378"/>
      <c r="V490" s="378"/>
      <c r="W490" s="378"/>
      <c r="X490" s="378"/>
      <c r="Y490" s="378"/>
      <c r="Z490" s="378"/>
    </row>
    <row r="491" spans="1:26" ht="18">
      <c r="A491" s="378"/>
      <c r="B491" s="378"/>
      <c r="C491" s="378"/>
      <c r="D491" s="384"/>
      <c r="E491" s="378"/>
      <c r="F491" s="378"/>
      <c r="G491" s="378"/>
      <c r="H491" s="378"/>
      <c r="I491" s="378"/>
      <c r="J491" s="378"/>
      <c r="K491" s="378"/>
      <c r="L491" s="378"/>
      <c r="M491" s="378"/>
      <c r="N491" s="378"/>
      <c r="O491" s="378"/>
      <c r="P491" s="378"/>
      <c r="Q491" s="378"/>
      <c r="R491" s="378"/>
      <c r="S491" s="378"/>
      <c r="T491" s="378"/>
      <c r="U491" s="378"/>
      <c r="V491" s="378"/>
      <c r="W491" s="378"/>
      <c r="X491" s="378"/>
      <c r="Y491" s="378"/>
      <c r="Z491" s="378"/>
    </row>
    <row r="492" spans="1:26" ht="18">
      <c r="A492" s="378"/>
      <c r="B492" s="378"/>
      <c r="C492" s="378"/>
      <c r="D492" s="384"/>
      <c r="E492" s="378"/>
      <c r="F492" s="378"/>
      <c r="G492" s="378"/>
      <c r="H492" s="378"/>
      <c r="I492" s="378"/>
      <c r="J492" s="378"/>
      <c r="K492" s="378"/>
      <c r="L492" s="378"/>
      <c r="M492" s="378"/>
      <c r="N492" s="378"/>
      <c r="O492" s="378"/>
      <c r="P492" s="378"/>
      <c r="Q492" s="378"/>
      <c r="R492" s="378"/>
      <c r="S492" s="378"/>
      <c r="T492" s="378"/>
      <c r="U492" s="378"/>
      <c r="V492" s="378"/>
      <c r="W492" s="378"/>
      <c r="X492" s="378"/>
      <c r="Y492" s="378"/>
      <c r="Z492" s="378"/>
    </row>
    <row r="493" spans="1:26" ht="18">
      <c r="A493" s="378"/>
      <c r="B493" s="378"/>
      <c r="C493" s="378"/>
      <c r="D493" s="384"/>
      <c r="E493" s="378"/>
      <c r="F493" s="378"/>
      <c r="G493" s="378"/>
      <c r="H493" s="378"/>
      <c r="I493" s="378"/>
      <c r="J493" s="378"/>
      <c r="K493" s="378"/>
      <c r="L493" s="378"/>
      <c r="M493" s="378"/>
      <c r="N493" s="378"/>
      <c r="O493" s="378"/>
      <c r="P493" s="378"/>
      <c r="Q493" s="378"/>
      <c r="R493" s="378"/>
      <c r="S493" s="378"/>
      <c r="T493" s="378"/>
      <c r="U493" s="378"/>
      <c r="V493" s="378"/>
      <c r="W493" s="378"/>
      <c r="X493" s="378"/>
      <c r="Y493" s="378"/>
      <c r="Z493" s="378"/>
    </row>
    <row r="494" spans="1:26" ht="18">
      <c r="A494" s="378"/>
      <c r="B494" s="378"/>
      <c r="C494" s="378"/>
      <c r="D494" s="384"/>
      <c r="E494" s="378"/>
      <c r="F494" s="378"/>
      <c r="G494" s="378"/>
      <c r="H494" s="378"/>
      <c r="I494" s="378"/>
      <c r="J494" s="378"/>
      <c r="K494" s="378"/>
      <c r="L494" s="378"/>
      <c r="M494" s="378"/>
      <c r="N494" s="378"/>
      <c r="O494" s="378"/>
      <c r="P494" s="378"/>
      <c r="Q494" s="378"/>
      <c r="R494" s="378"/>
      <c r="S494" s="378"/>
      <c r="T494" s="378"/>
      <c r="U494" s="378"/>
      <c r="V494" s="378"/>
      <c r="W494" s="378"/>
      <c r="X494" s="378"/>
      <c r="Y494" s="378"/>
      <c r="Z494" s="378"/>
    </row>
    <row r="495" spans="1:26" ht="18">
      <c r="A495" s="378"/>
      <c r="B495" s="378"/>
      <c r="C495" s="378"/>
      <c r="D495" s="384"/>
      <c r="E495" s="378"/>
      <c r="F495" s="378"/>
      <c r="G495" s="378"/>
      <c r="H495" s="378"/>
      <c r="I495" s="378"/>
      <c r="J495" s="378"/>
      <c r="K495" s="378"/>
      <c r="L495" s="378"/>
      <c r="M495" s="378"/>
      <c r="N495" s="378"/>
      <c r="O495" s="378"/>
      <c r="P495" s="378"/>
      <c r="Q495" s="378"/>
      <c r="R495" s="378"/>
      <c r="S495" s="378"/>
      <c r="T495" s="378"/>
      <c r="U495" s="378"/>
      <c r="V495" s="378"/>
      <c r="W495" s="378"/>
      <c r="X495" s="378"/>
      <c r="Y495" s="378"/>
      <c r="Z495" s="378"/>
    </row>
    <row r="496" spans="1:26" ht="18">
      <c r="A496" s="378"/>
      <c r="B496" s="378"/>
      <c r="C496" s="378"/>
      <c r="D496" s="384"/>
      <c r="E496" s="378"/>
      <c r="F496" s="378"/>
      <c r="G496" s="378"/>
      <c r="H496" s="378"/>
      <c r="I496" s="378"/>
      <c r="J496" s="378"/>
      <c r="K496" s="378"/>
      <c r="L496" s="378"/>
      <c r="M496" s="378"/>
      <c r="N496" s="378"/>
      <c r="O496" s="378"/>
      <c r="P496" s="378"/>
      <c r="Q496" s="378"/>
      <c r="R496" s="378"/>
      <c r="S496" s="378"/>
      <c r="T496" s="378"/>
      <c r="U496" s="378"/>
      <c r="V496" s="378"/>
      <c r="W496" s="378"/>
      <c r="X496" s="378"/>
      <c r="Y496" s="378"/>
      <c r="Z496" s="378"/>
    </row>
    <row r="497" spans="1:26" ht="18">
      <c r="A497" s="378"/>
      <c r="B497" s="378"/>
      <c r="C497" s="378"/>
      <c r="D497" s="384"/>
      <c r="E497" s="378"/>
      <c r="F497" s="378"/>
      <c r="G497" s="378"/>
      <c r="H497" s="378"/>
      <c r="I497" s="378"/>
      <c r="J497" s="378"/>
      <c r="K497" s="378"/>
      <c r="L497" s="378"/>
      <c r="M497" s="378"/>
      <c r="N497" s="378"/>
      <c r="O497" s="378"/>
      <c r="P497" s="378"/>
      <c r="Q497" s="378"/>
      <c r="R497" s="378"/>
      <c r="S497" s="378"/>
      <c r="T497" s="378"/>
      <c r="U497" s="378"/>
      <c r="V497" s="378"/>
      <c r="W497" s="378"/>
      <c r="X497" s="378"/>
      <c r="Y497" s="378"/>
      <c r="Z497" s="378"/>
    </row>
    <row r="498" spans="1:26" ht="18">
      <c r="A498" s="378"/>
      <c r="B498" s="378"/>
      <c r="C498" s="378"/>
      <c r="D498" s="384"/>
      <c r="E498" s="378"/>
      <c r="F498" s="378"/>
      <c r="G498" s="378"/>
      <c r="H498" s="378"/>
      <c r="I498" s="378"/>
      <c r="J498" s="378"/>
      <c r="K498" s="378"/>
      <c r="L498" s="378"/>
      <c r="M498" s="378"/>
      <c r="N498" s="378"/>
      <c r="O498" s="378"/>
      <c r="P498" s="378"/>
      <c r="Q498" s="378"/>
      <c r="R498" s="378"/>
      <c r="S498" s="378"/>
      <c r="T498" s="378"/>
      <c r="U498" s="378"/>
      <c r="V498" s="378"/>
      <c r="W498" s="378"/>
      <c r="X498" s="378"/>
      <c r="Y498" s="378"/>
      <c r="Z498" s="378"/>
    </row>
    <row r="499" spans="1:26" ht="18">
      <c r="A499" s="378"/>
      <c r="B499" s="378"/>
      <c r="C499" s="378"/>
      <c r="D499" s="384"/>
      <c r="E499" s="378"/>
      <c r="F499" s="378"/>
      <c r="G499" s="378"/>
      <c r="H499" s="378"/>
      <c r="I499" s="378"/>
      <c r="J499" s="378"/>
      <c r="K499" s="378"/>
      <c r="L499" s="378"/>
      <c r="M499" s="378"/>
      <c r="N499" s="378"/>
      <c r="O499" s="378"/>
      <c r="P499" s="378"/>
      <c r="Q499" s="378"/>
      <c r="R499" s="378"/>
      <c r="S499" s="378"/>
      <c r="T499" s="378"/>
      <c r="U499" s="378"/>
      <c r="V499" s="378"/>
      <c r="W499" s="378"/>
      <c r="X499" s="378"/>
      <c r="Y499" s="378"/>
      <c r="Z499" s="378"/>
    </row>
    <row r="500" spans="1:26" ht="18">
      <c r="A500" s="378"/>
      <c r="B500" s="378"/>
      <c r="C500" s="378"/>
      <c r="D500" s="384"/>
      <c r="E500" s="378"/>
      <c r="F500" s="378"/>
      <c r="G500" s="378"/>
      <c r="H500" s="378"/>
      <c r="I500" s="378"/>
      <c r="J500" s="378"/>
      <c r="K500" s="378"/>
      <c r="L500" s="378"/>
      <c r="M500" s="378"/>
      <c r="N500" s="378"/>
      <c r="O500" s="378"/>
      <c r="P500" s="378"/>
      <c r="Q500" s="378"/>
      <c r="R500" s="378"/>
      <c r="S500" s="378"/>
      <c r="T500" s="378"/>
      <c r="U500" s="378"/>
      <c r="V500" s="378"/>
      <c r="W500" s="378"/>
      <c r="X500" s="378"/>
      <c r="Y500" s="378"/>
      <c r="Z500" s="378"/>
    </row>
    <row r="501" spans="1:26" ht="18">
      <c r="A501" s="378"/>
      <c r="B501" s="378"/>
      <c r="C501" s="378"/>
      <c r="D501" s="384"/>
      <c r="E501" s="378"/>
      <c r="F501" s="378"/>
      <c r="G501" s="378"/>
      <c r="H501" s="378"/>
      <c r="I501" s="378"/>
      <c r="J501" s="378"/>
      <c r="K501" s="378"/>
      <c r="L501" s="378"/>
      <c r="M501" s="378"/>
      <c r="N501" s="378"/>
      <c r="O501" s="378"/>
      <c r="P501" s="378"/>
      <c r="Q501" s="378"/>
      <c r="R501" s="378"/>
      <c r="S501" s="378"/>
      <c r="T501" s="378"/>
      <c r="U501" s="378"/>
      <c r="V501" s="378"/>
      <c r="W501" s="378"/>
      <c r="X501" s="378"/>
      <c r="Y501" s="378"/>
      <c r="Z501" s="378"/>
    </row>
    <row r="502" spans="1:26" ht="18">
      <c r="A502" s="378"/>
      <c r="B502" s="378"/>
      <c r="C502" s="378"/>
      <c r="D502" s="384"/>
      <c r="E502" s="378"/>
      <c r="F502" s="378"/>
      <c r="G502" s="378"/>
      <c r="H502" s="378"/>
      <c r="I502" s="378"/>
      <c r="J502" s="378"/>
      <c r="K502" s="378"/>
      <c r="L502" s="378"/>
      <c r="M502" s="378"/>
      <c r="N502" s="378"/>
      <c r="O502" s="378"/>
      <c r="P502" s="378"/>
      <c r="Q502" s="378"/>
      <c r="R502" s="378"/>
      <c r="S502" s="378"/>
      <c r="T502" s="378"/>
      <c r="U502" s="378"/>
      <c r="V502" s="378"/>
      <c r="W502" s="378"/>
      <c r="X502" s="378"/>
      <c r="Y502" s="378"/>
      <c r="Z502" s="378"/>
    </row>
    <row r="503" spans="1:26" ht="18">
      <c r="A503" s="378"/>
      <c r="B503" s="378"/>
      <c r="C503" s="378"/>
      <c r="D503" s="384"/>
      <c r="E503" s="378"/>
      <c r="F503" s="378"/>
      <c r="G503" s="378"/>
      <c r="H503" s="378"/>
      <c r="I503" s="378"/>
      <c r="J503" s="378"/>
      <c r="K503" s="378"/>
      <c r="L503" s="378"/>
      <c r="M503" s="378"/>
      <c r="N503" s="378"/>
      <c r="O503" s="378"/>
      <c r="P503" s="378"/>
      <c r="Q503" s="378"/>
      <c r="R503" s="378"/>
      <c r="S503" s="378"/>
      <c r="T503" s="378"/>
      <c r="U503" s="378"/>
      <c r="V503" s="378"/>
      <c r="W503" s="378"/>
      <c r="X503" s="378"/>
      <c r="Y503" s="378"/>
      <c r="Z503" s="378"/>
    </row>
    <row r="504" spans="1:26" ht="18">
      <c r="A504" s="378"/>
      <c r="B504" s="378"/>
      <c r="C504" s="378"/>
      <c r="D504" s="384"/>
      <c r="E504" s="378"/>
      <c r="F504" s="378"/>
      <c r="G504" s="378"/>
      <c r="H504" s="378"/>
      <c r="I504" s="378"/>
      <c r="J504" s="378"/>
      <c r="K504" s="378"/>
      <c r="L504" s="378"/>
      <c r="M504" s="378"/>
      <c r="N504" s="378"/>
      <c r="O504" s="378"/>
      <c r="P504" s="378"/>
      <c r="Q504" s="378"/>
      <c r="R504" s="378"/>
      <c r="S504" s="378"/>
      <c r="T504" s="378"/>
      <c r="U504" s="378"/>
      <c r="V504" s="378"/>
      <c r="W504" s="378"/>
      <c r="X504" s="378"/>
      <c r="Y504" s="378"/>
      <c r="Z504" s="378"/>
    </row>
    <row r="505" spans="1:26" ht="18">
      <c r="A505" s="378"/>
      <c r="B505" s="378"/>
      <c r="C505" s="378"/>
      <c r="D505" s="384"/>
      <c r="E505" s="378"/>
      <c r="F505" s="378"/>
      <c r="G505" s="378"/>
      <c r="H505" s="378"/>
      <c r="I505" s="378"/>
      <c r="J505" s="378"/>
      <c r="K505" s="378"/>
      <c r="L505" s="378"/>
      <c r="M505" s="378"/>
      <c r="N505" s="378"/>
      <c r="O505" s="378"/>
      <c r="P505" s="378"/>
      <c r="Q505" s="378"/>
      <c r="R505" s="378"/>
      <c r="S505" s="378"/>
      <c r="T505" s="378"/>
      <c r="U505" s="378"/>
      <c r="V505" s="378"/>
      <c r="W505" s="378"/>
      <c r="X505" s="378"/>
      <c r="Y505" s="378"/>
      <c r="Z505" s="378"/>
    </row>
    <row r="506" spans="1:26" ht="18">
      <c r="A506" s="378"/>
      <c r="B506" s="378"/>
      <c r="C506" s="378"/>
      <c r="D506" s="384"/>
      <c r="E506" s="378"/>
      <c r="F506" s="378"/>
      <c r="G506" s="378"/>
      <c r="H506" s="378"/>
      <c r="I506" s="378"/>
      <c r="J506" s="378"/>
      <c r="K506" s="378"/>
      <c r="L506" s="378"/>
      <c r="M506" s="378"/>
      <c r="N506" s="378"/>
      <c r="O506" s="378"/>
      <c r="P506" s="378"/>
      <c r="Q506" s="378"/>
      <c r="R506" s="378"/>
      <c r="S506" s="378"/>
      <c r="T506" s="378"/>
      <c r="U506" s="378"/>
      <c r="V506" s="378"/>
      <c r="W506" s="378"/>
      <c r="X506" s="378"/>
      <c r="Y506" s="378"/>
      <c r="Z506" s="378"/>
    </row>
    <row r="507" spans="1:26" ht="18">
      <c r="A507" s="378"/>
      <c r="B507" s="378"/>
      <c r="C507" s="378"/>
      <c r="D507" s="384"/>
      <c r="E507" s="378"/>
      <c r="F507" s="378"/>
      <c r="G507" s="378"/>
      <c r="H507" s="378"/>
      <c r="I507" s="378"/>
      <c r="J507" s="378"/>
      <c r="K507" s="378"/>
      <c r="L507" s="378"/>
      <c r="M507" s="378"/>
      <c r="N507" s="378"/>
      <c r="O507" s="378"/>
      <c r="P507" s="378"/>
      <c r="Q507" s="378"/>
      <c r="R507" s="378"/>
      <c r="S507" s="378"/>
      <c r="T507" s="378"/>
      <c r="U507" s="378"/>
      <c r="V507" s="378"/>
      <c r="W507" s="378"/>
      <c r="X507" s="378"/>
      <c r="Y507" s="378"/>
      <c r="Z507" s="378"/>
    </row>
    <row r="508" spans="1:26" ht="18">
      <c r="A508" s="378"/>
      <c r="B508" s="378"/>
      <c r="C508" s="378"/>
      <c r="D508" s="384"/>
      <c r="E508" s="378"/>
      <c r="F508" s="378"/>
      <c r="G508" s="378"/>
      <c r="H508" s="378"/>
      <c r="I508" s="378"/>
      <c r="J508" s="378"/>
      <c r="K508" s="378"/>
      <c r="L508" s="378"/>
      <c r="M508" s="378"/>
      <c r="N508" s="378"/>
      <c r="O508" s="378"/>
      <c r="P508" s="378"/>
      <c r="Q508" s="378"/>
      <c r="R508" s="378"/>
      <c r="S508" s="378"/>
      <c r="T508" s="378"/>
      <c r="U508" s="378"/>
      <c r="V508" s="378"/>
      <c r="W508" s="378"/>
      <c r="X508" s="378"/>
      <c r="Y508" s="378"/>
      <c r="Z508" s="378"/>
    </row>
    <row r="509" spans="1:26" ht="18">
      <c r="A509" s="378"/>
      <c r="B509" s="378"/>
      <c r="C509" s="378"/>
      <c r="D509" s="384"/>
      <c r="E509" s="378"/>
      <c r="F509" s="378"/>
      <c r="G509" s="378"/>
      <c r="H509" s="378"/>
      <c r="I509" s="378"/>
      <c r="J509" s="378"/>
      <c r="K509" s="378"/>
      <c r="L509" s="378"/>
      <c r="M509" s="378"/>
      <c r="N509" s="378"/>
      <c r="O509" s="378"/>
      <c r="P509" s="378"/>
      <c r="Q509" s="378"/>
      <c r="R509" s="378"/>
      <c r="S509" s="378"/>
      <c r="T509" s="378"/>
      <c r="U509" s="378"/>
      <c r="V509" s="378"/>
      <c r="W509" s="378"/>
      <c r="X509" s="378"/>
      <c r="Y509" s="378"/>
      <c r="Z509" s="378"/>
    </row>
    <row r="510" spans="1:26" ht="18">
      <c r="A510" s="378"/>
      <c r="B510" s="378"/>
      <c r="C510" s="378"/>
      <c r="D510" s="384"/>
      <c r="E510" s="378"/>
      <c r="F510" s="378"/>
      <c r="G510" s="378"/>
      <c r="H510" s="378"/>
      <c r="I510" s="378"/>
      <c r="J510" s="378"/>
      <c r="K510" s="378"/>
      <c r="L510" s="378"/>
      <c r="M510" s="378"/>
      <c r="N510" s="378"/>
      <c r="O510" s="378"/>
      <c r="P510" s="378"/>
      <c r="Q510" s="378"/>
      <c r="R510" s="378"/>
      <c r="S510" s="378"/>
      <c r="T510" s="378"/>
      <c r="U510" s="378"/>
      <c r="V510" s="378"/>
      <c r="W510" s="378"/>
      <c r="X510" s="378"/>
      <c r="Y510" s="378"/>
      <c r="Z510" s="378"/>
    </row>
    <row r="511" spans="1:26" ht="18">
      <c r="A511" s="378"/>
      <c r="B511" s="378"/>
      <c r="C511" s="378"/>
      <c r="D511" s="384"/>
      <c r="E511" s="378"/>
      <c r="F511" s="378"/>
      <c r="G511" s="378"/>
      <c r="H511" s="378"/>
      <c r="I511" s="378"/>
      <c r="J511" s="378"/>
      <c r="K511" s="378"/>
      <c r="L511" s="378"/>
      <c r="M511" s="378"/>
      <c r="N511" s="378"/>
      <c r="O511" s="378"/>
      <c r="P511" s="378"/>
      <c r="Q511" s="378"/>
      <c r="R511" s="378"/>
      <c r="S511" s="378"/>
      <c r="T511" s="378"/>
      <c r="U511" s="378"/>
      <c r="V511" s="378"/>
      <c r="W511" s="378"/>
      <c r="X511" s="378"/>
      <c r="Y511" s="378"/>
      <c r="Z511" s="378"/>
    </row>
    <row r="512" spans="1:26" ht="18">
      <c r="A512" s="378"/>
      <c r="B512" s="378"/>
      <c r="C512" s="378"/>
      <c r="D512" s="384"/>
      <c r="E512" s="378"/>
      <c r="F512" s="378"/>
      <c r="G512" s="378"/>
      <c r="H512" s="378"/>
      <c r="I512" s="378"/>
      <c r="J512" s="378"/>
      <c r="K512" s="378"/>
      <c r="L512" s="378"/>
      <c r="M512" s="378"/>
      <c r="N512" s="378"/>
      <c r="O512" s="378"/>
      <c r="P512" s="378"/>
      <c r="Q512" s="378"/>
      <c r="R512" s="378"/>
      <c r="S512" s="378"/>
      <c r="T512" s="378"/>
      <c r="U512" s="378"/>
      <c r="V512" s="378"/>
      <c r="W512" s="378"/>
      <c r="X512" s="378"/>
      <c r="Y512" s="378"/>
      <c r="Z512" s="378"/>
    </row>
    <row r="513" spans="1:26" ht="18">
      <c r="A513" s="378"/>
      <c r="B513" s="378"/>
      <c r="C513" s="378"/>
      <c r="D513" s="384"/>
      <c r="E513" s="378"/>
      <c r="F513" s="378"/>
      <c r="G513" s="378"/>
      <c r="H513" s="378"/>
      <c r="I513" s="378"/>
      <c r="J513" s="378"/>
      <c r="K513" s="378"/>
      <c r="L513" s="378"/>
      <c r="M513" s="378"/>
      <c r="N513" s="378"/>
      <c r="O513" s="378"/>
      <c r="P513" s="378"/>
      <c r="Q513" s="378"/>
      <c r="R513" s="378"/>
      <c r="S513" s="378"/>
      <c r="T513" s="378"/>
      <c r="U513" s="378"/>
      <c r="V513" s="378"/>
      <c r="W513" s="378"/>
      <c r="X513" s="378"/>
      <c r="Y513" s="378"/>
      <c r="Z513" s="378"/>
    </row>
    <row r="514" spans="1:26" ht="18">
      <c r="A514" s="378"/>
      <c r="B514" s="378"/>
      <c r="C514" s="378"/>
      <c r="D514" s="384"/>
      <c r="E514" s="378"/>
      <c r="F514" s="378"/>
      <c r="G514" s="378"/>
      <c r="H514" s="378"/>
      <c r="I514" s="378"/>
      <c r="J514" s="378"/>
      <c r="K514" s="378"/>
      <c r="L514" s="378"/>
      <c r="M514" s="378"/>
      <c r="N514" s="378"/>
      <c r="O514" s="378"/>
      <c r="P514" s="378"/>
      <c r="Q514" s="378"/>
      <c r="R514" s="378"/>
      <c r="S514" s="378"/>
      <c r="T514" s="378"/>
      <c r="U514" s="378"/>
      <c r="V514" s="378"/>
      <c r="W514" s="378"/>
      <c r="X514" s="378"/>
      <c r="Y514" s="378"/>
      <c r="Z514" s="378"/>
    </row>
    <row r="515" spans="1:26" ht="18">
      <c r="A515" s="378"/>
      <c r="B515" s="378"/>
      <c r="C515" s="378"/>
      <c r="D515" s="384"/>
      <c r="E515" s="378"/>
      <c r="F515" s="378"/>
      <c r="G515" s="378"/>
      <c r="H515" s="378"/>
      <c r="I515" s="378"/>
      <c r="J515" s="378"/>
      <c r="K515" s="378"/>
      <c r="L515" s="378"/>
      <c r="M515" s="378"/>
      <c r="N515" s="378"/>
      <c r="O515" s="378"/>
      <c r="P515" s="378"/>
      <c r="Q515" s="378"/>
      <c r="R515" s="378"/>
      <c r="S515" s="378"/>
      <c r="T515" s="378"/>
      <c r="U515" s="378"/>
      <c r="V515" s="378"/>
      <c r="W515" s="378"/>
      <c r="X515" s="378"/>
      <c r="Y515" s="378"/>
      <c r="Z515" s="378"/>
    </row>
    <row r="516" spans="1:26" ht="18">
      <c r="A516" s="378"/>
      <c r="B516" s="378"/>
      <c r="C516" s="378"/>
      <c r="D516" s="384"/>
      <c r="E516" s="378"/>
      <c r="F516" s="378"/>
      <c r="G516" s="378"/>
      <c r="H516" s="378"/>
      <c r="I516" s="378"/>
      <c r="J516" s="378"/>
      <c r="K516" s="378"/>
      <c r="L516" s="378"/>
      <c r="M516" s="378"/>
      <c r="N516" s="378"/>
      <c r="O516" s="378"/>
      <c r="P516" s="378"/>
      <c r="Q516" s="378"/>
      <c r="R516" s="378"/>
      <c r="S516" s="378"/>
      <c r="T516" s="378"/>
      <c r="U516" s="378"/>
      <c r="V516" s="378"/>
      <c r="W516" s="378"/>
      <c r="X516" s="378"/>
      <c r="Y516" s="378"/>
      <c r="Z516" s="378"/>
    </row>
    <row r="517" spans="1:26" ht="18">
      <c r="A517" s="378"/>
      <c r="B517" s="378"/>
      <c r="C517" s="378"/>
      <c r="D517" s="384"/>
      <c r="E517" s="378"/>
      <c r="F517" s="378"/>
      <c r="G517" s="378"/>
      <c r="H517" s="378"/>
      <c r="I517" s="378"/>
      <c r="J517" s="378"/>
      <c r="K517" s="378"/>
      <c r="L517" s="378"/>
      <c r="M517" s="378"/>
      <c r="N517" s="378"/>
      <c r="O517" s="378"/>
      <c r="P517" s="378"/>
      <c r="Q517" s="378"/>
      <c r="R517" s="378"/>
      <c r="S517" s="378"/>
      <c r="T517" s="378"/>
      <c r="U517" s="378"/>
      <c r="V517" s="378"/>
      <c r="W517" s="378"/>
      <c r="X517" s="378"/>
      <c r="Y517" s="378"/>
      <c r="Z517" s="378"/>
    </row>
    <row r="518" spans="1:26" ht="18">
      <c r="A518" s="378"/>
      <c r="B518" s="378"/>
      <c r="C518" s="378"/>
      <c r="D518" s="384"/>
      <c r="E518" s="378"/>
      <c r="F518" s="378"/>
      <c r="G518" s="378"/>
      <c r="H518" s="378"/>
      <c r="I518" s="378"/>
      <c r="J518" s="378"/>
      <c r="K518" s="378"/>
      <c r="L518" s="378"/>
      <c r="M518" s="378"/>
      <c r="N518" s="378"/>
      <c r="O518" s="378"/>
      <c r="P518" s="378"/>
      <c r="Q518" s="378"/>
      <c r="R518" s="378"/>
      <c r="S518" s="378"/>
      <c r="T518" s="378"/>
      <c r="U518" s="378"/>
      <c r="V518" s="378"/>
      <c r="W518" s="378"/>
      <c r="X518" s="378"/>
      <c r="Y518" s="378"/>
      <c r="Z518" s="378"/>
    </row>
    <row r="519" spans="1:26" ht="18">
      <c r="A519" s="378"/>
      <c r="B519" s="378"/>
      <c r="C519" s="378"/>
      <c r="D519" s="384"/>
      <c r="E519" s="378"/>
      <c r="F519" s="378"/>
      <c r="G519" s="378"/>
      <c r="H519" s="378"/>
      <c r="I519" s="378"/>
      <c r="J519" s="378"/>
      <c r="K519" s="378"/>
      <c r="L519" s="378"/>
      <c r="M519" s="378"/>
      <c r="N519" s="378"/>
      <c r="O519" s="378"/>
      <c r="P519" s="378"/>
      <c r="Q519" s="378"/>
      <c r="R519" s="378"/>
      <c r="S519" s="378"/>
      <c r="T519" s="378"/>
      <c r="U519" s="378"/>
      <c r="V519" s="378"/>
      <c r="W519" s="378"/>
      <c r="X519" s="378"/>
      <c r="Y519" s="378"/>
      <c r="Z519" s="378"/>
    </row>
    <row r="520" spans="1:26" ht="18">
      <c r="A520" s="378"/>
      <c r="B520" s="378"/>
      <c r="C520" s="378"/>
      <c r="D520" s="384"/>
      <c r="E520" s="378"/>
      <c r="F520" s="378"/>
      <c r="G520" s="378"/>
      <c r="H520" s="378"/>
      <c r="I520" s="378"/>
      <c r="J520" s="378"/>
      <c r="K520" s="378"/>
      <c r="L520" s="378"/>
      <c r="M520" s="378"/>
      <c r="N520" s="378"/>
      <c r="O520" s="378"/>
      <c r="P520" s="378"/>
      <c r="Q520" s="378"/>
      <c r="R520" s="378"/>
      <c r="S520" s="378"/>
      <c r="T520" s="378"/>
      <c r="U520" s="378"/>
      <c r="V520" s="378"/>
      <c r="W520" s="378"/>
      <c r="X520" s="378"/>
      <c r="Y520" s="378"/>
      <c r="Z520" s="378"/>
    </row>
    <row r="521" spans="1:26" ht="18">
      <c r="A521" s="378"/>
      <c r="B521" s="378"/>
      <c r="C521" s="378"/>
      <c r="D521" s="384"/>
      <c r="E521" s="378"/>
      <c r="F521" s="378"/>
      <c r="G521" s="378"/>
      <c r="H521" s="378"/>
      <c r="I521" s="378"/>
      <c r="J521" s="378"/>
      <c r="K521" s="378"/>
      <c r="L521" s="378"/>
      <c r="M521" s="378"/>
      <c r="N521" s="378"/>
      <c r="O521" s="378"/>
      <c r="P521" s="378"/>
      <c r="Q521" s="378"/>
      <c r="R521" s="378"/>
      <c r="S521" s="378"/>
      <c r="T521" s="378"/>
      <c r="U521" s="378"/>
      <c r="V521" s="378"/>
      <c r="W521" s="378"/>
      <c r="X521" s="378"/>
      <c r="Y521" s="378"/>
      <c r="Z521" s="378"/>
    </row>
    <row r="522" spans="1:26" ht="18">
      <c r="A522" s="378"/>
      <c r="B522" s="378"/>
      <c r="C522" s="378"/>
      <c r="D522" s="384"/>
      <c r="E522" s="378"/>
      <c r="F522" s="378"/>
      <c r="G522" s="378"/>
      <c r="H522" s="378"/>
      <c r="I522" s="378"/>
      <c r="J522" s="378"/>
      <c r="K522" s="378"/>
      <c r="L522" s="378"/>
      <c r="M522" s="378"/>
      <c r="N522" s="378"/>
      <c r="O522" s="378"/>
      <c r="P522" s="378"/>
      <c r="Q522" s="378"/>
      <c r="R522" s="378"/>
      <c r="S522" s="378"/>
      <c r="T522" s="378"/>
      <c r="U522" s="378"/>
      <c r="V522" s="378"/>
      <c r="W522" s="378"/>
      <c r="X522" s="378"/>
      <c r="Y522" s="378"/>
      <c r="Z522" s="378"/>
    </row>
    <row r="523" spans="1:26" ht="18">
      <c r="A523" s="378"/>
      <c r="B523" s="378"/>
      <c r="C523" s="378"/>
      <c r="D523" s="384"/>
      <c r="E523" s="378"/>
      <c r="F523" s="378"/>
      <c r="G523" s="378"/>
      <c r="H523" s="378"/>
      <c r="I523" s="378"/>
      <c r="J523" s="378"/>
      <c r="K523" s="378"/>
      <c r="L523" s="378"/>
      <c r="M523" s="378"/>
      <c r="N523" s="378"/>
      <c r="O523" s="378"/>
      <c r="P523" s="378"/>
      <c r="Q523" s="378"/>
      <c r="R523" s="378"/>
      <c r="S523" s="378"/>
      <c r="T523" s="378"/>
      <c r="U523" s="378"/>
      <c r="V523" s="378"/>
      <c r="W523" s="378"/>
      <c r="X523" s="378"/>
      <c r="Y523" s="378"/>
      <c r="Z523" s="378"/>
    </row>
    <row r="524" spans="1:26" ht="18">
      <c r="A524" s="378"/>
      <c r="B524" s="378"/>
      <c r="C524" s="378"/>
      <c r="D524" s="384"/>
      <c r="E524" s="378"/>
      <c r="F524" s="378"/>
      <c r="G524" s="378"/>
      <c r="H524" s="378"/>
      <c r="I524" s="378"/>
      <c r="J524" s="378"/>
      <c r="K524" s="378"/>
      <c r="L524" s="378"/>
      <c r="M524" s="378"/>
      <c r="N524" s="378"/>
      <c r="O524" s="378"/>
      <c r="P524" s="378"/>
      <c r="Q524" s="378"/>
      <c r="R524" s="378"/>
      <c r="S524" s="378"/>
      <c r="T524" s="378"/>
      <c r="U524" s="378"/>
      <c r="V524" s="378"/>
      <c r="W524" s="378"/>
      <c r="X524" s="378"/>
      <c r="Y524" s="378"/>
      <c r="Z524" s="378"/>
    </row>
    <row r="525" spans="1:26" ht="18">
      <c r="A525" s="378"/>
      <c r="B525" s="378"/>
      <c r="C525" s="378"/>
      <c r="D525" s="384"/>
      <c r="E525" s="378"/>
      <c r="F525" s="378"/>
      <c r="G525" s="378"/>
      <c r="H525" s="378"/>
      <c r="I525" s="378"/>
      <c r="J525" s="378"/>
      <c r="K525" s="378"/>
      <c r="L525" s="378"/>
      <c r="M525" s="378"/>
      <c r="N525" s="378"/>
      <c r="O525" s="378"/>
      <c r="P525" s="378"/>
      <c r="Q525" s="378"/>
      <c r="R525" s="378"/>
      <c r="S525" s="378"/>
      <c r="T525" s="378"/>
      <c r="U525" s="378"/>
      <c r="V525" s="378"/>
      <c r="W525" s="378"/>
      <c r="X525" s="378"/>
      <c r="Y525" s="378"/>
      <c r="Z525" s="378"/>
    </row>
    <row r="526" spans="1:26" ht="18">
      <c r="A526" s="378"/>
      <c r="B526" s="378"/>
      <c r="C526" s="378"/>
      <c r="D526" s="384"/>
      <c r="E526" s="378"/>
      <c r="F526" s="378"/>
      <c r="G526" s="378"/>
      <c r="H526" s="378"/>
      <c r="I526" s="378"/>
      <c r="J526" s="378"/>
      <c r="K526" s="378"/>
      <c r="L526" s="378"/>
      <c r="M526" s="378"/>
      <c r="N526" s="378"/>
      <c r="O526" s="378"/>
      <c r="P526" s="378"/>
      <c r="Q526" s="378"/>
      <c r="R526" s="378"/>
      <c r="S526" s="378"/>
      <c r="T526" s="378"/>
      <c r="U526" s="378"/>
      <c r="V526" s="378"/>
      <c r="W526" s="378"/>
      <c r="X526" s="378"/>
      <c r="Y526" s="378"/>
      <c r="Z526" s="378"/>
    </row>
    <row r="527" spans="1:26" ht="18">
      <c r="A527" s="378"/>
      <c r="B527" s="378"/>
      <c r="C527" s="378"/>
      <c r="D527" s="384"/>
      <c r="E527" s="378"/>
      <c r="F527" s="378"/>
      <c r="G527" s="378"/>
      <c r="H527" s="378"/>
      <c r="I527" s="378"/>
      <c r="J527" s="378"/>
      <c r="K527" s="378"/>
      <c r="L527" s="378"/>
      <c r="M527" s="378"/>
      <c r="N527" s="378"/>
      <c r="O527" s="378"/>
      <c r="P527" s="378"/>
      <c r="Q527" s="378"/>
      <c r="R527" s="378"/>
      <c r="S527" s="378"/>
      <c r="T527" s="378"/>
      <c r="U527" s="378"/>
      <c r="V527" s="378"/>
      <c r="W527" s="378"/>
      <c r="X527" s="378"/>
      <c r="Y527" s="378"/>
      <c r="Z527" s="378"/>
    </row>
    <row r="528" spans="1:26" ht="18">
      <c r="A528" s="378"/>
      <c r="B528" s="378"/>
      <c r="C528" s="378"/>
      <c r="D528" s="384"/>
      <c r="E528" s="378"/>
      <c r="F528" s="378"/>
      <c r="G528" s="378"/>
      <c r="H528" s="378"/>
      <c r="I528" s="378"/>
      <c r="J528" s="378"/>
      <c r="K528" s="378"/>
      <c r="L528" s="378"/>
      <c r="M528" s="378"/>
      <c r="N528" s="378"/>
      <c r="O528" s="378"/>
      <c r="P528" s="378"/>
      <c r="Q528" s="378"/>
      <c r="R528" s="378"/>
      <c r="S528" s="378"/>
      <c r="T528" s="378"/>
      <c r="U528" s="378"/>
      <c r="V528" s="378"/>
      <c r="W528" s="378"/>
      <c r="X528" s="378"/>
      <c r="Y528" s="378"/>
      <c r="Z528" s="378"/>
    </row>
    <row r="529" spans="1:26" ht="18">
      <c r="A529" s="378"/>
      <c r="B529" s="378"/>
      <c r="C529" s="378"/>
      <c r="D529" s="384"/>
      <c r="E529" s="378"/>
      <c r="F529" s="378"/>
      <c r="G529" s="378"/>
      <c r="H529" s="378"/>
      <c r="I529" s="378"/>
      <c r="J529" s="378"/>
      <c r="K529" s="378"/>
      <c r="L529" s="378"/>
      <c r="M529" s="378"/>
      <c r="N529" s="378"/>
      <c r="O529" s="378"/>
      <c r="P529" s="378"/>
      <c r="Q529" s="378"/>
      <c r="R529" s="378"/>
      <c r="S529" s="378"/>
      <c r="T529" s="378"/>
      <c r="U529" s="378"/>
      <c r="V529" s="378"/>
      <c r="W529" s="378"/>
      <c r="X529" s="378"/>
      <c r="Y529" s="378"/>
      <c r="Z529" s="378"/>
    </row>
    <row r="530" spans="1:26" ht="18">
      <c r="A530" s="378"/>
      <c r="B530" s="378"/>
      <c r="C530" s="378"/>
      <c r="D530" s="384"/>
      <c r="E530" s="378"/>
      <c r="F530" s="378"/>
      <c r="G530" s="378"/>
      <c r="H530" s="378"/>
      <c r="I530" s="378"/>
      <c r="J530" s="378"/>
      <c r="K530" s="378"/>
      <c r="L530" s="378"/>
      <c r="M530" s="378"/>
      <c r="N530" s="378"/>
      <c r="O530" s="378"/>
      <c r="P530" s="378"/>
      <c r="Q530" s="378"/>
      <c r="R530" s="378"/>
      <c r="S530" s="378"/>
      <c r="T530" s="378"/>
      <c r="U530" s="378"/>
      <c r="V530" s="378"/>
      <c r="W530" s="378"/>
      <c r="X530" s="378"/>
      <c r="Y530" s="378"/>
      <c r="Z530" s="378"/>
    </row>
    <row r="531" spans="1:26" ht="18">
      <c r="A531" s="378"/>
      <c r="B531" s="378"/>
      <c r="C531" s="378"/>
      <c r="D531" s="384"/>
      <c r="E531" s="378"/>
      <c r="F531" s="378"/>
      <c r="G531" s="378"/>
      <c r="H531" s="378"/>
      <c r="I531" s="378"/>
      <c r="J531" s="378"/>
      <c r="K531" s="378"/>
      <c r="L531" s="378"/>
      <c r="M531" s="378"/>
      <c r="N531" s="378"/>
      <c r="O531" s="378"/>
      <c r="P531" s="378"/>
      <c r="Q531" s="378"/>
      <c r="R531" s="378"/>
      <c r="S531" s="378"/>
      <c r="T531" s="378"/>
      <c r="U531" s="378"/>
      <c r="V531" s="378"/>
      <c r="W531" s="378"/>
      <c r="X531" s="378"/>
      <c r="Y531" s="378"/>
      <c r="Z531" s="378"/>
    </row>
    <row r="532" spans="1:26" ht="18">
      <c r="A532" s="378"/>
      <c r="B532" s="378"/>
      <c r="C532" s="378"/>
      <c r="D532" s="384"/>
      <c r="E532" s="378"/>
      <c r="F532" s="378"/>
      <c r="G532" s="378"/>
      <c r="H532" s="378"/>
      <c r="I532" s="378"/>
      <c r="J532" s="378"/>
      <c r="K532" s="378"/>
      <c r="L532" s="378"/>
      <c r="M532" s="378"/>
      <c r="N532" s="378"/>
      <c r="O532" s="378"/>
      <c r="P532" s="378"/>
      <c r="Q532" s="378"/>
      <c r="R532" s="378"/>
      <c r="S532" s="378"/>
      <c r="T532" s="378"/>
      <c r="U532" s="378"/>
      <c r="V532" s="378"/>
      <c r="W532" s="378"/>
      <c r="X532" s="378"/>
      <c r="Y532" s="378"/>
      <c r="Z532" s="378"/>
    </row>
    <row r="533" spans="1:26" ht="18">
      <c r="A533" s="378"/>
      <c r="B533" s="378"/>
      <c r="C533" s="378"/>
      <c r="D533" s="384"/>
      <c r="E533" s="378"/>
      <c r="F533" s="378"/>
      <c r="G533" s="378"/>
      <c r="H533" s="378"/>
      <c r="I533" s="378"/>
      <c r="J533" s="378"/>
      <c r="K533" s="378"/>
      <c r="L533" s="378"/>
      <c r="M533" s="378"/>
      <c r="N533" s="378"/>
      <c r="O533" s="378"/>
      <c r="P533" s="378"/>
      <c r="Q533" s="378"/>
      <c r="R533" s="378"/>
      <c r="S533" s="378"/>
      <c r="T533" s="378"/>
      <c r="U533" s="378"/>
      <c r="V533" s="378"/>
      <c r="W533" s="378"/>
      <c r="X533" s="378"/>
      <c r="Y533" s="378"/>
      <c r="Z533" s="378"/>
    </row>
    <row r="534" spans="1:26" ht="18">
      <c r="A534" s="378"/>
      <c r="B534" s="378"/>
      <c r="C534" s="378"/>
      <c r="D534" s="384"/>
      <c r="E534" s="378"/>
      <c r="F534" s="378"/>
      <c r="G534" s="378"/>
      <c r="H534" s="378"/>
      <c r="I534" s="378"/>
      <c r="J534" s="378"/>
      <c r="K534" s="378"/>
      <c r="L534" s="378"/>
      <c r="M534" s="378"/>
      <c r="N534" s="378"/>
      <c r="O534" s="378"/>
      <c r="P534" s="378"/>
      <c r="Q534" s="378"/>
      <c r="R534" s="378"/>
      <c r="S534" s="378"/>
      <c r="T534" s="378"/>
      <c r="U534" s="378"/>
      <c r="V534" s="378"/>
      <c r="W534" s="378"/>
      <c r="X534" s="378"/>
      <c r="Y534" s="378"/>
      <c r="Z534" s="378"/>
    </row>
    <row r="535" spans="1:26" ht="18">
      <c r="A535" s="378"/>
      <c r="B535" s="378"/>
      <c r="C535" s="378"/>
      <c r="D535" s="384"/>
      <c r="E535" s="378"/>
      <c r="F535" s="378"/>
      <c r="G535" s="378"/>
      <c r="H535" s="378"/>
      <c r="I535" s="378"/>
      <c r="J535" s="378"/>
      <c r="K535" s="378"/>
      <c r="L535" s="378"/>
      <c r="M535" s="378"/>
      <c r="N535" s="378"/>
      <c r="O535" s="378"/>
      <c r="P535" s="378"/>
      <c r="Q535" s="378"/>
      <c r="R535" s="378"/>
      <c r="S535" s="378"/>
      <c r="T535" s="378"/>
      <c r="U535" s="378"/>
      <c r="V535" s="378"/>
      <c r="W535" s="378"/>
      <c r="X535" s="378"/>
      <c r="Y535" s="378"/>
      <c r="Z535" s="378"/>
    </row>
    <row r="536" spans="1:26" ht="18">
      <c r="A536" s="378"/>
      <c r="B536" s="378"/>
      <c r="C536" s="378"/>
      <c r="D536" s="384"/>
      <c r="E536" s="378"/>
      <c r="F536" s="378"/>
      <c r="G536" s="378"/>
      <c r="H536" s="378"/>
      <c r="I536" s="378"/>
      <c r="J536" s="378"/>
      <c r="K536" s="378"/>
      <c r="L536" s="378"/>
      <c r="M536" s="378"/>
      <c r="N536" s="378"/>
      <c r="O536" s="378"/>
      <c r="P536" s="378"/>
      <c r="Q536" s="378"/>
      <c r="R536" s="378"/>
      <c r="S536" s="378"/>
      <c r="T536" s="378"/>
      <c r="U536" s="378"/>
      <c r="V536" s="378"/>
      <c r="W536" s="378"/>
      <c r="X536" s="378"/>
      <c r="Y536" s="378"/>
      <c r="Z536" s="378"/>
    </row>
    <row r="537" spans="1:26" ht="18">
      <c r="A537" s="378"/>
      <c r="B537" s="378"/>
      <c r="C537" s="378"/>
      <c r="D537" s="384"/>
      <c r="E537" s="378"/>
      <c r="F537" s="378"/>
      <c r="G537" s="378"/>
      <c r="H537" s="378"/>
      <c r="I537" s="378"/>
      <c r="J537" s="378"/>
      <c r="K537" s="378"/>
      <c r="L537" s="378"/>
      <c r="M537" s="378"/>
      <c r="N537" s="378"/>
      <c r="O537" s="378"/>
      <c r="P537" s="378"/>
      <c r="Q537" s="378"/>
      <c r="R537" s="378"/>
      <c r="S537" s="378"/>
      <c r="T537" s="378"/>
      <c r="U537" s="378"/>
      <c r="V537" s="378"/>
      <c r="W537" s="378"/>
      <c r="X537" s="378"/>
      <c r="Y537" s="378"/>
      <c r="Z537" s="378"/>
    </row>
    <row r="538" spans="1:26" ht="18">
      <c r="A538" s="378"/>
      <c r="B538" s="378"/>
      <c r="C538" s="378"/>
      <c r="D538" s="384"/>
      <c r="E538" s="378"/>
      <c r="F538" s="378"/>
      <c r="G538" s="378"/>
      <c r="H538" s="378"/>
      <c r="I538" s="378"/>
      <c r="J538" s="378"/>
      <c r="K538" s="378"/>
      <c r="L538" s="378"/>
      <c r="M538" s="378"/>
      <c r="N538" s="378"/>
      <c r="O538" s="378"/>
      <c r="P538" s="378"/>
      <c r="Q538" s="378"/>
      <c r="R538" s="378"/>
      <c r="S538" s="378"/>
      <c r="T538" s="378"/>
      <c r="U538" s="378"/>
      <c r="V538" s="378"/>
      <c r="W538" s="378"/>
      <c r="X538" s="378"/>
      <c r="Y538" s="378"/>
      <c r="Z538" s="378"/>
    </row>
    <row r="539" spans="1:26" ht="18">
      <c r="A539" s="378"/>
      <c r="B539" s="378"/>
      <c r="C539" s="378"/>
      <c r="D539" s="384"/>
      <c r="E539" s="378"/>
      <c r="F539" s="378"/>
      <c r="G539" s="378"/>
      <c r="H539" s="378"/>
      <c r="I539" s="378"/>
      <c r="J539" s="378"/>
      <c r="K539" s="378"/>
      <c r="L539" s="378"/>
      <c r="M539" s="378"/>
      <c r="N539" s="378"/>
      <c r="O539" s="378"/>
      <c r="P539" s="378"/>
      <c r="Q539" s="378"/>
      <c r="R539" s="378"/>
      <c r="S539" s="378"/>
      <c r="T539" s="378"/>
      <c r="U539" s="378"/>
      <c r="V539" s="378"/>
      <c r="W539" s="378"/>
      <c r="X539" s="378"/>
      <c r="Y539" s="378"/>
      <c r="Z539" s="378"/>
    </row>
    <row r="540" spans="1:26" ht="18">
      <c r="A540" s="378"/>
      <c r="B540" s="378"/>
      <c r="C540" s="378"/>
      <c r="D540" s="384"/>
      <c r="E540" s="378"/>
      <c r="F540" s="378"/>
      <c r="G540" s="378"/>
      <c r="H540" s="378"/>
      <c r="I540" s="378"/>
      <c r="J540" s="378"/>
      <c r="K540" s="378"/>
      <c r="L540" s="378"/>
      <c r="M540" s="378"/>
      <c r="N540" s="378"/>
      <c r="O540" s="378"/>
      <c r="P540" s="378"/>
      <c r="Q540" s="378"/>
      <c r="R540" s="378"/>
      <c r="S540" s="378"/>
      <c r="T540" s="378"/>
      <c r="U540" s="378"/>
      <c r="V540" s="378"/>
      <c r="W540" s="378"/>
      <c r="X540" s="378"/>
      <c r="Y540" s="378"/>
      <c r="Z540" s="378"/>
    </row>
    <row r="541" spans="1:26" ht="18">
      <c r="A541" s="378"/>
      <c r="B541" s="378"/>
      <c r="C541" s="378"/>
      <c r="D541" s="384"/>
      <c r="E541" s="378"/>
      <c r="F541" s="378"/>
      <c r="G541" s="378"/>
      <c r="H541" s="378"/>
      <c r="I541" s="378"/>
      <c r="J541" s="378"/>
      <c r="K541" s="378"/>
      <c r="L541" s="378"/>
      <c r="M541" s="378"/>
      <c r="N541" s="378"/>
      <c r="O541" s="378"/>
      <c r="P541" s="378"/>
      <c r="Q541" s="378"/>
      <c r="R541" s="378"/>
      <c r="S541" s="378"/>
      <c r="T541" s="378"/>
      <c r="U541" s="378"/>
      <c r="V541" s="378"/>
      <c r="W541" s="378"/>
      <c r="X541" s="378"/>
      <c r="Y541" s="378"/>
      <c r="Z541" s="378"/>
    </row>
    <row r="542" spans="1:26" ht="18">
      <c r="A542" s="378"/>
      <c r="B542" s="378"/>
      <c r="C542" s="378"/>
      <c r="D542" s="384"/>
      <c r="E542" s="378"/>
      <c r="F542" s="378"/>
      <c r="G542" s="378"/>
      <c r="H542" s="378"/>
      <c r="I542" s="378"/>
      <c r="J542" s="378"/>
      <c r="K542" s="378"/>
      <c r="L542" s="378"/>
      <c r="M542" s="378"/>
      <c r="N542" s="378"/>
      <c r="O542" s="378"/>
      <c r="P542" s="378"/>
      <c r="Q542" s="378"/>
      <c r="R542" s="378"/>
      <c r="S542" s="378"/>
      <c r="T542" s="378"/>
      <c r="U542" s="378"/>
      <c r="V542" s="378"/>
      <c r="W542" s="378"/>
      <c r="X542" s="378"/>
      <c r="Y542" s="378"/>
      <c r="Z542" s="378"/>
    </row>
    <row r="543" spans="1:26" ht="18">
      <c r="A543" s="378"/>
      <c r="B543" s="378"/>
      <c r="C543" s="378"/>
      <c r="D543" s="384"/>
      <c r="E543" s="378"/>
      <c r="F543" s="378"/>
      <c r="G543" s="378"/>
      <c r="H543" s="378"/>
      <c r="I543" s="378"/>
      <c r="J543" s="378"/>
      <c r="K543" s="378"/>
      <c r="L543" s="378"/>
      <c r="M543" s="378"/>
      <c r="N543" s="378"/>
      <c r="O543" s="378"/>
      <c r="P543" s="378"/>
      <c r="Q543" s="378"/>
      <c r="R543" s="378"/>
      <c r="S543" s="378"/>
      <c r="T543" s="378"/>
      <c r="U543" s="378"/>
      <c r="V543" s="378"/>
      <c r="W543" s="378"/>
      <c r="X543" s="378"/>
      <c r="Y543" s="378"/>
      <c r="Z543" s="378"/>
    </row>
    <row r="544" spans="1:26" ht="18">
      <c r="A544" s="378"/>
      <c r="B544" s="378"/>
      <c r="C544" s="378"/>
      <c r="D544" s="384"/>
      <c r="E544" s="378"/>
      <c r="F544" s="378"/>
      <c r="G544" s="378"/>
      <c r="H544" s="378"/>
      <c r="I544" s="378"/>
      <c r="J544" s="378"/>
      <c r="K544" s="378"/>
      <c r="L544" s="378"/>
      <c r="M544" s="378"/>
      <c r="N544" s="378"/>
      <c r="O544" s="378"/>
      <c r="P544" s="378"/>
      <c r="Q544" s="378"/>
      <c r="R544" s="378"/>
      <c r="S544" s="378"/>
      <c r="T544" s="378"/>
      <c r="U544" s="378"/>
      <c r="V544" s="378"/>
      <c r="W544" s="378"/>
      <c r="X544" s="378"/>
      <c r="Y544" s="378"/>
      <c r="Z544" s="378"/>
    </row>
    <row r="545" spans="1:26" ht="18">
      <c r="A545" s="378"/>
      <c r="B545" s="378"/>
      <c r="C545" s="378"/>
      <c r="D545" s="384"/>
      <c r="E545" s="378"/>
      <c r="F545" s="378"/>
      <c r="G545" s="378"/>
      <c r="H545" s="378"/>
      <c r="I545" s="378"/>
      <c r="J545" s="378"/>
      <c r="K545" s="378"/>
      <c r="L545" s="378"/>
      <c r="M545" s="378"/>
      <c r="N545" s="378"/>
      <c r="O545" s="378"/>
      <c r="P545" s="378"/>
      <c r="Q545" s="378"/>
      <c r="R545" s="378"/>
      <c r="S545" s="378"/>
      <c r="T545" s="378"/>
      <c r="U545" s="378"/>
      <c r="V545" s="378"/>
      <c r="W545" s="378"/>
      <c r="X545" s="378"/>
      <c r="Y545" s="378"/>
      <c r="Z545" s="378"/>
    </row>
    <row r="546" spans="1:26" ht="18">
      <c r="A546" s="378"/>
      <c r="B546" s="378"/>
      <c r="C546" s="378"/>
      <c r="D546" s="384"/>
      <c r="E546" s="378"/>
      <c r="F546" s="378"/>
      <c r="G546" s="378"/>
      <c r="H546" s="378"/>
      <c r="I546" s="378"/>
      <c r="J546" s="378"/>
      <c r="K546" s="378"/>
      <c r="L546" s="378"/>
      <c r="M546" s="378"/>
      <c r="N546" s="378"/>
      <c r="O546" s="378"/>
      <c r="P546" s="378"/>
      <c r="Q546" s="378"/>
      <c r="R546" s="378"/>
      <c r="S546" s="378"/>
      <c r="T546" s="378"/>
      <c r="U546" s="378"/>
      <c r="V546" s="378"/>
      <c r="W546" s="378"/>
      <c r="X546" s="378"/>
      <c r="Y546" s="378"/>
      <c r="Z546" s="378"/>
    </row>
    <row r="547" spans="1:26" ht="18">
      <c r="A547" s="378"/>
      <c r="B547" s="378"/>
      <c r="C547" s="378"/>
      <c r="D547" s="384"/>
      <c r="E547" s="378"/>
      <c r="F547" s="378"/>
      <c r="G547" s="378"/>
      <c r="H547" s="378"/>
      <c r="I547" s="378"/>
      <c r="J547" s="378"/>
      <c r="K547" s="378"/>
      <c r="L547" s="378"/>
      <c r="M547" s="378"/>
      <c r="N547" s="378"/>
      <c r="O547" s="378"/>
      <c r="P547" s="378"/>
      <c r="Q547" s="378"/>
      <c r="R547" s="378"/>
      <c r="S547" s="378"/>
      <c r="T547" s="378"/>
      <c r="U547" s="378"/>
      <c r="V547" s="378"/>
      <c r="W547" s="378"/>
      <c r="X547" s="378"/>
      <c r="Y547" s="378"/>
      <c r="Z547" s="378"/>
    </row>
    <row r="548" spans="1:26" ht="18">
      <c r="A548" s="378"/>
      <c r="B548" s="378"/>
      <c r="C548" s="378"/>
      <c r="D548" s="384"/>
      <c r="E548" s="378"/>
      <c r="F548" s="378"/>
      <c r="G548" s="378"/>
      <c r="H548" s="378"/>
      <c r="I548" s="378"/>
      <c r="J548" s="378"/>
      <c r="K548" s="378"/>
      <c r="L548" s="378"/>
      <c r="M548" s="378"/>
      <c r="N548" s="378"/>
      <c r="O548" s="378"/>
      <c r="P548" s="378"/>
      <c r="Q548" s="378"/>
      <c r="R548" s="378"/>
      <c r="S548" s="378"/>
      <c r="T548" s="378"/>
      <c r="U548" s="378"/>
      <c r="V548" s="378"/>
      <c r="W548" s="378"/>
      <c r="X548" s="378"/>
      <c r="Y548" s="378"/>
      <c r="Z548" s="378"/>
    </row>
    <row r="549" spans="1:26" ht="18">
      <c r="A549" s="378"/>
      <c r="B549" s="378"/>
      <c r="C549" s="378"/>
      <c r="D549" s="384"/>
      <c r="E549" s="378"/>
      <c r="F549" s="378"/>
      <c r="G549" s="378"/>
      <c r="H549" s="378"/>
      <c r="I549" s="378"/>
      <c r="J549" s="378"/>
      <c r="K549" s="378"/>
      <c r="L549" s="378"/>
      <c r="M549" s="378"/>
      <c r="N549" s="378"/>
      <c r="O549" s="378"/>
      <c r="P549" s="378"/>
      <c r="Q549" s="378"/>
      <c r="R549" s="378"/>
      <c r="S549" s="378"/>
      <c r="T549" s="378"/>
      <c r="U549" s="378"/>
      <c r="V549" s="378"/>
      <c r="W549" s="378"/>
      <c r="X549" s="378"/>
      <c r="Y549" s="378"/>
      <c r="Z549" s="378"/>
    </row>
    <row r="550" spans="1:26" ht="18">
      <c r="A550" s="378"/>
      <c r="B550" s="378"/>
      <c r="C550" s="378"/>
      <c r="D550" s="384"/>
      <c r="E550" s="378"/>
      <c r="F550" s="378"/>
      <c r="G550" s="378"/>
      <c r="H550" s="378"/>
      <c r="I550" s="378"/>
      <c r="J550" s="378"/>
      <c r="K550" s="378"/>
      <c r="L550" s="378"/>
      <c r="M550" s="378"/>
      <c r="N550" s="378"/>
      <c r="O550" s="378"/>
      <c r="P550" s="378"/>
      <c r="Q550" s="378"/>
      <c r="R550" s="378"/>
      <c r="S550" s="378"/>
      <c r="T550" s="378"/>
      <c r="U550" s="378"/>
      <c r="V550" s="378"/>
      <c r="W550" s="378"/>
      <c r="X550" s="378"/>
      <c r="Y550" s="378"/>
      <c r="Z550" s="378"/>
    </row>
    <row r="551" spans="1:26" ht="18">
      <c r="A551" s="378"/>
      <c r="B551" s="378"/>
      <c r="C551" s="378"/>
      <c r="D551" s="384"/>
      <c r="E551" s="378"/>
      <c r="F551" s="378"/>
      <c r="G551" s="378"/>
      <c r="H551" s="378"/>
      <c r="I551" s="378"/>
      <c r="J551" s="378"/>
      <c r="K551" s="378"/>
      <c r="L551" s="378"/>
      <c r="M551" s="378"/>
      <c r="N551" s="378"/>
      <c r="O551" s="378"/>
      <c r="P551" s="378"/>
      <c r="Q551" s="378"/>
      <c r="R551" s="378"/>
      <c r="S551" s="378"/>
      <c r="T551" s="378"/>
      <c r="U551" s="378"/>
      <c r="V551" s="378"/>
      <c r="W551" s="378"/>
      <c r="X551" s="378"/>
      <c r="Y551" s="378"/>
      <c r="Z551" s="378"/>
    </row>
    <row r="552" spans="1:26" ht="18">
      <c r="A552" s="378"/>
      <c r="B552" s="378"/>
      <c r="C552" s="378"/>
      <c r="D552" s="384"/>
      <c r="E552" s="378"/>
      <c r="F552" s="378"/>
      <c r="G552" s="378"/>
      <c r="H552" s="378"/>
      <c r="I552" s="378"/>
      <c r="J552" s="378"/>
      <c r="K552" s="378"/>
      <c r="L552" s="378"/>
      <c r="M552" s="378"/>
      <c r="N552" s="378"/>
      <c r="O552" s="378"/>
      <c r="P552" s="378"/>
      <c r="Q552" s="378"/>
      <c r="R552" s="378"/>
      <c r="S552" s="378"/>
      <c r="T552" s="378"/>
      <c r="U552" s="378"/>
      <c r="V552" s="378"/>
      <c r="W552" s="378"/>
      <c r="X552" s="378"/>
      <c r="Y552" s="378"/>
      <c r="Z552" s="378"/>
    </row>
    <row r="553" spans="1:26" ht="18">
      <c r="A553" s="378"/>
      <c r="B553" s="378"/>
      <c r="C553" s="378"/>
      <c r="D553" s="384"/>
      <c r="E553" s="378"/>
      <c r="F553" s="378"/>
      <c r="G553" s="378"/>
      <c r="H553" s="378"/>
      <c r="I553" s="378"/>
      <c r="J553" s="378"/>
      <c r="K553" s="378"/>
      <c r="L553" s="378"/>
      <c r="M553" s="378"/>
      <c r="N553" s="378"/>
      <c r="O553" s="378"/>
      <c r="P553" s="378"/>
      <c r="Q553" s="378"/>
      <c r="R553" s="378"/>
      <c r="S553" s="378"/>
      <c r="T553" s="378"/>
      <c r="U553" s="378"/>
      <c r="V553" s="378"/>
      <c r="W553" s="378"/>
      <c r="X553" s="378"/>
      <c r="Y553" s="378"/>
      <c r="Z553" s="378"/>
    </row>
    <row r="554" spans="1:26" ht="18">
      <c r="A554" s="378"/>
      <c r="B554" s="378"/>
      <c r="C554" s="378"/>
      <c r="D554" s="384"/>
      <c r="E554" s="378"/>
      <c r="F554" s="378"/>
      <c r="G554" s="378"/>
      <c r="H554" s="378"/>
      <c r="I554" s="378"/>
      <c r="J554" s="378"/>
      <c r="K554" s="378"/>
      <c r="L554" s="378"/>
      <c r="M554" s="378"/>
      <c r="N554" s="378"/>
      <c r="O554" s="378"/>
      <c r="P554" s="378"/>
      <c r="Q554" s="378"/>
      <c r="R554" s="378"/>
      <c r="S554" s="378"/>
      <c r="T554" s="378"/>
      <c r="U554" s="378"/>
      <c r="V554" s="378"/>
      <c r="W554" s="378"/>
      <c r="X554" s="378"/>
      <c r="Y554" s="378"/>
      <c r="Z554" s="378"/>
    </row>
    <row r="555" spans="1:26" ht="18">
      <c r="A555" s="378"/>
      <c r="B555" s="378"/>
      <c r="C555" s="378"/>
      <c r="D555" s="384"/>
      <c r="E555" s="378"/>
      <c r="F555" s="378"/>
      <c r="G555" s="378"/>
      <c r="H555" s="378"/>
      <c r="I555" s="378"/>
      <c r="J555" s="378"/>
      <c r="K555" s="378"/>
      <c r="L555" s="378"/>
      <c r="M555" s="378"/>
      <c r="N555" s="378"/>
      <c r="O555" s="378"/>
      <c r="P555" s="378"/>
      <c r="Q555" s="378"/>
      <c r="R555" s="378"/>
      <c r="S555" s="378"/>
      <c r="T555" s="378"/>
      <c r="U555" s="378"/>
      <c r="V555" s="378"/>
      <c r="W555" s="378"/>
      <c r="X555" s="378"/>
      <c r="Y555" s="378"/>
      <c r="Z555" s="378"/>
    </row>
    <row r="556" spans="1:26" ht="18">
      <c r="A556" s="378"/>
      <c r="B556" s="378"/>
      <c r="C556" s="378"/>
      <c r="D556" s="384"/>
      <c r="E556" s="378"/>
      <c r="F556" s="378"/>
      <c r="G556" s="378"/>
      <c r="H556" s="378"/>
      <c r="I556" s="378"/>
      <c r="J556" s="378"/>
      <c r="K556" s="378"/>
      <c r="L556" s="378"/>
      <c r="M556" s="378"/>
      <c r="N556" s="378"/>
      <c r="O556" s="378"/>
      <c r="P556" s="378"/>
      <c r="Q556" s="378"/>
      <c r="R556" s="378"/>
      <c r="S556" s="378"/>
      <c r="T556" s="378"/>
      <c r="U556" s="378"/>
      <c r="V556" s="378"/>
      <c r="W556" s="378"/>
      <c r="X556" s="378"/>
      <c r="Y556" s="378"/>
      <c r="Z556" s="378"/>
    </row>
    <row r="557" spans="1:26" ht="18">
      <c r="A557" s="378"/>
      <c r="B557" s="378"/>
      <c r="C557" s="378"/>
      <c r="D557" s="384"/>
      <c r="E557" s="378"/>
      <c r="F557" s="378"/>
      <c r="G557" s="378"/>
      <c r="H557" s="378"/>
      <c r="I557" s="378"/>
      <c r="J557" s="378"/>
      <c r="K557" s="378"/>
      <c r="L557" s="378"/>
      <c r="M557" s="378"/>
      <c r="N557" s="378"/>
      <c r="O557" s="378"/>
      <c r="P557" s="378"/>
      <c r="Q557" s="378"/>
      <c r="R557" s="378"/>
      <c r="S557" s="378"/>
      <c r="T557" s="378"/>
      <c r="U557" s="378"/>
      <c r="V557" s="378"/>
      <c r="W557" s="378"/>
      <c r="X557" s="378"/>
      <c r="Y557" s="378"/>
      <c r="Z557" s="378"/>
    </row>
    <row r="558" spans="1:26" ht="18">
      <c r="A558" s="378"/>
      <c r="B558" s="378"/>
      <c r="C558" s="378"/>
      <c r="D558" s="384"/>
      <c r="E558" s="378"/>
      <c r="F558" s="378"/>
      <c r="G558" s="378"/>
      <c r="H558" s="378"/>
      <c r="I558" s="378"/>
      <c r="J558" s="378"/>
      <c r="K558" s="378"/>
      <c r="L558" s="378"/>
      <c r="M558" s="378"/>
      <c r="N558" s="378"/>
      <c r="O558" s="378"/>
      <c r="P558" s="378"/>
      <c r="Q558" s="378"/>
      <c r="R558" s="378"/>
      <c r="S558" s="378"/>
      <c r="T558" s="378"/>
      <c r="U558" s="378"/>
      <c r="V558" s="378"/>
      <c r="W558" s="378"/>
      <c r="X558" s="378"/>
      <c r="Y558" s="378"/>
      <c r="Z558" s="378"/>
    </row>
    <row r="559" spans="1:26" ht="18">
      <c r="A559" s="378"/>
      <c r="B559" s="378"/>
      <c r="C559" s="378"/>
      <c r="D559" s="384"/>
      <c r="E559" s="378"/>
      <c r="F559" s="378"/>
      <c r="G559" s="378"/>
      <c r="H559" s="378"/>
      <c r="I559" s="378"/>
      <c r="J559" s="378"/>
      <c r="K559" s="378"/>
      <c r="L559" s="378"/>
      <c r="M559" s="378"/>
      <c r="N559" s="378"/>
      <c r="O559" s="378"/>
      <c r="P559" s="378"/>
      <c r="Q559" s="378"/>
      <c r="R559" s="378"/>
      <c r="S559" s="378"/>
      <c r="T559" s="378"/>
      <c r="U559" s="378"/>
      <c r="V559" s="378"/>
      <c r="W559" s="378"/>
      <c r="X559" s="378"/>
      <c r="Y559" s="378"/>
      <c r="Z559" s="378"/>
    </row>
    <row r="560" spans="1:26" ht="18">
      <c r="A560" s="378"/>
      <c r="B560" s="378"/>
      <c r="C560" s="378"/>
      <c r="D560" s="384"/>
      <c r="E560" s="378"/>
      <c r="F560" s="378"/>
      <c r="G560" s="378"/>
      <c r="H560" s="378"/>
      <c r="I560" s="378"/>
      <c r="J560" s="378"/>
      <c r="K560" s="378"/>
      <c r="L560" s="378"/>
      <c r="M560" s="378"/>
      <c r="N560" s="378"/>
      <c r="O560" s="378"/>
      <c r="P560" s="378"/>
      <c r="Q560" s="378"/>
      <c r="R560" s="378"/>
      <c r="S560" s="378"/>
      <c r="T560" s="378"/>
      <c r="U560" s="378"/>
      <c r="V560" s="378"/>
      <c r="W560" s="378"/>
      <c r="X560" s="378"/>
      <c r="Y560" s="378"/>
      <c r="Z560" s="378"/>
    </row>
    <row r="561" spans="1:26" ht="18">
      <c r="A561" s="378"/>
      <c r="B561" s="378"/>
      <c r="C561" s="378"/>
      <c r="D561" s="384"/>
      <c r="E561" s="378"/>
      <c r="F561" s="378"/>
      <c r="G561" s="378"/>
      <c r="H561" s="378"/>
      <c r="I561" s="378"/>
      <c r="J561" s="378"/>
      <c r="K561" s="378"/>
      <c r="L561" s="378"/>
      <c r="M561" s="378"/>
      <c r="N561" s="378"/>
      <c r="O561" s="378"/>
      <c r="P561" s="378"/>
      <c r="Q561" s="378"/>
      <c r="R561" s="378"/>
      <c r="S561" s="378"/>
      <c r="T561" s="378"/>
      <c r="U561" s="378"/>
      <c r="V561" s="378"/>
      <c r="W561" s="378"/>
      <c r="X561" s="378"/>
      <c r="Y561" s="378"/>
      <c r="Z561" s="378"/>
    </row>
    <row r="562" spans="1:26" ht="18">
      <c r="A562" s="378"/>
      <c r="B562" s="378"/>
      <c r="C562" s="378"/>
      <c r="D562" s="384"/>
      <c r="E562" s="378"/>
      <c r="F562" s="378"/>
      <c r="G562" s="378"/>
      <c r="H562" s="378"/>
      <c r="I562" s="378"/>
      <c r="J562" s="378"/>
      <c r="K562" s="378"/>
      <c r="L562" s="378"/>
      <c r="M562" s="378"/>
      <c r="N562" s="378"/>
      <c r="O562" s="378"/>
      <c r="P562" s="378"/>
      <c r="Q562" s="378"/>
      <c r="R562" s="378"/>
      <c r="S562" s="378"/>
      <c r="T562" s="378"/>
      <c r="U562" s="378"/>
      <c r="V562" s="378"/>
      <c r="W562" s="378"/>
      <c r="X562" s="378"/>
      <c r="Y562" s="378"/>
      <c r="Z562" s="378"/>
    </row>
    <row r="563" spans="1:26" ht="18">
      <c r="A563" s="378"/>
      <c r="B563" s="378"/>
      <c r="C563" s="378"/>
      <c r="D563" s="384"/>
      <c r="E563" s="378"/>
      <c r="F563" s="378"/>
      <c r="G563" s="378"/>
      <c r="H563" s="378"/>
      <c r="I563" s="378"/>
      <c r="J563" s="378"/>
      <c r="K563" s="378"/>
      <c r="L563" s="378"/>
      <c r="M563" s="378"/>
      <c r="N563" s="378"/>
      <c r="O563" s="378"/>
      <c r="P563" s="378"/>
      <c r="Q563" s="378"/>
      <c r="R563" s="378"/>
      <c r="S563" s="378"/>
      <c r="T563" s="378"/>
      <c r="U563" s="378"/>
      <c r="V563" s="378"/>
      <c r="W563" s="378"/>
      <c r="X563" s="378"/>
      <c r="Y563" s="378"/>
      <c r="Z563" s="378"/>
    </row>
    <row r="564" spans="1:26" ht="18">
      <c r="A564" s="378"/>
      <c r="B564" s="378"/>
      <c r="C564" s="378"/>
      <c r="D564" s="384"/>
      <c r="E564" s="378"/>
      <c r="F564" s="378"/>
      <c r="G564" s="378"/>
      <c r="H564" s="378"/>
      <c r="I564" s="378"/>
      <c r="J564" s="378"/>
      <c r="K564" s="378"/>
      <c r="L564" s="378"/>
      <c r="M564" s="378"/>
      <c r="N564" s="378"/>
      <c r="O564" s="378"/>
      <c r="P564" s="378"/>
      <c r="Q564" s="378"/>
      <c r="R564" s="378"/>
      <c r="S564" s="378"/>
      <c r="T564" s="378"/>
      <c r="U564" s="378"/>
      <c r="V564" s="378"/>
      <c r="W564" s="378"/>
      <c r="X564" s="378"/>
      <c r="Y564" s="378"/>
      <c r="Z564" s="378"/>
    </row>
    <row r="565" spans="1:26" ht="18">
      <c r="A565" s="378"/>
      <c r="B565" s="378"/>
      <c r="C565" s="378"/>
      <c r="D565" s="384"/>
      <c r="E565" s="378"/>
      <c r="F565" s="378"/>
      <c r="G565" s="378"/>
      <c r="H565" s="378"/>
      <c r="I565" s="378"/>
      <c r="J565" s="378"/>
      <c r="K565" s="378"/>
      <c r="L565" s="378"/>
      <c r="M565" s="378"/>
      <c r="N565" s="378"/>
      <c r="O565" s="378"/>
      <c r="P565" s="378"/>
      <c r="Q565" s="378"/>
      <c r="R565" s="378"/>
      <c r="S565" s="378"/>
      <c r="T565" s="378"/>
      <c r="U565" s="378"/>
      <c r="V565" s="378"/>
      <c r="W565" s="378"/>
      <c r="X565" s="378"/>
      <c r="Y565" s="378"/>
      <c r="Z565" s="378"/>
    </row>
    <row r="566" spans="1:26" ht="18">
      <c r="A566" s="378"/>
      <c r="B566" s="378"/>
      <c r="C566" s="378"/>
      <c r="D566" s="384"/>
      <c r="E566" s="378"/>
      <c r="F566" s="378"/>
      <c r="G566" s="378"/>
      <c r="H566" s="378"/>
      <c r="I566" s="378"/>
      <c r="J566" s="378"/>
      <c r="K566" s="378"/>
      <c r="L566" s="378"/>
      <c r="M566" s="378"/>
      <c r="N566" s="378"/>
      <c r="O566" s="378"/>
      <c r="P566" s="378"/>
      <c r="Q566" s="378"/>
      <c r="R566" s="378"/>
      <c r="S566" s="378"/>
      <c r="T566" s="378"/>
      <c r="U566" s="378"/>
      <c r="V566" s="378"/>
      <c r="W566" s="378"/>
      <c r="X566" s="378"/>
      <c r="Y566" s="378"/>
      <c r="Z566" s="378"/>
    </row>
    <row r="567" spans="1:26" ht="18">
      <c r="A567" s="378"/>
      <c r="B567" s="378"/>
      <c r="C567" s="378"/>
      <c r="D567" s="384"/>
      <c r="E567" s="378"/>
      <c r="F567" s="378"/>
      <c r="G567" s="378"/>
      <c r="H567" s="378"/>
      <c r="I567" s="378"/>
      <c r="J567" s="378"/>
      <c r="K567" s="378"/>
      <c r="L567" s="378"/>
      <c r="M567" s="378"/>
      <c r="N567" s="378"/>
      <c r="O567" s="378"/>
      <c r="P567" s="378"/>
      <c r="Q567" s="378"/>
      <c r="R567" s="378"/>
      <c r="S567" s="378"/>
      <c r="T567" s="378"/>
      <c r="U567" s="378"/>
      <c r="V567" s="378"/>
      <c r="W567" s="378"/>
      <c r="X567" s="378"/>
      <c r="Y567" s="378"/>
      <c r="Z567" s="378"/>
    </row>
    <row r="568" spans="1:26" ht="18">
      <c r="A568" s="378"/>
      <c r="B568" s="378"/>
      <c r="C568" s="378"/>
      <c r="D568" s="384"/>
      <c r="E568" s="378"/>
      <c r="F568" s="378"/>
      <c r="G568" s="378"/>
      <c r="H568" s="378"/>
      <c r="I568" s="378"/>
      <c r="J568" s="378"/>
      <c r="K568" s="378"/>
      <c r="L568" s="378"/>
      <c r="M568" s="378"/>
      <c r="N568" s="378"/>
      <c r="O568" s="378"/>
      <c r="P568" s="378"/>
      <c r="Q568" s="378"/>
      <c r="R568" s="378"/>
      <c r="S568" s="378"/>
      <c r="T568" s="378"/>
      <c r="U568" s="378"/>
      <c r="V568" s="378"/>
      <c r="W568" s="378"/>
      <c r="X568" s="378"/>
      <c r="Y568" s="378"/>
      <c r="Z568" s="378"/>
    </row>
    <row r="569" spans="1:26" ht="18">
      <c r="A569" s="378"/>
      <c r="B569" s="378"/>
      <c r="C569" s="378"/>
      <c r="D569" s="384"/>
      <c r="E569" s="378"/>
      <c r="F569" s="378"/>
      <c r="G569" s="378"/>
      <c r="H569" s="378"/>
      <c r="I569" s="378"/>
      <c r="J569" s="378"/>
      <c r="K569" s="378"/>
      <c r="L569" s="378"/>
      <c r="M569" s="378"/>
      <c r="N569" s="378"/>
      <c r="O569" s="378"/>
      <c r="P569" s="378"/>
      <c r="Q569" s="378"/>
      <c r="R569" s="378"/>
      <c r="S569" s="378"/>
      <c r="T569" s="378"/>
      <c r="U569" s="378"/>
      <c r="V569" s="378"/>
      <c r="W569" s="378"/>
      <c r="X569" s="378"/>
      <c r="Y569" s="378"/>
      <c r="Z569" s="378"/>
    </row>
    <row r="570" spans="1:26" ht="18">
      <c r="A570" s="378"/>
      <c r="B570" s="378"/>
      <c r="C570" s="378"/>
      <c r="D570" s="384"/>
      <c r="E570" s="378"/>
      <c r="F570" s="378"/>
      <c r="G570" s="378"/>
      <c r="H570" s="378"/>
      <c r="I570" s="378"/>
      <c r="J570" s="378"/>
      <c r="K570" s="378"/>
      <c r="L570" s="378"/>
      <c r="M570" s="378"/>
      <c r="N570" s="378"/>
      <c r="O570" s="378"/>
      <c r="P570" s="378"/>
      <c r="Q570" s="378"/>
      <c r="R570" s="378"/>
      <c r="S570" s="378"/>
      <c r="T570" s="378"/>
      <c r="U570" s="378"/>
      <c r="V570" s="378"/>
      <c r="W570" s="378"/>
      <c r="X570" s="378"/>
      <c r="Y570" s="378"/>
      <c r="Z570" s="378"/>
    </row>
    <row r="571" spans="1:26" ht="18">
      <c r="A571" s="378"/>
      <c r="B571" s="378"/>
      <c r="C571" s="378"/>
      <c r="D571" s="384"/>
      <c r="E571" s="378"/>
      <c r="F571" s="378"/>
      <c r="G571" s="378"/>
      <c r="H571" s="378"/>
      <c r="I571" s="378"/>
      <c r="J571" s="378"/>
      <c r="K571" s="378"/>
      <c r="L571" s="378"/>
      <c r="M571" s="378"/>
      <c r="N571" s="378"/>
      <c r="O571" s="378"/>
      <c r="P571" s="378"/>
      <c r="Q571" s="378"/>
      <c r="R571" s="378"/>
      <c r="S571" s="378"/>
      <c r="T571" s="378"/>
      <c r="U571" s="378"/>
      <c r="V571" s="378"/>
      <c r="W571" s="378"/>
      <c r="X571" s="378"/>
      <c r="Y571" s="378"/>
      <c r="Z571" s="378"/>
    </row>
    <row r="572" spans="1:26" ht="18">
      <c r="A572" s="378"/>
      <c r="B572" s="378"/>
      <c r="C572" s="378"/>
      <c r="D572" s="384"/>
      <c r="E572" s="378"/>
      <c r="F572" s="378"/>
      <c r="G572" s="378"/>
      <c r="H572" s="378"/>
      <c r="I572" s="378"/>
      <c r="J572" s="378"/>
      <c r="K572" s="378"/>
      <c r="L572" s="378"/>
      <c r="M572" s="378"/>
      <c r="N572" s="378"/>
      <c r="O572" s="378"/>
      <c r="P572" s="378"/>
      <c r="Q572" s="378"/>
      <c r="R572" s="378"/>
      <c r="S572" s="378"/>
      <c r="T572" s="378"/>
      <c r="U572" s="378"/>
      <c r="V572" s="378"/>
      <c r="W572" s="378"/>
      <c r="X572" s="378"/>
      <c r="Y572" s="378"/>
      <c r="Z572" s="378"/>
    </row>
    <row r="573" spans="1:26" ht="18">
      <c r="A573" s="378"/>
      <c r="B573" s="378"/>
      <c r="C573" s="378"/>
      <c r="D573" s="384"/>
      <c r="E573" s="378"/>
      <c r="F573" s="378"/>
      <c r="G573" s="378"/>
      <c r="H573" s="378"/>
      <c r="I573" s="378"/>
      <c r="J573" s="378"/>
      <c r="K573" s="378"/>
      <c r="L573" s="378"/>
      <c r="M573" s="378"/>
      <c r="N573" s="378"/>
      <c r="O573" s="378"/>
      <c r="P573" s="378"/>
      <c r="Q573" s="378"/>
      <c r="R573" s="378"/>
      <c r="S573" s="378"/>
      <c r="T573" s="378"/>
      <c r="U573" s="378"/>
      <c r="V573" s="378"/>
      <c r="W573" s="378"/>
      <c r="X573" s="378"/>
      <c r="Y573" s="378"/>
      <c r="Z573" s="378"/>
    </row>
    <row r="574" spans="1:26" ht="18">
      <c r="A574" s="378"/>
      <c r="B574" s="378"/>
      <c r="C574" s="378"/>
      <c r="D574" s="384"/>
      <c r="E574" s="378"/>
      <c r="F574" s="378"/>
      <c r="G574" s="378"/>
      <c r="H574" s="378"/>
      <c r="I574" s="378"/>
      <c r="J574" s="378"/>
      <c r="K574" s="378"/>
      <c r="L574" s="378"/>
      <c r="M574" s="378"/>
      <c r="N574" s="378"/>
      <c r="O574" s="378"/>
      <c r="P574" s="378"/>
      <c r="Q574" s="378"/>
      <c r="R574" s="378"/>
      <c r="S574" s="378"/>
      <c r="T574" s="378"/>
      <c r="U574" s="378"/>
      <c r="V574" s="378"/>
      <c r="W574" s="378"/>
      <c r="X574" s="378"/>
      <c r="Y574" s="378"/>
      <c r="Z574" s="378"/>
    </row>
    <row r="575" spans="1:26" ht="18">
      <c r="A575" s="378"/>
      <c r="B575" s="378"/>
      <c r="C575" s="378"/>
      <c r="D575" s="384"/>
      <c r="E575" s="378"/>
      <c r="F575" s="378"/>
      <c r="G575" s="378"/>
      <c r="H575" s="378"/>
      <c r="I575" s="378"/>
      <c r="J575" s="378"/>
      <c r="K575" s="378"/>
      <c r="L575" s="378"/>
      <c r="M575" s="378"/>
      <c r="N575" s="378"/>
      <c r="O575" s="378"/>
      <c r="P575" s="378"/>
      <c r="Q575" s="378"/>
      <c r="R575" s="378"/>
      <c r="S575" s="378"/>
      <c r="T575" s="378"/>
      <c r="U575" s="378"/>
      <c r="V575" s="378"/>
      <c r="W575" s="378"/>
      <c r="X575" s="378"/>
      <c r="Y575" s="378"/>
      <c r="Z575" s="378"/>
    </row>
    <row r="576" spans="1:26" ht="18">
      <c r="A576" s="378"/>
      <c r="B576" s="378"/>
      <c r="C576" s="378"/>
      <c r="D576" s="384"/>
      <c r="E576" s="378"/>
      <c r="F576" s="378"/>
      <c r="G576" s="378"/>
      <c r="H576" s="378"/>
      <c r="I576" s="378"/>
      <c r="J576" s="378"/>
      <c r="K576" s="378"/>
      <c r="L576" s="378"/>
      <c r="M576" s="378"/>
      <c r="N576" s="378"/>
      <c r="O576" s="378"/>
      <c r="P576" s="378"/>
      <c r="Q576" s="378"/>
      <c r="R576" s="378"/>
      <c r="S576" s="378"/>
      <c r="T576" s="378"/>
      <c r="U576" s="378"/>
      <c r="V576" s="378"/>
      <c r="W576" s="378"/>
      <c r="X576" s="378"/>
      <c r="Y576" s="378"/>
      <c r="Z576" s="378"/>
    </row>
    <row r="577" spans="1:26" ht="18">
      <c r="A577" s="378"/>
      <c r="B577" s="378"/>
      <c r="C577" s="378"/>
      <c r="D577" s="384"/>
      <c r="E577" s="378"/>
      <c r="F577" s="378"/>
      <c r="G577" s="378"/>
      <c r="H577" s="378"/>
      <c r="I577" s="378"/>
      <c r="J577" s="378"/>
      <c r="K577" s="378"/>
      <c r="L577" s="378"/>
      <c r="M577" s="378"/>
      <c r="N577" s="378"/>
      <c r="O577" s="378"/>
      <c r="P577" s="378"/>
      <c r="Q577" s="378"/>
      <c r="R577" s="378"/>
      <c r="S577" s="378"/>
      <c r="T577" s="378"/>
      <c r="U577" s="378"/>
      <c r="V577" s="378"/>
      <c r="W577" s="378"/>
      <c r="X577" s="378"/>
      <c r="Y577" s="378"/>
      <c r="Z577" s="378"/>
    </row>
    <row r="578" spans="1:26" ht="18">
      <c r="A578" s="378"/>
      <c r="B578" s="378"/>
      <c r="C578" s="378"/>
      <c r="D578" s="384"/>
      <c r="E578" s="378"/>
      <c r="F578" s="378"/>
      <c r="G578" s="378"/>
      <c r="H578" s="378"/>
      <c r="I578" s="378"/>
      <c r="J578" s="378"/>
      <c r="K578" s="378"/>
      <c r="L578" s="378"/>
      <c r="M578" s="378"/>
      <c r="N578" s="378"/>
      <c r="O578" s="378"/>
      <c r="P578" s="378"/>
      <c r="Q578" s="378"/>
      <c r="R578" s="378"/>
      <c r="S578" s="378"/>
      <c r="T578" s="378"/>
      <c r="U578" s="378"/>
      <c r="V578" s="378"/>
      <c r="W578" s="378"/>
      <c r="X578" s="378"/>
      <c r="Y578" s="378"/>
      <c r="Z578" s="378"/>
    </row>
    <row r="579" spans="1:26" ht="18">
      <c r="A579" s="378"/>
      <c r="B579" s="378"/>
      <c r="C579" s="378"/>
      <c r="D579" s="384"/>
      <c r="E579" s="378"/>
      <c r="F579" s="378"/>
      <c r="G579" s="378"/>
      <c r="H579" s="378"/>
      <c r="I579" s="378"/>
      <c r="J579" s="378"/>
      <c r="K579" s="378"/>
      <c r="L579" s="378"/>
      <c r="M579" s="378"/>
      <c r="N579" s="378"/>
      <c r="O579" s="378"/>
      <c r="P579" s="378"/>
      <c r="Q579" s="378"/>
      <c r="R579" s="378"/>
      <c r="S579" s="378"/>
      <c r="T579" s="378"/>
      <c r="U579" s="378"/>
      <c r="V579" s="378"/>
      <c r="W579" s="378"/>
      <c r="X579" s="378"/>
      <c r="Y579" s="378"/>
      <c r="Z579" s="378"/>
    </row>
    <row r="580" spans="1:26" ht="18">
      <c r="A580" s="378"/>
      <c r="B580" s="378"/>
      <c r="C580" s="378"/>
      <c r="D580" s="384"/>
      <c r="E580" s="378"/>
      <c r="F580" s="378"/>
      <c r="G580" s="378"/>
      <c r="H580" s="378"/>
      <c r="I580" s="378"/>
      <c r="J580" s="378"/>
      <c r="K580" s="378"/>
      <c r="L580" s="378"/>
      <c r="M580" s="378"/>
      <c r="N580" s="378"/>
      <c r="O580" s="378"/>
      <c r="P580" s="378"/>
      <c r="Q580" s="378"/>
      <c r="R580" s="378"/>
      <c r="S580" s="378"/>
      <c r="T580" s="378"/>
      <c r="U580" s="378"/>
      <c r="V580" s="378"/>
      <c r="W580" s="378"/>
      <c r="X580" s="378"/>
      <c r="Y580" s="378"/>
      <c r="Z580" s="378"/>
    </row>
    <row r="581" spans="1:26" ht="18">
      <c r="A581" s="378"/>
      <c r="B581" s="378"/>
      <c r="C581" s="378"/>
      <c r="D581" s="384"/>
      <c r="E581" s="378"/>
      <c r="F581" s="378"/>
      <c r="G581" s="378"/>
      <c r="H581" s="378"/>
      <c r="I581" s="378"/>
      <c r="J581" s="378"/>
      <c r="K581" s="378"/>
      <c r="L581" s="378"/>
      <c r="M581" s="378"/>
      <c r="N581" s="378"/>
      <c r="O581" s="378"/>
      <c r="P581" s="378"/>
      <c r="Q581" s="378"/>
      <c r="R581" s="378"/>
      <c r="S581" s="378"/>
      <c r="T581" s="378"/>
      <c r="U581" s="378"/>
      <c r="V581" s="378"/>
      <c r="W581" s="378"/>
      <c r="X581" s="378"/>
      <c r="Y581" s="378"/>
      <c r="Z581" s="378"/>
    </row>
    <row r="582" spans="1:26" ht="18">
      <c r="A582" s="378"/>
      <c r="B582" s="378"/>
      <c r="C582" s="378"/>
      <c r="D582" s="384"/>
      <c r="E582" s="378"/>
      <c r="F582" s="378"/>
      <c r="G582" s="378"/>
      <c r="H582" s="378"/>
      <c r="I582" s="378"/>
      <c r="J582" s="378"/>
      <c r="K582" s="378"/>
      <c r="L582" s="378"/>
      <c r="M582" s="378"/>
      <c r="N582" s="378"/>
      <c r="O582" s="378"/>
      <c r="P582" s="378"/>
      <c r="Q582" s="378"/>
      <c r="R582" s="378"/>
      <c r="S582" s="378"/>
      <c r="T582" s="378"/>
      <c r="U582" s="378"/>
      <c r="V582" s="378"/>
      <c r="W582" s="378"/>
      <c r="X582" s="378"/>
      <c r="Y582" s="378"/>
      <c r="Z582" s="378"/>
    </row>
    <row r="583" spans="1:26" ht="18">
      <c r="A583" s="378"/>
      <c r="B583" s="378"/>
      <c r="C583" s="378"/>
      <c r="D583" s="384"/>
      <c r="E583" s="378"/>
      <c r="F583" s="378"/>
      <c r="G583" s="378"/>
      <c r="H583" s="378"/>
      <c r="I583" s="378"/>
      <c r="J583" s="378"/>
      <c r="K583" s="378"/>
      <c r="L583" s="378"/>
      <c r="M583" s="378"/>
      <c r="N583" s="378"/>
      <c r="O583" s="378"/>
      <c r="P583" s="378"/>
      <c r="Q583" s="378"/>
      <c r="R583" s="378"/>
      <c r="S583" s="378"/>
      <c r="T583" s="378"/>
      <c r="U583" s="378"/>
      <c r="V583" s="378"/>
      <c r="W583" s="378"/>
      <c r="X583" s="378"/>
      <c r="Y583" s="378"/>
      <c r="Z583" s="378"/>
    </row>
    <row r="584" spans="1:26" ht="18">
      <c r="A584" s="378"/>
      <c r="B584" s="378"/>
      <c r="C584" s="378"/>
      <c r="D584" s="384"/>
      <c r="E584" s="378"/>
      <c r="F584" s="378"/>
      <c r="G584" s="378"/>
      <c r="H584" s="378"/>
      <c r="I584" s="378"/>
      <c r="J584" s="378"/>
      <c r="K584" s="378"/>
      <c r="L584" s="378"/>
      <c r="M584" s="378"/>
      <c r="N584" s="378"/>
      <c r="O584" s="378"/>
      <c r="P584" s="378"/>
      <c r="Q584" s="378"/>
      <c r="R584" s="378"/>
      <c r="S584" s="378"/>
      <c r="T584" s="378"/>
      <c r="U584" s="378"/>
      <c r="V584" s="378"/>
      <c r="W584" s="378"/>
      <c r="X584" s="378"/>
      <c r="Y584" s="378"/>
      <c r="Z584" s="378"/>
    </row>
    <row r="585" spans="1:26" ht="18">
      <c r="A585" s="378"/>
      <c r="B585" s="378"/>
      <c r="C585" s="378"/>
      <c r="D585" s="384"/>
      <c r="E585" s="378"/>
      <c r="F585" s="378"/>
      <c r="G585" s="378"/>
      <c r="H585" s="378"/>
      <c r="I585" s="378"/>
      <c r="J585" s="378"/>
      <c r="K585" s="378"/>
      <c r="L585" s="378"/>
      <c r="M585" s="378"/>
      <c r="N585" s="378"/>
      <c r="O585" s="378"/>
      <c r="P585" s="378"/>
      <c r="Q585" s="378"/>
      <c r="R585" s="378"/>
      <c r="S585" s="378"/>
      <c r="T585" s="378"/>
      <c r="U585" s="378"/>
      <c r="V585" s="378"/>
      <c r="W585" s="378"/>
      <c r="X585" s="378"/>
      <c r="Y585" s="378"/>
      <c r="Z585" s="378"/>
    </row>
    <row r="586" spans="1:26" ht="18">
      <c r="A586" s="378"/>
      <c r="B586" s="378"/>
      <c r="C586" s="378"/>
      <c r="D586" s="384"/>
      <c r="E586" s="378"/>
      <c r="F586" s="378"/>
      <c r="G586" s="378"/>
      <c r="H586" s="378"/>
      <c r="I586" s="378"/>
      <c r="J586" s="378"/>
      <c r="K586" s="378"/>
      <c r="L586" s="378"/>
      <c r="M586" s="378"/>
      <c r="N586" s="378"/>
      <c r="O586" s="378"/>
      <c r="P586" s="378"/>
      <c r="Q586" s="378"/>
      <c r="R586" s="378"/>
      <c r="S586" s="378"/>
      <c r="T586" s="378"/>
      <c r="U586" s="378"/>
      <c r="V586" s="378"/>
      <c r="W586" s="378"/>
      <c r="X586" s="378"/>
      <c r="Y586" s="378"/>
      <c r="Z586" s="378"/>
    </row>
    <row r="587" spans="1:26" ht="18">
      <c r="A587" s="378"/>
      <c r="B587" s="378"/>
      <c r="C587" s="378"/>
      <c r="D587" s="384"/>
      <c r="E587" s="378"/>
      <c r="F587" s="378"/>
      <c r="G587" s="378"/>
      <c r="H587" s="378"/>
      <c r="I587" s="378"/>
      <c r="J587" s="378"/>
      <c r="K587" s="378"/>
      <c r="L587" s="378"/>
      <c r="M587" s="378"/>
      <c r="N587" s="378"/>
      <c r="O587" s="378"/>
      <c r="P587" s="378"/>
      <c r="Q587" s="378"/>
      <c r="R587" s="378"/>
      <c r="S587" s="378"/>
      <c r="T587" s="378"/>
      <c r="U587" s="378"/>
      <c r="V587" s="378"/>
      <c r="W587" s="378"/>
      <c r="X587" s="378"/>
      <c r="Y587" s="378"/>
      <c r="Z587" s="378"/>
    </row>
    <row r="588" spans="1:26" ht="18">
      <c r="A588" s="378"/>
      <c r="B588" s="378"/>
      <c r="C588" s="378"/>
      <c r="D588" s="384"/>
      <c r="E588" s="378"/>
      <c r="F588" s="378"/>
      <c r="G588" s="378"/>
      <c r="H588" s="378"/>
      <c r="I588" s="378"/>
      <c r="J588" s="378"/>
      <c r="K588" s="378"/>
      <c r="L588" s="378"/>
      <c r="M588" s="378"/>
      <c r="N588" s="378"/>
      <c r="O588" s="378"/>
      <c r="P588" s="378"/>
      <c r="Q588" s="378"/>
      <c r="R588" s="378"/>
      <c r="S588" s="378"/>
      <c r="T588" s="378"/>
      <c r="U588" s="378"/>
      <c r="V588" s="378"/>
      <c r="W588" s="378"/>
      <c r="X588" s="378"/>
      <c r="Y588" s="378"/>
      <c r="Z588" s="378"/>
    </row>
    <row r="589" spans="1:26" ht="18">
      <c r="A589" s="378"/>
      <c r="B589" s="378"/>
      <c r="C589" s="378"/>
      <c r="D589" s="384"/>
      <c r="E589" s="378"/>
      <c r="F589" s="378"/>
      <c r="G589" s="378"/>
      <c r="H589" s="378"/>
      <c r="I589" s="378"/>
      <c r="J589" s="378"/>
      <c r="K589" s="378"/>
      <c r="L589" s="378"/>
      <c r="M589" s="378"/>
      <c r="N589" s="378"/>
      <c r="O589" s="378"/>
      <c r="P589" s="378"/>
      <c r="Q589" s="378"/>
      <c r="R589" s="378"/>
      <c r="S589" s="378"/>
      <c r="T589" s="378"/>
      <c r="U589" s="378"/>
      <c r="V589" s="378"/>
      <c r="W589" s="378"/>
      <c r="X589" s="378"/>
      <c r="Y589" s="378"/>
      <c r="Z589" s="378"/>
    </row>
    <row r="590" spans="1:26" ht="18">
      <c r="A590" s="378"/>
      <c r="B590" s="378"/>
      <c r="C590" s="378"/>
      <c r="D590" s="384"/>
      <c r="E590" s="378"/>
      <c r="F590" s="378"/>
      <c r="G590" s="378"/>
      <c r="H590" s="378"/>
      <c r="I590" s="378"/>
      <c r="J590" s="378"/>
      <c r="K590" s="378"/>
      <c r="L590" s="378"/>
      <c r="M590" s="378"/>
      <c r="N590" s="378"/>
      <c r="O590" s="378"/>
      <c r="P590" s="378"/>
      <c r="Q590" s="378"/>
      <c r="R590" s="378"/>
      <c r="S590" s="378"/>
      <c r="T590" s="378"/>
      <c r="U590" s="378"/>
      <c r="V590" s="378"/>
      <c r="W590" s="378"/>
      <c r="X590" s="378"/>
      <c r="Y590" s="378"/>
      <c r="Z590" s="378"/>
    </row>
    <row r="591" spans="1:26" ht="18">
      <c r="A591" s="378"/>
      <c r="B591" s="378"/>
      <c r="C591" s="378"/>
      <c r="D591" s="384"/>
      <c r="E591" s="378"/>
      <c r="F591" s="378"/>
      <c r="G591" s="378"/>
      <c r="H591" s="378"/>
      <c r="I591" s="378"/>
      <c r="J591" s="378"/>
      <c r="K591" s="378"/>
      <c r="L591" s="378"/>
      <c r="M591" s="378"/>
      <c r="N591" s="378"/>
      <c r="O591" s="378"/>
      <c r="P591" s="378"/>
      <c r="Q591" s="378"/>
      <c r="R591" s="378"/>
      <c r="S591" s="378"/>
      <c r="T591" s="378"/>
      <c r="U591" s="378"/>
      <c r="V591" s="378"/>
      <c r="W591" s="378"/>
      <c r="X591" s="378"/>
      <c r="Y591" s="378"/>
      <c r="Z591" s="378"/>
    </row>
    <row r="592" spans="1:26" ht="18">
      <c r="A592" s="378"/>
      <c r="B592" s="378"/>
      <c r="C592" s="378"/>
      <c r="D592" s="384"/>
      <c r="E592" s="378"/>
      <c r="F592" s="378"/>
      <c r="G592" s="378"/>
      <c r="H592" s="378"/>
      <c r="I592" s="378"/>
      <c r="J592" s="378"/>
      <c r="K592" s="378"/>
      <c r="L592" s="378"/>
      <c r="M592" s="378"/>
      <c r="N592" s="378"/>
      <c r="O592" s="378"/>
      <c r="P592" s="378"/>
      <c r="Q592" s="378"/>
      <c r="R592" s="378"/>
      <c r="S592" s="378"/>
      <c r="T592" s="378"/>
      <c r="U592" s="378"/>
      <c r="V592" s="378"/>
      <c r="W592" s="378"/>
      <c r="X592" s="378"/>
      <c r="Y592" s="378"/>
      <c r="Z592" s="378"/>
    </row>
    <row r="593" spans="1:26" ht="18">
      <c r="A593" s="378"/>
      <c r="B593" s="378"/>
      <c r="C593" s="378"/>
      <c r="D593" s="384"/>
      <c r="E593" s="378"/>
      <c r="F593" s="378"/>
      <c r="G593" s="378"/>
      <c r="H593" s="378"/>
      <c r="I593" s="378"/>
      <c r="J593" s="378"/>
      <c r="K593" s="378"/>
      <c r="L593" s="378"/>
      <c r="M593" s="378"/>
      <c r="N593" s="378"/>
      <c r="O593" s="378"/>
      <c r="P593" s="378"/>
      <c r="Q593" s="378"/>
      <c r="R593" s="378"/>
      <c r="S593" s="378"/>
      <c r="T593" s="378"/>
      <c r="U593" s="378"/>
      <c r="V593" s="378"/>
      <c r="W593" s="378"/>
      <c r="X593" s="378"/>
      <c r="Y593" s="378"/>
      <c r="Z593" s="378"/>
    </row>
    <row r="594" spans="1:26" ht="18">
      <c r="A594" s="378"/>
      <c r="B594" s="378"/>
      <c r="C594" s="378"/>
      <c r="D594" s="384"/>
      <c r="E594" s="378"/>
      <c r="F594" s="378"/>
      <c r="G594" s="378"/>
      <c r="H594" s="378"/>
      <c r="I594" s="378"/>
      <c r="J594" s="378"/>
      <c r="K594" s="378"/>
      <c r="L594" s="378"/>
      <c r="M594" s="378"/>
      <c r="N594" s="378"/>
      <c r="O594" s="378"/>
      <c r="P594" s="378"/>
      <c r="Q594" s="378"/>
      <c r="R594" s="378"/>
      <c r="S594" s="378"/>
      <c r="T594" s="378"/>
      <c r="U594" s="378"/>
      <c r="V594" s="378"/>
      <c r="W594" s="378"/>
      <c r="X594" s="378"/>
      <c r="Y594" s="378"/>
      <c r="Z594" s="378"/>
    </row>
    <row r="595" spans="1:26" ht="18">
      <c r="A595" s="378"/>
      <c r="B595" s="378"/>
      <c r="C595" s="378"/>
      <c r="D595" s="384"/>
      <c r="E595" s="378"/>
      <c r="F595" s="378"/>
      <c r="G595" s="378"/>
      <c r="H595" s="378"/>
      <c r="I595" s="378"/>
      <c r="J595" s="378"/>
      <c r="K595" s="378"/>
      <c r="L595" s="378"/>
      <c r="M595" s="378"/>
      <c r="N595" s="378"/>
      <c r="O595" s="378"/>
      <c r="P595" s="378"/>
      <c r="Q595" s="378"/>
      <c r="R595" s="378"/>
      <c r="S595" s="378"/>
      <c r="T595" s="378"/>
      <c r="U595" s="378"/>
      <c r="V595" s="378"/>
      <c r="W595" s="378"/>
      <c r="X595" s="378"/>
      <c r="Y595" s="378"/>
      <c r="Z595" s="378"/>
    </row>
    <row r="596" spans="1:26" ht="18">
      <c r="A596" s="378"/>
      <c r="B596" s="378"/>
      <c r="C596" s="378"/>
      <c r="D596" s="384"/>
      <c r="E596" s="378"/>
      <c r="F596" s="378"/>
      <c r="G596" s="378"/>
      <c r="H596" s="378"/>
      <c r="I596" s="378"/>
      <c r="J596" s="378"/>
      <c r="K596" s="378"/>
      <c r="L596" s="378"/>
      <c r="M596" s="378"/>
      <c r="N596" s="378"/>
      <c r="O596" s="378"/>
      <c r="P596" s="378"/>
      <c r="Q596" s="378"/>
      <c r="R596" s="378"/>
      <c r="S596" s="378"/>
      <c r="T596" s="378"/>
      <c r="U596" s="378"/>
      <c r="V596" s="378"/>
      <c r="W596" s="378"/>
      <c r="X596" s="378"/>
      <c r="Y596" s="378"/>
      <c r="Z596" s="378"/>
    </row>
    <row r="597" spans="1:26" ht="18">
      <c r="A597" s="378"/>
      <c r="B597" s="378"/>
      <c r="C597" s="378"/>
      <c r="D597" s="384"/>
      <c r="E597" s="378"/>
      <c r="F597" s="378"/>
      <c r="G597" s="378"/>
      <c r="H597" s="378"/>
      <c r="I597" s="378"/>
      <c r="J597" s="378"/>
      <c r="K597" s="378"/>
      <c r="L597" s="378"/>
      <c r="M597" s="378"/>
      <c r="N597" s="378"/>
      <c r="O597" s="378"/>
      <c r="P597" s="378"/>
      <c r="Q597" s="378"/>
      <c r="R597" s="378"/>
      <c r="S597" s="378"/>
      <c r="T597" s="378"/>
      <c r="U597" s="378"/>
      <c r="V597" s="378"/>
      <c r="W597" s="378"/>
      <c r="X597" s="378"/>
      <c r="Y597" s="378"/>
      <c r="Z597" s="378"/>
    </row>
    <row r="598" spans="1:26" ht="18">
      <c r="A598" s="378"/>
      <c r="B598" s="378"/>
      <c r="C598" s="378"/>
      <c r="D598" s="384"/>
      <c r="E598" s="378"/>
      <c r="F598" s="378"/>
      <c r="G598" s="378"/>
      <c r="H598" s="378"/>
      <c r="I598" s="378"/>
      <c r="J598" s="378"/>
      <c r="K598" s="378"/>
      <c r="L598" s="378"/>
      <c r="M598" s="378"/>
      <c r="N598" s="378"/>
      <c r="O598" s="378"/>
      <c r="P598" s="378"/>
      <c r="Q598" s="378"/>
      <c r="R598" s="378"/>
      <c r="S598" s="378"/>
      <c r="T598" s="378"/>
      <c r="U598" s="378"/>
      <c r="V598" s="378"/>
      <c r="W598" s="378"/>
      <c r="X598" s="378"/>
      <c r="Y598" s="378"/>
      <c r="Z598" s="378"/>
    </row>
    <row r="599" spans="1:26" ht="18">
      <c r="A599" s="378"/>
      <c r="B599" s="378"/>
      <c r="C599" s="378"/>
      <c r="D599" s="384"/>
      <c r="E599" s="378"/>
      <c r="F599" s="378"/>
      <c r="G599" s="378"/>
      <c r="H599" s="378"/>
      <c r="I599" s="378"/>
      <c r="J599" s="378"/>
      <c r="K599" s="378"/>
      <c r="L599" s="378"/>
      <c r="M599" s="378"/>
      <c r="N599" s="378"/>
      <c r="O599" s="378"/>
      <c r="P599" s="378"/>
      <c r="Q599" s="378"/>
      <c r="R599" s="378"/>
      <c r="S599" s="378"/>
      <c r="T599" s="378"/>
      <c r="U599" s="378"/>
      <c r="V599" s="378"/>
      <c r="W599" s="378"/>
      <c r="X599" s="378"/>
      <c r="Y599" s="378"/>
      <c r="Z599" s="378"/>
    </row>
    <row r="600" spans="1:26" ht="18">
      <c r="A600" s="378"/>
      <c r="B600" s="378"/>
      <c r="C600" s="378"/>
      <c r="D600" s="384"/>
      <c r="E600" s="378"/>
      <c r="F600" s="378"/>
      <c r="G600" s="378"/>
      <c r="H600" s="378"/>
      <c r="I600" s="378"/>
      <c r="J600" s="378"/>
      <c r="K600" s="378"/>
      <c r="L600" s="378"/>
      <c r="M600" s="378"/>
      <c r="N600" s="378"/>
      <c r="O600" s="378"/>
      <c r="P600" s="378"/>
      <c r="Q600" s="378"/>
      <c r="R600" s="378"/>
      <c r="S600" s="378"/>
      <c r="T600" s="378"/>
      <c r="U600" s="378"/>
      <c r="V600" s="378"/>
      <c r="W600" s="378"/>
      <c r="X600" s="378"/>
      <c r="Y600" s="378"/>
      <c r="Z600" s="378"/>
    </row>
    <row r="601" spans="1:26" ht="18">
      <c r="A601" s="378"/>
      <c r="B601" s="378"/>
      <c r="C601" s="378"/>
      <c r="D601" s="384"/>
      <c r="E601" s="378"/>
      <c r="F601" s="378"/>
      <c r="G601" s="378"/>
      <c r="H601" s="378"/>
      <c r="I601" s="378"/>
      <c r="J601" s="378"/>
      <c r="K601" s="378"/>
      <c r="L601" s="378"/>
      <c r="M601" s="378"/>
      <c r="N601" s="378"/>
      <c r="O601" s="378"/>
      <c r="P601" s="378"/>
      <c r="Q601" s="378"/>
      <c r="R601" s="378"/>
      <c r="S601" s="378"/>
      <c r="T601" s="378"/>
      <c r="U601" s="378"/>
      <c r="V601" s="378"/>
      <c r="W601" s="378"/>
      <c r="X601" s="378"/>
      <c r="Y601" s="378"/>
      <c r="Z601" s="378"/>
    </row>
    <row r="602" spans="1:26" ht="18">
      <c r="A602" s="378"/>
      <c r="B602" s="378"/>
      <c r="C602" s="378"/>
      <c r="D602" s="384"/>
      <c r="E602" s="378"/>
      <c r="F602" s="378"/>
      <c r="G602" s="378"/>
      <c r="H602" s="378"/>
      <c r="I602" s="378"/>
      <c r="J602" s="378"/>
      <c r="K602" s="378"/>
      <c r="L602" s="378"/>
      <c r="M602" s="378"/>
      <c r="N602" s="378"/>
      <c r="O602" s="378"/>
      <c r="P602" s="378"/>
      <c r="Q602" s="378"/>
      <c r="R602" s="378"/>
      <c r="S602" s="378"/>
      <c r="T602" s="378"/>
      <c r="U602" s="378"/>
      <c r="V602" s="378"/>
      <c r="W602" s="378"/>
      <c r="X602" s="378"/>
      <c r="Y602" s="378"/>
      <c r="Z602" s="378"/>
    </row>
    <row r="603" spans="1:26" ht="18">
      <c r="A603" s="378"/>
      <c r="B603" s="378"/>
      <c r="C603" s="378"/>
      <c r="D603" s="384"/>
      <c r="E603" s="378"/>
      <c r="F603" s="378"/>
      <c r="G603" s="378"/>
      <c r="H603" s="378"/>
      <c r="I603" s="378"/>
      <c r="J603" s="378"/>
      <c r="K603" s="378"/>
      <c r="L603" s="378"/>
      <c r="M603" s="378"/>
      <c r="N603" s="378"/>
      <c r="O603" s="378"/>
      <c r="P603" s="378"/>
      <c r="Q603" s="378"/>
      <c r="R603" s="378"/>
      <c r="S603" s="378"/>
      <c r="T603" s="378"/>
      <c r="U603" s="378"/>
      <c r="V603" s="378"/>
      <c r="W603" s="378"/>
      <c r="X603" s="378"/>
      <c r="Y603" s="378"/>
      <c r="Z603" s="378"/>
    </row>
    <row r="604" spans="1:26" ht="18">
      <c r="A604" s="378"/>
      <c r="B604" s="378"/>
      <c r="C604" s="378"/>
      <c r="D604" s="384"/>
      <c r="E604" s="378"/>
      <c r="F604" s="378"/>
      <c r="G604" s="378"/>
      <c r="H604" s="378"/>
      <c r="I604" s="378"/>
      <c r="J604" s="378"/>
      <c r="K604" s="378"/>
      <c r="L604" s="378"/>
      <c r="M604" s="378"/>
      <c r="N604" s="378"/>
      <c r="O604" s="378"/>
      <c r="P604" s="378"/>
      <c r="Q604" s="378"/>
      <c r="R604" s="378"/>
      <c r="S604" s="378"/>
      <c r="T604" s="378"/>
      <c r="U604" s="378"/>
      <c r="V604" s="378"/>
      <c r="W604" s="378"/>
      <c r="X604" s="378"/>
      <c r="Y604" s="378"/>
      <c r="Z604" s="378"/>
    </row>
    <row r="605" spans="1:26" ht="18">
      <c r="A605" s="378"/>
      <c r="B605" s="378"/>
      <c r="C605" s="378"/>
      <c r="D605" s="384"/>
      <c r="E605" s="378"/>
      <c r="F605" s="378"/>
      <c r="G605" s="378"/>
      <c r="H605" s="378"/>
      <c r="I605" s="378"/>
      <c r="J605" s="378"/>
      <c r="K605" s="378"/>
      <c r="L605" s="378"/>
      <c r="M605" s="378"/>
      <c r="N605" s="378"/>
      <c r="O605" s="378"/>
      <c r="P605" s="378"/>
      <c r="Q605" s="378"/>
      <c r="R605" s="378"/>
      <c r="S605" s="378"/>
      <c r="T605" s="378"/>
      <c r="U605" s="378"/>
      <c r="V605" s="378"/>
      <c r="W605" s="378"/>
      <c r="X605" s="378"/>
      <c r="Y605" s="378"/>
      <c r="Z605" s="378"/>
    </row>
    <row r="606" spans="1:26" ht="18">
      <c r="A606" s="378"/>
      <c r="B606" s="378"/>
      <c r="C606" s="378"/>
      <c r="D606" s="384"/>
      <c r="E606" s="378"/>
      <c r="F606" s="378"/>
      <c r="G606" s="378"/>
      <c r="H606" s="378"/>
      <c r="I606" s="378"/>
      <c r="J606" s="378"/>
      <c r="K606" s="378"/>
      <c r="L606" s="378"/>
      <c r="M606" s="378"/>
      <c r="N606" s="378"/>
      <c r="O606" s="378"/>
      <c r="P606" s="378"/>
      <c r="Q606" s="378"/>
      <c r="R606" s="378"/>
      <c r="S606" s="378"/>
      <c r="T606" s="378"/>
      <c r="U606" s="378"/>
      <c r="V606" s="378"/>
      <c r="W606" s="378"/>
      <c r="X606" s="378"/>
      <c r="Y606" s="378"/>
      <c r="Z606" s="378"/>
    </row>
    <row r="607" spans="1:26" ht="18">
      <c r="A607" s="378"/>
      <c r="B607" s="378"/>
      <c r="C607" s="378"/>
      <c r="D607" s="384"/>
      <c r="E607" s="378"/>
      <c r="F607" s="378"/>
      <c r="G607" s="378"/>
      <c r="H607" s="378"/>
      <c r="I607" s="378"/>
      <c r="J607" s="378"/>
      <c r="K607" s="378"/>
      <c r="L607" s="378"/>
      <c r="M607" s="378"/>
      <c r="N607" s="378"/>
      <c r="O607" s="378"/>
      <c r="P607" s="378"/>
      <c r="Q607" s="378"/>
      <c r="R607" s="378"/>
      <c r="S607" s="378"/>
      <c r="T607" s="378"/>
      <c r="U607" s="378"/>
      <c r="V607" s="378"/>
      <c r="W607" s="378"/>
      <c r="X607" s="378"/>
      <c r="Y607" s="378"/>
      <c r="Z607" s="378"/>
    </row>
    <row r="608" spans="1:26" ht="18">
      <c r="A608" s="378"/>
      <c r="B608" s="378"/>
      <c r="C608" s="378"/>
      <c r="D608" s="384"/>
      <c r="E608" s="378"/>
      <c r="F608" s="378"/>
      <c r="G608" s="378"/>
      <c r="H608" s="378"/>
      <c r="I608" s="378"/>
      <c r="J608" s="378"/>
      <c r="K608" s="378"/>
      <c r="L608" s="378"/>
      <c r="M608" s="378"/>
      <c r="N608" s="378"/>
      <c r="O608" s="378"/>
      <c r="P608" s="378"/>
      <c r="Q608" s="378"/>
      <c r="R608" s="378"/>
      <c r="S608" s="378"/>
      <c r="T608" s="378"/>
      <c r="U608" s="378"/>
      <c r="V608" s="378"/>
      <c r="W608" s="378"/>
      <c r="X608" s="378"/>
      <c r="Y608" s="378"/>
      <c r="Z608" s="378"/>
    </row>
    <row r="609" spans="1:26" ht="18">
      <c r="A609" s="378"/>
      <c r="B609" s="378"/>
      <c r="C609" s="378"/>
      <c r="D609" s="384"/>
      <c r="E609" s="378"/>
      <c r="F609" s="378"/>
      <c r="G609" s="378"/>
      <c r="H609" s="378"/>
      <c r="I609" s="378"/>
      <c r="J609" s="378"/>
      <c r="K609" s="378"/>
      <c r="L609" s="378"/>
      <c r="M609" s="378"/>
      <c r="N609" s="378"/>
      <c r="O609" s="378"/>
      <c r="P609" s="378"/>
      <c r="Q609" s="378"/>
      <c r="R609" s="378"/>
      <c r="S609" s="378"/>
      <c r="T609" s="378"/>
      <c r="U609" s="378"/>
      <c r="V609" s="378"/>
      <c r="W609" s="378"/>
      <c r="X609" s="378"/>
      <c r="Y609" s="378"/>
      <c r="Z609" s="378"/>
    </row>
    <row r="610" spans="1:26" ht="18">
      <c r="A610" s="378"/>
      <c r="B610" s="378"/>
      <c r="C610" s="378"/>
      <c r="D610" s="384"/>
      <c r="E610" s="378"/>
      <c r="F610" s="378"/>
      <c r="G610" s="378"/>
      <c r="H610" s="378"/>
      <c r="I610" s="378"/>
      <c r="J610" s="378"/>
      <c r="K610" s="378"/>
      <c r="L610" s="378"/>
      <c r="M610" s="378"/>
      <c r="N610" s="378"/>
      <c r="O610" s="378"/>
      <c r="P610" s="378"/>
      <c r="Q610" s="378"/>
      <c r="R610" s="378"/>
      <c r="S610" s="378"/>
      <c r="T610" s="378"/>
      <c r="U610" s="378"/>
      <c r="V610" s="378"/>
      <c r="W610" s="378"/>
      <c r="X610" s="378"/>
      <c r="Y610" s="378"/>
      <c r="Z610" s="378"/>
    </row>
    <row r="611" spans="1:26" ht="18">
      <c r="A611" s="378"/>
      <c r="B611" s="378"/>
      <c r="C611" s="378"/>
      <c r="D611" s="384"/>
      <c r="E611" s="378"/>
      <c r="F611" s="378"/>
      <c r="G611" s="378"/>
      <c r="H611" s="378"/>
      <c r="I611" s="378"/>
      <c r="J611" s="378"/>
      <c r="K611" s="378"/>
      <c r="L611" s="378"/>
      <c r="M611" s="378"/>
      <c r="N611" s="378"/>
      <c r="O611" s="378"/>
      <c r="P611" s="378"/>
      <c r="Q611" s="378"/>
      <c r="R611" s="378"/>
      <c r="S611" s="378"/>
      <c r="T611" s="378"/>
      <c r="U611" s="378"/>
      <c r="V611" s="378"/>
      <c r="W611" s="378"/>
      <c r="X611" s="378"/>
      <c r="Y611" s="378"/>
      <c r="Z611" s="378"/>
    </row>
    <row r="612" spans="1:26" ht="18">
      <c r="A612" s="378"/>
      <c r="B612" s="378"/>
      <c r="C612" s="378"/>
      <c r="D612" s="384"/>
      <c r="E612" s="378"/>
      <c r="F612" s="378"/>
      <c r="G612" s="378"/>
      <c r="H612" s="378"/>
      <c r="I612" s="378"/>
      <c r="J612" s="378"/>
      <c r="K612" s="378"/>
      <c r="L612" s="378"/>
      <c r="M612" s="378"/>
      <c r="N612" s="378"/>
      <c r="O612" s="378"/>
      <c r="P612" s="378"/>
      <c r="Q612" s="378"/>
      <c r="R612" s="378"/>
      <c r="S612" s="378"/>
      <c r="T612" s="378"/>
      <c r="U612" s="378"/>
      <c r="V612" s="378"/>
      <c r="W612" s="378"/>
      <c r="X612" s="378"/>
      <c r="Y612" s="378"/>
      <c r="Z612" s="378"/>
    </row>
    <row r="613" spans="1:26" ht="18">
      <c r="A613" s="378"/>
      <c r="B613" s="378"/>
      <c r="C613" s="378"/>
      <c r="D613" s="384"/>
      <c r="E613" s="378"/>
      <c r="F613" s="378"/>
      <c r="G613" s="378"/>
      <c r="H613" s="378"/>
      <c r="I613" s="378"/>
      <c r="J613" s="378"/>
      <c r="K613" s="378"/>
      <c r="L613" s="378"/>
      <c r="M613" s="378"/>
      <c r="N613" s="378"/>
      <c r="O613" s="378"/>
      <c r="P613" s="378"/>
      <c r="Q613" s="378"/>
      <c r="R613" s="378"/>
      <c r="S613" s="378"/>
      <c r="T613" s="378"/>
      <c r="U613" s="378"/>
      <c r="V613" s="378"/>
      <c r="W613" s="378"/>
      <c r="X613" s="378"/>
      <c r="Y613" s="378"/>
      <c r="Z613" s="378"/>
    </row>
    <row r="614" spans="1:26" ht="18">
      <c r="A614" s="378"/>
      <c r="B614" s="378"/>
      <c r="C614" s="378"/>
      <c r="D614" s="384"/>
      <c r="E614" s="378"/>
      <c r="F614" s="378"/>
      <c r="G614" s="378"/>
      <c r="H614" s="378"/>
      <c r="I614" s="378"/>
      <c r="J614" s="378"/>
      <c r="K614" s="378"/>
      <c r="L614" s="378"/>
      <c r="M614" s="378"/>
      <c r="N614" s="378"/>
      <c r="O614" s="378"/>
      <c r="P614" s="378"/>
      <c r="Q614" s="378"/>
      <c r="R614" s="378"/>
      <c r="S614" s="378"/>
      <c r="T614" s="378"/>
      <c r="U614" s="378"/>
      <c r="V614" s="378"/>
      <c r="W614" s="378"/>
      <c r="X614" s="378"/>
      <c r="Y614" s="378"/>
      <c r="Z614" s="378"/>
    </row>
    <row r="615" spans="1:26" ht="18">
      <c r="A615" s="378"/>
      <c r="B615" s="378"/>
      <c r="C615" s="378"/>
      <c r="D615" s="384"/>
      <c r="E615" s="378"/>
      <c r="F615" s="378"/>
      <c r="G615" s="378"/>
      <c r="H615" s="378"/>
      <c r="I615" s="378"/>
      <c r="J615" s="378"/>
      <c r="K615" s="378"/>
      <c r="L615" s="378"/>
      <c r="M615" s="378"/>
      <c r="N615" s="378"/>
      <c r="O615" s="378"/>
      <c r="P615" s="378"/>
      <c r="Q615" s="378"/>
      <c r="R615" s="378"/>
      <c r="S615" s="378"/>
      <c r="T615" s="378"/>
      <c r="U615" s="378"/>
      <c r="V615" s="378"/>
      <c r="W615" s="378"/>
      <c r="X615" s="378"/>
      <c r="Y615" s="378"/>
      <c r="Z615" s="378"/>
    </row>
    <row r="616" spans="1:26" ht="18">
      <c r="A616" s="378"/>
      <c r="B616" s="378"/>
      <c r="C616" s="378"/>
      <c r="D616" s="384"/>
      <c r="E616" s="378"/>
      <c r="F616" s="378"/>
      <c r="G616" s="378"/>
      <c r="H616" s="378"/>
      <c r="I616" s="378"/>
      <c r="J616" s="378"/>
      <c r="K616" s="378"/>
      <c r="L616" s="378"/>
      <c r="M616" s="378"/>
      <c r="N616" s="378"/>
      <c r="O616" s="378"/>
      <c r="P616" s="378"/>
      <c r="Q616" s="378"/>
      <c r="R616" s="378"/>
      <c r="S616" s="378"/>
      <c r="T616" s="378"/>
      <c r="U616" s="378"/>
      <c r="V616" s="378"/>
      <c r="W616" s="378"/>
      <c r="X616" s="378"/>
      <c r="Y616" s="378"/>
      <c r="Z616" s="378"/>
    </row>
    <row r="617" spans="1:26" ht="18">
      <c r="A617" s="378"/>
      <c r="B617" s="378"/>
      <c r="C617" s="378"/>
      <c r="D617" s="384"/>
      <c r="E617" s="378"/>
      <c r="F617" s="378"/>
      <c r="G617" s="378"/>
      <c r="H617" s="378"/>
      <c r="I617" s="378"/>
      <c r="J617" s="378"/>
      <c r="K617" s="378"/>
      <c r="L617" s="378"/>
      <c r="M617" s="378"/>
      <c r="N617" s="378"/>
      <c r="O617" s="378"/>
      <c r="P617" s="378"/>
      <c r="Q617" s="378"/>
      <c r="R617" s="378"/>
      <c r="S617" s="378"/>
      <c r="T617" s="378"/>
      <c r="U617" s="378"/>
      <c r="V617" s="378"/>
      <c r="W617" s="378"/>
      <c r="X617" s="378"/>
      <c r="Y617" s="378"/>
      <c r="Z617" s="378"/>
    </row>
    <row r="618" spans="1:26" ht="18">
      <c r="A618" s="378"/>
      <c r="B618" s="378"/>
      <c r="C618" s="378"/>
      <c r="D618" s="384"/>
      <c r="E618" s="378"/>
      <c r="F618" s="378"/>
      <c r="G618" s="378"/>
      <c r="H618" s="378"/>
      <c r="I618" s="378"/>
      <c r="J618" s="378"/>
      <c r="K618" s="378"/>
      <c r="L618" s="378"/>
      <c r="M618" s="378"/>
      <c r="N618" s="378"/>
      <c r="O618" s="378"/>
      <c r="P618" s="378"/>
      <c r="Q618" s="378"/>
      <c r="R618" s="378"/>
      <c r="S618" s="378"/>
      <c r="T618" s="378"/>
      <c r="U618" s="378"/>
      <c r="V618" s="378"/>
      <c r="W618" s="378"/>
      <c r="X618" s="378"/>
      <c r="Y618" s="378"/>
      <c r="Z618" s="378"/>
    </row>
    <row r="619" spans="1:26" ht="18">
      <c r="A619" s="378"/>
      <c r="B619" s="378"/>
      <c r="C619" s="378"/>
      <c r="D619" s="384"/>
      <c r="E619" s="378"/>
      <c r="F619" s="378"/>
      <c r="G619" s="378"/>
      <c r="H619" s="378"/>
      <c r="I619" s="378"/>
      <c r="J619" s="378"/>
      <c r="K619" s="378"/>
      <c r="L619" s="378"/>
      <c r="M619" s="378"/>
      <c r="N619" s="378"/>
      <c r="O619" s="378"/>
      <c r="P619" s="378"/>
      <c r="Q619" s="378"/>
      <c r="R619" s="378"/>
      <c r="S619" s="378"/>
      <c r="T619" s="378"/>
      <c r="U619" s="378"/>
      <c r="V619" s="378"/>
      <c r="W619" s="378"/>
      <c r="X619" s="378"/>
      <c r="Y619" s="378"/>
      <c r="Z619" s="378"/>
    </row>
    <row r="620" spans="1:26" ht="18">
      <c r="A620" s="378"/>
      <c r="B620" s="378"/>
      <c r="C620" s="378"/>
      <c r="D620" s="384"/>
      <c r="E620" s="378"/>
      <c r="F620" s="378"/>
      <c r="G620" s="378"/>
      <c r="H620" s="378"/>
      <c r="I620" s="378"/>
      <c r="J620" s="378"/>
      <c r="K620" s="378"/>
      <c r="L620" s="378"/>
      <c r="M620" s="378"/>
      <c r="N620" s="378"/>
      <c r="O620" s="378"/>
      <c r="P620" s="378"/>
      <c r="Q620" s="378"/>
      <c r="R620" s="378"/>
      <c r="S620" s="378"/>
      <c r="T620" s="378"/>
      <c r="U620" s="378"/>
      <c r="V620" s="378"/>
      <c r="W620" s="378"/>
      <c r="X620" s="378"/>
      <c r="Y620" s="378"/>
      <c r="Z620" s="378"/>
    </row>
    <row r="621" spans="1:26" ht="18">
      <c r="A621" s="378"/>
      <c r="B621" s="378"/>
      <c r="C621" s="378"/>
      <c r="D621" s="384"/>
      <c r="E621" s="378"/>
      <c r="F621" s="378"/>
      <c r="G621" s="378"/>
      <c r="H621" s="378"/>
      <c r="I621" s="378"/>
      <c r="J621" s="378"/>
      <c r="K621" s="378"/>
      <c r="L621" s="378"/>
      <c r="M621" s="378"/>
      <c r="N621" s="378"/>
      <c r="O621" s="378"/>
      <c r="P621" s="378"/>
      <c r="Q621" s="378"/>
      <c r="R621" s="378"/>
      <c r="S621" s="378"/>
      <c r="T621" s="378"/>
      <c r="U621" s="378"/>
      <c r="V621" s="378"/>
      <c r="W621" s="378"/>
      <c r="X621" s="378"/>
      <c r="Y621" s="378"/>
      <c r="Z621" s="378"/>
    </row>
    <row r="622" spans="1:26" ht="18">
      <c r="A622" s="378"/>
      <c r="B622" s="378"/>
      <c r="C622" s="378"/>
      <c r="D622" s="384"/>
      <c r="E622" s="378"/>
      <c r="F622" s="378"/>
      <c r="G622" s="378"/>
      <c r="H622" s="378"/>
      <c r="I622" s="378"/>
      <c r="J622" s="378"/>
      <c r="K622" s="378"/>
      <c r="L622" s="378"/>
      <c r="M622" s="378"/>
      <c r="N622" s="378"/>
      <c r="O622" s="378"/>
      <c r="P622" s="378"/>
      <c r="Q622" s="378"/>
      <c r="R622" s="378"/>
      <c r="S622" s="378"/>
      <c r="T622" s="378"/>
      <c r="U622" s="378"/>
      <c r="V622" s="378"/>
      <c r="W622" s="378"/>
      <c r="X622" s="378"/>
      <c r="Y622" s="378"/>
      <c r="Z622" s="378"/>
    </row>
    <row r="623" spans="1:26" ht="18">
      <c r="A623" s="378"/>
      <c r="B623" s="378"/>
      <c r="C623" s="378"/>
      <c r="D623" s="384"/>
      <c r="E623" s="378"/>
      <c r="F623" s="378"/>
      <c r="G623" s="378"/>
      <c r="H623" s="378"/>
      <c r="I623" s="378"/>
      <c r="J623" s="378"/>
      <c r="K623" s="378"/>
      <c r="L623" s="378"/>
      <c r="M623" s="378"/>
      <c r="N623" s="378"/>
      <c r="O623" s="378"/>
      <c r="P623" s="378"/>
      <c r="Q623" s="378"/>
      <c r="R623" s="378"/>
      <c r="S623" s="378"/>
      <c r="T623" s="378"/>
      <c r="U623" s="378"/>
      <c r="V623" s="378"/>
      <c r="W623" s="378"/>
      <c r="X623" s="378"/>
      <c r="Y623" s="378"/>
      <c r="Z623" s="378"/>
    </row>
    <row r="624" spans="1:26" ht="18">
      <c r="A624" s="378"/>
      <c r="B624" s="378"/>
      <c r="C624" s="378"/>
      <c r="D624" s="384"/>
      <c r="E624" s="378"/>
      <c r="F624" s="378"/>
      <c r="G624" s="378"/>
      <c r="H624" s="378"/>
      <c r="I624" s="378"/>
      <c r="J624" s="378"/>
      <c r="K624" s="378"/>
      <c r="L624" s="378"/>
      <c r="M624" s="378"/>
      <c r="N624" s="378"/>
      <c r="O624" s="378"/>
      <c r="P624" s="378"/>
      <c r="Q624" s="378"/>
      <c r="R624" s="378"/>
      <c r="S624" s="378"/>
      <c r="T624" s="378"/>
      <c r="U624" s="378"/>
      <c r="V624" s="378"/>
      <c r="W624" s="378"/>
      <c r="X624" s="378"/>
      <c r="Y624" s="378"/>
      <c r="Z624" s="378"/>
    </row>
    <row r="625" spans="1:26" ht="18">
      <c r="A625" s="378"/>
      <c r="B625" s="378"/>
      <c r="C625" s="378"/>
      <c r="D625" s="384"/>
      <c r="E625" s="378"/>
      <c r="F625" s="378"/>
      <c r="G625" s="378"/>
      <c r="H625" s="378"/>
      <c r="I625" s="378"/>
      <c r="J625" s="378"/>
      <c r="K625" s="378"/>
      <c r="L625" s="378"/>
      <c r="M625" s="378"/>
      <c r="N625" s="378"/>
      <c r="O625" s="378"/>
      <c r="P625" s="378"/>
      <c r="Q625" s="378"/>
      <c r="R625" s="378"/>
      <c r="S625" s="378"/>
      <c r="T625" s="378"/>
      <c r="U625" s="378"/>
      <c r="V625" s="378"/>
      <c r="W625" s="378"/>
      <c r="X625" s="378"/>
      <c r="Y625" s="378"/>
      <c r="Z625" s="378"/>
    </row>
    <row r="626" spans="1:26" ht="18">
      <c r="A626" s="378"/>
      <c r="B626" s="378"/>
      <c r="C626" s="378"/>
      <c r="D626" s="384"/>
      <c r="E626" s="378"/>
      <c r="F626" s="378"/>
      <c r="G626" s="378"/>
      <c r="H626" s="378"/>
      <c r="I626" s="378"/>
      <c r="J626" s="378"/>
      <c r="K626" s="378"/>
      <c r="L626" s="378"/>
      <c r="M626" s="378"/>
      <c r="N626" s="378"/>
      <c r="O626" s="378"/>
      <c r="P626" s="378"/>
      <c r="Q626" s="378"/>
      <c r="R626" s="378"/>
      <c r="S626" s="378"/>
      <c r="T626" s="378"/>
      <c r="U626" s="378"/>
      <c r="V626" s="378"/>
      <c r="W626" s="378"/>
      <c r="X626" s="378"/>
      <c r="Y626" s="378"/>
      <c r="Z626" s="378"/>
    </row>
    <row r="627" spans="1:26" ht="18">
      <c r="A627" s="378"/>
      <c r="B627" s="378"/>
      <c r="C627" s="378"/>
      <c r="D627" s="384"/>
      <c r="E627" s="378"/>
      <c r="F627" s="378"/>
      <c r="G627" s="378"/>
      <c r="H627" s="378"/>
      <c r="I627" s="378"/>
      <c r="J627" s="378"/>
      <c r="K627" s="378"/>
      <c r="L627" s="378"/>
      <c r="M627" s="378"/>
      <c r="N627" s="378"/>
      <c r="O627" s="378"/>
      <c r="P627" s="378"/>
      <c r="Q627" s="378"/>
      <c r="R627" s="378"/>
      <c r="S627" s="378"/>
      <c r="T627" s="378"/>
      <c r="U627" s="378"/>
      <c r="V627" s="378"/>
      <c r="W627" s="378"/>
      <c r="X627" s="378"/>
      <c r="Y627" s="378"/>
      <c r="Z627" s="378"/>
    </row>
    <row r="628" spans="1:26" ht="18">
      <c r="A628" s="378"/>
      <c r="B628" s="378"/>
      <c r="C628" s="378"/>
      <c r="D628" s="384"/>
      <c r="E628" s="378"/>
      <c r="F628" s="378"/>
      <c r="G628" s="378"/>
      <c r="H628" s="378"/>
      <c r="I628" s="378"/>
      <c r="J628" s="378"/>
      <c r="K628" s="378"/>
      <c r="L628" s="378"/>
      <c r="M628" s="378"/>
      <c r="N628" s="378"/>
      <c r="O628" s="378"/>
      <c r="P628" s="378"/>
      <c r="Q628" s="378"/>
      <c r="R628" s="378"/>
      <c r="S628" s="378"/>
      <c r="T628" s="378"/>
      <c r="U628" s="378"/>
      <c r="V628" s="378"/>
      <c r="W628" s="378"/>
      <c r="X628" s="378"/>
      <c r="Y628" s="378"/>
      <c r="Z628" s="378"/>
    </row>
    <row r="629" spans="1:26" ht="18">
      <c r="A629" s="378"/>
      <c r="B629" s="378"/>
      <c r="C629" s="378"/>
      <c r="D629" s="384"/>
      <c r="E629" s="378"/>
      <c r="F629" s="378"/>
      <c r="G629" s="378"/>
      <c r="H629" s="378"/>
      <c r="I629" s="378"/>
      <c r="J629" s="378"/>
      <c r="K629" s="378"/>
      <c r="L629" s="378"/>
      <c r="M629" s="378"/>
      <c r="N629" s="378"/>
      <c r="O629" s="378"/>
      <c r="P629" s="378"/>
      <c r="Q629" s="378"/>
      <c r="R629" s="378"/>
      <c r="S629" s="378"/>
      <c r="T629" s="378"/>
      <c r="U629" s="378"/>
      <c r="V629" s="378"/>
      <c r="W629" s="378"/>
      <c r="X629" s="378"/>
      <c r="Y629" s="378"/>
      <c r="Z629" s="378"/>
    </row>
    <row r="630" spans="1:26" ht="18">
      <c r="A630" s="378"/>
      <c r="B630" s="378"/>
      <c r="C630" s="378"/>
      <c r="D630" s="384"/>
      <c r="E630" s="378"/>
      <c r="F630" s="378"/>
      <c r="G630" s="378"/>
      <c r="H630" s="378"/>
      <c r="I630" s="378"/>
      <c r="J630" s="378"/>
      <c r="K630" s="378"/>
      <c r="L630" s="378"/>
      <c r="M630" s="378"/>
      <c r="N630" s="378"/>
      <c r="O630" s="378"/>
      <c r="P630" s="378"/>
      <c r="Q630" s="378"/>
      <c r="R630" s="378"/>
      <c r="S630" s="378"/>
      <c r="T630" s="378"/>
      <c r="U630" s="378"/>
      <c r="V630" s="378"/>
      <c r="W630" s="378"/>
      <c r="X630" s="378"/>
      <c r="Y630" s="378"/>
      <c r="Z630" s="378"/>
    </row>
    <row r="631" spans="1:26" ht="18">
      <c r="A631" s="378"/>
      <c r="B631" s="378"/>
      <c r="C631" s="378"/>
      <c r="D631" s="384"/>
      <c r="E631" s="378"/>
      <c r="F631" s="378"/>
      <c r="G631" s="378"/>
      <c r="H631" s="378"/>
      <c r="I631" s="378"/>
      <c r="J631" s="378"/>
      <c r="K631" s="378"/>
      <c r="L631" s="378"/>
      <c r="M631" s="378"/>
      <c r="N631" s="378"/>
      <c r="O631" s="378"/>
      <c r="P631" s="378"/>
      <c r="Q631" s="378"/>
      <c r="R631" s="378"/>
      <c r="S631" s="378"/>
      <c r="T631" s="378"/>
      <c r="U631" s="378"/>
      <c r="V631" s="378"/>
      <c r="W631" s="378"/>
      <c r="X631" s="378"/>
      <c r="Y631" s="378"/>
      <c r="Z631" s="378"/>
    </row>
    <row r="632" spans="1:26" ht="18">
      <c r="A632" s="378"/>
      <c r="B632" s="378"/>
      <c r="C632" s="378"/>
      <c r="D632" s="384"/>
      <c r="E632" s="378"/>
      <c r="F632" s="378"/>
      <c r="G632" s="378"/>
      <c r="H632" s="378"/>
      <c r="I632" s="378"/>
      <c r="J632" s="378"/>
      <c r="K632" s="378"/>
      <c r="L632" s="378"/>
      <c r="M632" s="378"/>
      <c r="N632" s="378"/>
      <c r="O632" s="378"/>
      <c r="P632" s="378"/>
      <c r="Q632" s="378"/>
      <c r="R632" s="378"/>
      <c r="S632" s="378"/>
      <c r="T632" s="378"/>
      <c r="U632" s="378"/>
      <c r="V632" s="378"/>
      <c r="W632" s="378"/>
      <c r="X632" s="378"/>
      <c r="Y632" s="378"/>
      <c r="Z632" s="378"/>
    </row>
    <row r="633" spans="1:26" ht="18">
      <c r="A633" s="378"/>
      <c r="B633" s="378"/>
      <c r="C633" s="378"/>
      <c r="D633" s="384"/>
      <c r="E633" s="378"/>
      <c r="F633" s="378"/>
      <c r="G633" s="378"/>
      <c r="H633" s="378"/>
      <c r="I633" s="378"/>
      <c r="J633" s="378"/>
      <c r="K633" s="378"/>
      <c r="L633" s="378"/>
      <c r="M633" s="378"/>
      <c r="N633" s="378"/>
      <c r="O633" s="378"/>
      <c r="P633" s="378"/>
      <c r="Q633" s="378"/>
      <c r="R633" s="378"/>
      <c r="S633" s="378"/>
      <c r="T633" s="378"/>
      <c r="U633" s="378"/>
      <c r="V633" s="378"/>
      <c r="W633" s="378"/>
      <c r="X633" s="378"/>
      <c r="Y633" s="378"/>
      <c r="Z633" s="378"/>
    </row>
    <row r="634" spans="1:26" ht="18">
      <c r="A634" s="378"/>
      <c r="B634" s="378"/>
      <c r="C634" s="378"/>
      <c r="D634" s="384"/>
      <c r="E634" s="378"/>
      <c r="F634" s="378"/>
      <c r="G634" s="378"/>
      <c r="H634" s="378"/>
      <c r="I634" s="378"/>
      <c r="J634" s="378"/>
      <c r="K634" s="378"/>
      <c r="L634" s="378"/>
      <c r="M634" s="378"/>
      <c r="N634" s="378"/>
      <c r="O634" s="378"/>
      <c r="P634" s="378"/>
      <c r="Q634" s="378"/>
      <c r="R634" s="378"/>
      <c r="S634" s="378"/>
      <c r="T634" s="378"/>
      <c r="U634" s="378"/>
      <c r="V634" s="378"/>
      <c r="W634" s="378"/>
      <c r="X634" s="378"/>
      <c r="Y634" s="378"/>
      <c r="Z634" s="378"/>
    </row>
    <row r="635" spans="1:26" ht="18">
      <c r="A635" s="378"/>
      <c r="B635" s="378"/>
      <c r="C635" s="378"/>
      <c r="D635" s="384"/>
      <c r="E635" s="378"/>
      <c r="F635" s="378"/>
      <c r="G635" s="378"/>
      <c r="H635" s="378"/>
      <c r="I635" s="378"/>
      <c r="J635" s="378"/>
      <c r="K635" s="378"/>
      <c r="L635" s="378"/>
      <c r="M635" s="378"/>
      <c r="N635" s="378"/>
      <c r="O635" s="378"/>
      <c r="P635" s="378"/>
      <c r="Q635" s="378"/>
      <c r="R635" s="378"/>
      <c r="S635" s="378"/>
      <c r="T635" s="378"/>
      <c r="U635" s="378"/>
      <c r="V635" s="378"/>
      <c r="W635" s="378"/>
      <c r="X635" s="378"/>
      <c r="Y635" s="378"/>
      <c r="Z635" s="378"/>
    </row>
    <row r="636" spans="1:26" ht="18">
      <c r="A636" s="378"/>
      <c r="B636" s="378"/>
      <c r="C636" s="378"/>
      <c r="D636" s="384"/>
      <c r="E636" s="378"/>
      <c r="F636" s="378"/>
      <c r="G636" s="378"/>
      <c r="H636" s="378"/>
      <c r="I636" s="378"/>
      <c r="J636" s="378"/>
      <c r="K636" s="378"/>
      <c r="L636" s="378"/>
      <c r="M636" s="378"/>
      <c r="N636" s="378"/>
      <c r="O636" s="378"/>
      <c r="P636" s="378"/>
      <c r="Q636" s="378"/>
      <c r="R636" s="378"/>
      <c r="S636" s="378"/>
      <c r="T636" s="378"/>
      <c r="U636" s="378"/>
      <c r="V636" s="378"/>
      <c r="W636" s="378"/>
      <c r="X636" s="378"/>
      <c r="Y636" s="378"/>
      <c r="Z636" s="378"/>
    </row>
    <row r="637" spans="1:26" ht="18">
      <c r="A637" s="378"/>
      <c r="B637" s="378"/>
      <c r="C637" s="378"/>
      <c r="D637" s="384"/>
      <c r="E637" s="378"/>
      <c r="F637" s="378"/>
      <c r="G637" s="378"/>
      <c r="H637" s="378"/>
      <c r="I637" s="378"/>
      <c r="J637" s="378"/>
      <c r="K637" s="378"/>
      <c r="L637" s="378"/>
      <c r="M637" s="378"/>
      <c r="N637" s="378"/>
      <c r="O637" s="378"/>
      <c r="P637" s="378"/>
      <c r="Q637" s="378"/>
      <c r="R637" s="378"/>
      <c r="S637" s="378"/>
      <c r="T637" s="378"/>
      <c r="U637" s="378"/>
      <c r="V637" s="378"/>
      <c r="W637" s="378"/>
      <c r="X637" s="378"/>
      <c r="Y637" s="378"/>
      <c r="Z637" s="378"/>
    </row>
    <row r="638" spans="1:26" ht="18">
      <c r="A638" s="378"/>
      <c r="B638" s="378"/>
      <c r="C638" s="378"/>
      <c r="D638" s="384"/>
      <c r="E638" s="378"/>
      <c r="F638" s="378"/>
      <c r="G638" s="378"/>
      <c r="H638" s="378"/>
      <c r="I638" s="378"/>
      <c r="J638" s="378"/>
      <c r="K638" s="378"/>
      <c r="L638" s="378"/>
      <c r="M638" s="378"/>
      <c r="N638" s="378"/>
      <c r="O638" s="378"/>
      <c r="P638" s="378"/>
      <c r="Q638" s="378"/>
      <c r="R638" s="378"/>
      <c r="S638" s="378"/>
      <c r="T638" s="378"/>
      <c r="U638" s="378"/>
      <c r="V638" s="378"/>
      <c r="W638" s="378"/>
      <c r="X638" s="378"/>
      <c r="Y638" s="378"/>
      <c r="Z638" s="378"/>
    </row>
    <row r="639" spans="1:26" ht="18">
      <c r="A639" s="378"/>
      <c r="B639" s="378"/>
      <c r="C639" s="378"/>
      <c r="D639" s="384"/>
      <c r="E639" s="378"/>
      <c r="F639" s="378"/>
      <c r="G639" s="378"/>
      <c r="H639" s="378"/>
      <c r="I639" s="378"/>
      <c r="J639" s="378"/>
      <c r="K639" s="378"/>
      <c r="L639" s="378"/>
      <c r="M639" s="378"/>
      <c r="N639" s="378"/>
      <c r="O639" s="378"/>
      <c r="P639" s="378"/>
      <c r="Q639" s="378"/>
      <c r="R639" s="378"/>
      <c r="S639" s="378"/>
      <c r="T639" s="378"/>
      <c r="U639" s="378"/>
      <c r="V639" s="378"/>
      <c r="W639" s="378"/>
      <c r="X639" s="378"/>
      <c r="Y639" s="378"/>
      <c r="Z639" s="378"/>
    </row>
    <row r="640" spans="1:26" ht="18">
      <c r="A640" s="378"/>
      <c r="B640" s="378"/>
      <c r="C640" s="378"/>
      <c r="D640" s="384"/>
      <c r="E640" s="378"/>
      <c r="F640" s="378"/>
      <c r="G640" s="378"/>
      <c r="H640" s="378"/>
      <c r="I640" s="378"/>
      <c r="J640" s="378"/>
      <c r="K640" s="378"/>
      <c r="L640" s="378"/>
      <c r="M640" s="378"/>
      <c r="N640" s="378"/>
      <c r="O640" s="378"/>
      <c r="P640" s="378"/>
      <c r="Q640" s="378"/>
      <c r="R640" s="378"/>
      <c r="S640" s="378"/>
      <c r="T640" s="378"/>
      <c r="U640" s="378"/>
      <c r="V640" s="378"/>
      <c r="W640" s="378"/>
      <c r="X640" s="378"/>
      <c r="Y640" s="378"/>
      <c r="Z640" s="378"/>
    </row>
    <row r="641" spans="1:26" ht="18">
      <c r="A641" s="378"/>
      <c r="B641" s="378"/>
      <c r="C641" s="378"/>
      <c r="D641" s="384"/>
      <c r="E641" s="378"/>
      <c r="F641" s="378"/>
      <c r="G641" s="378"/>
      <c r="H641" s="378"/>
      <c r="I641" s="378"/>
      <c r="J641" s="378"/>
      <c r="K641" s="378"/>
      <c r="L641" s="378"/>
      <c r="M641" s="378"/>
      <c r="N641" s="378"/>
      <c r="O641" s="378"/>
      <c r="P641" s="378"/>
      <c r="Q641" s="378"/>
      <c r="R641" s="378"/>
      <c r="S641" s="378"/>
      <c r="T641" s="378"/>
      <c r="U641" s="378"/>
      <c r="V641" s="378"/>
      <c r="W641" s="378"/>
      <c r="X641" s="378"/>
      <c r="Y641" s="378"/>
      <c r="Z641" s="378"/>
    </row>
    <row r="642" spans="1:26" ht="18">
      <c r="A642" s="378"/>
      <c r="B642" s="378"/>
      <c r="C642" s="378"/>
      <c r="D642" s="384"/>
      <c r="E642" s="378"/>
      <c r="F642" s="378"/>
      <c r="G642" s="378"/>
      <c r="H642" s="378"/>
      <c r="I642" s="378"/>
      <c r="J642" s="378"/>
      <c r="K642" s="378"/>
      <c r="L642" s="378"/>
      <c r="M642" s="378"/>
      <c r="N642" s="378"/>
      <c r="O642" s="378"/>
      <c r="P642" s="378"/>
      <c r="Q642" s="378"/>
      <c r="R642" s="378"/>
      <c r="S642" s="378"/>
      <c r="T642" s="378"/>
      <c r="U642" s="378"/>
      <c r="V642" s="378"/>
      <c r="W642" s="378"/>
      <c r="X642" s="378"/>
      <c r="Y642" s="378"/>
      <c r="Z642" s="378"/>
    </row>
    <row r="643" spans="1:26" ht="18">
      <c r="A643" s="378"/>
      <c r="B643" s="378"/>
      <c r="C643" s="378"/>
      <c r="D643" s="384"/>
      <c r="E643" s="378"/>
      <c r="F643" s="378"/>
      <c r="G643" s="378"/>
      <c r="H643" s="378"/>
      <c r="I643" s="378"/>
      <c r="J643" s="378"/>
      <c r="K643" s="378"/>
      <c r="L643" s="378"/>
      <c r="M643" s="378"/>
      <c r="N643" s="378"/>
      <c r="O643" s="378"/>
      <c r="P643" s="378"/>
      <c r="Q643" s="378"/>
      <c r="R643" s="378"/>
      <c r="S643" s="378"/>
      <c r="T643" s="378"/>
      <c r="U643" s="378"/>
      <c r="V643" s="378"/>
      <c r="W643" s="378"/>
      <c r="X643" s="378"/>
      <c r="Y643" s="378"/>
      <c r="Z643" s="378"/>
    </row>
    <row r="644" spans="1:26" ht="18">
      <c r="A644" s="378"/>
      <c r="B644" s="378"/>
      <c r="C644" s="378"/>
      <c r="D644" s="384"/>
      <c r="E644" s="378"/>
      <c r="F644" s="378"/>
      <c r="G644" s="378"/>
      <c r="H644" s="378"/>
      <c r="I644" s="378"/>
      <c r="J644" s="378"/>
      <c r="K644" s="378"/>
      <c r="L644" s="378"/>
      <c r="M644" s="378"/>
      <c r="N644" s="378"/>
      <c r="O644" s="378"/>
      <c r="P644" s="378"/>
      <c r="Q644" s="378"/>
      <c r="R644" s="378"/>
      <c r="S644" s="378"/>
      <c r="T644" s="378"/>
      <c r="U644" s="378"/>
      <c r="V644" s="378"/>
      <c r="W644" s="378"/>
      <c r="X644" s="378"/>
      <c r="Y644" s="378"/>
      <c r="Z644" s="378"/>
    </row>
    <row r="645" spans="1:26" ht="18">
      <c r="A645" s="378"/>
      <c r="B645" s="378"/>
      <c r="C645" s="378"/>
      <c r="D645" s="384"/>
      <c r="E645" s="378"/>
      <c r="F645" s="378"/>
      <c r="G645" s="378"/>
      <c r="H645" s="378"/>
      <c r="I645" s="378"/>
      <c r="J645" s="378"/>
      <c r="K645" s="378"/>
      <c r="L645" s="378"/>
      <c r="M645" s="378"/>
      <c r="N645" s="378"/>
      <c r="O645" s="378"/>
      <c r="P645" s="378"/>
      <c r="Q645" s="378"/>
      <c r="R645" s="378"/>
      <c r="S645" s="378"/>
      <c r="T645" s="378"/>
      <c r="U645" s="378"/>
      <c r="V645" s="378"/>
      <c r="W645" s="378"/>
      <c r="X645" s="378"/>
      <c r="Y645" s="378"/>
      <c r="Z645" s="378"/>
    </row>
    <row r="646" spans="1:26" ht="18">
      <c r="A646" s="378"/>
      <c r="B646" s="378"/>
      <c r="C646" s="378"/>
      <c r="D646" s="384"/>
      <c r="E646" s="378"/>
      <c r="F646" s="378"/>
      <c r="G646" s="378"/>
      <c r="H646" s="378"/>
      <c r="I646" s="378"/>
      <c r="J646" s="378"/>
      <c r="K646" s="378"/>
      <c r="L646" s="378"/>
      <c r="M646" s="378"/>
      <c r="N646" s="378"/>
      <c r="O646" s="378"/>
      <c r="P646" s="378"/>
      <c r="Q646" s="378"/>
      <c r="R646" s="378"/>
      <c r="S646" s="378"/>
      <c r="T646" s="378"/>
      <c r="U646" s="378"/>
      <c r="V646" s="378"/>
      <c r="W646" s="378"/>
      <c r="X646" s="378"/>
      <c r="Y646" s="378"/>
      <c r="Z646" s="378"/>
    </row>
    <row r="647" spans="1:26" ht="18">
      <c r="A647" s="378"/>
      <c r="B647" s="378"/>
      <c r="C647" s="378"/>
      <c r="D647" s="384"/>
      <c r="E647" s="378"/>
      <c r="F647" s="378"/>
      <c r="G647" s="378"/>
      <c r="H647" s="378"/>
      <c r="I647" s="378"/>
      <c r="J647" s="378"/>
      <c r="K647" s="378"/>
      <c r="L647" s="378"/>
      <c r="M647" s="378"/>
      <c r="N647" s="378"/>
      <c r="O647" s="378"/>
      <c r="P647" s="378"/>
      <c r="Q647" s="378"/>
      <c r="R647" s="378"/>
      <c r="S647" s="378"/>
      <c r="T647" s="378"/>
      <c r="U647" s="378"/>
      <c r="V647" s="378"/>
      <c r="W647" s="378"/>
      <c r="X647" s="378"/>
      <c r="Y647" s="378"/>
      <c r="Z647" s="378"/>
    </row>
    <row r="648" spans="1:26" ht="18">
      <c r="A648" s="378"/>
      <c r="B648" s="378"/>
      <c r="C648" s="378"/>
      <c r="D648" s="384"/>
      <c r="E648" s="378"/>
      <c r="F648" s="378"/>
      <c r="G648" s="378"/>
      <c r="H648" s="378"/>
      <c r="I648" s="378"/>
      <c r="J648" s="378"/>
      <c r="K648" s="378"/>
      <c r="L648" s="378"/>
      <c r="M648" s="378"/>
      <c r="N648" s="378"/>
      <c r="O648" s="378"/>
      <c r="P648" s="378"/>
      <c r="Q648" s="378"/>
      <c r="R648" s="378"/>
      <c r="S648" s="378"/>
      <c r="T648" s="378"/>
      <c r="U648" s="378"/>
      <c r="V648" s="378"/>
      <c r="W648" s="378"/>
      <c r="X648" s="378"/>
      <c r="Y648" s="378"/>
      <c r="Z648" s="378"/>
    </row>
    <row r="649" spans="1:26" ht="18">
      <c r="A649" s="378"/>
      <c r="B649" s="378"/>
      <c r="C649" s="378"/>
      <c r="D649" s="384"/>
      <c r="E649" s="378"/>
      <c r="F649" s="378"/>
      <c r="G649" s="378"/>
      <c r="H649" s="378"/>
      <c r="I649" s="378"/>
      <c r="J649" s="378"/>
      <c r="K649" s="378"/>
      <c r="L649" s="378"/>
      <c r="M649" s="378"/>
      <c r="N649" s="378"/>
      <c r="O649" s="378"/>
      <c r="P649" s="378"/>
      <c r="Q649" s="378"/>
      <c r="R649" s="378"/>
      <c r="S649" s="378"/>
      <c r="T649" s="378"/>
      <c r="U649" s="378"/>
      <c r="V649" s="378"/>
      <c r="W649" s="378"/>
      <c r="X649" s="378"/>
      <c r="Y649" s="378"/>
      <c r="Z649" s="378"/>
    </row>
    <row r="650" spans="1:26" ht="18">
      <c r="A650" s="378"/>
      <c r="B650" s="378"/>
      <c r="C650" s="378"/>
      <c r="D650" s="384"/>
      <c r="E650" s="378"/>
      <c r="F650" s="378"/>
      <c r="G650" s="378"/>
      <c r="H650" s="378"/>
      <c r="I650" s="378"/>
      <c r="J650" s="378"/>
      <c r="K650" s="378"/>
      <c r="L650" s="378"/>
      <c r="M650" s="378"/>
      <c r="N650" s="378"/>
      <c r="O650" s="378"/>
      <c r="P650" s="378"/>
      <c r="Q650" s="378"/>
      <c r="R650" s="378"/>
      <c r="S650" s="378"/>
      <c r="T650" s="378"/>
      <c r="U650" s="378"/>
      <c r="V650" s="378"/>
      <c r="W650" s="378"/>
      <c r="X650" s="378"/>
      <c r="Y650" s="378"/>
      <c r="Z650" s="378"/>
    </row>
    <row r="651" spans="1:26" ht="18">
      <c r="A651" s="378"/>
      <c r="B651" s="378"/>
      <c r="C651" s="378"/>
      <c r="D651" s="384"/>
      <c r="E651" s="378"/>
      <c r="F651" s="378"/>
      <c r="G651" s="378"/>
      <c r="H651" s="378"/>
      <c r="I651" s="378"/>
      <c r="J651" s="378"/>
      <c r="K651" s="378"/>
      <c r="L651" s="378"/>
      <c r="M651" s="378"/>
      <c r="N651" s="378"/>
      <c r="O651" s="378"/>
      <c r="P651" s="378"/>
      <c r="Q651" s="378"/>
      <c r="R651" s="378"/>
      <c r="S651" s="378"/>
      <c r="T651" s="378"/>
      <c r="U651" s="378"/>
      <c r="V651" s="378"/>
      <c r="W651" s="378"/>
      <c r="X651" s="378"/>
      <c r="Y651" s="378"/>
      <c r="Z651" s="378"/>
    </row>
    <row r="652" spans="1:26" ht="18">
      <c r="A652" s="378"/>
      <c r="B652" s="378"/>
      <c r="C652" s="378"/>
      <c r="D652" s="384"/>
      <c r="E652" s="378"/>
      <c r="F652" s="378"/>
      <c r="G652" s="378"/>
      <c r="H652" s="378"/>
      <c r="I652" s="378"/>
      <c r="J652" s="378"/>
      <c r="K652" s="378"/>
      <c r="L652" s="378"/>
      <c r="M652" s="378"/>
      <c r="N652" s="378"/>
      <c r="O652" s="378"/>
      <c r="P652" s="378"/>
      <c r="Q652" s="378"/>
      <c r="R652" s="378"/>
      <c r="S652" s="378"/>
      <c r="T652" s="378"/>
      <c r="U652" s="378"/>
      <c r="V652" s="378"/>
      <c r="W652" s="378"/>
      <c r="X652" s="378"/>
      <c r="Y652" s="378"/>
      <c r="Z652" s="378"/>
    </row>
    <row r="653" spans="1:26" ht="18">
      <c r="A653" s="378"/>
      <c r="B653" s="378"/>
      <c r="C653" s="378"/>
      <c r="D653" s="384"/>
      <c r="E653" s="378"/>
      <c r="F653" s="378"/>
      <c r="G653" s="378"/>
      <c r="H653" s="378"/>
      <c r="I653" s="378"/>
      <c r="J653" s="378"/>
      <c r="K653" s="378"/>
      <c r="L653" s="378"/>
      <c r="M653" s="378"/>
      <c r="N653" s="378"/>
      <c r="O653" s="378"/>
      <c r="P653" s="378"/>
      <c r="Q653" s="378"/>
      <c r="R653" s="378"/>
      <c r="S653" s="378"/>
      <c r="T653" s="378"/>
      <c r="U653" s="378"/>
      <c r="V653" s="378"/>
      <c r="W653" s="378"/>
      <c r="X653" s="378"/>
      <c r="Y653" s="378"/>
      <c r="Z653" s="378"/>
    </row>
    <row r="654" spans="1:26" ht="18">
      <c r="A654" s="378"/>
      <c r="B654" s="378"/>
      <c r="C654" s="378"/>
      <c r="D654" s="384"/>
      <c r="E654" s="378"/>
      <c r="F654" s="378"/>
      <c r="G654" s="378"/>
      <c r="H654" s="378"/>
      <c r="I654" s="378"/>
      <c r="J654" s="378"/>
      <c r="K654" s="378"/>
      <c r="L654" s="378"/>
      <c r="M654" s="378"/>
      <c r="N654" s="378"/>
      <c r="O654" s="378"/>
      <c r="P654" s="378"/>
      <c r="Q654" s="378"/>
      <c r="R654" s="378"/>
      <c r="S654" s="378"/>
      <c r="T654" s="378"/>
      <c r="U654" s="378"/>
      <c r="V654" s="378"/>
      <c r="W654" s="378"/>
      <c r="X654" s="378"/>
      <c r="Y654" s="378"/>
      <c r="Z654" s="378"/>
    </row>
    <row r="655" spans="1:26" ht="18">
      <c r="A655" s="378"/>
      <c r="B655" s="378"/>
      <c r="C655" s="378"/>
      <c r="D655" s="384"/>
      <c r="E655" s="378"/>
      <c r="F655" s="378"/>
      <c r="G655" s="378"/>
      <c r="H655" s="378"/>
      <c r="I655" s="378"/>
      <c r="J655" s="378"/>
      <c r="K655" s="378"/>
      <c r="L655" s="378"/>
      <c r="M655" s="378"/>
      <c r="N655" s="378"/>
      <c r="O655" s="378"/>
      <c r="P655" s="378"/>
      <c r="Q655" s="378"/>
      <c r="R655" s="378"/>
      <c r="S655" s="378"/>
      <c r="T655" s="378"/>
      <c r="U655" s="378"/>
      <c r="V655" s="378"/>
      <c r="W655" s="378"/>
      <c r="X655" s="378"/>
      <c r="Y655" s="378"/>
      <c r="Z655" s="378"/>
    </row>
    <row r="656" spans="1:26" ht="18">
      <c r="A656" s="378"/>
      <c r="B656" s="378"/>
      <c r="C656" s="378"/>
      <c r="D656" s="384"/>
      <c r="E656" s="378"/>
      <c r="F656" s="378"/>
      <c r="G656" s="378"/>
      <c r="H656" s="378"/>
      <c r="I656" s="378"/>
      <c r="J656" s="378"/>
      <c r="K656" s="378"/>
      <c r="L656" s="378"/>
      <c r="M656" s="378"/>
      <c r="N656" s="378"/>
      <c r="O656" s="378"/>
      <c r="P656" s="378"/>
      <c r="Q656" s="378"/>
      <c r="R656" s="378"/>
      <c r="S656" s="378"/>
      <c r="T656" s="378"/>
      <c r="U656" s="378"/>
      <c r="V656" s="378"/>
      <c r="W656" s="378"/>
      <c r="X656" s="378"/>
      <c r="Y656" s="378"/>
      <c r="Z656" s="378"/>
    </row>
    <row r="657" spans="1:26" ht="18">
      <c r="A657" s="378"/>
      <c r="B657" s="378"/>
      <c r="C657" s="378"/>
      <c r="D657" s="384"/>
      <c r="E657" s="378"/>
      <c r="F657" s="378"/>
      <c r="G657" s="378"/>
      <c r="H657" s="378"/>
      <c r="I657" s="378"/>
      <c r="J657" s="378"/>
      <c r="K657" s="378"/>
      <c r="L657" s="378"/>
      <c r="M657" s="378"/>
      <c r="N657" s="378"/>
      <c r="O657" s="378"/>
      <c r="P657" s="378"/>
      <c r="Q657" s="378"/>
      <c r="R657" s="378"/>
      <c r="S657" s="378"/>
      <c r="T657" s="378"/>
      <c r="U657" s="378"/>
      <c r="V657" s="378"/>
      <c r="W657" s="378"/>
      <c r="X657" s="378"/>
      <c r="Y657" s="378"/>
      <c r="Z657" s="378"/>
    </row>
    <row r="658" spans="1:26" ht="18">
      <c r="A658" s="378"/>
      <c r="B658" s="378"/>
      <c r="C658" s="378"/>
      <c r="D658" s="384"/>
      <c r="E658" s="378"/>
      <c r="F658" s="378"/>
      <c r="G658" s="378"/>
      <c r="H658" s="378"/>
      <c r="I658" s="378"/>
      <c r="J658" s="378"/>
      <c r="K658" s="378"/>
      <c r="L658" s="378"/>
      <c r="M658" s="378"/>
      <c r="N658" s="378"/>
      <c r="O658" s="378"/>
      <c r="P658" s="378"/>
      <c r="Q658" s="378"/>
      <c r="R658" s="378"/>
      <c r="S658" s="378"/>
      <c r="T658" s="378"/>
      <c r="U658" s="378"/>
      <c r="V658" s="378"/>
      <c r="W658" s="378"/>
      <c r="X658" s="378"/>
      <c r="Y658" s="378"/>
      <c r="Z658" s="378"/>
    </row>
    <row r="659" spans="1:26" ht="18">
      <c r="A659" s="378"/>
      <c r="B659" s="378"/>
      <c r="C659" s="378"/>
      <c r="D659" s="384"/>
      <c r="E659" s="378"/>
      <c r="F659" s="378"/>
      <c r="G659" s="378"/>
      <c r="H659" s="378"/>
      <c r="I659" s="378"/>
      <c r="J659" s="378"/>
      <c r="K659" s="378"/>
      <c r="L659" s="378"/>
      <c r="M659" s="378"/>
      <c r="N659" s="378"/>
      <c r="O659" s="378"/>
      <c r="P659" s="378"/>
      <c r="Q659" s="378"/>
      <c r="R659" s="378"/>
      <c r="S659" s="378"/>
      <c r="T659" s="378"/>
      <c r="U659" s="378"/>
      <c r="V659" s="378"/>
      <c r="W659" s="378"/>
      <c r="X659" s="378"/>
      <c r="Y659" s="378"/>
      <c r="Z659" s="378"/>
    </row>
    <row r="660" spans="1:26" ht="18">
      <c r="A660" s="378"/>
      <c r="B660" s="378"/>
      <c r="C660" s="378"/>
      <c r="D660" s="384"/>
      <c r="E660" s="378"/>
      <c r="F660" s="378"/>
      <c r="G660" s="378"/>
      <c r="H660" s="378"/>
      <c r="I660" s="378"/>
      <c r="J660" s="378"/>
      <c r="K660" s="378"/>
      <c r="L660" s="378"/>
      <c r="M660" s="378"/>
      <c r="N660" s="378"/>
      <c r="O660" s="378"/>
      <c r="P660" s="378"/>
      <c r="Q660" s="378"/>
      <c r="R660" s="378"/>
      <c r="S660" s="378"/>
      <c r="T660" s="378"/>
      <c r="U660" s="378"/>
      <c r="V660" s="378"/>
      <c r="W660" s="378"/>
      <c r="X660" s="378"/>
      <c r="Y660" s="378"/>
      <c r="Z660" s="378"/>
    </row>
    <row r="661" spans="1:26" ht="18">
      <c r="A661" s="378"/>
      <c r="B661" s="378"/>
      <c r="C661" s="378"/>
      <c r="D661" s="384"/>
      <c r="E661" s="378"/>
      <c r="F661" s="378"/>
      <c r="G661" s="378"/>
      <c r="H661" s="378"/>
      <c r="I661" s="378"/>
      <c r="J661" s="378"/>
      <c r="K661" s="378"/>
      <c r="L661" s="378"/>
      <c r="M661" s="378"/>
      <c r="N661" s="378"/>
      <c r="O661" s="378"/>
      <c r="P661" s="378"/>
      <c r="Q661" s="378"/>
      <c r="R661" s="378"/>
      <c r="S661" s="378"/>
      <c r="T661" s="378"/>
      <c r="U661" s="378"/>
      <c r="V661" s="378"/>
      <c r="W661" s="378"/>
      <c r="X661" s="378"/>
      <c r="Y661" s="378"/>
      <c r="Z661" s="378"/>
    </row>
    <row r="662" spans="1:26" ht="18">
      <c r="A662" s="378"/>
      <c r="B662" s="378"/>
      <c r="C662" s="378"/>
      <c r="D662" s="384"/>
      <c r="E662" s="378"/>
      <c r="F662" s="378"/>
      <c r="G662" s="378"/>
      <c r="H662" s="378"/>
      <c r="I662" s="378"/>
      <c r="J662" s="378"/>
      <c r="K662" s="378"/>
      <c r="L662" s="378"/>
      <c r="M662" s="378"/>
      <c r="N662" s="378"/>
      <c r="O662" s="378"/>
      <c r="P662" s="378"/>
      <c r="Q662" s="378"/>
      <c r="R662" s="378"/>
      <c r="S662" s="378"/>
      <c r="T662" s="378"/>
      <c r="U662" s="378"/>
      <c r="V662" s="378"/>
      <c r="W662" s="378"/>
      <c r="X662" s="378"/>
      <c r="Y662" s="378"/>
      <c r="Z662" s="378"/>
    </row>
    <row r="663" spans="1:26" ht="18">
      <c r="A663" s="378"/>
      <c r="B663" s="378"/>
      <c r="C663" s="378"/>
      <c r="D663" s="384"/>
      <c r="E663" s="378"/>
      <c r="F663" s="378"/>
      <c r="G663" s="378"/>
      <c r="H663" s="378"/>
      <c r="I663" s="378"/>
      <c r="J663" s="378"/>
      <c r="K663" s="378"/>
      <c r="L663" s="378"/>
      <c r="M663" s="378"/>
      <c r="N663" s="378"/>
      <c r="O663" s="378"/>
      <c r="P663" s="378"/>
      <c r="Q663" s="378"/>
      <c r="R663" s="378"/>
      <c r="S663" s="378"/>
      <c r="T663" s="378"/>
      <c r="U663" s="378"/>
      <c r="V663" s="378"/>
      <c r="W663" s="378"/>
      <c r="X663" s="378"/>
      <c r="Y663" s="378"/>
      <c r="Z663" s="378"/>
    </row>
    <row r="664" spans="1:26" ht="18">
      <c r="A664" s="378"/>
      <c r="B664" s="378"/>
      <c r="C664" s="378"/>
      <c r="D664" s="384"/>
      <c r="E664" s="378"/>
      <c r="F664" s="378"/>
      <c r="G664" s="378"/>
      <c r="H664" s="378"/>
      <c r="I664" s="378"/>
      <c r="J664" s="378"/>
      <c r="K664" s="378"/>
      <c r="L664" s="378"/>
      <c r="M664" s="378"/>
      <c r="N664" s="378"/>
      <c r="O664" s="378"/>
      <c r="P664" s="378"/>
      <c r="Q664" s="378"/>
      <c r="R664" s="378"/>
      <c r="S664" s="378"/>
      <c r="T664" s="378"/>
      <c r="U664" s="378"/>
      <c r="V664" s="378"/>
      <c r="W664" s="378"/>
      <c r="X664" s="378"/>
      <c r="Y664" s="378"/>
      <c r="Z664" s="378"/>
    </row>
    <row r="665" spans="1:26" ht="18">
      <c r="A665" s="378"/>
      <c r="B665" s="378"/>
      <c r="C665" s="378"/>
      <c r="D665" s="384"/>
      <c r="E665" s="378"/>
      <c r="F665" s="378"/>
      <c r="G665" s="378"/>
      <c r="H665" s="378"/>
      <c r="I665" s="378"/>
      <c r="J665" s="378"/>
      <c r="K665" s="378"/>
      <c r="L665" s="378"/>
      <c r="M665" s="378"/>
      <c r="N665" s="378"/>
      <c r="O665" s="378"/>
      <c r="P665" s="378"/>
      <c r="Q665" s="378"/>
      <c r="R665" s="378"/>
      <c r="S665" s="378"/>
      <c r="T665" s="378"/>
      <c r="U665" s="378"/>
      <c r="V665" s="378"/>
      <c r="W665" s="378"/>
      <c r="X665" s="378"/>
      <c r="Y665" s="378"/>
      <c r="Z665" s="378"/>
    </row>
    <row r="666" spans="1:26" ht="18">
      <c r="A666" s="378"/>
      <c r="B666" s="378"/>
      <c r="C666" s="378"/>
      <c r="D666" s="384"/>
      <c r="E666" s="378"/>
      <c r="F666" s="378"/>
      <c r="G666" s="378"/>
      <c r="H666" s="378"/>
      <c r="I666" s="378"/>
      <c r="J666" s="378"/>
      <c r="K666" s="378"/>
      <c r="L666" s="378"/>
      <c r="M666" s="378"/>
      <c r="N666" s="378"/>
      <c r="O666" s="378"/>
      <c r="P666" s="378"/>
      <c r="Q666" s="378"/>
      <c r="R666" s="378"/>
      <c r="S666" s="378"/>
      <c r="T666" s="378"/>
      <c r="U666" s="378"/>
      <c r="V666" s="378"/>
      <c r="W666" s="378"/>
      <c r="X666" s="378"/>
      <c r="Y666" s="378"/>
      <c r="Z666" s="378"/>
    </row>
    <row r="667" spans="1:26" ht="18">
      <c r="A667" s="378"/>
      <c r="B667" s="378"/>
      <c r="C667" s="378"/>
      <c r="D667" s="384"/>
      <c r="E667" s="378"/>
      <c r="F667" s="378"/>
      <c r="G667" s="378"/>
      <c r="H667" s="378"/>
      <c r="I667" s="378"/>
      <c r="J667" s="378"/>
      <c r="K667" s="378"/>
      <c r="L667" s="378"/>
      <c r="M667" s="378"/>
      <c r="N667" s="378"/>
      <c r="O667" s="378"/>
      <c r="P667" s="378"/>
      <c r="Q667" s="378"/>
      <c r="R667" s="378"/>
      <c r="S667" s="378"/>
      <c r="T667" s="378"/>
      <c r="U667" s="378"/>
      <c r="V667" s="378"/>
      <c r="W667" s="378"/>
      <c r="X667" s="378"/>
      <c r="Y667" s="378"/>
      <c r="Z667" s="378"/>
    </row>
    <row r="668" spans="1:26" ht="18">
      <c r="A668" s="378"/>
      <c r="B668" s="378"/>
      <c r="C668" s="378"/>
      <c r="D668" s="384"/>
      <c r="E668" s="378"/>
      <c r="F668" s="378"/>
      <c r="G668" s="378"/>
      <c r="H668" s="378"/>
      <c r="I668" s="378"/>
      <c r="J668" s="378"/>
      <c r="K668" s="378"/>
      <c r="L668" s="378"/>
      <c r="M668" s="378"/>
      <c r="N668" s="378"/>
      <c r="O668" s="378"/>
      <c r="P668" s="378"/>
      <c r="Q668" s="378"/>
      <c r="R668" s="378"/>
      <c r="S668" s="378"/>
      <c r="T668" s="378"/>
      <c r="U668" s="378"/>
      <c r="V668" s="378"/>
      <c r="W668" s="378"/>
      <c r="X668" s="378"/>
      <c r="Y668" s="378"/>
      <c r="Z668" s="378"/>
    </row>
    <row r="669" spans="1:26" ht="18">
      <c r="A669" s="378"/>
      <c r="B669" s="378"/>
      <c r="C669" s="378"/>
      <c r="D669" s="384"/>
      <c r="E669" s="378"/>
      <c r="F669" s="378"/>
      <c r="G669" s="378"/>
      <c r="H669" s="378"/>
      <c r="I669" s="378"/>
      <c r="J669" s="378"/>
      <c r="K669" s="378"/>
      <c r="L669" s="378"/>
      <c r="M669" s="378"/>
      <c r="N669" s="378"/>
      <c r="O669" s="378"/>
      <c r="P669" s="378"/>
      <c r="Q669" s="378"/>
      <c r="R669" s="378"/>
      <c r="S669" s="378"/>
      <c r="T669" s="378"/>
      <c r="U669" s="378"/>
      <c r="V669" s="378"/>
      <c r="W669" s="378"/>
      <c r="X669" s="378"/>
      <c r="Y669" s="378"/>
      <c r="Z669" s="378"/>
    </row>
    <row r="670" spans="1:26" ht="18">
      <c r="A670" s="378"/>
      <c r="B670" s="378"/>
      <c r="C670" s="378"/>
      <c r="D670" s="384"/>
      <c r="E670" s="378"/>
      <c r="F670" s="378"/>
      <c r="G670" s="378"/>
      <c r="H670" s="378"/>
      <c r="I670" s="378"/>
      <c r="J670" s="378"/>
      <c r="K670" s="378"/>
      <c r="L670" s="378"/>
      <c r="M670" s="378"/>
      <c r="N670" s="378"/>
      <c r="O670" s="378"/>
      <c r="P670" s="378"/>
      <c r="Q670" s="378"/>
      <c r="R670" s="378"/>
      <c r="S670" s="378"/>
      <c r="T670" s="378"/>
      <c r="U670" s="378"/>
      <c r="V670" s="378"/>
      <c r="W670" s="378"/>
      <c r="X670" s="378"/>
      <c r="Y670" s="378"/>
      <c r="Z670" s="378"/>
    </row>
    <row r="671" spans="1:26" ht="18">
      <c r="A671" s="378"/>
      <c r="B671" s="378"/>
      <c r="C671" s="378"/>
      <c r="D671" s="384"/>
      <c r="E671" s="378"/>
      <c r="F671" s="378"/>
      <c r="G671" s="378"/>
      <c r="H671" s="378"/>
      <c r="I671" s="378"/>
      <c r="J671" s="378"/>
      <c r="K671" s="378"/>
      <c r="L671" s="378"/>
      <c r="M671" s="378"/>
      <c r="N671" s="378"/>
      <c r="O671" s="378"/>
      <c r="P671" s="378"/>
      <c r="Q671" s="378"/>
      <c r="R671" s="378"/>
      <c r="S671" s="378"/>
      <c r="T671" s="378"/>
      <c r="U671" s="378"/>
      <c r="V671" s="378"/>
      <c r="W671" s="378"/>
      <c r="X671" s="378"/>
      <c r="Y671" s="378"/>
      <c r="Z671" s="378"/>
    </row>
    <row r="672" spans="1:26" ht="18">
      <c r="A672" s="378"/>
      <c r="B672" s="378"/>
      <c r="C672" s="378"/>
      <c r="D672" s="384"/>
      <c r="E672" s="378"/>
      <c r="F672" s="378"/>
      <c r="G672" s="378"/>
      <c r="H672" s="378"/>
      <c r="I672" s="378"/>
      <c r="J672" s="378"/>
      <c r="K672" s="378"/>
      <c r="L672" s="378"/>
      <c r="M672" s="378"/>
      <c r="N672" s="378"/>
      <c r="O672" s="378"/>
      <c r="P672" s="378"/>
      <c r="Q672" s="378"/>
      <c r="R672" s="378"/>
      <c r="S672" s="378"/>
      <c r="T672" s="378"/>
      <c r="U672" s="378"/>
      <c r="V672" s="378"/>
      <c r="W672" s="378"/>
      <c r="X672" s="378"/>
      <c r="Y672" s="378"/>
      <c r="Z672" s="378"/>
    </row>
    <row r="673" spans="1:26" ht="18">
      <c r="A673" s="378"/>
      <c r="B673" s="378"/>
      <c r="C673" s="378"/>
      <c r="D673" s="384"/>
      <c r="E673" s="378"/>
      <c r="F673" s="378"/>
      <c r="G673" s="378"/>
      <c r="H673" s="378"/>
      <c r="I673" s="378"/>
      <c r="J673" s="378"/>
      <c r="K673" s="378"/>
      <c r="L673" s="378"/>
      <c r="M673" s="378"/>
      <c r="N673" s="378"/>
      <c r="O673" s="378"/>
      <c r="P673" s="378"/>
      <c r="Q673" s="378"/>
      <c r="R673" s="378"/>
      <c r="S673" s="378"/>
      <c r="T673" s="378"/>
      <c r="U673" s="378"/>
      <c r="V673" s="378"/>
      <c r="W673" s="378"/>
      <c r="X673" s="378"/>
      <c r="Y673" s="378"/>
      <c r="Z673" s="378"/>
    </row>
    <row r="674" spans="1:26" ht="18">
      <c r="A674" s="378"/>
      <c r="B674" s="378"/>
      <c r="C674" s="378"/>
      <c r="D674" s="384"/>
      <c r="E674" s="378"/>
      <c r="F674" s="378"/>
      <c r="G674" s="378"/>
      <c r="H674" s="378"/>
      <c r="I674" s="378"/>
      <c r="J674" s="378"/>
      <c r="K674" s="378"/>
      <c r="L674" s="378"/>
      <c r="M674" s="378"/>
      <c r="N674" s="378"/>
      <c r="O674" s="378"/>
      <c r="P674" s="378"/>
      <c r="Q674" s="378"/>
      <c r="R674" s="378"/>
      <c r="S674" s="378"/>
      <c r="T674" s="378"/>
      <c r="U674" s="378"/>
      <c r="V674" s="378"/>
      <c r="W674" s="378"/>
      <c r="X674" s="378"/>
      <c r="Y674" s="378"/>
      <c r="Z674" s="378"/>
    </row>
    <row r="675" spans="1:26" ht="18">
      <c r="A675" s="378"/>
      <c r="B675" s="378"/>
      <c r="C675" s="378"/>
      <c r="D675" s="384"/>
      <c r="E675" s="378"/>
      <c r="F675" s="378"/>
      <c r="G675" s="378"/>
      <c r="H675" s="378"/>
      <c r="I675" s="378"/>
      <c r="J675" s="378"/>
      <c r="K675" s="378"/>
      <c r="L675" s="378"/>
      <c r="M675" s="378"/>
      <c r="N675" s="378"/>
      <c r="O675" s="378"/>
      <c r="P675" s="378"/>
      <c r="Q675" s="378"/>
      <c r="R675" s="378"/>
      <c r="S675" s="378"/>
      <c r="T675" s="378"/>
      <c r="U675" s="378"/>
      <c r="V675" s="378"/>
      <c r="W675" s="378"/>
      <c r="X675" s="378"/>
      <c r="Y675" s="378"/>
      <c r="Z675" s="378"/>
    </row>
    <row r="676" spans="1:26" ht="18">
      <c r="A676" s="378"/>
      <c r="B676" s="378"/>
      <c r="C676" s="378"/>
      <c r="D676" s="384"/>
      <c r="E676" s="378"/>
      <c r="F676" s="378"/>
      <c r="G676" s="378"/>
      <c r="H676" s="378"/>
      <c r="I676" s="378"/>
      <c r="J676" s="378"/>
      <c r="K676" s="378"/>
      <c r="L676" s="378"/>
      <c r="M676" s="378"/>
      <c r="N676" s="378"/>
      <c r="O676" s="378"/>
      <c r="P676" s="378"/>
      <c r="Q676" s="378"/>
      <c r="R676" s="378"/>
      <c r="S676" s="378"/>
      <c r="T676" s="378"/>
      <c r="U676" s="378"/>
      <c r="V676" s="378"/>
      <c r="W676" s="378"/>
      <c r="X676" s="378"/>
      <c r="Y676" s="378"/>
      <c r="Z676" s="378"/>
    </row>
    <row r="677" spans="1:26" ht="18">
      <c r="A677" s="378"/>
      <c r="B677" s="378"/>
      <c r="C677" s="378"/>
      <c r="D677" s="384"/>
      <c r="E677" s="378"/>
      <c r="F677" s="378"/>
      <c r="G677" s="378"/>
      <c r="H677" s="378"/>
      <c r="I677" s="378"/>
      <c r="J677" s="378"/>
      <c r="K677" s="378"/>
      <c r="L677" s="378"/>
      <c r="M677" s="378"/>
      <c r="N677" s="378"/>
      <c r="O677" s="378"/>
      <c r="P677" s="378"/>
      <c r="Q677" s="378"/>
      <c r="R677" s="378"/>
      <c r="S677" s="378"/>
      <c r="T677" s="378"/>
      <c r="U677" s="378"/>
      <c r="V677" s="378"/>
      <c r="W677" s="378"/>
      <c r="X677" s="378"/>
      <c r="Y677" s="378"/>
      <c r="Z677" s="378"/>
    </row>
    <row r="678" spans="1:26" ht="18">
      <c r="A678" s="378"/>
      <c r="B678" s="378"/>
      <c r="C678" s="378"/>
      <c r="D678" s="384"/>
      <c r="E678" s="378"/>
      <c r="F678" s="378"/>
      <c r="G678" s="378"/>
      <c r="H678" s="378"/>
      <c r="I678" s="378"/>
      <c r="J678" s="378"/>
      <c r="K678" s="378"/>
      <c r="L678" s="378"/>
      <c r="M678" s="378"/>
      <c r="N678" s="378"/>
      <c r="O678" s="378"/>
      <c r="P678" s="378"/>
      <c r="Q678" s="378"/>
      <c r="R678" s="378"/>
      <c r="S678" s="378"/>
      <c r="T678" s="378"/>
      <c r="U678" s="378"/>
      <c r="V678" s="378"/>
      <c r="W678" s="378"/>
      <c r="X678" s="378"/>
      <c r="Y678" s="378"/>
      <c r="Z678" s="378"/>
    </row>
    <row r="679" spans="1:26" ht="18">
      <c r="A679" s="378"/>
      <c r="B679" s="378"/>
      <c r="C679" s="378"/>
      <c r="D679" s="384"/>
      <c r="E679" s="378"/>
      <c r="F679" s="378"/>
      <c r="G679" s="378"/>
      <c r="H679" s="378"/>
      <c r="I679" s="378"/>
      <c r="J679" s="378"/>
      <c r="K679" s="378"/>
      <c r="L679" s="378"/>
      <c r="M679" s="378"/>
      <c r="N679" s="378"/>
      <c r="O679" s="378"/>
      <c r="P679" s="378"/>
      <c r="Q679" s="378"/>
      <c r="R679" s="378"/>
      <c r="S679" s="378"/>
      <c r="T679" s="378"/>
      <c r="U679" s="378"/>
      <c r="V679" s="378"/>
      <c r="W679" s="378"/>
      <c r="X679" s="378"/>
      <c r="Y679" s="378"/>
      <c r="Z679" s="378"/>
    </row>
    <row r="680" spans="1:26" ht="18">
      <c r="A680" s="378"/>
      <c r="B680" s="378"/>
      <c r="C680" s="378"/>
      <c r="D680" s="384"/>
      <c r="E680" s="378"/>
      <c r="F680" s="378"/>
      <c r="G680" s="378"/>
      <c r="H680" s="378"/>
      <c r="I680" s="378"/>
      <c r="J680" s="378"/>
      <c r="K680" s="378"/>
      <c r="L680" s="378"/>
      <c r="M680" s="378"/>
      <c r="N680" s="378"/>
      <c r="O680" s="378"/>
      <c r="P680" s="378"/>
      <c r="Q680" s="378"/>
      <c r="R680" s="378"/>
      <c r="S680" s="378"/>
      <c r="T680" s="378"/>
      <c r="U680" s="378"/>
      <c r="V680" s="378"/>
      <c r="W680" s="378"/>
      <c r="X680" s="378"/>
      <c r="Y680" s="378"/>
      <c r="Z680" s="378"/>
    </row>
    <row r="681" spans="1:26" ht="18">
      <c r="A681" s="378"/>
      <c r="B681" s="378"/>
      <c r="C681" s="378"/>
      <c r="D681" s="384"/>
      <c r="E681" s="378"/>
      <c r="F681" s="378"/>
      <c r="G681" s="378"/>
      <c r="H681" s="378"/>
      <c r="I681" s="378"/>
      <c r="J681" s="378"/>
      <c r="K681" s="378"/>
      <c r="L681" s="378"/>
      <c r="M681" s="378"/>
      <c r="N681" s="378"/>
      <c r="O681" s="378"/>
      <c r="P681" s="378"/>
      <c r="Q681" s="378"/>
      <c r="R681" s="378"/>
      <c r="S681" s="378"/>
      <c r="T681" s="378"/>
      <c r="U681" s="378"/>
      <c r="V681" s="378"/>
      <c r="W681" s="378"/>
      <c r="X681" s="378"/>
      <c r="Y681" s="378"/>
      <c r="Z681" s="378"/>
    </row>
    <row r="682" spans="1:26" ht="18">
      <c r="A682" s="378"/>
      <c r="B682" s="378"/>
      <c r="C682" s="378"/>
      <c r="D682" s="384"/>
      <c r="E682" s="378"/>
      <c r="F682" s="378"/>
      <c r="G682" s="378"/>
      <c r="H682" s="378"/>
      <c r="I682" s="378"/>
      <c r="J682" s="378"/>
      <c r="K682" s="378"/>
      <c r="L682" s="378"/>
      <c r="M682" s="378"/>
      <c r="N682" s="378"/>
      <c r="O682" s="378"/>
      <c r="P682" s="378"/>
      <c r="Q682" s="378"/>
      <c r="R682" s="378"/>
      <c r="S682" s="378"/>
      <c r="T682" s="378"/>
      <c r="U682" s="378"/>
      <c r="V682" s="378"/>
      <c r="W682" s="378"/>
      <c r="X682" s="378"/>
      <c r="Y682" s="378"/>
      <c r="Z682" s="378"/>
    </row>
    <row r="683" spans="1:26" ht="18">
      <c r="A683" s="378"/>
      <c r="B683" s="378"/>
      <c r="C683" s="378"/>
      <c r="D683" s="384"/>
      <c r="E683" s="378"/>
      <c r="F683" s="378"/>
      <c r="G683" s="378"/>
      <c r="H683" s="378"/>
      <c r="I683" s="378"/>
      <c r="J683" s="378"/>
      <c r="K683" s="378"/>
      <c r="L683" s="378"/>
      <c r="M683" s="378"/>
      <c r="N683" s="378"/>
      <c r="O683" s="378"/>
      <c r="P683" s="378"/>
      <c r="Q683" s="378"/>
      <c r="R683" s="378"/>
      <c r="S683" s="378"/>
      <c r="T683" s="378"/>
      <c r="U683" s="378"/>
      <c r="V683" s="378"/>
      <c r="W683" s="378"/>
      <c r="X683" s="378"/>
      <c r="Y683" s="378"/>
      <c r="Z683" s="378"/>
    </row>
    <row r="684" spans="1:26" ht="18">
      <c r="A684" s="378"/>
      <c r="B684" s="378"/>
      <c r="C684" s="378"/>
      <c r="D684" s="384"/>
      <c r="E684" s="378"/>
      <c r="F684" s="378"/>
      <c r="G684" s="378"/>
      <c r="H684" s="378"/>
      <c r="I684" s="378"/>
      <c r="J684" s="378"/>
      <c r="K684" s="378"/>
      <c r="L684" s="378"/>
      <c r="M684" s="378"/>
      <c r="N684" s="378"/>
      <c r="O684" s="378"/>
      <c r="P684" s="378"/>
      <c r="Q684" s="378"/>
      <c r="R684" s="378"/>
      <c r="S684" s="378"/>
      <c r="T684" s="378"/>
      <c r="U684" s="378"/>
      <c r="V684" s="378"/>
      <c r="W684" s="378"/>
      <c r="X684" s="378"/>
      <c r="Y684" s="378"/>
      <c r="Z684" s="378"/>
    </row>
    <row r="685" spans="1:26" ht="18">
      <c r="A685" s="378"/>
      <c r="B685" s="378"/>
      <c r="C685" s="378"/>
      <c r="D685" s="384"/>
      <c r="E685" s="378"/>
      <c r="F685" s="378"/>
      <c r="G685" s="378"/>
      <c r="H685" s="378"/>
      <c r="I685" s="378"/>
      <c r="J685" s="378"/>
      <c r="K685" s="378"/>
      <c r="L685" s="378"/>
      <c r="M685" s="378"/>
      <c r="N685" s="378"/>
      <c r="O685" s="378"/>
      <c r="P685" s="378"/>
      <c r="Q685" s="378"/>
      <c r="R685" s="378"/>
      <c r="S685" s="378"/>
      <c r="T685" s="378"/>
      <c r="U685" s="378"/>
      <c r="V685" s="378"/>
      <c r="W685" s="378"/>
      <c r="X685" s="378"/>
      <c r="Y685" s="378"/>
      <c r="Z685" s="378"/>
    </row>
    <row r="686" spans="1:26" ht="18">
      <c r="A686" s="378"/>
      <c r="B686" s="378"/>
      <c r="C686" s="378"/>
      <c r="D686" s="384"/>
      <c r="E686" s="378"/>
      <c r="F686" s="378"/>
      <c r="G686" s="378"/>
      <c r="H686" s="378"/>
      <c r="I686" s="378"/>
      <c r="J686" s="378"/>
      <c r="K686" s="378"/>
      <c r="L686" s="378"/>
      <c r="M686" s="378"/>
      <c r="N686" s="378"/>
      <c r="O686" s="378"/>
      <c r="P686" s="378"/>
      <c r="Q686" s="378"/>
      <c r="R686" s="378"/>
      <c r="S686" s="378"/>
      <c r="T686" s="378"/>
      <c r="U686" s="378"/>
      <c r="V686" s="378"/>
      <c r="W686" s="378"/>
      <c r="X686" s="378"/>
      <c r="Y686" s="378"/>
      <c r="Z686" s="378"/>
    </row>
    <row r="687" spans="1:26" ht="18">
      <c r="A687" s="378"/>
      <c r="B687" s="378"/>
      <c r="C687" s="378"/>
      <c r="D687" s="384"/>
      <c r="E687" s="378"/>
      <c r="F687" s="378"/>
      <c r="G687" s="378"/>
      <c r="H687" s="378"/>
      <c r="I687" s="378"/>
      <c r="J687" s="378"/>
      <c r="K687" s="378"/>
      <c r="L687" s="378"/>
      <c r="M687" s="378"/>
      <c r="N687" s="378"/>
      <c r="O687" s="378"/>
      <c r="P687" s="378"/>
      <c r="Q687" s="378"/>
      <c r="R687" s="378"/>
      <c r="S687" s="378"/>
      <c r="T687" s="378"/>
      <c r="U687" s="378"/>
      <c r="V687" s="378"/>
      <c r="W687" s="378"/>
      <c r="X687" s="378"/>
      <c r="Y687" s="378"/>
      <c r="Z687" s="378"/>
    </row>
    <row r="688" spans="1:26" ht="18">
      <c r="A688" s="378"/>
      <c r="B688" s="378"/>
      <c r="C688" s="378"/>
      <c r="D688" s="384"/>
      <c r="E688" s="378"/>
      <c r="F688" s="378"/>
      <c r="G688" s="378"/>
      <c r="H688" s="378"/>
      <c r="I688" s="378"/>
      <c r="J688" s="378"/>
      <c r="K688" s="378"/>
      <c r="L688" s="378"/>
      <c r="M688" s="378"/>
      <c r="N688" s="378"/>
      <c r="O688" s="378"/>
      <c r="P688" s="378"/>
      <c r="Q688" s="378"/>
      <c r="R688" s="378"/>
      <c r="S688" s="378"/>
      <c r="T688" s="378"/>
      <c r="U688" s="378"/>
      <c r="V688" s="378"/>
      <c r="W688" s="378"/>
      <c r="X688" s="378"/>
      <c r="Y688" s="378"/>
      <c r="Z688" s="378"/>
    </row>
    <row r="689" spans="1:26" ht="18">
      <c r="A689" s="378"/>
      <c r="B689" s="378"/>
      <c r="C689" s="378"/>
      <c r="D689" s="384"/>
      <c r="E689" s="378"/>
      <c r="F689" s="378"/>
      <c r="G689" s="378"/>
      <c r="H689" s="378"/>
      <c r="I689" s="378"/>
      <c r="J689" s="378"/>
      <c r="K689" s="378"/>
      <c r="L689" s="378"/>
      <c r="M689" s="378"/>
      <c r="N689" s="378"/>
      <c r="O689" s="378"/>
      <c r="P689" s="378"/>
      <c r="Q689" s="378"/>
      <c r="R689" s="378"/>
      <c r="S689" s="378"/>
      <c r="T689" s="378"/>
      <c r="U689" s="378"/>
      <c r="V689" s="378"/>
      <c r="W689" s="378"/>
      <c r="X689" s="378"/>
      <c r="Y689" s="378"/>
      <c r="Z689" s="378"/>
    </row>
    <row r="690" spans="1:26" ht="18">
      <c r="A690" s="378"/>
      <c r="B690" s="378"/>
      <c r="C690" s="378"/>
      <c r="D690" s="384"/>
      <c r="E690" s="378"/>
      <c r="F690" s="378"/>
      <c r="G690" s="378"/>
      <c r="H690" s="378"/>
      <c r="I690" s="378"/>
      <c r="J690" s="378"/>
      <c r="K690" s="378"/>
      <c r="L690" s="378"/>
      <c r="M690" s="378"/>
      <c r="N690" s="378"/>
      <c r="O690" s="378"/>
      <c r="P690" s="378"/>
      <c r="Q690" s="378"/>
      <c r="R690" s="378"/>
      <c r="S690" s="378"/>
      <c r="T690" s="378"/>
      <c r="U690" s="378"/>
      <c r="V690" s="378"/>
      <c r="W690" s="378"/>
      <c r="X690" s="378"/>
      <c r="Y690" s="378"/>
      <c r="Z690" s="378"/>
    </row>
    <row r="691" spans="1:26" ht="18">
      <c r="A691" s="378"/>
      <c r="B691" s="378"/>
      <c r="C691" s="378"/>
      <c r="D691" s="384"/>
      <c r="E691" s="378"/>
      <c r="F691" s="378"/>
      <c r="G691" s="378"/>
      <c r="H691" s="378"/>
      <c r="I691" s="378"/>
      <c r="J691" s="378"/>
      <c r="K691" s="378"/>
      <c r="L691" s="378"/>
      <c r="M691" s="378"/>
      <c r="N691" s="378"/>
      <c r="O691" s="378"/>
      <c r="P691" s="378"/>
      <c r="Q691" s="378"/>
      <c r="R691" s="378"/>
      <c r="S691" s="378"/>
      <c r="T691" s="378"/>
      <c r="U691" s="378"/>
      <c r="V691" s="378"/>
      <c r="W691" s="378"/>
      <c r="X691" s="378"/>
      <c r="Y691" s="378"/>
      <c r="Z691" s="378"/>
    </row>
    <row r="692" spans="1:26" ht="18">
      <c r="A692" s="378"/>
      <c r="B692" s="378"/>
      <c r="C692" s="378"/>
      <c r="D692" s="384"/>
      <c r="E692" s="378"/>
      <c r="F692" s="378"/>
      <c r="G692" s="378"/>
      <c r="H692" s="378"/>
      <c r="I692" s="378"/>
      <c r="J692" s="378"/>
      <c r="K692" s="378"/>
      <c r="L692" s="378"/>
      <c r="M692" s="378"/>
      <c r="N692" s="378"/>
      <c r="O692" s="378"/>
      <c r="P692" s="378"/>
      <c r="Q692" s="378"/>
      <c r="R692" s="378"/>
      <c r="S692" s="378"/>
      <c r="T692" s="378"/>
      <c r="U692" s="378"/>
      <c r="V692" s="378"/>
      <c r="W692" s="378"/>
      <c r="X692" s="378"/>
      <c r="Y692" s="378"/>
      <c r="Z692" s="378"/>
    </row>
    <row r="693" spans="1:26" ht="18">
      <c r="A693" s="378"/>
      <c r="B693" s="378"/>
      <c r="C693" s="378"/>
      <c r="D693" s="384"/>
      <c r="E693" s="378"/>
      <c r="F693" s="378"/>
      <c r="G693" s="378"/>
      <c r="H693" s="378"/>
      <c r="I693" s="378"/>
      <c r="J693" s="378"/>
      <c r="K693" s="378"/>
      <c r="L693" s="378"/>
      <c r="M693" s="378"/>
      <c r="N693" s="378"/>
      <c r="O693" s="378"/>
      <c r="P693" s="378"/>
      <c r="Q693" s="378"/>
      <c r="R693" s="378"/>
      <c r="S693" s="378"/>
      <c r="T693" s="378"/>
      <c r="U693" s="378"/>
      <c r="V693" s="378"/>
      <c r="W693" s="378"/>
      <c r="X693" s="378"/>
      <c r="Y693" s="378"/>
      <c r="Z693" s="378"/>
    </row>
    <row r="694" spans="1:26" ht="18">
      <c r="A694" s="378"/>
      <c r="B694" s="378"/>
      <c r="C694" s="378"/>
      <c r="D694" s="384"/>
      <c r="E694" s="378"/>
      <c r="F694" s="378"/>
      <c r="G694" s="378"/>
      <c r="H694" s="378"/>
      <c r="I694" s="378"/>
      <c r="J694" s="378"/>
      <c r="K694" s="378"/>
      <c r="L694" s="378"/>
      <c r="M694" s="378"/>
      <c r="N694" s="378"/>
      <c r="O694" s="378"/>
      <c r="P694" s="378"/>
      <c r="Q694" s="378"/>
      <c r="R694" s="378"/>
      <c r="S694" s="378"/>
      <c r="T694" s="378"/>
      <c r="U694" s="378"/>
      <c r="V694" s="378"/>
      <c r="W694" s="378"/>
      <c r="X694" s="378"/>
      <c r="Y694" s="378"/>
      <c r="Z694" s="378"/>
    </row>
    <row r="695" spans="1:26" ht="18">
      <c r="A695" s="378"/>
      <c r="B695" s="378"/>
      <c r="C695" s="378"/>
      <c r="D695" s="384"/>
      <c r="E695" s="378"/>
      <c r="F695" s="378"/>
      <c r="G695" s="378"/>
      <c r="H695" s="378"/>
      <c r="I695" s="378"/>
      <c r="J695" s="378"/>
      <c r="K695" s="378"/>
      <c r="L695" s="378"/>
      <c r="M695" s="378"/>
      <c r="N695" s="378"/>
      <c r="O695" s="378"/>
      <c r="P695" s="378"/>
      <c r="Q695" s="378"/>
      <c r="R695" s="378"/>
      <c r="S695" s="378"/>
      <c r="T695" s="378"/>
      <c r="U695" s="378"/>
      <c r="V695" s="378"/>
      <c r="W695" s="378"/>
      <c r="X695" s="378"/>
      <c r="Y695" s="378"/>
      <c r="Z695" s="378"/>
    </row>
    <row r="696" spans="1:26" ht="18">
      <c r="A696" s="378"/>
      <c r="B696" s="378"/>
      <c r="C696" s="378"/>
      <c r="D696" s="384"/>
      <c r="E696" s="378"/>
      <c r="F696" s="378"/>
      <c r="G696" s="378"/>
      <c r="H696" s="378"/>
      <c r="I696" s="378"/>
      <c r="J696" s="378"/>
      <c r="K696" s="378"/>
      <c r="L696" s="378"/>
      <c r="M696" s="378"/>
      <c r="N696" s="378"/>
      <c r="O696" s="378"/>
      <c r="P696" s="378"/>
      <c r="Q696" s="378"/>
      <c r="R696" s="378"/>
      <c r="S696" s="378"/>
      <c r="T696" s="378"/>
      <c r="U696" s="378"/>
      <c r="V696" s="378"/>
      <c r="W696" s="378"/>
      <c r="X696" s="378"/>
      <c r="Y696" s="378"/>
      <c r="Z696" s="378"/>
    </row>
    <row r="697" spans="1:26" ht="18">
      <c r="A697" s="378"/>
      <c r="B697" s="378"/>
      <c r="C697" s="378"/>
      <c r="D697" s="384"/>
      <c r="E697" s="378"/>
      <c r="F697" s="378"/>
      <c r="G697" s="378"/>
      <c r="H697" s="378"/>
      <c r="I697" s="378"/>
      <c r="J697" s="378"/>
      <c r="K697" s="378"/>
      <c r="L697" s="378"/>
      <c r="M697" s="378"/>
      <c r="N697" s="378"/>
      <c r="O697" s="378"/>
      <c r="P697" s="378"/>
      <c r="Q697" s="378"/>
      <c r="R697" s="378"/>
      <c r="S697" s="378"/>
      <c r="T697" s="378"/>
      <c r="U697" s="378"/>
      <c r="V697" s="378"/>
      <c r="W697" s="378"/>
      <c r="X697" s="378"/>
      <c r="Y697" s="378"/>
      <c r="Z697" s="378"/>
    </row>
    <row r="698" spans="1:26" ht="18">
      <c r="A698" s="378"/>
      <c r="B698" s="378"/>
      <c r="C698" s="378"/>
      <c r="D698" s="384"/>
      <c r="E698" s="378"/>
      <c r="F698" s="378"/>
      <c r="G698" s="378"/>
      <c r="H698" s="378"/>
      <c r="I698" s="378"/>
      <c r="J698" s="378"/>
      <c r="K698" s="378"/>
      <c r="L698" s="378"/>
      <c r="M698" s="378"/>
      <c r="N698" s="378"/>
      <c r="O698" s="378"/>
      <c r="P698" s="378"/>
      <c r="Q698" s="378"/>
      <c r="R698" s="378"/>
      <c r="S698" s="378"/>
      <c r="T698" s="378"/>
      <c r="U698" s="378"/>
      <c r="V698" s="378"/>
      <c r="W698" s="378"/>
      <c r="X698" s="378"/>
      <c r="Y698" s="378"/>
      <c r="Z698" s="378"/>
    </row>
    <row r="699" spans="1:26" ht="18">
      <c r="A699" s="378"/>
      <c r="B699" s="378"/>
      <c r="C699" s="378"/>
      <c r="D699" s="384"/>
      <c r="E699" s="378"/>
      <c r="F699" s="378"/>
      <c r="G699" s="378"/>
      <c r="H699" s="378"/>
      <c r="I699" s="378"/>
      <c r="J699" s="378"/>
      <c r="K699" s="378"/>
      <c r="L699" s="378"/>
      <c r="M699" s="378"/>
      <c r="N699" s="378"/>
      <c r="O699" s="378"/>
      <c r="P699" s="378"/>
      <c r="Q699" s="378"/>
      <c r="R699" s="378"/>
      <c r="S699" s="378"/>
      <c r="T699" s="378"/>
      <c r="U699" s="378"/>
      <c r="V699" s="378"/>
      <c r="W699" s="378"/>
      <c r="X699" s="378"/>
      <c r="Y699" s="378"/>
      <c r="Z699" s="378"/>
    </row>
    <row r="700" spans="1:26" ht="18">
      <c r="A700" s="378"/>
      <c r="B700" s="378"/>
      <c r="C700" s="378"/>
      <c r="D700" s="384"/>
      <c r="E700" s="378"/>
      <c r="F700" s="378"/>
      <c r="G700" s="378"/>
      <c r="H700" s="378"/>
      <c r="I700" s="378"/>
      <c r="J700" s="378"/>
      <c r="K700" s="378"/>
      <c r="L700" s="378"/>
      <c r="M700" s="378"/>
      <c r="N700" s="378"/>
      <c r="O700" s="378"/>
      <c r="P700" s="378"/>
      <c r="Q700" s="378"/>
      <c r="R700" s="378"/>
      <c r="S700" s="378"/>
      <c r="T700" s="378"/>
      <c r="U700" s="378"/>
      <c r="V700" s="378"/>
      <c r="W700" s="378"/>
      <c r="X700" s="378"/>
      <c r="Y700" s="378"/>
      <c r="Z700" s="378"/>
    </row>
    <row r="701" spans="1:26" ht="18">
      <c r="A701" s="378"/>
      <c r="B701" s="378"/>
      <c r="C701" s="378"/>
      <c r="D701" s="384"/>
      <c r="E701" s="378"/>
      <c r="F701" s="378"/>
      <c r="G701" s="378"/>
      <c r="H701" s="378"/>
      <c r="I701" s="378"/>
      <c r="J701" s="378"/>
      <c r="K701" s="378"/>
      <c r="L701" s="378"/>
      <c r="M701" s="378"/>
      <c r="N701" s="378"/>
      <c r="O701" s="378"/>
      <c r="P701" s="378"/>
      <c r="Q701" s="378"/>
      <c r="R701" s="378"/>
      <c r="S701" s="378"/>
      <c r="T701" s="378"/>
      <c r="U701" s="378"/>
      <c r="V701" s="378"/>
      <c r="W701" s="378"/>
      <c r="X701" s="378"/>
      <c r="Y701" s="378"/>
      <c r="Z701" s="378"/>
    </row>
    <row r="702" spans="1:26" ht="18">
      <c r="A702" s="378"/>
      <c r="B702" s="378"/>
      <c r="C702" s="378"/>
      <c r="D702" s="384"/>
      <c r="E702" s="378"/>
      <c r="F702" s="378"/>
      <c r="G702" s="378"/>
      <c r="H702" s="378"/>
      <c r="I702" s="378"/>
      <c r="J702" s="378"/>
      <c r="K702" s="378"/>
      <c r="L702" s="378"/>
      <c r="M702" s="378"/>
      <c r="N702" s="378"/>
      <c r="O702" s="378"/>
      <c r="P702" s="378"/>
      <c r="Q702" s="378"/>
      <c r="R702" s="378"/>
      <c r="S702" s="378"/>
      <c r="T702" s="378"/>
      <c r="U702" s="378"/>
      <c r="V702" s="378"/>
      <c r="W702" s="378"/>
      <c r="X702" s="378"/>
      <c r="Y702" s="378"/>
      <c r="Z702" s="378"/>
    </row>
    <row r="703" spans="1:26" ht="18">
      <c r="A703" s="378"/>
      <c r="B703" s="378"/>
      <c r="C703" s="378"/>
      <c r="D703" s="384"/>
      <c r="E703" s="378"/>
      <c r="F703" s="378"/>
      <c r="G703" s="378"/>
      <c r="H703" s="378"/>
      <c r="I703" s="378"/>
      <c r="J703" s="378"/>
      <c r="K703" s="378"/>
      <c r="L703" s="378"/>
      <c r="M703" s="378"/>
      <c r="N703" s="378"/>
      <c r="O703" s="378"/>
      <c r="P703" s="378"/>
      <c r="Q703" s="378"/>
      <c r="R703" s="378"/>
      <c r="S703" s="378"/>
      <c r="T703" s="378"/>
      <c r="U703" s="378"/>
      <c r="V703" s="378"/>
      <c r="W703" s="378"/>
      <c r="X703" s="378"/>
      <c r="Y703" s="378"/>
      <c r="Z703" s="378"/>
    </row>
    <row r="704" spans="1:26" ht="18">
      <c r="A704" s="378"/>
      <c r="B704" s="378"/>
      <c r="C704" s="378"/>
      <c r="D704" s="384"/>
      <c r="E704" s="378"/>
      <c r="F704" s="378"/>
      <c r="G704" s="378"/>
      <c r="H704" s="378"/>
      <c r="I704" s="378"/>
      <c r="J704" s="378"/>
      <c r="K704" s="378"/>
      <c r="L704" s="378"/>
      <c r="M704" s="378"/>
      <c r="N704" s="378"/>
      <c r="O704" s="378"/>
      <c r="P704" s="378"/>
      <c r="Q704" s="378"/>
      <c r="R704" s="378"/>
      <c r="S704" s="378"/>
      <c r="T704" s="378"/>
      <c r="U704" s="378"/>
      <c r="V704" s="378"/>
      <c r="W704" s="378"/>
      <c r="X704" s="378"/>
      <c r="Y704" s="378"/>
      <c r="Z704" s="378"/>
    </row>
    <row r="705" spans="1:26" ht="18">
      <c r="A705" s="378"/>
      <c r="B705" s="378"/>
      <c r="C705" s="378"/>
      <c r="D705" s="384"/>
      <c r="E705" s="378"/>
      <c r="F705" s="378"/>
      <c r="G705" s="378"/>
      <c r="H705" s="378"/>
      <c r="I705" s="378"/>
      <c r="J705" s="378"/>
      <c r="K705" s="378"/>
      <c r="L705" s="378"/>
      <c r="M705" s="378"/>
      <c r="N705" s="378"/>
      <c r="O705" s="378"/>
      <c r="P705" s="378"/>
      <c r="Q705" s="378"/>
      <c r="R705" s="378"/>
      <c r="S705" s="378"/>
      <c r="T705" s="378"/>
      <c r="U705" s="378"/>
      <c r="V705" s="378"/>
      <c r="W705" s="378"/>
      <c r="X705" s="378"/>
      <c r="Y705" s="378"/>
      <c r="Z705" s="378"/>
    </row>
    <row r="706" spans="1:26" ht="18">
      <c r="A706" s="378"/>
      <c r="B706" s="378"/>
      <c r="C706" s="378"/>
      <c r="D706" s="384"/>
      <c r="E706" s="378"/>
      <c r="F706" s="378"/>
      <c r="G706" s="378"/>
      <c r="H706" s="378"/>
      <c r="I706" s="378"/>
      <c r="J706" s="378"/>
      <c r="K706" s="378"/>
      <c r="L706" s="378"/>
      <c r="M706" s="378"/>
      <c r="N706" s="378"/>
      <c r="O706" s="378"/>
      <c r="P706" s="378"/>
      <c r="Q706" s="378"/>
      <c r="R706" s="378"/>
      <c r="S706" s="378"/>
      <c r="T706" s="378"/>
      <c r="U706" s="378"/>
      <c r="V706" s="378"/>
      <c r="W706" s="378"/>
      <c r="X706" s="378"/>
      <c r="Y706" s="378"/>
      <c r="Z706" s="378"/>
    </row>
    <row r="707" spans="1:26" ht="18">
      <c r="A707" s="378"/>
      <c r="B707" s="378"/>
      <c r="C707" s="378"/>
      <c r="D707" s="384"/>
      <c r="E707" s="378"/>
      <c r="F707" s="378"/>
      <c r="G707" s="378"/>
      <c r="H707" s="378"/>
      <c r="I707" s="378"/>
      <c r="J707" s="378"/>
      <c r="K707" s="378"/>
      <c r="L707" s="378"/>
      <c r="M707" s="378"/>
      <c r="N707" s="378"/>
      <c r="O707" s="378"/>
      <c r="P707" s="378"/>
      <c r="Q707" s="378"/>
      <c r="R707" s="378"/>
      <c r="S707" s="378"/>
      <c r="T707" s="378"/>
      <c r="U707" s="378"/>
      <c r="V707" s="378"/>
      <c r="W707" s="378"/>
      <c r="X707" s="378"/>
      <c r="Y707" s="378"/>
      <c r="Z707" s="378"/>
    </row>
    <row r="708" spans="1:26" ht="18">
      <c r="A708" s="378"/>
      <c r="B708" s="378"/>
      <c r="C708" s="378"/>
      <c r="D708" s="384"/>
      <c r="E708" s="378"/>
      <c r="F708" s="378"/>
      <c r="G708" s="378"/>
      <c r="H708" s="378"/>
      <c r="I708" s="378"/>
      <c r="J708" s="378"/>
      <c r="K708" s="378"/>
      <c r="L708" s="378"/>
      <c r="M708" s="378"/>
      <c r="N708" s="378"/>
      <c r="O708" s="378"/>
      <c r="P708" s="378"/>
      <c r="Q708" s="378"/>
      <c r="R708" s="378"/>
      <c r="S708" s="378"/>
      <c r="T708" s="378"/>
      <c r="U708" s="378"/>
      <c r="V708" s="378"/>
      <c r="W708" s="378"/>
      <c r="X708" s="378"/>
      <c r="Y708" s="378"/>
      <c r="Z708" s="378"/>
    </row>
    <row r="709" spans="1:26" ht="18">
      <c r="A709" s="378"/>
      <c r="B709" s="378"/>
      <c r="C709" s="378"/>
      <c r="D709" s="384"/>
      <c r="E709" s="378"/>
      <c r="F709" s="378"/>
      <c r="G709" s="378"/>
      <c r="H709" s="378"/>
      <c r="I709" s="378"/>
      <c r="J709" s="378"/>
      <c r="K709" s="378"/>
      <c r="L709" s="378"/>
      <c r="M709" s="378"/>
      <c r="N709" s="378"/>
      <c r="O709" s="378"/>
      <c r="P709" s="378"/>
      <c r="Q709" s="378"/>
      <c r="R709" s="378"/>
      <c r="S709" s="378"/>
      <c r="T709" s="378"/>
      <c r="U709" s="378"/>
      <c r="V709" s="378"/>
      <c r="W709" s="378"/>
      <c r="X709" s="378"/>
      <c r="Y709" s="378"/>
      <c r="Z709" s="378"/>
    </row>
    <row r="710" spans="1:26" ht="18">
      <c r="A710" s="378"/>
      <c r="B710" s="378"/>
      <c r="C710" s="378"/>
      <c r="D710" s="384"/>
      <c r="E710" s="378"/>
      <c r="F710" s="378"/>
      <c r="G710" s="378"/>
      <c r="H710" s="378"/>
      <c r="I710" s="378"/>
      <c r="J710" s="378"/>
      <c r="K710" s="378"/>
      <c r="L710" s="378"/>
      <c r="M710" s="378"/>
      <c r="N710" s="378"/>
      <c r="O710" s="378"/>
      <c r="P710" s="378"/>
      <c r="Q710" s="378"/>
      <c r="R710" s="378"/>
      <c r="S710" s="378"/>
      <c r="T710" s="378"/>
      <c r="U710" s="378"/>
      <c r="V710" s="378"/>
      <c r="W710" s="378"/>
      <c r="X710" s="378"/>
      <c r="Y710" s="378"/>
      <c r="Z710" s="378"/>
    </row>
    <row r="711" spans="1:26" ht="18">
      <c r="A711" s="378"/>
      <c r="B711" s="378"/>
      <c r="C711" s="378"/>
      <c r="D711" s="384"/>
      <c r="E711" s="378"/>
      <c r="F711" s="378"/>
      <c r="G711" s="378"/>
      <c r="H711" s="378"/>
      <c r="I711" s="378"/>
      <c r="J711" s="378"/>
      <c r="K711" s="378"/>
      <c r="L711" s="378"/>
      <c r="M711" s="378"/>
      <c r="N711" s="378"/>
      <c r="O711" s="378"/>
      <c r="P711" s="378"/>
      <c r="Q711" s="378"/>
      <c r="R711" s="378"/>
      <c r="S711" s="378"/>
      <c r="T711" s="378"/>
      <c r="U711" s="378"/>
      <c r="V711" s="378"/>
      <c r="W711" s="378"/>
      <c r="X711" s="378"/>
      <c r="Y711" s="378"/>
      <c r="Z711" s="378"/>
    </row>
    <row r="712" spans="1:26" ht="18">
      <c r="A712" s="378"/>
      <c r="B712" s="378"/>
      <c r="C712" s="378"/>
      <c r="D712" s="384"/>
      <c r="E712" s="378"/>
      <c r="F712" s="378"/>
      <c r="G712" s="378"/>
      <c r="H712" s="378"/>
      <c r="I712" s="378"/>
      <c r="J712" s="378"/>
      <c r="K712" s="378"/>
      <c r="L712" s="378"/>
      <c r="M712" s="378"/>
      <c r="N712" s="378"/>
      <c r="O712" s="378"/>
      <c r="P712" s="378"/>
      <c r="Q712" s="378"/>
      <c r="R712" s="378"/>
      <c r="S712" s="378"/>
      <c r="T712" s="378"/>
      <c r="U712" s="378"/>
      <c r="V712" s="378"/>
      <c r="W712" s="378"/>
      <c r="X712" s="378"/>
      <c r="Y712" s="378"/>
      <c r="Z712" s="378"/>
    </row>
    <row r="713" spans="1:26" ht="18">
      <c r="A713" s="378"/>
      <c r="B713" s="378"/>
      <c r="C713" s="378"/>
      <c r="D713" s="384"/>
      <c r="E713" s="378"/>
      <c r="F713" s="378"/>
      <c r="G713" s="378"/>
      <c r="H713" s="378"/>
      <c r="I713" s="378"/>
      <c r="J713" s="378"/>
      <c r="K713" s="378"/>
      <c r="L713" s="378"/>
      <c r="M713" s="378"/>
      <c r="N713" s="378"/>
      <c r="O713" s="378"/>
      <c r="P713" s="378"/>
      <c r="Q713" s="378"/>
      <c r="R713" s="378"/>
      <c r="S713" s="378"/>
      <c r="T713" s="378"/>
      <c r="U713" s="378"/>
      <c r="V713" s="378"/>
      <c r="W713" s="378"/>
      <c r="X713" s="378"/>
      <c r="Y713" s="378"/>
      <c r="Z713" s="378"/>
    </row>
    <row r="714" spans="1:26" ht="18">
      <c r="A714" s="378"/>
      <c r="B714" s="378"/>
      <c r="C714" s="378"/>
      <c r="D714" s="384"/>
      <c r="E714" s="378"/>
      <c r="F714" s="378"/>
      <c r="G714" s="378"/>
      <c r="H714" s="378"/>
      <c r="I714" s="378"/>
      <c r="J714" s="378"/>
      <c r="K714" s="378"/>
      <c r="L714" s="378"/>
      <c r="M714" s="378"/>
      <c r="N714" s="378"/>
      <c r="O714" s="378"/>
      <c r="P714" s="378"/>
      <c r="Q714" s="378"/>
      <c r="R714" s="378"/>
      <c r="S714" s="378"/>
      <c r="T714" s="378"/>
      <c r="U714" s="378"/>
      <c r="V714" s="378"/>
      <c r="W714" s="378"/>
      <c r="X714" s="378"/>
      <c r="Y714" s="378"/>
      <c r="Z714" s="378"/>
    </row>
    <row r="715" spans="1:26" ht="18">
      <c r="A715" s="378"/>
      <c r="B715" s="378"/>
      <c r="C715" s="378"/>
      <c r="D715" s="384"/>
      <c r="E715" s="378"/>
      <c r="F715" s="378"/>
      <c r="G715" s="378"/>
      <c r="H715" s="378"/>
      <c r="I715" s="378"/>
      <c r="J715" s="378"/>
      <c r="K715" s="378"/>
      <c r="L715" s="378"/>
      <c r="M715" s="378"/>
      <c r="N715" s="378"/>
      <c r="O715" s="378"/>
      <c r="P715" s="378"/>
      <c r="Q715" s="378"/>
      <c r="R715" s="378"/>
      <c r="S715" s="378"/>
      <c r="T715" s="378"/>
      <c r="U715" s="378"/>
      <c r="V715" s="378"/>
      <c r="W715" s="378"/>
      <c r="X715" s="378"/>
      <c r="Y715" s="378"/>
      <c r="Z715" s="378"/>
    </row>
    <row r="716" spans="1:26" ht="18">
      <c r="A716" s="378"/>
      <c r="B716" s="378"/>
      <c r="C716" s="378"/>
      <c r="D716" s="384"/>
      <c r="E716" s="378"/>
      <c r="F716" s="378"/>
      <c r="G716" s="378"/>
      <c r="H716" s="378"/>
      <c r="I716" s="378"/>
      <c r="J716" s="378"/>
      <c r="K716" s="378"/>
      <c r="L716" s="378"/>
      <c r="M716" s="378"/>
      <c r="N716" s="378"/>
      <c r="O716" s="378"/>
      <c r="P716" s="378"/>
      <c r="Q716" s="378"/>
      <c r="R716" s="378"/>
      <c r="S716" s="378"/>
      <c r="T716" s="378"/>
      <c r="U716" s="378"/>
      <c r="V716" s="378"/>
      <c r="W716" s="378"/>
      <c r="X716" s="378"/>
      <c r="Y716" s="378"/>
      <c r="Z716" s="378"/>
    </row>
    <row r="717" spans="1:26" ht="18">
      <c r="A717" s="378"/>
      <c r="B717" s="378"/>
      <c r="C717" s="378"/>
      <c r="D717" s="384"/>
      <c r="E717" s="378"/>
      <c r="F717" s="378"/>
      <c r="G717" s="378"/>
      <c r="H717" s="378"/>
      <c r="I717" s="378"/>
      <c r="J717" s="378"/>
      <c r="K717" s="378"/>
      <c r="L717" s="378"/>
      <c r="M717" s="378"/>
      <c r="N717" s="378"/>
      <c r="O717" s="378"/>
      <c r="P717" s="378"/>
      <c r="Q717" s="378"/>
      <c r="R717" s="378"/>
      <c r="S717" s="378"/>
      <c r="T717" s="378"/>
      <c r="U717" s="378"/>
      <c r="V717" s="378"/>
      <c r="W717" s="378"/>
      <c r="X717" s="378"/>
      <c r="Y717" s="378"/>
      <c r="Z717" s="378"/>
    </row>
    <row r="718" spans="1:26" ht="18">
      <c r="A718" s="378"/>
      <c r="B718" s="378"/>
      <c r="C718" s="378"/>
      <c r="D718" s="384"/>
      <c r="E718" s="378"/>
      <c r="F718" s="378"/>
      <c r="G718" s="378"/>
      <c r="H718" s="378"/>
      <c r="I718" s="378"/>
      <c r="J718" s="378"/>
      <c r="K718" s="378"/>
      <c r="L718" s="378"/>
      <c r="M718" s="378"/>
      <c r="N718" s="378"/>
      <c r="O718" s="378"/>
      <c r="P718" s="378"/>
      <c r="Q718" s="378"/>
      <c r="R718" s="378"/>
      <c r="S718" s="378"/>
      <c r="T718" s="378"/>
      <c r="U718" s="378"/>
      <c r="V718" s="378"/>
      <c r="W718" s="378"/>
      <c r="X718" s="378"/>
      <c r="Y718" s="378"/>
      <c r="Z718" s="378"/>
    </row>
    <row r="719" spans="1:26" ht="18">
      <c r="A719" s="378"/>
      <c r="B719" s="378"/>
      <c r="C719" s="378"/>
      <c r="D719" s="384"/>
      <c r="E719" s="378"/>
      <c r="F719" s="378"/>
      <c r="G719" s="378"/>
      <c r="H719" s="378"/>
      <c r="I719" s="378"/>
      <c r="J719" s="378"/>
      <c r="K719" s="378"/>
      <c r="L719" s="378"/>
      <c r="M719" s="378"/>
      <c r="N719" s="378"/>
      <c r="O719" s="378"/>
      <c r="P719" s="378"/>
      <c r="Q719" s="378"/>
      <c r="R719" s="378"/>
      <c r="S719" s="378"/>
      <c r="T719" s="378"/>
      <c r="U719" s="378"/>
      <c r="V719" s="378"/>
      <c r="W719" s="378"/>
      <c r="X719" s="378"/>
      <c r="Y719" s="378"/>
      <c r="Z719" s="378"/>
    </row>
    <row r="720" spans="1:26" ht="18">
      <c r="A720" s="378"/>
      <c r="B720" s="378"/>
      <c r="C720" s="378"/>
      <c r="D720" s="384"/>
      <c r="E720" s="378"/>
      <c r="F720" s="378"/>
      <c r="G720" s="378"/>
      <c r="H720" s="378"/>
      <c r="I720" s="378"/>
      <c r="J720" s="378"/>
      <c r="K720" s="378"/>
      <c r="L720" s="378"/>
      <c r="M720" s="378"/>
      <c r="N720" s="378"/>
      <c r="O720" s="378"/>
      <c r="P720" s="378"/>
      <c r="Q720" s="378"/>
      <c r="R720" s="378"/>
      <c r="S720" s="378"/>
      <c r="T720" s="378"/>
      <c r="U720" s="378"/>
      <c r="V720" s="378"/>
      <c r="W720" s="378"/>
      <c r="X720" s="378"/>
      <c r="Y720" s="378"/>
      <c r="Z720" s="378"/>
    </row>
    <row r="721" spans="1:26" ht="18">
      <c r="A721" s="378"/>
      <c r="B721" s="378"/>
      <c r="C721" s="378"/>
      <c r="D721" s="384"/>
      <c r="E721" s="378"/>
      <c r="F721" s="378"/>
      <c r="G721" s="378"/>
      <c r="H721" s="378"/>
      <c r="I721" s="378"/>
      <c r="J721" s="378"/>
      <c r="K721" s="378"/>
      <c r="L721" s="378"/>
      <c r="M721" s="378"/>
      <c r="N721" s="378"/>
      <c r="O721" s="378"/>
      <c r="P721" s="378"/>
      <c r="Q721" s="378"/>
      <c r="R721" s="378"/>
      <c r="S721" s="378"/>
      <c r="T721" s="378"/>
      <c r="U721" s="378"/>
      <c r="V721" s="378"/>
      <c r="W721" s="378"/>
      <c r="X721" s="378"/>
      <c r="Y721" s="378"/>
      <c r="Z721" s="378"/>
    </row>
    <row r="722" spans="1:26" ht="18">
      <c r="A722" s="378"/>
      <c r="B722" s="378"/>
      <c r="C722" s="378"/>
      <c r="D722" s="384"/>
      <c r="E722" s="378"/>
      <c r="F722" s="378"/>
      <c r="G722" s="378"/>
      <c r="H722" s="378"/>
      <c r="I722" s="378"/>
      <c r="J722" s="378"/>
      <c r="K722" s="378"/>
      <c r="L722" s="378"/>
      <c r="M722" s="378"/>
      <c r="N722" s="378"/>
      <c r="O722" s="378"/>
      <c r="P722" s="378"/>
      <c r="Q722" s="378"/>
      <c r="R722" s="378"/>
      <c r="S722" s="378"/>
      <c r="T722" s="378"/>
      <c r="U722" s="378"/>
      <c r="V722" s="378"/>
      <c r="W722" s="378"/>
      <c r="X722" s="378"/>
      <c r="Y722" s="378"/>
      <c r="Z722" s="378"/>
    </row>
    <row r="723" spans="1:26" ht="18">
      <c r="A723" s="378"/>
      <c r="B723" s="378"/>
      <c r="C723" s="378"/>
      <c r="D723" s="384"/>
      <c r="E723" s="378"/>
      <c r="F723" s="378"/>
      <c r="G723" s="378"/>
      <c r="H723" s="378"/>
      <c r="I723" s="378"/>
      <c r="J723" s="378"/>
      <c r="K723" s="378"/>
      <c r="L723" s="378"/>
      <c r="M723" s="378"/>
      <c r="N723" s="378"/>
      <c r="O723" s="378"/>
      <c r="P723" s="378"/>
      <c r="Q723" s="378"/>
      <c r="R723" s="378"/>
      <c r="S723" s="378"/>
      <c r="T723" s="378"/>
      <c r="U723" s="378"/>
      <c r="V723" s="378"/>
      <c r="W723" s="378"/>
      <c r="X723" s="378"/>
      <c r="Y723" s="378"/>
      <c r="Z723" s="378"/>
    </row>
    <row r="724" spans="1:26" ht="18">
      <c r="A724" s="378"/>
      <c r="B724" s="378"/>
      <c r="C724" s="378"/>
      <c r="D724" s="384"/>
      <c r="E724" s="378"/>
      <c r="F724" s="378"/>
      <c r="G724" s="378"/>
      <c r="H724" s="378"/>
      <c r="I724" s="378"/>
      <c r="J724" s="378"/>
      <c r="K724" s="378"/>
      <c r="L724" s="378"/>
      <c r="M724" s="378"/>
      <c r="N724" s="378"/>
      <c r="O724" s="378"/>
      <c r="P724" s="378"/>
      <c r="Q724" s="378"/>
      <c r="R724" s="378"/>
      <c r="S724" s="378"/>
      <c r="T724" s="378"/>
      <c r="U724" s="378"/>
      <c r="V724" s="378"/>
      <c r="W724" s="378"/>
      <c r="X724" s="378"/>
      <c r="Y724" s="378"/>
      <c r="Z724" s="378"/>
    </row>
    <row r="725" spans="1:26" ht="18">
      <c r="A725" s="378"/>
      <c r="B725" s="378"/>
      <c r="C725" s="378"/>
      <c r="D725" s="384"/>
      <c r="E725" s="378"/>
      <c r="F725" s="378"/>
      <c r="G725" s="378"/>
      <c r="H725" s="378"/>
      <c r="I725" s="378"/>
      <c r="J725" s="378"/>
      <c r="K725" s="378"/>
      <c r="L725" s="378"/>
      <c r="M725" s="378"/>
      <c r="N725" s="378"/>
      <c r="O725" s="378"/>
      <c r="P725" s="378"/>
      <c r="Q725" s="378"/>
      <c r="R725" s="378"/>
      <c r="S725" s="378"/>
      <c r="T725" s="378"/>
      <c r="U725" s="378"/>
      <c r="V725" s="378"/>
      <c r="W725" s="378"/>
      <c r="X725" s="378"/>
      <c r="Y725" s="378"/>
      <c r="Z725" s="378"/>
    </row>
    <row r="726" spans="1:26" ht="18">
      <c r="A726" s="378"/>
      <c r="B726" s="378"/>
      <c r="C726" s="378"/>
      <c r="D726" s="384"/>
      <c r="E726" s="378"/>
      <c r="F726" s="378"/>
      <c r="G726" s="378"/>
      <c r="H726" s="378"/>
      <c r="I726" s="378"/>
      <c r="J726" s="378"/>
      <c r="K726" s="378"/>
      <c r="L726" s="378"/>
      <c r="M726" s="378"/>
      <c r="N726" s="378"/>
      <c r="O726" s="378"/>
      <c r="P726" s="378"/>
      <c r="Q726" s="378"/>
      <c r="R726" s="378"/>
      <c r="S726" s="378"/>
      <c r="T726" s="378"/>
      <c r="U726" s="378"/>
      <c r="V726" s="378"/>
      <c r="W726" s="378"/>
      <c r="X726" s="378"/>
      <c r="Y726" s="378"/>
      <c r="Z726" s="378"/>
    </row>
    <row r="727" spans="1:26" ht="18">
      <c r="A727" s="378"/>
      <c r="B727" s="378"/>
      <c r="C727" s="378"/>
      <c r="D727" s="384"/>
      <c r="E727" s="378"/>
      <c r="F727" s="378"/>
      <c r="G727" s="378"/>
      <c r="H727" s="378"/>
      <c r="I727" s="378"/>
      <c r="J727" s="378"/>
      <c r="K727" s="378"/>
      <c r="L727" s="378"/>
      <c r="M727" s="378"/>
      <c r="N727" s="378"/>
      <c r="O727" s="378"/>
      <c r="P727" s="378"/>
      <c r="Q727" s="378"/>
      <c r="R727" s="378"/>
      <c r="S727" s="378"/>
      <c r="T727" s="378"/>
      <c r="U727" s="378"/>
      <c r="V727" s="378"/>
      <c r="W727" s="378"/>
      <c r="X727" s="378"/>
      <c r="Y727" s="378"/>
      <c r="Z727" s="378"/>
    </row>
    <row r="728" spans="1:26" ht="18">
      <c r="A728" s="378"/>
      <c r="B728" s="378"/>
      <c r="C728" s="378"/>
      <c r="D728" s="384"/>
      <c r="E728" s="378"/>
      <c r="F728" s="378"/>
      <c r="G728" s="378"/>
      <c r="H728" s="378"/>
      <c r="I728" s="378"/>
      <c r="J728" s="378"/>
      <c r="K728" s="378"/>
      <c r="L728" s="378"/>
      <c r="M728" s="378"/>
      <c r="N728" s="378"/>
      <c r="O728" s="378"/>
      <c r="P728" s="378"/>
      <c r="Q728" s="378"/>
      <c r="R728" s="378"/>
      <c r="S728" s="378"/>
      <c r="T728" s="378"/>
      <c r="U728" s="378"/>
      <c r="V728" s="378"/>
      <c r="W728" s="378"/>
      <c r="X728" s="378"/>
      <c r="Y728" s="378"/>
      <c r="Z728" s="378"/>
    </row>
    <row r="729" spans="1:26" ht="18">
      <c r="A729" s="378"/>
      <c r="B729" s="378"/>
      <c r="C729" s="378"/>
      <c r="D729" s="384"/>
      <c r="E729" s="378"/>
      <c r="F729" s="378"/>
      <c r="G729" s="378"/>
      <c r="H729" s="378"/>
      <c r="I729" s="378"/>
      <c r="J729" s="378"/>
      <c r="K729" s="378"/>
      <c r="L729" s="378"/>
      <c r="M729" s="378"/>
      <c r="N729" s="378"/>
      <c r="O729" s="378"/>
      <c r="P729" s="378"/>
      <c r="Q729" s="378"/>
      <c r="R729" s="378"/>
      <c r="S729" s="378"/>
      <c r="T729" s="378"/>
      <c r="U729" s="378"/>
      <c r="V729" s="378"/>
      <c r="W729" s="378"/>
      <c r="X729" s="378"/>
      <c r="Y729" s="378"/>
      <c r="Z729" s="378"/>
    </row>
    <row r="730" spans="1:26" ht="18">
      <c r="A730" s="378"/>
      <c r="B730" s="378"/>
      <c r="C730" s="378"/>
      <c r="D730" s="384"/>
      <c r="E730" s="378"/>
      <c r="F730" s="378"/>
      <c r="G730" s="378"/>
      <c r="H730" s="378"/>
      <c r="I730" s="378"/>
      <c r="J730" s="378"/>
      <c r="K730" s="378"/>
      <c r="L730" s="378"/>
      <c r="M730" s="378"/>
      <c r="N730" s="378"/>
      <c r="O730" s="378"/>
      <c r="P730" s="378"/>
      <c r="Q730" s="378"/>
      <c r="R730" s="378"/>
      <c r="S730" s="378"/>
      <c r="T730" s="378"/>
      <c r="U730" s="378"/>
      <c r="V730" s="378"/>
      <c r="W730" s="378"/>
      <c r="X730" s="378"/>
      <c r="Y730" s="378"/>
      <c r="Z730" s="378"/>
    </row>
    <row r="731" spans="1:26" ht="18">
      <c r="A731" s="378"/>
      <c r="B731" s="378"/>
      <c r="C731" s="378"/>
      <c r="D731" s="384"/>
      <c r="E731" s="378"/>
      <c r="F731" s="378"/>
      <c r="G731" s="378"/>
      <c r="H731" s="378"/>
      <c r="I731" s="378"/>
      <c r="J731" s="378"/>
      <c r="K731" s="378"/>
      <c r="L731" s="378"/>
      <c r="M731" s="378"/>
      <c r="N731" s="378"/>
      <c r="O731" s="378"/>
      <c r="P731" s="378"/>
      <c r="Q731" s="378"/>
      <c r="R731" s="378"/>
      <c r="S731" s="378"/>
      <c r="T731" s="378"/>
      <c r="U731" s="378"/>
      <c r="V731" s="378"/>
      <c r="W731" s="378"/>
      <c r="X731" s="378"/>
      <c r="Y731" s="378"/>
      <c r="Z731" s="378"/>
    </row>
    <row r="732" spans="1:26" ht="18">
      <c r="A732" s="378"/>
      <c r="B732" s="378"/>
      <c r="C732" s="378"/>
      <c r="D732" s="384"/>
      <c r="E732" s="378"/>
      <c r="F732" s="378"/>
      <c r="G732" s="378"/>
      <c r="H732" s="378"/>
      <c r="I732" s="378"/>
      <c r="J732" s="378"/>
      <c r="K732" s="378"/>
      <c r="L732" s="378"/>
      <c r="M732" s="378"/>
      <c r="N732" s="378"/>
      <c r="O732" s="378"/>
      <c r="P732" s="378"/>
      <c r="Q732" s="378"/>
      <c r="R732" s="378"/>
      <c r="S732" s="378"/>
      <c r="T732" s="378"/>
      <c r="U732" s="378"/>
      <c r="V732" s="378"/>
      <c r="W732" s="378"/>
      <c r="X732" s="378"/>
      <c r="Y732" s="378"/>
      <c r="Z732" s="378"/>
    </row>
    <row r="733" spans="1:26" ht="18">
      <c r="A733" s="378"/>
      <c r="B733" s="378"/>
      <c r="C733" s="378"/>
      <c r="D733" s="384"/>
      <c r="E733" s="378"/>
      <c r="F733" s="378"/>
      <c r="G733" s="378"/>
      <c r="H733" s="378"/>
      <c r="I733" s="378"/>
      <c r="J733" s="378"/>
      <c r="K733" s="378"/>
      <c r="L733" s="378"/>
      <c r="M733" s="378"/>
      <c r="N733" s="378"/>
      <c r="O733" s="378"/>
      <c r="P733" s="378"/>
      <c r="Q733" s="378"/>
      <c r="R733" s="378"/>
      <c r="S733" s="378"/>
      <c r="T733" s="378"/>
      <c r="U733" s="378"/>
      <c r="V733" s="378"/>
      <c r="W733" s="378"/>
      <c r="X733" s="378"/>
      <c r="Y733" s="378"/>
      <c r="Z733" s="378"/>
    </row>
    <row r="734" spans="1:26" ht="18">
      <c r="A734" s="378"/>
      <c r="B734" s="378"/>
      <c r="C734" s="378"/>
      <c r="D734" s="384"/>
      <c r="E734" s="378"/>
      <c r="F734" s="378"/>
      <c r="G734" s="378"/>
      <c r="H734" s="378"/>
      <c r="I734" s="378"/>
      <c r="J734" s="378"/>
      <c r="K734" s="378"/>
      <c r="L734" s="378"/>
      <c r="M734" s="378"/>
      <c r="N734" s="378"/>
      <c r="O734" s="378"/>
      <c r="P734" s="378"/>
      <c r="Q734" s="378"/>
      <c r="R734" s="378"/>
      <c r="S734" s="378"/>
      <c r="T734" s="378"/>
      <c r="U734" s="378"/>
      <c r="V734" s="378"/>
      <c r="W734" s="378"/>
      <c r="X734" s="378"/>
      <c r="Y734" s="378"/>
      <c r="Z734" s="378"/>
    </row>
    <row r="735" spans="1:26" ht="18">
      <c r="A735" s="378"/>
      <c r="B735" s="378"/>
      <c r="C735" s="378"/>
      <c r="D735" s="384"/>
      <c r="E735" s="378"/>
      <c r="F735" s="378"/>
      <c r="G735" s="378"/>
      <c r="H735" s="378"/>
      <c r="I735" s="378"/>
      <c r="J735" s="378"/>
      <c r="K735" s="378"/>
      <c r="L735" s="378"/>
      <c r="M735" s="378"/>
      <c r="N735" s="378"/>
      <c r="O735" s="378"/>
      <c r="P735" s="378"/>
      <c r="Q735" s="378"/>
      <c r="R735" s="378"/>
      <c r="S735" s="378"/>
      <c r="T735" s="378"/>
      <c r="U735" s="378"/>
      <c r="V735" s="378"/>
      <c r="W735" s="378"/>
      <c r="X735" s="378"/>
      <c r="Y735" s="378"/>
      <c r="Z735" s="378"/>
    </row>
    <row r="736" spans="1:26" ht="18">
      <c r="A736" s="378"/>
      <c r="B736" s="378"/>
      <c r="C736" s="378"/>
      <c r="D736" s="384"/>
      <c r="E736" s="378"/>
      <c r="F736" s="378"/>
      <c r="G736" s="378"/>
      <c r="H736" s="378"/>
      <c r="I736" s="378"/>
      <c r="J736" s="378"/>
      <c r="K736" s="378"/>
      <c r="L736" s="378"/>
      <c r="M736" s="378"/>
      <c r="N736" s="378"/>
      <c r="O736" s="378"/>
      <c r="P736" s="378"/>
      <c r="Q736" s="378"/>
      <c r="R736" s="378"/>
      <c r="S736" s="378"/>
      <c r="T736" s="378"/>
      <c r="U736" s="378"/>
      <c r="V736" s="378"/>
      <c r="W736" s="378"/>
      <c r="X736" s="378"/>
      <c r="Y736" s="378"/>
      <c r="Z736" s="378"/>
    </row>
    <row r="737" spans="1:26" ht="18">
      <c r="A737" s="378"/>
      <c r="B737" s="378"/>
      <c r="C737" s="378"/>
      <c r="D737" s="384"/>
      <c r="E737" s="378"/>
      <c r="F737" s="378"/>
      <c r="G737" s="378"/>
      <c r="H737" s="378"/>
      <c r="I737" s="378"/>
      <c r="J737" s="378"/>
      <c r="K737" s="378"/>
      <c r="L737" s="378"/>
      <c r="M737" s="378"/>
      <c r="N737" s="378"/>
      <c r="O737" s="378"/>
      <c r="P737" s="378"/>
      <c r="Q737" s="378"/>
      <c r="R737" s="378"/>
      <c r="S737" s="378"/>
      <c r="T737" s="378"/>
      <c r="U737" s="378"/>
      <c r="V737" s="378"/>
      <c r="W737" s="378"/>
      <c r="X737" s="378"/>
      <c r="Y737" s="378"/>
      <c r="Z737" s="378"/>
    </row>
    <row r="738" spans="1:26" ht="18">
      <c r="A738" s="378"/>
      <c r="B738" s="378"/>
      <c r="C738" s="378"/>
      <c r="D738" s="384"/>
      <c r="E738" s="378"/>
      <c r="F738" s="378"/>
      <c r="G738" s="378"/>
      <c r="H738" s="378"/>
      <c r="I738" s="378"/>
      <c r="J738" s="378"/>
      <c r="K738" s="378"/>
      <c r="L738" s="378"/>
      <c r="M738" s="378"/>
      <c r="N738" s="378"/>
      <c r="O738" s="378"/>
      <c r="P738" s="378"/>
      <c r="Q738" s="378"/>
      <c r="R738" s="378"/>
      <c r="S738" s="378"/>
      <c r="T738" s="378"/>
      <c r="U738" s="378"/>
      <c r="V738" s="378"/>
      <c r="W738" s="378"/>
      <c r="X738" s="378"/>
      <c r="Y738" s="378"/>
      <c r="Z738" s="378"/>
    </row>
    <row r="739" spans="1:26" ht="18">
      <c r="A739" s="378"/>
      <c r="B739" s="378"/>
      <c r="C739" s="378"/>
      <c r="D739" s="384"/>
      <c r="E739" s="378"/>
      <c r="F739" s="378"/>
      <c r="G739" s="378"/>
      <c r="H739" s="378"/>
      <c r="I739" s="378"/>
      <c r="J739" s="378"/>
      <c r="K739" s="378"/>
      <c r="L739" s="378"/>
      <c r="M739" s="378"/>
      <c r="N739" s="378"/>
      <c r="O739" s="378"/>
      <c r="P739" s="378"/>
      <c r="Q739" s="378"/>
      <c r="R739" s="378"/>
      <c r="S739" s="378"/>
      <c r="T739" s="378"/>
      <c r="U739" s="378"/>
      <c r="V739" s="378"/>
      <c r="W739" s="378"/>
      <c r="X739" s="378"/>
      <c r="Y739" s="378"/>
      <c r="Z739" s="378"/>
    </row>
    <row r="740" spans="1:26" ht="18">
      <c r="A740" s="378"/>
      <c r="B740" s="378"/>
      <c r="C740" s="378"/>
      <c r="D740" s="384"/>
      <c r="E740" s="378"/>
      <c r="F740" s="378"/>
      <c r="G740" s="378"/>
      <c r="H740" s="378"/>
      <c r="I740" s="378"/>
      <c r="J740" s="378"/>
      <c r="K740" s="378"/>
      <c r="L740" s="378"/>
      <c r="M740" s="378"/>
      <c r="N740" s="378"/>
      <c r="O740" s="378"/>
      <c r="P740" s="378"/>
      <c r="Q740" s="378"/>
      <c r="R740" s="378"/>
      <c r="S740" s="378"/>
      <c r="T740" s="378"/>
      <c r="U740" s="378"/>
      <c r="V740" s="378"/>
      <c r="W740" s="378"/>
      <c r="X740" s="378"/>
      <c r="Y740" s="378"/>
      <c r="Z740" s="378"/>
    </row>
    <row r="741" spans="1:26" ht="18">
      <c r="A741" s="378"/>
      <c r="B741" s="378"/>
      <c r="C741" s="378"/>
      <c r="D741" s="384"/>
      <c r="E741" s="378"/>
      <c r="F741" s="378"/>
      <c r="G741" s="378"/>
      <c r="H741" s="378"/>
      <c r="I741" s="378"/>
      <c r="J741" s="378"/>
      <c r="K741" s="378"/>
      <c r="L741" s="378"/>
      <c r="M741" s="378"/>
      <c r="N741" s="378"/>
      <c r="O741" s="378"/>
      <c r="P741" s="378"/>
      <c r="Q741" s="378"/>
      <c r="R741" s="378"/>
      <c r="S741" s="378"/>
      <c r="T741" s="378"/>
      <c r="U741" s="378"/>
      <c r="V741" s="378"/>
      <c r="W741" s="378"/>
      <c r="X741" s="378"/>
      <c r="Y741" s="378"/>
      <c r="Z741" s="378"/>
    </row>
    <row r="742" spans="1:26" ht="18">
      <c r="A742" s="378"/>
      <c r="B742" s="378"/>
      <c r="C742" s="378"/>
      <c r="D742" s="384"/>
      <c r="E742" s="378"/>
      <c r="F742" s="378"/>
      <c r="G742" s="378"/>
      <c r="H742" s="378"/>
      <c r="I742" s="378"/>
      <c r="J742" s="378"/>
      <c r="K742" s="378"/>
      <c r="L742" s="378"/>
      <c r="M742" s="378"/>
      <c r="N742" s="378"/>
      <c r="O742" s="378"/>
      <c r="P742" s="378"/>
      <c r="Q742" s="378"/>
      <c r="R742" s="378"/>
      <c r="S742" s="378"/>
      <c r="T742" s="378"/>
      <c r="U742" s="378"/>
      <c r="V742" s="378"/>
      <c r="W742" s="378"/>
      <c r="X742" s="378"/>
      <c r="Y742" s="378"/>
      <c r="Z742" s="378"/>
    </row>
    <row r="743" spans="1:26" ht="18">
      <c r="A743" s="378"/>
      <c r="B743" s="378"/>
      <c r="C743" s="378"/>
      <c r="D743" s="384"/>
      <c r="E743" s="378"/>
      <c r="F743" s="378"/>
      <c r="G743" s="378"/>
      <c r="H743" s="378"/>
      <c r="I743" s="378"/>
      <c r="J743" s="378"/>
      <c r="K743" s="378"/>
      <c r="L743" s="378"/>
      <c r="M743" s="378"/>
      <c r="N743" s="378"/>
      <c r="O743" s="378"/>
      <c r="P743" s="378"/>
      <c r="Q743" s="378"/>
      <c r="R743" s="378"/>
      <c r="S743" s="378"/>
      <c r="T743" s="378"/>
      <c r="U743" s="378"/>
      <c r="V743" s="378"/>
      <c r="W743" s="378"/>
      <c r="X743" s="378"/>
      <c r="Y743" s="378"/>
      <c r="Z743" s="378"/>
    </row>
    <row r="744" spans="1:26" ht="18">
      <c r="A744" s="378"/>
      <c r="B744" s="378"/>
      <c r="C744" s="378"/>
      <c r="D744" s="384"/>
      <c r="E744" s="378"/>
      <c r="F744" s="378"/>
      <c r="G744" s="378"/>
      <c r="H744" s="378"/>
      <c r="I744" s="378"/>
      <c r="J744" s="378"/>
      <c r="K744" s="378"/>
      <c r="L744" s="378"/>
      <c r="M744" s="378"/>
      <c r="N744" s="378"/>
      <c r="O744" s="378"/>
      <c r="P744" s="378"/>
      <c r="Q744" s="378"/>
      <c r="R744" s="378"/>
      <c r="S744" s="378"/>
      <c r="T744" s="378"/>
      <c r="U744" s="378"/>
      <c r="V744" s="378"/>
      <c r="W744" s="378"/>
      <c r="X744" s="378"/>
      <c r="Y744" s="378"/>
      <c r="Z744" s="378"/>
    </row>
    <row r="745" spans="1:26" ht="18">
      <c r="A745" s="378"/>
      <c r="B745" s="378"/>
      <c r="C745" s="378"/>
      <c r="D745" s="384"/>
      <c r="E745" s="378"/>
      <c r="F745" s="378"/>
      <c r="G745" s="378"/>
      <c r="H745" s="378"/>
      <c r="I745" s="378"/>
      <c r="J745" s="378"/>
      <c r="K745" s="378"/>
      <c r="L745" s="378"/>
      <c r="M745" s="378"/>
      <c r="N745" s="378"/>
      <c r="O745" s="378"/>
      <c r="P745" s="378"/>
      <c r="Q745" s="378"/>
      <c r="R745" s="378"/>
      <c r="S745" s="378"/>
      <c r="T745" s="378"/>
      <c r="U745" s="378"/>
      <c r="V745" s="378"/>
      <c r="W745" s="378"/>
      <c r="X745" s="378"/>
      <c r="Y745" s="378"/>
      <c r="Z745" s="378"/>
    </row>
    <row r="746" spans="1:26" ht="18">
      <c r="A746" s="378"/>
      <c r="B746" s="378"/>
      <c r="C746" s="378"/>
      <c r="D746" s="384"/>
      <c r="E746" s="378"/>
      <c r="F746" s="378"/>
      <c r="G746" s="378"/>
      <c r="H746" s="378"/>
      <c r="I746" s="378"/>
      <c r="J746" s="378"/>
      <c r="K746" s="378"/>
      <c r="L746" s="378"/>
      <c r="M746" s="378"/>
      <c r="N746" s="378"/>
      <c r="O746" s="378"/>
      <c r="P746" s="378"/>
      <c r="Q746" s="378"/>
      <c r="R746" s="378"/>
      <c r="S746" s="378"/>
      <c r="T746" s="378"/>
      <c r="U746" s="378"/>
      <c r="V746" s="378"/>
      <c r="W746" s="378"/>
      <c r="X746" s="378"/>
      <c r="Y746" s="378"/>
      <c r="Z746" s="378"/>
    </row>
    <row r="747" spans="1:26" ht="18">
      <c r="A747" s="378"/>
      <c r="B747" s="378"/>
      <c r="C747" s="378"/>
      <c r="D747" s="384"/>
      <c r="E747" s="378"/>
      <c r="F747" s="378"/>
      <c r="G747" s="378"/>
      <c r="H747" s="378"/>
      <c r="I747" s="378"/>
      <c r="J747" s="378"/>
      <c r="K747" s="378"/>
      <c r="L747" s="378"/>
      <c r="M747" s="378"/>
      <c r="N747" s="378"/>
      <c r="O747" s="378"/>
      <c r="P747" s="378"/>
      <c r="Q747" s="378"/>
      <c r="R747" s="378"/>
      <c r="S747" s="378"/>
      <c r="T747" s="378"/>
      <c r="U747" s="378"/>
      <c r="V747" s="378"/>
      <c r="W747" s="378"/>
      <c r="X747" s="378"/>
      <c r="Y747" s="378"/>
      <c r="Z747" s="378"/>
    </row>
    <row r="748" spans="1:26" ht="18">
      <c r="A748" s="378"/>
      <c r="B748" s="378"/>
      <c r="C748" s="378"/>
      <c r="D748" s="384"/>
      <c r="E748" s="378"/>
      <c r="F748" s="378"/>
      <c r="G748" s="378"/>
      <c r="H748" s="378"/>
      <c r="I748" s="378"/>
      <c r="J748" s="378"/>
      <c r="K748" s="378"/>
      <c r="L748" s="378"/>
      <c r="M748" s="378"/>
      <c r="N748" s="378"/>
      <c r="O748" s="378"/>
      <c r="P748" s="378"/>
      <c r="Q748" s="378"/>
      <c r="R748" s="378"/>
      <c r="S748" s="378"/>
      <c r="T748" s="378"/>
      <c r="U748" s="378"/>
      <c r="V748" s="378"/>
      <c r="W748" s="378"/>
      <c r="X748" s="378"/>
      <c r="Y748" s="378"/>
      <c r="Z748" s="378"/>
    </row>
    <row r="749" spans="1:26" ht="18">
      <c r="A749" s="378"/>
      <c r="B749" s="378"/>
      <c r="C749" s="378"/>
      <c r="D749" s="384"/>
      <c r="E749" s="378"/>
      <c r="F749" s="378"/>
      <c r="G749" s="378"/>
      <c r="H749" s="378"/>
      <c r="I749" s="378"/>
      <c r="J749" s="378"/>
      <c r="K749" s="378"/>
      <c r="L749" s="378"/>
      <c r="M749" s="378"/>
      <c r="N749" s="378"/>
      <c r="O749" s="378"/>
      <c r="P749" s="378"/>
      <c r="Q749" s="378"/>
      <c r="R749" s="378"/>
      <c r="S749" s="378"/>
      <c r="T749" s="378"/>
      <c r="U749" s="378"/>
      <c r="V749" s="378"/>
      <c r="W749" s="378"/>
      <c r="X749" s="378"/>
      <c r="Y749" s="378"/>
      <c r="Z749" s="378"/>
    </row>
    <row r="750" spans="1:26" ht="18">
      <c r="A750" s="378"/>
      <c r="B750" s="378"/>
      <c r="C750" s="378"/>
      <c r="D750" s="384"/>
      <c r="E750" s="378"/>
      <c r="F750" s="378"/>
      <c r="G750" s="378"/>
      <c r="H750" s="378"/>
      <c r="I750" s="378"/>
      <c r="J750" s="378"/>
      <c r="K750" s="378"/>
      <c r="L750" s="378"/>
      <c r="M750" s="378"/>
      <c r="N750" s="378"/>
      <c r="O750" s="378"/>
      <c r="P750" s="378"/>
      <c r="Q750" s="378"/>
      <c r="R750" s="378"/>
      <c r="S750" s="378"/>
      <c r="T750" s="378"/>
      <c r="U750" s="378"/>
      <c r="V750" s="378"/>
      <c r="W750" s="378"/>
      <c r="X750" s="378"/>
      <c r="Y750" s="378"/>
      <c r="Z750" s="378"/>
    </row>
    <row r="751" spans="1:26" ht="18">
      <c r="A751" s="378"/>
      <c r="B751" s="378"/>
      <c r="C751" s="378"/>
      <c r="D751" s="384"/>
      <c r="E751" s="378"/>
      <c r="F751" s="378"/>
      <c r="G751" s="378"/>
      <c r="H751" s="378"/>
      <c r="I751" s="378"/>
      <c r="J751" s="378"/>
      <c r="K751" s="378"/>
      <c r="L751" s="378"/>
      <c r="M751" s="378"/>
      <c r="N751" s="378"/>
      <c r="O751" s="378"/>
      <c r="P751" s="378"/>
      <c r="Q751" s="378"/>
      <c r="R751" s="378"/>
      <c r="S751" s="378"/>
      <c r="T751" s="378"/>
      <c r="U751" s="378"/>
      <c r="V751" s="378"/>
      <c r="W751" s="378"/>
      <c r="X751" s="378"/>
      <c r="Y751" s="378"/>
      <c r="Z751" s="378"/>
    </row>
    <row r="752" spans="1:26" ht="18">
      <c r="A752" s="378"/>
      <c r="B752" s="378"/>
      <c r="C752" s="378"/>
      <c r="D752" s="384"/>
      <c r="E752" s="378"/>
      <c r="F752" s="378"/>
      <c r="G752" s="378"/>
      <c r="H752" s="378"/>
      <c r="I752" s="378"/>
      <c r="J752" s="378"/>
      <c r="K752" s="378"/>
      <c r="L752" s="378"/>
      <c r="M752" s="378"/>
      <c r="N752" s="378"/>
      <c r="O752" s="378"/>
      <c r="P752" s="378"/>
      <c r="Q752" s="378"/>
      <c r="R752" s="378"/>
      <c r="S752" s="378"/>
      <c r="T752" s="378"/>
      <c r="U752" s="378"/>
      <c r="V752" s="378"/>
      <c r="W752" s="378"/>
      <c r="X752" s="378"/>
      <c r="Y752" s="378"/>
      <c r="Z752" s="378"/>
    </row>
    <row r="753" spans="1:26" ht="18">
      <c r="A753" s="378"/>
      <c r="B753" s="378"/>
      <c r="C753" s="378"/>
      <c r="D753" s="384"/>
      <c r="E753" s="378"/>
      <c r="F753" s="378"/>
      <c r="G753" s="378"/>
      <c r="H753" s="378"/>
      <c r="I753" s="378"/>
      <c r="J753" s="378"/>
      <c r="K753" s="378"/>
      <c r="L753" s="378"/>
      <c r="M753" s="378"/>
      <c r="N753" s="378"/>
      <c r="O753" s="378"/>
      <c r="P753" s="378"/>
      <c r="Q753" s="378"/>
      <c r="R753" s="378"/>
      <c r="S753" s="378"/>
      <c r="T753" s="378"/>
      <c r="U753" s="378"/>
      <c r="V753" s="378"/>
      <c r="W753" s="378"/>
      <c r="X753" s="378"/>
      <c r="Y753" s="378"/>
      <c r="Z753" s="378"/>
    </row>
    <row r="754" spans="1:26" ht="18">
      <c r="A754" s="378"/>
      <c r="B754" s="378"/>
      <c r="C754" s="378"/>
      <c r="D754" s="384"/>
      <c r="E754" s="378"/>
      <c r="F754" s="378"/>
      <c r="G754" s="378"/>
      <c r="H754" s="378"/>
      <c r="I754" s="378"/>
      <c r="J754" s="378"/>
      <c r="K754" s="378"/>
      <c r="L754" s="378"/>
      <c r="M754" s="378"/>
      <c r="N754" s="378"/>
      <c r="O754" s="378"/>
      <c r="P754" s="378"/>
      <c r="Q754" s="378"/>
      <c r="R754" s="378"/>
      <c r="S754" s="378"/>
      <c r="T754" s="378"/>
      <c r="U754" s="378"/>
      <c r="V754" s="378"/>
      <c r="W754" s="378"/>
      <c r="X754" s="378"/>
      <c r="Y754" s="378"/>
      <c r="Z754" s="378"/>
    </row>
    <row r="755" spans="1:26" ht="18">
      <c r="A755" s="378"/>
      <c r="B755" s="378"/>
      <c r="C755" s="378"/>
      <c r="D755" s="384"/>
      <c r="E755" s="378"/>
      <c r="F755" s="378"/>
      <c r="G755" s="378"/>
      <c r="H755" s="378"/>
      <c r="I755" s="378"/>
      <c r="J755" s="378"/>
      <c r="K755" s="378"/>
      <c r="L755" s="378"/>
      <c r="M755" s="378"/>
      <c r="N755" s="378"/>
      <c r="O755" s="378"/>
      <c r="P755" s="378"/>
      <c r="Q755" s="378"/>
      <c r="R755" s="378"/>
      <c r="S755" s="378"/>
      <c r="T755" s="378"/>
      <c r="U755" s="378"/>
      <c r="V755" s="378"/>
      <c r="W755" s="378"/>
      <c r="X755" s="378"/>
      <c r="Y755" s="378"/>
      <c r="Z755" s="378"/>
    </row>
    <row r="756" spans="1:26" ht="18">
      <c r="A756" s="378"/>
      <c r="B756" s="378"/>
      <c r="C756" s="378"/>
      <c r="D756" s="384"/>
      <c r="E756" s="378"/>
      <c r="F756" s="378"/>
      <c r="G756" s="378"/>
      <c r="H756" s="378"/>
      <c r="I756" s="378"/>
      <c r="J756" s="378"/>
      <c r="K756" s="378"/>
      <c r="L756" s="378"/>
      <c r="M756" s="378"/>
      <c r="N756" s="378"/>
      <c r="O756" s="378"/>
      <c r="P756" s="378"/>
      <c r="Q756" s="378"/>
      <c r="R756" s="378"/>
      <c r="S756" s="378"/>
      <c r="T756" s="378"/>
      <c r="U756" s="378"/>
      <c r="V756" s="378"/>
      <c r="W756" s="378"/>
      <c r="X756" s="378"/>
      <c r="Y756" s="378"/>
      <c r="Z756" s="378"/>
    </row>
    <row r="757" spans="1:26" ht="18">
      <c r="A757" s="378"/>
      <c r="B757" s="378"/>
      <c r="C757" s="378"/>
      <c r="D757" s="384"/>
      <c r="E757" s="378"/>
      <c r="F757" s="378"/>
      <c r="G757" s="378"/>
      <c r="H757" s="378"/>
      <c r="I757" s="378"/>
      <c r="J757" s="378"/>
      <c r="K757" s="378"/>
      <c r="L757" s="378"/>
      <c r="M757" s="378"/>
      <c r="N757" s="378"/>
      <c r="O757" s="378"/>
      <c r="P757" s="378"/>
      <c r="Q757" s="378"/>
      <c r="R757" s="378"/>
      <c r="S757" s="378"/>
      <c r="T757" s="378"/>
      <c r="U757" s="378"/>
      <c r="V757" s="378"/>
      <c r="W757" s="378"/>
      <c r="X757" s="378"/>
      <c r="Y757" s="378"/>
      <c r="Z757" s="378"/>
    </row>
    <row r="758" spans="1:26" ht="18">
      <c r="A758" s="378"/>
      <c r="B758" s="378"/>
      <c r="C758" s="378"/>
      <c r="D758" s="384"/>
      <c r="E758" s="378"/>
      <c r="F758" s="378"/>
      <c r="G758" s="378"/>
      <c r="H758" s="378"/>
      <c r="I758" s="378"/>
      <c r="J758" s="378"/>
      <c r="K758" s="378"/>
      <c r="L758" s="378"/>
      <c r="M758" s="378"/>
      <c r="N758" s="378"/>
      <c r="O758" s="378"/>
      <c r="P758" s="378"/>
      <c r="Q758" s="378"/>
      <c r="R758" s="378"/>
      <c r="S758" s="378"/>
      <c r="T758" s="378"/>
      <c r="U758" s="378"/>
      <c r="V758" s="378"/>
      <c r="W758" s="378"/>
      <c r="X758" s="378"/>
      <c r="Y758" s="378"/>
      <c r="Z758" s="378"/>
    </row>
    <row r="759" spans="1:26" ht="18">
      <c r="A759" s="378"/>
      <c r="B759" s="378"/>
      <c r="C759" s="378"/>
      <c r="D759" s="384"/>
      <c r="E759" s="378"/>
      <c r="F759" s="378"/>
      <c r="G759" s="378"/>
      <c r="H759" s="378"/>
      <c r="I759" s="378"/>
      <c r="J759" s="378"/>
      <c r="K759" s="378"/>
      <c r="L759" s="378"/>
      <c r="M759" s="378"/>
      <c r="N759" s="378"/>
      <c r="O759" s="378"/>
      <c r="P759" s="378"/>
      <c r="Q759" s="378"/>
      <c r="R759" s="378"/>
      <c r="S759" s="378"/>
      <c r="T759" s="378"/>
      <c r="U759" s="378"/>
      <c r="V759" s="378"/>
      <c r="W759" s="378"/>
      <c r="X759" s="378"/>
      <c r="Y759" s="378"/>
      <c r="Z759" s="378"/>
    </row>
    <row r="760" spans="1:26" ht="18">
      <c r="A760" s="378"/>
      <c r="B760" s="378"/>
      <c r="C760" s="378"/>
      <c r="D760" s="384"/>
      <c r="E760" s="378"/>
      <c r="F760" s="378"/>
      <c r="G760" s="378"/>
      <c r="H760" s="378"/>
      <c r="I760" s="378"/>
      <c r="J760" s="378"/>
      <c r="K760" s="378"/>
      <c r="L760" s="378"/>
      <c r="M760" s="378"/>
      <c r="N760" s="378"/>
      <c r="O760" s="378"/>
      <c r="P760" s="378"/>
      <c r="Q760" s="378"/>
      <c r="R760" s="378"/>
      <c r="S760" s="378"/>
      <c r="T760" s="378"/>
      <c r="U760" s="378"/>
      <c r="V760" s="378"/>
      <c r="W760" s="378"/>
      <c r="X760" s="378"/>
      <c r="Y760" s="378"/>
      <c r="Z760" s="378"/>
    </row>
    <row r="761" spans="1:26" ht="18">
      <c r="A761" s="378"/>
      <c r="B761" s="378"/>
      <c r="C761" s="378"/>
      <c r="D761" s="384"/>
      <c r="E761" s="378"/>
      <c r="F761" s="378"/>
      <c r="G761" s="378"/>
      <c r="H761" s="378"/>
      <c r="I761" s="378"/>
      <c r="J761" s="378"/>
      <c r="K761" s="378"/>
      <c r="L761" s="378"/>
      <c r="M761" s="378"/>
      <c r="N761" s="378"/>
      <c r="O761" s="378"/>
      <c r="P761" s="378"/>
      <c r="Q761" s="378"/>
      <c r="R761" s="378"/>
      <c r="S761" s="378"/>
      <c r="T761" s="378"/>
      <c r="U761" s="378"/>
      <c r="V761" s="378"/>
      <c r="W761" s="378"/>
      <c r="X761" s="378"/>
      <c r="Y761" s="378"/>
      <c r="Z761" s="378"/>
    </row>
    <row r="762" spans="1:26" ht="18">
      <c r="A762" s="378"/>
      <c r="B762" s="378"/>
      <c r="C762" s="378"/>
      <c r="D762" s="384"/>
      <c r="E762" s="378"/>
      <c r="F762" s="378"/>
      <c r="G762" s="378"/>
      <c r="H762" s="378"/>
      <c r="I762" s="378"/>
      <c r="J762" s="378"/>
      <c r="K762" s="378"/>
      <c r="L762" s="378"/>
      <c r="M762" s="378"/>
      <c r="N762" s="378"/>
      <c r="O762" s="378"/>
      <c r="P762" s="378"/>
      <c r="Q762" s="378"/>
      <c r="R762" s="378"/>
      <c r="S762" s="378"/>
      <c r="T762" s="378"/>
      <c r="U762" s="378"/>
      <c r="V762" s="378"/>
      <c r="W762" s="378"/>
      <c r="X762" s="378"/>
      <c r="Y762" s="378"/>
      <c r="Z762" s="378"/>
    </row>
    <row r="763" spans="1:26" ht="18">
      <c r="A763" s="378"/>
      <c r="B763" s="378"/>
      <c r="C763" s="378"/>
      <c r="D763" s="384"/>
      <c r="E763" s="378"/>
      <c r="F763" s="378"/>
      <c r="G763" s="378"/>
      <c r="H763" s="378"/>
      <c r="I763" s="378"/>
      <c r="J763" s="378"/>
      <c r="K763" s="378"/>
      <c r="L763" s="378"/>
      <c r="M763" s="378"/>
      <c r="N763" s="378"/>
      <c r="O763" s="378"/>
      <c r="P763" s="378"/>
      <c r="Q763" s="378"/>
      <c r="R763" s="378"/>
      <c r="S763" s="378"/>
      <c r="T763" s="378"/>
      <c r="U763" s="378"/>
      <c r="V763" s="378"/>
      <c r="W763" s="378"/>
      <c r="X763" s="378"/>
      <c r="Y763" s="378"/>
      <c r="Z763" s="378"/>
    </row>
    <row r="764" spans="1:26" ht="18">
      <c r="A764" s="378"/>
      <c r="B764" s="378"/>
      <c r="C764" s="378"/>
      <c r="D764" s="384"/>
      <c r="E764" s="378"/>
      <c r="F764" s="378"/>
      <c r="G764" s="378"/>
      <c r="H764" s="378"/>
      <c r="I764" s="378"/>
      <c r="J764" s="378"/>
      <c r="K764" s="378"/>
      <c r="L764" s="378"/>
      <c r="M764" s="378"/>
      <c r="N764" s="378"/>
      <c r="O764" s="378"/>
      <c r="P764" s="378"/>
      <c r="Q764" s="378"/>
      <c r="R764" s="378"/>
      <c r="S764" s="378"/>
      <c r="T764" s="378"/>
      <c r="U764" s="378"/>
      <c r="V764" s="378"/>
      <c r="W764" s="378"/>
      <c r="X764" s="378"/>
      <c r="Y764" s="378"/>
      <c r="Z764" s="378"/>
    </row>
    <row r="765" spans="1:26" ht="18">
      <c r="A765" s="378"/>
      <c r="B765" s="378"/>
      <c r="C765" s="378"/>
      <c r="D765" s="384"/>
      <c r="E765" s="378"/>
      <c r="F765" s="378"/>
      <c r="G765" s="378"/>
      <c r="H765" s="378"/>
      <c r="I765" s="378"/>
      <c r="J765" s="378"/>
      <c r="K765" s="378"/>
      <c r="L765" s="378"/>
      <c r="M765" s="378"/>
      <c r="N765" s="378"/>
      <c r="O765" s="378"/>
      <c r="P765" s="378"/>
      <c r="Q765" s="378"/>
      <c r="R765" s="378"/>
      <c r="S765" s="378"/>
      <c r="T765" s="378"/>
      <c r="U765" s="378"/>
      <c r="V765" s="378"/>
      <c r="W765" s="378"/>
      <c r="X765" s="378"/>
      <c r="Y765" s="378"/>
      <c r="Z765" s="378"/>
    </row>
    <row r="766" spans="1:26" ht="18">
      <c r="A766" s="378"/>
      <c r="B766" s="378"/>
      <c r="C766" s="378"/>
      <c r="D766" s="384"/>
      <c r="E766" s="378"/>
      <c r="F766" s="378"/>
      <c r="G766" s="378"/>
      <c r="H766" s="378"/>
      <c r="I766" s="378"/>
      <c r="J766" s="378"/>
      <c r="K766" s="378"/>
      <c r="L766" s="378"/>
      <c r="M766" s="378"/>
      <c r="N766" s="378"/>
      <c r="O766" s="378"/>
      <c r="P766" s="378"/>
      <c r="Q766" s="378"/>
      <c r="R766" s="378"/>
      <c r="S766" s="378"/>
      <c r="T766" s="378"/>
      <c r="U766" s="378"/>
      <c r="V766" s="378"/>
      <c r="W766" s="378"/>
      <c r="X766" s="378"/>
      <c r="Y766" s="378"/>
      <c r="Z766" s="378"/>
    </row>
    <row r="767" spans="1:26" ht="18">
      <c r="A767" s="378"/>
      <c r="B767" s="378"/>
      <c r="C767" s="378"/>
      <c r="D767" s="384"/>
      <c r="E767" s="378"/>
      <c r="F767" s="378"/>
      <c r="G767" s="378"/>
      <c r="H767" s="378"/>
      <c r="I767" s="378"/>
      <c r="J767" s="378"/>
      <c r="K767" s="378"/>
      <c r="L767" s="378"/>
      <c r="M767" s="378"/>
      <c r="N767" s="378"/>
      <c r="O767" s="378"/>
      <c r="P767" s="378"/>
      <c r="Q767" s="378"/>
      <c r="R767" s="378"/>
      <c r="S767" s="378"/>
      <c r="T767" s="378"/>
      <c r="U767" s="378"/>
      <c r="V767" s="378"/>
      <c r="W767" s="378"/>
      <c r="X767" s="378"/>
      <c r="Y767" s="378"/>
      <c r="Z767" s="378"/>
    </row>
    <row r="768" spans="1:26" ht="18">
      <c r="A768" s="378"/>
      <c r="B768" s="378"/>
      <c r="C768" s="378"/>
      <c r="D768" s="384"/>
      <c r="E768" s="378"/>
      <c r="F768" s="378"/>
      <c r="G768" s="378"/>
      <c r="H768" s="378"/>
      <c r="I768" s="378"/>
      <c r="J768" s="378"/>
      <c r="K768" s="378"/>
      <c r="L768" s="378"/>
      <c r="M768" s="378"/>
      <c r="N768" s="378"/>
      <c r="O768" s="378"/>
      <c r="P768" s="378"/>
      <c r="Q768" s="378"/>
      <c r="R768" s="378"/>
      <c r="S768" s="378"/>
      <c r="T768" s="378"/>
      <c r="U768" s="378"/>
      <c r="V768" s="378"/>
      <c r="W768" s="378"/>
      <c r="X768" s="378"/>
      <c r="Y768" s="378"/>
      <c r="Z768" s="378"/>
    </row>
    <row r="769" spans="1:26" ht="18">
      <c r="A769" s="378"/>
      <c r="B769" s="378"/>
      <c r="C769" s="378"/>
      <c r="D769" s="384"/>
      <c r="E769" s="378"/>
      <c r="F769" s="378"/>
      <c r="G769" s="378"/>
      <c r="H769" s="378"/>
      <c r="I769" s="378"/>
      <c r="J769" s="378"/>
      <c r="K769" s="378"/>
      <c r="L769" s="378"/>
      <c r="M769" s="378"/>
      <c r="N769" s="378"/>
      <c r="O769" s="378"/>
      <c r="P769" s="378"/>
      <c r="Q769" s="378"/>
      <c r="R769" s="378"/>
      <c r="S769" s="378"/>
      <c r="T769" s="378"/>
      <c r="U769" s="378"/>
      <c r="V769" s="378"/>
      <c r="W769" s="378"/>
      <c r="X769" s="378"/>
      <c r="Y769" s="378"/>
      <c r="Z769" s="378"/>
    </row>
    <row r="770" spans="1:26" ht="18">
      <c r="A770" s="378"/>
      <c r="B770" s="378"/>
      <c r="C770" s="378"/>
      <c r="D770" s="384"/>
      <c r="E770" s="378"/>
      <c r="F770" s="378"/>
      <c r="G770" s="378"/>
      <c r="H770" s="378"/>
      <c r="I770" s="378"/>
      <c r="J770" s="378"/>
      <c r="K770" s="378"/>
      <c r="L770" s="378"/>
      <c r="M770" s="378"/>
      <c r="N770" s="378"/>
      <c r="O770" s="378"/>
      <c r="P770" s="378"/>
      <c r="Q770" s="378"/>
      <c r="R770" s="378"/>
      <c r="S770" s="378"/>
      <c r="T770" s="378"/>
      <c r="U770" s="378"/>
      <c r="V770" s="378"/>
      <c r="W770" s="378"/>
      <c r="X770" s="378"/>
      <c r="Y770" s="378"/>
      <c r="Z770" s="378"/>
    </row>
    <row r="771" spans="1:26" ht="18">
      <c r="A771" s="378"/>
      <c r="B771" s="378"/>
      <c r="C771" s="378"/>
      <c r="D771" s="384"/>
      <c r="E771" s="378"/>
      <c r="F771" s="378"/>
      <c r="G771" s="378"/>
      <c r="H771" s="378"/>
      <c r="I771" s="378"/>
      <c r="J771" s="378"/>
      <c r="K771" s="378"/>
      <c r="L771" s="378"/>
      <c r="M771" s="378"/>
      <c r="N771" s="378"/>
      <c r="O771" s="378"/>
      <c r="P771" s="378"/>
      <c r="Q771" s="378"/>
      <c r="R771" s="378"/>
      <c r="S771" s="378"/>
      <c r="T771" s="378"/>
      <c r="U771" s="378"/>
      <c r="V771" s="378"/>
      <c r="W771" s="378"/>
      <c r="X771" s="378"/>
      <c r="Y771" s="378"/>
      <c r="Z771" s="378"/>
    </row>
    <row r="772" spans="1:26" ht="18">
      <c r="A772" s="378"/>
      <c r="B772" s="378"/>
      <c r="C772" s="378"/>
      <c r="D772" s="384"/>
      <c r="E772" s="378"/>
      <c r="F772" s="378"/>
      <c r="G772" s="378"/>
      <c r="H772" s="378"/>
      <c r="I772" s="378"/>
      <c r="J772" s="378"/>
      <c r="K772" s="378"/>
      <c r="L772" s="378"/>
      <c r="M772" s="378"/>
      <c r="N772" s="378"/>
      <c r="O772" s="378"/>
      <c r="P772" s="378"/>
      <c r="Q772" s="378"/>
      <c r="R772" s="378"/>
      <c r="S772" s="378"/>
      <c r="T772" s="378"/>
      <c r="U772" s="378"/>
      <c r="V772" s="378"/>
      <c r="W772" s="378"/>
      <c r="X772" s="378"/>
      <c r="Y772" s="378"/>
      <c r="Z772" s="378"/>
    </row>
    <row r="773" spans="1:26" ht="18">
      <c r="A773" s="378"/>
      <c r="B773" s="378"/>
      <c r="C773" s="378"/>
      <c r="D773" s="384"/>
      <c r="E773" s="378"/>
      <c r="F773" s="378"/>
      <c r="G773" s="378"/>
      <c r="H773" s="378"/>
      <c r="I773" s="378"/>
      <c r="J773" s="378"/>
      <c r="K773" s="378"/>
      <c r="L773" s="378"/>
      <c r="M773" s="378"/>
      <c r="N773" s="378"/>
      <c r="O773" s="378"/>
      <c r="P773" s="378"/>
      <c r="Q773" s="378"/>
      <c r="R773" s="378"/>
      <c r="S773" s="378"/>
      <c r="T773" s="378"/>
      <c r="U773" s="378"/>
      <c r="V773" s="378"/>
      <c r="W773" s="378"/>
      <c r="X773" s="378"/>
      <c r="Y773" s="378"/>
      <c r="Z773" s="378"/>
    </row>
    <row r="774" spans="1:26" ht="18">
      <c r="A774" s="378"/>
      <c r="B774" s="378"/>
      <c r="C774" s="378"/>
      <c r="D774" s="384"/>
      <c r="E774" s="378"/>
      <c r="F774" s="378"/>
      <c r="G774" s="378"/>
      <c r="H774" s="378"/>
      <c r="I774" s="378"/>
      <c r="J774" s="378"/>
      <c r="K774" s="378"/>
      <c r="L774" s="378"/>
      <c r="M774" s="378"/>
      <c r="N774" s="378"/>
      <c r="O774" s="378"/>
      <c r="P774" s="378"/>
      <c r="Q774" s="378"/>
      <c r="R774" s="378"/>
      <c r="S774" s="378"/>
      <c r="T774" s="378"/>
      <c r="U774" s="378"/>
      <c r="V774" s="378"/>
      <c r="W774" s="378"/>
      <c r="X774" s="378"/>
      <c r="Y774" s="378"/>
      <c r="Z774" s="378"/>
    </row>
    <row r="775" spans="1:26" ht="18">
      <c r="A775" s="378"/>
      <c r="B775" s="378"/>
      <c r="C775" s="378"/>
      <c r="D775" s="384"/>
      <c r="E775" s="378"/>
      <c r="F775" s="378"/>
      <c r="G775" s="378"/>
      <c r="H775" s="378"/>
      <c r="I775" s="378"/>
      <c r="J775" s="378"/>
      <c r="K775" s="378"/>
      <c r="L775" s="378"/>
      <c r="M775" s="378"/>
      <c r="N775" s="378"/>
      <c r="O775" s="378"/>
      <c r="P775" s="378"/>
      <c r="Q775" s="378"/>
      <c r="R775" s="378"/>
      <c r="S775" s="378"/>
      <c r="T775" s="378"/>
      <c r="U775" s="378"/>
      <c r="V775" s="378"/>
      <c r="W775" s="378"/>
      <c r="X775" s="378"/>
      <c r="Y775" s="378"/>
      <c r="Z775" s="378"/>
    </row>
    <row r="776" spans="1:26" ht="18">
      <c r="A776" s="378"/>
      <c r="B776" s="378"/>
      <c r="C776" s="378"/>
      <c r="D776" s="384"/>
      <c r="E776" s="378"/>
      <c r="F776" s="378"/>
      <c r="G776" s="378"/>
      <c r="H776" s="378"/>
      <c r="I776" s="378"/>
      <c r="J776" s="378"/>
      <c r="K776" s="378"/>
      <c r="L776" s="378"/>
      <c r="M776" s="378"/>
      <c r="N776" s="378"/>
      <c r="O776" s="378"/>
      <c r="P776" s="378"/>
      <c r="Q776" s="378"/>
      <c r="R776" s="378"/>
      <c r="S776" s="378"/>
      <c r="T776" s="378"/>
      <c r="U776" s="378"/>
      <c r="V776" s="378"/>
      <c r="W776" s="378"/>
      <c r="X776" s="378"/>
      <c r="Y776" s="378"/>
      <c r="Z776" s="378"/>
    </row>
    <row r="777" spans="1:26" ht="18">
      <c r="A777" s="378"/>
      <c r="B777" s="378"/>
      <c r="C777" s="378"/>
      <c r="D777" s="384"/>
      <c r="E777" s="378"/>
      <c r="F777" s="378"/>
      <c r="G777" s="378"/>
      <c r="H777" s="378"/>
      <c r="I777" s="378"/>
      <c r="J777" s="378"/>
      <c r="K777" s="378"/>
      <c r="L777" s="378"/>
      <c r="M777" s="378"/>
      <c r="N777" s="378"/>
      <c r="O777" s="378"/>
      <c r="P777" s="378"/>
      <c r="Q777" s="378"/>
      <c r="R777" s="378"/>
      <c r="S777" s="378"/>
      <c r="T777" s="378"/>
      <c r="U777" s="378"/>
      <c r="V777" s="378"/>
      <c r="W777" s="378"/>
      <c r="X777" s="378"/>
      <c r="Y777" s="378"/>
      <c r="Z777" s="378"/>
    </row>
    <row r="778" spans="1:26" ht="18">
      <c r="A778" s="378"/>
      <c r="B778" s="378"/>
      <c r="C778" s="378"/>
      <c r="D778" s="384"/>
      <c r="E778" s="378"/>
      <c r="F778" s="378"/>
      <c r="G778" s="378"/>
      <c r="H778" s="378"/>
      <c r="I778" s="378"/>
      <c r="J778" s="378"/>
      <c r="K778" s="378"/>
      <c r="L778" s="378"/>
      <c r="M778" s="378"/>
      <c r="N778" s="378"/>
      <c r="O778" s="378"/>
      <c r="P778" s="378"/>
      <c r="Q778" s="378"/>
      <c r="R778" s="378"/>
      <c r="S778" s="378"/>
      <c r="T778" s="378"/>
      <c r="U778" s="378"/>
      <c r="V778" s="378"/>
      <c r="W778" s="378"/>
      <c r="X778" s="378"/>
      <c r="Y778" s="378"/>
      <c r="Z778" s="378"/>
    </row>
    <row r="779" spans="1:26" ht="18">
      <c r="A779" s="378"/>
      <c r="B779" s="378"/>
      <c r="C779" s="378"/>
      <c r="D779" s="384"/>
      <c r="E779" s="378"/>
      <c r="F779" s="378"/>
      <c r="G779" s="378"/>
      <c r="H779" s="378"/>
      <c r="I779" s="378"/>
      <c r="J779" s="378"/>
      <c r="K779" s="378"/>
      <c r="L779" s="378"/>
      <c r="M779" s="378"/>
      <c r="N779" s="378"/>
      <c r="O779" s="378"/>
      <c r="P779" s="378"/>
      <c r="Q779" s="378"/>
      <c r="R779" s="378"/>
      <c r="S779" s="378"/>
      <c r="T779" s="378"/>
      <c r="U779" s="378"/>
      <c r="V779" s="378"/>
      <c r="W779" s="378"/>
      <c r="X779" s="378"/>
      <c r="Y779" s="378"/>
      <c r="Z779" s="378"/>
    </row>
    <row r="780" spans="1:26" ht="18">
      <c r="A780" s="378"/>
      <c r="B780" s="378"/>
      <c r="C780" s="378"/>
      <c r="D780" s="384"/>
      <c r="E780" s="378"/>
      <c r="F780" s="378"/>
      <c r="G780" s="378"/>
      <c r="H780" s="378"/>
      <c r="I780" s="378"/>
      <c r="J780" s="378"/>
      <c r="K780" s="378"/>
      <c r="L780" s="378"/>
      <c r="M780" s="378"/>
      <c r="N780" s="378"/>
      <c r="O780" s="378"/>
      <c r="P780" s="378"/>
      <c r="Q780" s="378"/>
      <c r="R780" s="378"/>
      <c r="S780" s="378"/>
      <c r="T780" s="378"/>
      <c r="U780" s="378"/>
      <c r="V780" s="378"/>
      <c r="W780" s="378"/>
      <c r="X780" s="378"/>
      <c r="Y780" s="378"/>
      <c r="Z780" s="378"/>
    </row>
    <row r="781" spans="1:26" ht="18">
      <c r="A781" s="378"/>
      <c r="B781" s="378"/>
      <c r="C781" s="378"/>
      <c r="D781" s="384"/>
      <c r="E781" s="378"/>
      <c r="F781" s="378"/>
      <c r="G781" s="378"/>
      <c r="H781" s="378"/>
      <c r="I781" s="378"/>
      <c r="J781" s="378"/>
      <c r="K781" s="378"/>
      <c r="L781" s="378"/>
      <c r="M781" s="378"/>
      <c r="N781" s="378"/>
      <c r="O781" s="378"/>
      <c r="P781" s="378"/>
      <c r="Q781" s="378"/>
      <c r="R781" s="378"/>
      <c r="S781" s="378"/>
      <c r="T781" s="378"/>
      <c r="U781" s="378"/>
      <c r="V781" s="378"/>
      <c r="W781" s="378"/>
      <c r="X781" s="378"/>
      <c r="Y781" s="378"/>
      <c r="Z781" s="378"/>
    </row>
    <row r="782" spans="1:26" ht="18">
      <c r="A782" s="378"/>
      <c r="B782" s="378"/>
      <c r="C782" s="378"/>
      <c r="D782" s="384"/>
      <c r="E782" s="378"/>
      <c r="F782" s="378"/>
      <c r="G782" s="378"/>
      <c r="H782" s="378"/>
      <c r="I782" s="378"/>
      <c r="J782" s="378"/>
      <c r="K782" s="378"/>
      <c r="L782" s="378"/>
      <c r="M782" s="378"/>
      <c r="N782" s="378"/>
      <c r="O782" s="378"/>
      <c r="P782" s="378"/>
      <c r="Q782" s="378"/>
      <c r="R782" s="378"/>
      <c r="S782" s="378"/>
      <c r="T782" s="378"/>
      <c r="U782" s="378"/>
      <c r="V782" s="378"/>
      <c r="W782" s="378"/>
      <c r="X782" s="378"/>
      <c r="Y782" s="378"/>
      <c r="Z782" s="378"/>
    </row>
    <row r="783" spans="1:26" ht="18">
      <c r="A783" s="378"/>
      <c r="B783" s="378"/>
      <c r="C783" s="378"/>
      <c r="D783" s="384"/>
      <c r="E783" s="378"/>
      <c r="F783" s="378"/>
      <c r="G783" s="378"/>
      <c r="H783" s="378"/>
      <c r="I783" s="378"/>
      <c r="J783" s="378"/>
      <c r="K783" s="378"/>
      <c r="L783" s="378"/>
      <c r="M783" s="378"/>
      <c r="N783" s="378"/>
      <c r="O783" s="378"/>
      <c r="P783" s="378"/>
      <c r="Q783" s="378"/>
      <c r="R783" s="378"/>
      <c r="S783" s="378"/>
      <c r="T783" s="378"/>
      <c r="U783" s="378"/>
      <c r="V783" s="378"/>
      <c r="W783" s="378"/>
      <c r="X783" s="378"/>
      <c r="Y783" s="378"/>
      <c r="Z783" s="378"/>
    </row>
    <row r="784" spans="1:26" ht="18">
      <c r="A784" s="378"/>
      <c r="B784" s="378"/>
      <c r="C784" s="378"/>
      <c r="D784" s="384"/>
      <c r="E784" s="378"/>
      <c r="F784" s="378"/>
      <c r="G784" s="378"/>
      <c r="H784" s="378"/>
      <c r="I784" s="378"/>
      <c r="J784" s="378"/>
      <c r="K784" s="378"/>
      <c r="L784" s="378"/>
      <c r="M784" s="378"/>
      <c r="N784" s="378"/>
      <c r="O784" s="378"/>
      <c r="P784" s="378"/>
      <c r="Q784" s="378"/>
      <c r="R784" s="378"/>
      <c r="S784" s="378"/>
      <c r="T784" s="378"/>
      <c r="U784" s="378"/>
      <c r="V784" s="378"/>
      <c r="W784" s="378"/>
      <c r="X784" s="378"/>
      <c r="Y784" s="378"/>
      <c r="Z784" s="378"/>
    </row>
    <row r="785" spans="1:26" ht="18">
      <c r="A785" s="378"/>
      <c r="B785" s="378"/>
      <c r="C785" s="378"/>
      <c r="D785" s="384"/>
      <c r="E785" s="378"/>
      <c r="F785" s="378"/>
      <c r="G785" s="378"/>
      <c r="H785" s="378"/>
      <c r="I785" s="378"/>
      <c r="J785" s="378"/>
      <c r="K785" s="378"/>
      <c r="L785" s="378"/>
      <c r="M785" s="378"/>
      <c r="N785" s="378"/>
      <c r="O785" s="378"/>
      <c r="P785" s="378"/>
      <c r="Q785" s="378"/>
      <c r="R785" s="378"/>
      <c r="S785" s="378"/>
      <c r="T785" s="378"/>
      <c r="U785" s="378"/>
      <c r="V785" s="378"/>
      <c r="W785" s="378"/>
      <c r="X785" s="378"/>
      <c r="Y785" s="378"/>
      <c r="Z785" s="378"/>
    </row>
    <row r="786" spans="1:26" ht="18">
      <c r="A786" s="378"/>
      <c r="B786" s="378"/>
      <c r="C786" s="378"/>
      <c r="D786" s="384"/>
      <c r="E786" s="378"/>
      <c r="F786" s="378"/>
      <c r="G786" s="378"/>
      <c r="H786" s="378"/>
      <c r="I786" s="378"/>
      <c r="J786" s="378"/>
      <c r="K786" s="378"/>
      <c r="L786" s="378"/>
      <c r="M786" s="378"/>
      <c r="N786" s="378"/>
      <c r="O786" s="378"/>
      <c r="P786" s="378"/>
      <c r="Q786" s="378"/>
      <c r="R786" s="378"/>
      <c r="S786" s="378"/>
      <c r="T786" s="378"/>
      <c r="U786" s="378"/>
      <c r="V786" s="378"/>
      <c r="W786" s="378"/>
      <c r="X786" s="378"/>
      <c r="Y786" s="378"/>
      <c r="Z786" s="378"/>
    </row>
    <row r="787" spans="1:26" ht="18">
      <c r="A787" s="378"/>
      <c r="B787" s="378"/>
      <c r="C787" s="378"/>
      <c r="D787" s="384"/>
      <c r="E787" s="378"/>
      <c r="F787" s="378"/>
      <c r="G787" s="378"/>
      <c r="H787" s="378"/>
      <c r="I787" s="378"/>
      <c r="J787" s="378"/>
      <c r="K787" s="378"/>
      <c r="L787" s="378"/>
      <c r="M787" s="378"/>
      <c r="N787" s="378"/>
      <c r="O787" s="378"/>
      <c r="P787" s="378"/>
      <c r="Q787" s="378"/>
      <c r="R787" s="378"/>
      <c r="S787" s="378"/>
      <c r="T787" s="378"/>
      <c r="U787" s="378"/>
      <c r="V787" s="378"/>
      <c r="W787" s="378"/>
      <c r="X787" s="378"/>
      <c r="Y787" s="378"/>
      <c r="Z787" s="378"/>
    </row>
    <row r="788" spans="1:26" ht="18">
      <c r="A788" s="378"/>
      <c r="B788" s="378"/>
      <c r="C788" s="378"/>
      <c r="D788" s="384"/>
      <c r="E788" s="378"/>
      <c r="F788" s="378"/>
      <c r="G788" s="378"/>
      <c r="H788" s="378"/>
      <c r="I788" s="378"/>
      <c r="J788" s="378"/>
      <c r="K788" s="378"/>
      <c r="L788" s="378"/>
      <c r="M788" s="378"/>
      <c r="N788" s="378"/>
      <c r="O788" s="378"/>
      <c r="P788" s="378"/>
      <c r="Q788" s="378"/>
      <c r="R788" s="378"/>
      <c r="S788" s="378"/>
      <c r="T788" s="378"/>
      <c r="U788" s="378"/>
      <c r="V788" s="378"/>
      <c r="W788" s="378"/>
      <c r="X788" s="378"/>
      <c r="Y788" s="378"/>
      <c r="Z788" s="378"/>
    </row>
    <row r="789" spans="1:26" ht="18">
      <c r="A789" s="378"/>
      <c r="B789" s="378"/>
      <c r="C789" s="378"/>
      <c r="D789" s="384"/>
      <c r="E789" s="378"/>
      <c r="F789" s="378"/>
      <c r="G789" s="378"/>
      <c r="H789" s="378"/>
      <c r="I789" s="378"/>
      <c r="J789" s="378"/>
      <c r="K789" s="378"/>
      <c r="L789" s="378"/>
      <c r="M789" s="378"/>
      <c r="N789" s="378"/>
      <c r="O789" s="378"/>
      <c r="P789" s="378"/>
      <c r="Q789" s="378"/>
      <c r="R789" s="378"/>
      <c r="S789" s="378"/>
      <c r="T789" s="378"/>
      <c r="U789" s="378"/>
      <c r="V789" s="378"/>
      <c r="W789" s="378"/>
      <c r="X789" s="378"/>
      <c r="Y789" s="378"/>
      <c r="Z789" s="378"/>
    </row>
    <row r="790" spans="1:26" ht="18">
      <c r="A790" s="378"/>
      <c r="B790" s="378"/>
      <c r="C790" s="378"/>
      <c r="D790" s="384"/>
      <c r="E790" s="378"/>
      <c r="F790" s="378"/>
      <c r="G790" s="378"/>
      <c r="H790" s="378"/>
      <c r="I790" s="378"/>
      <c r="J790" s="378"/>
      <c r="K790" s="378"/>
      <c r="L790" s="378"/>
      <c r="M790" s="378"/>
      <c r="N790" s="378"/>
      <c r="O790" s="378"/>
      <c r="P790" s="378"/>
      <c r="Q790" s="378"/>
      <c r="R790" s="378"/>
      <c r="S790" s="378"/>
      <c r="T790" s="378"/>
      <c r="U790" s="378"/>
      <c r="V790" s="378"/>
      <c r="W790" s="378"/>
      <c r="X790" s="378"/>
      <c r="Y790" s="378"/>
      <c r="Z790" s="378"/>
    </row>
    <row r="791" spans="1:26" ht="18">
      <c r="A791" s="378"/>
      <c r="B791" s="378"/>
      <c r="C791" s="378"/>
      <c r="D791" s="384"/>
      <c r="E791" s="378"/>
      <c r="F791" s="378"/>
      <c r="G791" s="378"/>
      <c r="H791" s="378"/>
      <c r="I791" s="378"/>
      <c r="J791" s="378"/>
      <c r="K791" s="378"/>
      <c r="L791" s="378"/>
      <c r="M791" s="378"/>
      <c r="N791" s="378"/>
      <c r="O791" s="378"/>
      <c r="P791" s="378"/>
      <c r="Q791" s="378"/>
      <c r="R791" s="378"/>
      <c r="S791" s="378"/>
      <c r="T791" s="378"/>
      <c r="U791" s="378"/>
      <c r="V791" s="378"/>
      <c r="W791" s="378"/>
      <c r="X791" s="378"/>
      <c r="Y791" s="378"/>
      <c r="Z791" s="378"/>
    </row>
    <row r="792" spans="1:26" ht="18">
      <c r="A792" s="378"/>
      <c r="B792" s="378"/>
      <c r="C792" s="378"/>
      <c r="D792" s="384"/>
      <c r="E792" s="378"/>
      <c r="F792" s="378"/>
      <c r="G792" s="378"/>
      <c r="H792" s="378"/>
      <c r="I792" s="378"/>
      <c r="J792" s="378"/>
      <c r="K792" s="378"/>
      <c r="L792" s="378"/>
      <c r="M792" s="378"/>
      <c r="N792" s="378"/>
      <c r="O792" s="378"/>
      <c r="P792" s="378"/>
      <c r="Q792" s="378"/>
      <c r="R792" s="378"/>
      <c r="S792" s="378"/>
      <c r="T792" s="378"/>
      <c r="U792" s="378"/>
      <c r="V792" s="378"/>
      <c r="W792" s="378"/>
      <c r="X792" s="378"/>
      <c r="Y792" s="378"/>
      <c r="Z792" s="378"/>
    </row>
    <row r="793" spans="1:26" ht="18">
      <c r="A793" s="378"/>
      <c r="B793" s="378"/>
      <c r="C793" s="378"/>
      <c r="D793" s="384"/>
      <c r="E793" s="378"/>
      <c r="F793" s="378"/>
      <c r="G793" s="378"/>
      <c r="H793" s="378"/>
      <c r="I793" s="378"/>
      <c r="J793" s="378"/>
      <c r="K793" s="378"/>
      <c r="L793" s="378"/>
      <c r="M793" s="378"/>
      <c r="N793" s="378"/>
      <c r="O793" s="378"/>
      <c r="P793" s="378"/>
      <c r="Q793" s="378"/>
      <c r="R793" s="378"/>
      <c r="S793" s="378"/>
      <c r="T793" s="378"/>
      <c r="U793" s="378"/>
      <c r="V793" s="378"/>
      <c r="W793" s="378"/>
      <c r="X793" s="378"/>
      <c r="Y793" s="378"/>
      <c r="Z793" s="378"/>
    </row>
    <row r="794" spans="1:26" ht="18">
      <c r="A794" s="378"/>
      <c r="B794" s="378"/>
      <c r="C794" s="378"/>
      <c r="D794" s="384"/>
      <c r="E794" s="378"/>
      <c r="F794" s="378"/>
      <c r="G794" s="378"/>
      <c r="H794" s="378"/>
      <c r="I794" s="378"/>
      <c r="J794" s="378"/>
      <c r="K794" s="378"/>
      <c r="L794" s="378"/>
      <c r="M794" s="378"/>
      <c r="N794" s="378"/>
      <c r="O794" s="378"/>
      <c r="P794" s="378"/>
      <c r="Q794" s="378"/>
      <c r="R794" s="378"/>
      <c r="S794" s="378"/>
      <c r="T794" s="378"/>
      <c r="U794" s="378"/>
      <c r="V794" s="378"/>
      <c r="W794" s="378"/>
      <c r="X794" s="378"/>
      <c r="Y794" s="378"/>
      <c r="Z794" s="378"/>
    </row>
    <row r="795" spans="1:26" ht="18">
      <c r="A795" s="378"/>
      <c r="B795" s="378"/>
      <c r="C795" s="378"/>
      <c r="D795" s="384"/>
      <c r="E795" s="378"/>
      <c r="F795" s="378"/>
      <c r="G795" s="378"/>
      <c r="H795" s="378"/>
      <c r="I795" s="378"/>
      <c r="J795" s="378"/>
      <c r="K795" s="378"/>
      <c r="L795" s="378"/>
      <c r="M795" s="378"/>
      <c r="N795" s="378"/>
      <c r="O795" s="378"/>
      <c r="P795" s="378"/>
      <c r="Q795" s="378"/>
      <c r="R795" s="378"/>
      <c r="S795" s="378"/>
      <c r="T795" s="378"/>
      <c r="U795" s="378"/>
      <c r="V795" s="378"/>
      <c r="W795" s="378"/>
      <c r="X795" s="378"/>
      <c r="Y795" s="378"/>
      <c r="Z795" s="378"/>
    </row>
    <row r="796" spans="1:26" ht="18">
      <c r="A796" s="378"/>
      <c r="B796" s="378"/>
      <c r="C796" s="378"/>
      <c r="D796" s="384"/>
      <c r="E796" s="378"/>
      <c r="F796" s="378"/>
      <c r="G796" s="378"/>
      <c r="H796" s="378"/>
      <c r="I796" s="378"/>
      <c r="J796" s="378"/>
      <c r="K796" s="378"/>
      <c r="L796" s="378"/>
      <c r="M796" s="378"/>
      <c r="N796" s="378"/>
      <c r="O796" s="378"/>
      <c r="P796" s="378"/>
      <c r="Q796" s="378"/>
      <c r="R796" s="378"/>
      <c r="S796" s="378"/>
      <c r="T796" s="378"/>
      <c r="U796" s="378"/>
      <c r="V796" s="378"/>
      <c r="W796" s="378"/>
      <c r="X796" s="378"/>
      <c r="Y796" s="378"/>
      <c r="Z796" s="378"/>
    </row>
    <row r="797" spans="1:26" ht="18">
      <c r="A797" s="378"/>
      <c r="B797" s="378"/>
      <c r="C797" s="378"/>
      <c r="D797" s="384"/>
      <c r="E797" s="378"/>
      <c r="F797" s="378"/>
      <c r="G797" s="378"/>
      <c r="H797" s="378"/>
      <c r="I797" s="378"/>
      <c r="J797" s="378"/>
      <c r="K797" s="378"/>
      <c r="L797" s="378"/>
      <c r="M797" s="378"/>
      <c r="N797" s="378"/>
      <c r="O797" s="378"/>
      <c r="P797" s="378"/>
      <c r="Q797" s="378"/>
      <c r="R797" s="378"/>
      <c r="S797" s="378"/>
      <c r="T797" s="378"/>
      <c r="U797" s="378"/>
      <c r="V797" s="378"/>
      <c r="W797" s="378"/>
      <c r="X797" s="378"/>
      <c r="Y797" s="378"/>
      <c r="Z797" s="378"/>
    </row>
    <row r="798" spans="1:26" ht="18">
      <c r="A798" s="378"/>
      <c r="B798" s="378"/>
      <c r="C798" s="378"/>
      <c r="D798" s="384"/>
      <c r="E798" s="378"/>
      <c r="F798" s="378"/>
      <c r="G798" s="378"/>
      <c r="H798" s="378"/>
      <c r="I798" s="378"/>
      <c r="J798" s="378"/>
      <c r="K798" s="378"/>
      <c r="L798" s="378"/>
      <c r="M798" s="378"/>
      <c r="N798" s="378"/>
      <c r="O798" s="378"/>
      <c r="P798" s="378"/>
      <c r="Q798" s="378"/>
      <c r="R798" s="378"/>
      <c r="S798" s="378"/>
      <c r="T798" s="378"/>
      <c r="U798" s="378"/>
      <c r="V798" s="378"/>
      <c r="W798" s="378"/>
      <c r="X798" s="378"/>
      <c r="Y798" s="378"/>
      <c r="Z798" s="378"/>
    </row>
    <row r="799" spans="1:26" ht="18">
      <c r="A799" s="378"/>
      <c r="B799" s="378"/>
      <c r="C799" s="378"/>
      <c r="D799" s="384"/>
      <c r="E799" s="378"/>
      <c r="F799" s="378"/>
      <c r="G799" s="378"/>
      <c r="H799" s="378"/>
      <c r="I799" s="378"/>
      <c r="J799" s="378"/>
      <c r="K799" s="378"/>
      <c r="L799" s="378"/>
      <c r="M799" s="378"/>
      <c r="N799" s="378"/>
      <c r="O799" s="378"/>
      <c r="P799" s="378"/>
      <c r="Q799" s="378"/>
      <c r="R799" s="378"/>
      <c r="S799" s="378"/>
      <c r="T799" s="378"/>
      <c r="U799" s="378"/>
      <c r="V799" s="378"/>
      <c r="W799" s="378"/>
      <c r="X799" s="378"/>
      <c r="Y799" s="378"/>
      <c r="Z799" s="378"/>
    </row>
    <row r="800" spans="1:26" ht="18">
      <c r="A800" s="378"/>
      <c r="B800" s="378"/>
      <c r="C800" s="378"/>
      <c r="D800" s="384"/>
      <c r="E800" s="378"/>
      <c r="F800" s="378"/>
      <c r="G800" s="378"/>
      <c r="H800" s="378"/>
      <c r="I800" s="378"/>
      <c r="J800" s="378"/>
      <c r="K800" s="378"/>
      <c r="L800" s="378"/>
      <c r="M800" s="378"/>
      <c r="N800" s="378"/>
      <c r="O800" s="378"/>
      <c r="P800" s="378"/>
      <c r="Q800" s="378"/>
      <c r="R800" s="378"/>
      <c r="S800" s="378"/>
      <c r="T800" s="378"/>
      <c r="U800" s="378"/>
      <c r="V800" s="378"/>
      <c r="W800" s="378"/>
      <c r="X800" s="378"/>
      <c r="Y800" s="378"/>
      <c r="Z800" s="378"/>
    </row>
    <row r="801" spans="1:26" ht="18">
      <c r="A801" s="378"/>
      <c r="B801" s="378"/>
      <c r="C801" s="378"/>
      <c r="D801" s="384"/>
      <c r="E801" s="378"/>
      <c r="F801" s="378"/>
      <c r="G801" s="378"/>
      <c r="H801" s="378"/>
      <c r="I801" s="378"/>
      <c r="J801" s="378"/>
      <c r="K801" s="378"/>
      <c r="L801" s="378"/>
      <c r="M801" s="378"/>
      <c r="N801" s="378"/>
      <c r="O801" s="378"/>
      <c r="P801" s="378"/>
      <c r="Q801" s="378"/>
      <c r="R801" s="378"/>
      <c r="S801" s="378"/>
      <c r="T801" s="378"/>
      <c r="U801" s="378"/>
      <c r="V801" s="378"/>
      <c r="W801" s="378"/>
      <c r="X801" s="378"/>
      <c r="Y801" s="378"/>
      <c r="Z801" s="378"/>
    </row>
    <row r="802" spans="1:26" ht="18">
      <c r="A802" s="378"/>
      <c r="B802" s="378"/>
      <c r="C802" s="378"/>
      <c r="D802" s="384"/>
      <c r="E802" s="378"/>
      <c r="F802" s="378"/>
      <c r="G802" s="378"/>
      <c r="H802" s="378"/>
      <c r="I802" s="378"/>
      <c r="J802" s="378"/>
      <c r="K802" s="378"/>
      <c r="L802" s="378"/>
      <c r="M802" s="378"/>
      <c r="N802" s="378"/>
      <c r="O802" s="378"/>
      <c r="P802" s="378"/>
      <c r="Q802" s="378"/>
      <c r="R802" s="378"/>
      <c r="S802" s="378"/>
      <c r="T802" s="378"/>
      <c r="U802" s="378"/>
      <c r="V802" s="378"/>
      <c r="W802" s="378"/>
      <c r="X802" s="378"/>
      <c r="Y802" s="378"/>
      <c r="Z802" s="378"/>
    </row>
    <row r="803" spans="1:26" ht="18">
      <c r="A803" s="378"/>
      <c r="B803" s="378"/>
      <c r="C803" s="378"/>
      <c r="D803" s="384"/>
      <c r="E803" s="378"/>
      <c r="F803" s="378"/>
      <c r="G803" s="378"/>
      <c r="H803" s="378"/>
      <c r="I803" s="378"/>
      <c r="J803" s="378"/>
      <c r="K803" s="378"/>
      <c r="L803" s="378"/>
      <c r="M803" s="378"/>
      <c r="N803" s="378"/>
      <c r="O803" s="378"/>
      <c r="P803" s="378"/>
      <c r="Q803" s="378"/>
      <c r="R803" s="378"/>
      <c r="S803" s="378"/>
      <c r="T803" s="378"/>
      <c r="U803" s="378"/>
      <c r="V803" s="378"/>
      <c r="W803" s="378"/>
      <c r="X803" s="378"/>
      <c r="Y803" s="378"/>
      <c r="Z803" s="378"/>
    </row>
    <row r="804" spans="1:26" ht="18">
      <c r="A804" s="378"/>
      <c r="B804" s="378"/>
      <c r="C804" s="378"/>
      <c r="D804" s="384"/>
      <c r="E804" s="378"/>
      <c r="F804" s="378"/>
      <c r="G804" s="378"/>
      <c r="H804" s="378"/>
      <c r="I804" s="378"/>
      <c r="J804" s="378"/>
      <c r="K804" s="378"/>
      <c r="L804" s="378"/>
      <c r="M804" s="378"/>
      <c r="N804" s="378"/>
      <c r="O804" s="378"/>
      <c r="P804" s="378"/>
      <c r="Q804" s="378"/>
      <c r="R804" s="378"/>
      <c r="S804" s="378"/>
      <c r="T804" s="378"/>
      <c r="U804" s="378"/>
      <c r="V804" s="378"/>
      <c r="W804" s="378"/>
      <c r="X804" s="378"/>
      <c r="Y804" s="378"/>
      <c r="Z804" s="378"/>
    </row>
    <row r="805" spans="1:26" ht="18">
      <c r="A805" s="378"/>
      <c r="B805" s="378"/>
      <c r="C805" s="378"/>
      <c r="D805" s="384"/>
      <c r="E805" s="378"/>
      <c r="F805" s="378"/>
      <c r="G805" s="378"/>
      <c r="H805" s="378"/>
      <c r="I805" s="378"/>
      <c r="J805" s="378"/>
      <c r="K805" s="378"/>
      <c r="L805" s="378"/>
      <c r="M805" s="378"/>
      <c r="N805" s="378"/>
      <c r="O805" s="378"/>
      <c r="P805" s="378"/>
      <c r="Q805" s="378"/>
      <c r="R805" s="378"/>
      <c r="S805" s="378"/>
      <c r="T805" s="378"/>
      <c r="U805" s="378"/>
      <c r="V805" s="378"/>
      <c r="W805" s="378"/>
      <c r="X805" s="378"/>
      <c r="Y805" s="378"/>
      <c r="Z805" s="378"/>
    </row>
    <row r="806" spans="1:26" ht="18">
      <c r="A806" s="378"/>
      <c r="B806" s="378"/>
      <c r="C806" s="378"/>
      <c r="D806" s="384"/>
      <c r="E806" s="378"/>
      <c r="F806" s="378"/>
      <c r="G806" s="378"/>
      <c r="H806" s="378"/>
      <c r="I806" s="378"/>
      <c r="J806" s="378"/>
      <c r="K806" s="378"/>
      <c r="L806" s="378"/>
      <c r="M806" s="378"/>
      <c r="N806" s="378"/>
      <c r="O806" s="378"/>
      <c r="P806" s="378"/>
      <c r="Q806" s="378"/>
      <c r="R806" s="378"/>
      <c r="S806" s="378"/>
      <c r="T806" s="378"/>
      <c r="U806" s="378"/>
      <c r="V806" s="378"/>
      <c r="W806" s="378"/>
      <c r="X806" s="378"/>
      <c r="Y806" s="378"/>
      <c r="Z806" s="378"/>
    </row>
    <row r="807" spans="1:26" ht="18">
      <c r="A807" s="378"/>
      <c r="B807" s="378"/>
      <c r="C807" s="378"/>
      <c r="D807" s="384"/>
      <c r="E807" s="378"/>
      <c r="F807" s="378"/>
      <c r="G807" s="378"/>
      <c r="H807" s="378"/>
      <c r="I807" s="378"/>
      <c r="J807" s="378"/>
      <c r="K807" s="378"/>
      <c r="L807" s="378"/>
      <c r="M807" s="378"/>
      <c r="N807" s="378"/>
      <c r="O807" s="378"/>
      <c r="P807" s="378"/>
      <c r="Q807" s="378"/>
      <c r="R807" s="378"/>
      <c r="S807" s="378"/>
      <c r="T807" s="378"/>
      <c r="U807" s="378"/>
      <c r="V807" s="378"/>
      <c r="W807" s="378"/>
      <c r="X807" s="378"/>
      <c r="Y807" s="378"/>
      <c r="Z807" s="378"/>
    </row>
    <row r="808" spans="1:26" ht="18">
      <c r="A808" s="378"/>
      <c r="B808" s="378"/>
      <c r="C808" s="378"/>
      <c r="D808" s="384"/>
      <c r="E808" s="378"/>
      <c r="F808" s="378"/>
      <c r="G808" s="378"/>
      <c r="H808" s="378"/>
      <c r="I808" s="378"/>
      <c r="J808" s="378"/>
      <c r="K808" s="378"/>
      <c r="L808" s="378"/>
      <c r="M808" s="378"/>
      <c r="N808" s="378"/>
      <c r="O808" s="378"/>
      <c r="P808" s="378"/>
      <c r="Q808" s="378"/>
      <c r="R808" s="378"/>
      <c r="S808" s="378"/>
      <c r="T808" s="378"/>
      <c r="U808" s="378"/>
      <c r="V808" s="378"/>
      <c r="W808" s="378"/>
      <c r="X808" s="378"/>
      <c r="Y808" s="378"/>
      <c r="Z808" s="378"/>
    </row>
    <row r="809" spans="1:26" ht="18">
      <c r="A809" s="378"/>
      <c r="B809" s="378"/>
      <c r="C809" s="378"/>
      <c r="D809" s="384"/>
      <c r="E809" s="378"/>
      <c r="F809" s="378"/>
      <c r="G809" s="378"/>
      <c r="H809" s="378"/>
      <c r="I809" s="378"/>
      <c r="J809" s="378"/>
      <c r="K809" s="378"/>
      <c r="L809" s="378"/>
      <c r="M809" s="378"/>
      <c r="N809" s="378"/>
      <c r="O809" s="378"/>
      <c r="P809" s="378"/>
      <c r="Q809" s="378"/>
      <c r="R809" s="378"/>
      <c r="S809" s="378"/>
      <c r="T809" s="378"/>
      <c r="U809" s="378"/>
      <c r="V809" s="378"/>
      <c r="W809" s="378"/>
      <c r="X809" s="378"/>
      <c r="Y809" s="378"/>
      <c r="Z809" s="378"/>
    </row>
    <row r="810" spans="1:26" ht="18">
      <c r="A810" s="378"/>
      <c r="B810" s="378"/>
      <c r="C810" s="378"/>
      <c r="D810" s="384"/>
      <c r="E810" s="378"/>
      <c r="F810" s="378"/>
      <c r="G810" s="378"/>
      <c r="H810" s="378"/>
      <c r="I810" s="378"/>
      <c r="J810" s="378"/>
      <c r="K810" s="378"/>
      <c r="L810" s="378"/>
      <c r="M810" s="378"/>
      <c r="N810" s="378"/>
      <c r="O810" s="378"/>
      <c r="P810" s="378"/>
      <c r="Q810" s="378"/>
      <c r="R810" s="378"/>
      <c r="S810" s="378"/>
      <c r="T810" s="378"/>
      <c r="U810" s="378"/>
      <c r="V810" s="378"/>
      <c r="W810" s="378"/>
      <c r="X810" s="378"/>
      <c r="Y810" s="378"/>
      <c r="Z810" s="378"/>
    </row>
    <row r="811" spans="1:26" ht="18">
      <c r="A811" s="378"/>
      <c r="B811" s="378"/>
      <c r="C811" s="378"/>
      <c r="D811" s="384"/>
      <c r="E811" s="378"/>
      <c r="F811" s="378"/>
      <c r="G811" s="378"/>
      <c r="H811" s="378"/>
      <c r="I811" s="378"/>
      <c r="J811" s="378"/>
      <c r="K811" s="378"/>
      <c r="L811" s="378"/>
      <c r="M811" s="378"/>
      <c r="N811" s="378"/>
      <c r="O811" s="378"/>
      <c r="P811" s="378"/>
      <c r="Q811" s="378"/>
      <c r="R811" s="378"/>
      <c r="S811" s="378"/>
      <c r="T811" s="378"/>
      <c r="U811" s="378"/>
      <c r="V811" s="378"/>
      <c r="W811" s="378"/>
      <c r="X811" s="378"/>
      <c r="Y811" s="378"/>
      <c r="Z811" s="378"/>
    </row>
    <row r="812" spans="1:26" ht="18">
      <c r="A812" s="378"/>
      <c r="B812" s="378"/>
      <c r="C812" s="378"/>
      <c r="D812" s="384"/>
      <c r="E812" s="378"/>
      <c r="F812" s="378"/>
      <c r="G812" s="378"/>
      <c r="H812" s="378"/>
      <c r="I812" s="378"/>
      <c r="J812" s="378"/>
      <c r="K812" s="378"/>
      <c r="L812" s="378"/>
      <c r="M812" s="378"/>
      <c r="N812" s="378"/>
      <c r="O812" s="378"/>
      <c r="P812" s="378"/>
      <c r="Q812" s="378"/>
      <c r="R812" s="378"/>
      <c r="S812" s="378"/>
      <c r="T812" s="378"/>
      <c r="U812" s="378"/>
      <c r="V812" s="378"/>
      <c r="W812" s="378"/>
      <c r="X812" s="378"/>
      <c r="Y812" s="378"/>
      <c r="Z812" s="378"/>
    </row>
    <row r="813" spans="1:26" ht="18">
      <c r="A813" s="378"/>
      <c r="B813" s="378"/>
      <c r="C813" s="378"/>
      <c r="D813" s="384"/>
      <c r="E813" s="378"/>
      <c r="F813" s="378"/>
      <c r="G813" s="378"/>
      <c r="H813" s="378"/>
      <c r="I813" s="378"/>
      <c r="J813" s="378"/>
      <c r="K813" s="378"/>
      <c r="L813" s="378"/>
      <c r="M813" s="378"/>
      <c r="N813" s="378"/>
      <c r="O813" s="378"/>
      <c r="P813" s="378"/>
      <c r="Q813" s="378"/>
      <c r="R813" s="378"/>
      <c r="S813" s="378"/>
      <c r="T813" s="378"/>
      <c r="U813" s="378"/>
      <c r="V813" s="378"/>
      <c r="W813" s="378"/>
      <c r="X813" s="378"/>
      <c r="Y813" s="378"/>
      <c r="Z813" s="378"/>
    </row>
    <row r="814" spans="1:26" ht="18">
      <c r="A814" s="378"/>
      <c r="B814" s="378"/>
      <c r="C814" s="378"/>
      <c r="D814" s="384"/>
      <c r="E814" s="378"/>
      <c r="F814" s="378"/>
      <c r="G814" s="378"/>
      <c r="H814" s="378"/>
      <c r="I814" s="378"/>
      <c r="J814" s="378"/>
      <c r="K814" s="378"/>
      <c r="L814" s="378"/>
      <c r="M814" s="378"/>
      <c r="N814" s="378"/>
      <c r="O814" s="378"/>
      <c r="P814" s="378"/>
      <c r="Q814" s="378"/>
      <c r="R814" s="378"/>
      <c r="S814" s="378"/>
      <c r="T814" s="378"/>
      <c r="U814" s="378"/>
      <c r="V814" s="378"/>
      <c r="W814" s="378"/>
      <c r="X814" s="378"/>
      <c r="Y814" s="378"/>
      <c r="Z814" s="378"/>
    </row>
    <row r="815" spans="1:26" ht="18">
      <c r="A815" s="378"/>
      <c r="B815" s="378"/>
      <c r="C815" s="378"/>
      <c r="D815" s="384"/>
      <c r="E815" s="378"/>
      <c r="F815" s="378"/>
      <c r="G815" s="378"/>
      <c r="H815" s="378"/>
      <c r="I815" s="378"/>
      <c r="J815" s="378"/>
      <c r="K815" s="378"/>
      <c r="L815" s="378"/>
      <c r="M815" s="378"/>
      <c r="N815" s="378"/>
      <c r="O815" s="378"/>
      <c r="P815" s="378"/>
      <c r="Q815" s="378"/>
      <c r="R815" s="378"/>
      <c r="S815" s="378"/>
      <c r="T815" s="378"/>
      <c r="U815" s="378"/>
      <c r="V815" s="378"/>
      <c r="W815" s="378"/>
      <c r="X815" s="378"/>
      <c r="Y815" s="378"/>
      <c r="Z815" s="378"/>
    </row>
    <row r="816" spans="1:26" ht="18">
      <c r="A816" s="378"/>
      <c r="B816" s="378"/>
      <c r="C816" s="378"/>
      <c r="D816" s="384"/>
      <c r="E816" s="378"/>
      <c r="F816" s="378"/>
      <c r="G816" s="378"/>
      <c r="H816" s="378"/>
      <c r="I816" s="378"/>
      <c r="J816" s="378"/>
      <c r="K816" s="378"/>
      <c r="L816" s="378"/>
      <c r="M816" s="378"/>
      <c r="N816" s="378"/>
      <c r="O816" s="378"/>
      <c r="P816" s="378"/>
      <c r="Q816" s="378"/>
      <c r="R816" s="378"/>
      <c r="S816" s="378"/>
      <c r="T816" s="378"/>
      <c r="U816" s="378"/>
      <c r="V816" s="378"/>
      <c r="W816" s="378"/>
      <c r="X816" s="378"/>
      <c r="Y816" s="378"/>
      <c r="Z816" s="378"/>
    </row>
    <row r="817" spans="1:26" ht="18">
      <c r="A817" s="378"/>
      <c r="B817" s="378"/>
      <c r="C817" s="378"/>
      <c r="D817" s="384"/>
      <c r="E817" s="378"/>
      <c r="F817" s="378"/>
      <c r="G817" s="378"/>
      <c r="H817" s="378"/>
      <c r="I817" s="378"/>
      <c r="J817" s="378"/>
      <c r="K817" s="378"/>
      <c r="L817" s="378"/>
      <c r="M817" s="378"/>
      <c r="N817" s="378"/>
      <c r="O817" s="378"/>
      <c r="P817" s="378"/>
      <c r="Q817" s="378"/>
      <c r="R817" s="378"/>
      <c r="S817" s="378"/>
      <c r="T817" s="378"/>
      <c r="U817" s="378"/>
      <c r="V817" s="378"/>
      <c r="W817" s="378"/>
      <c r="X817" s="378"/>
      <c r="Y817" s="378"/>
      <c r="Z817" s="378"/>
    </row>
    <row r="818" spans="1:26" ht="18">
      <c r="A818" s="378"/>
      <c r="B818" s="378"/>
      <c r="C818" s="378"/>
      <c r="D818" s="384"/>
      <c r="E818" s="378"/>
      <c r="F818" s="378"/>
      <c r="G818" s="378"/>
      <c r="H818" s="378"/>
      <c r="I818" s="378"/>
      <c r="J818" s="378"/>
      <c r="K818" s="378"/>
      <c r="L818" s="378"/>
      <c r="M818" s="378"/>
      <c r="N818" s="378"/>
      <c r="O818" s="378"/>
      <c r="P818" s="378"/>
      <c r="Q818" s="378"/>
      <c r="R818" s="378"/>
      <c r="S818" s="378"/>
      <c r="T818" s="378"/>
      <c r="U818" s="378"/>
      <c r="V818" s="378"/>
      <c r="W818" s="378"/>
      <c r="X818" s="378"/>
      <c r="Y818" s="378"/>
      <c r="Z818" s="378"/>
    </row>
    <row r="819" spans="1:26" ht="18">
      <c r="A819" s="378"/>
      <c r="B819" s="378"/>
      <c r="C819" s="378"/>
      <c r="D819" s="384"/>
      <c r="E819" s="378"/>
      <c r="F819" s="378"/>
      <c r="G819" s="378"/>
      <c r="H819" s="378"/>
      <c r="I819" s="378"/>
      <c r="J819" s="378"/>
      <c r="K819" s="378"/>
      <c r="L819" s="378"/>
      <c r="M819" s="378"/>
      <c r="N819" s="378"/>
      <c r="O819" s="378"/>
      <c r="P819" s="378"/>
      <c r="Q819" s="378"/>
      <c r="R819" s="378"/>
      <c r="S819" s="378"/>
      <c r="T819" s="378"/>
      <c r="U819" s="378"/>
      <c r="V819" s="378"/>
      <c r="W819" s="378"/>
      <c r="X819" s="378"/>
      <c r="Y819" s="378"/>
      <c r="Z819" s="378"/>
    </row>
    <row r="820" spans="1:26" ht="18">
      <c r="A820" s="378"/>
      <c r="B820" s="378"/>
      <c r="C820" s="378"/>
      <c r="D820" s="384"/>
      <c r="E820" s="378"/>
      <c r="F820" s="378"/>
      <c r="G820" s="378"/>
      <c r="H820" s="378"/>
      <c r="I820" s="378"/>
      <c r="J820" s="378"/>
      <c r="K820" s="378"/>
      <c r="L820" s="378"/>
      <c r="M820" s="378"/>
      <c r="N820" s="378"/>
      <c r="O820" s="378"/>
      <c r="P820" s="378"/>
      <c r="Q820" s="378"/>
      <c r="R820" s="378"/>
      <c r="S820" s="378"/>
      <c r="T820" s="378"/>
      <c r="U820" s="378"/>
      <c r="V820" s="378"/>
      <c r="W820" s="378"/>
      <c r="X820" s="378"/>
      <c r="Y820" s="378"/>
      <c r="Z820" s="378"/>
    </row>
    <row r="821" spans="1:26" ht="18">
      <c r="A821" s="378"/>
      <c r="B821" s="378"/>
      <c r="C821" s="378"/>
      <c r="D821" s="384"/>
      <c r="E821" s="378"/>
      <c r="F821" s="378"/>
      <c r="G821" s="378"/>
      <c r="H821" s="378"/>
      <c r="I821" s="378"/>
      <c r="J821" s="378"/>
      <c r="K821" s="378"/>
      <c r="L821" s="378"/>
      <c r="M821" s="378"/>
      <c r="N821" s="378"/>
      <c r="O821" s="378"/>
      <c r="P821" s="378"/>
      <c r="Q821" s="378"/>
      <c r="R821" s="378"/>
      <c r="S821" s="378"/>
      <c r="T821" s="378"/>
      <c r="U821" s="378"/>
      <c r="V821" s="378"/>
      <c r="W821" s="378"/>
      <c r="X821" s="378"/>
      <c r="Y821" s="378"/>
      <c r="Z821" s="378"/>
    </row>
    <row r="822" spans="1:26" ht="18">
      <c r="A822" s="378"/>
      <c r="B822" s="378"/>
      <c r="C822" s="378"/>
      <c r="D822" s="384"/>
      <c r="E822" s="378"/>
      <c r="F822" s="378"/>
      <c r="G822" s="378"/>
      <c r="H822" s="378"/>
      <c r="I822" s="378"/>
      <c r="J822" s="378"/>
      <c r="K822" s="378"/>
      <c r="L822" s="378"/>
      <c r="M822" s="378"/>
      <c r="N822" s="378"/>
      <c r="O822" s="378"/>
      <c r="P822" s="378"/>
      <c r="Q822" s="378"/>
      <c r="R822" s="378"/>
      <c r="S822" s="378"/>
      <c r="T822" s="378"/>
      <c r="U822" s="378"/>
      <c r="V822" s="378"/>
      <c r="W822" s="378"/>
      <c r="X822" s="378"/>
      <c r="Y822" s="378"/>
      <c r="Z822" s="378"/>
    </row>
    <row r="823" spans="1:26" ht="18">
      <c r="A823" s="378"/>
      <c r="B823" s="378"/>
      <c r="C823" s="378"/>
      <c r="D823" s="384"/>
      <c r="E823" s="378"/>
      <c r="F823" s="378"/>
      <c r="G823" s="378"/>
      <c r="H823" s="378"/>
      <c r="I823" s="378"/>
      <c r="J823" s="378"/>
      <c r="K823" s="378"/>
      <c r="L823" s="378"/>
      <c r="M823" s="378"/>
      <c r="N823" s="378"/>
      <c r="O823" s="378"/>
      <c r="P823" s="378"/>
      <c r="Q823" s="378"/>
      <c r="R823" s="378"/>
      <c r="S823" s="378"/>
      <c r="T823" s="378"/>
      <c r="U823" s="378"/>
      <c r="V823" s="378"/>
      <c r="W823" s="378"/>
      <c r="X823" s="378"/>
      <c r="Y823" s="378"/>
      <c r="Z823" s="378"/>
    </row>
    <row r="824" spans="1:26" ht="18">
      <c r="A824" s="378"/>
      <c r="B824" s="378"/>
      <c r="C824" s="378"/>
      <c r="D824" s="384"/>
      <c r="E824" s="378"/>
      <c r="F824" s="378"/>
      <c r="G824" s="378"/>
      <c r="H824" s="378"/>
      <c r="I824" s="378"/>
      <c r="J824" s="378"/>
      <c r="K824" s="378"/>
      <c r="L824" s="378"/>
      <c r="M824" s="378"/>
      <c r="N824" s="378"/>
      <c r="O824" s="378"/>
      <c r="P824" s="378"/>
      <c r="Q824" s="378"/>
      <c r="R824" s="378"/>
      <c r="S824" s="378"/>
      <c r="T824" s="378"/>
      <c r="U824" s="378"/>
      <c r="V824" s="378"/>
      <c r="W824" s="378"/>
      <c r="X824" s="378"/>
      <c r="Y824" s="378"/>
      <c r="Z824" s="378"/>
    </row>
    <row r="825" spans="1:26" ht="18">
      <c r="A825" s="378"/>
      <c r="B825" s="378"/>
      <c r="C825" s="378"/>
      <c r="D825" s="384"/>
      <c r="E825" s="378"/>
      <c r="F825" s="378"/>
      <c r="G825" s="378"/>
      <c r="H825" s="378"/>
      <c r="I825" s="378"/>
      <c r="J825" s="378"/>
      <c r="K825" s="378"/>
      <c r="L825" s="378"/>
      <c r="M825" s="378"/>
      <c r="N825" s="378"/>
      <c r="O825" s="378"/>
      <c r="P825" s="378"/>
      <c r="Q825" s="378"/>
      <c r="R825" s="378"/>
      <c r="S825" s="378"/>
      <c r="T825" s="378"/>
      <c r="U825" s="378"/>
      <c r="V825" s="378"/>
      <c r="W825" s="378"/>
      <c r="X825" s="378"/>
      <c r="Y825" s="378"/>
      <c r="Z825" s="378"/>
    </row>
    <row r="826" spans="1:26" ht="18">
      <c r="A826" s="378"/>
      <c r="B826" s="378"/>
      <c r="C826" s="378"/>
      <c r="D826" s="384"/>
      <c r="E826" s="378"/>
      <c r="F826" s="378"/>
      <c r="G826" s="378"/>
      <c r="H826" s="378"/>
      <c r="I826" s="378"/>
      <c r="J826" s="378"/>
      <c r="K826" s="378"/>
      <c r="L826" s="378"/>
      <c r="M826" s="378"/>
      <c r="N826" s="378"/>
      <c r="O826" s="378"/>
      <c r="P826" s="378"/>
      <c r="Q826" s="378"/>
      <c r="R826" s="378"/>
      <c r="S826" s="378"/>
      <c r="T826" s="378"/>
      <c r="U826" s="378"/>
      <c r="V826" s="378"/>
      <c r="W826" s="378"/>
      <c r="X826" s="378"/>
      <c r="Y826" s="378"/>
      <c r="Z826" s="378"/>
    </row>
    <row r="827" spans="1:26" ht="18">
      <c r="A827" s="378"/>
      <c r="B827" s="378"/>
      <c r="C827" s="378"/>
      <c r="D827" s="384"/>
      <c r="E827" s="378"/>
      <c r="F827" s="378"/>
      <c r="G827" s="378"/>
      <c r="H827" s="378"/>
      <c r="I827" s="378"/>
      <c r="J827" s="378"/>
      <c r="K827" s="378"/>
      <c r="L827" s="378"/>
      <c r="M827" s="378"/>
      <c r="N827" s="378"/>
      <c r="O827" s="378"/>
      <c r="P827" s="378"/>
      <c r="Q827" s="378"/>
      <c r="R827" s="378"/>
      <c r="S827" s="378"/>
      <c r="T827" s="378"/>
      <c r="U827" s="378"/>
      <c r="V827" s="378"/>
      <c r="W827" s="378"/>
      <c r="X827" s="378"/>
      <c r="Y827" s="378"/>
      <c r="Z827" s="378"/>
    </row>
    <row r="828" spans="1:26" ht="18">
      <c r="A828" s="378"/>
      <c r="B828" s="378"/>
      <c r="C828" s="378"/>
      <c r="D828" s="384"/>
      <c r="E828" s="378"/>
      <c r="F828" s="378"/>
      <c r="G828" s="378"/>
      <c r="H828" s="378"/>
      <c r="I828" s="378"/>
      <c r="J828" s="378"/>
      <c r="K828" s="378"/>
      <c r="L828" s="378"/>
      <c r="M828" s="378"/>
      <c r="N828" s="378"/>
      <c r="O828" s="378"/>
      <c r="P828" s="378"/>
      <c r="Q828" s="378"/>
      <c r="R828" s="378"/>
      <c r="S828" s="378"/>
      <c r="T828" s="378"/>
      <c r="U828" s="378"/>
      <c r="V828" s="378"/>
      <c r="W828" s="378"/>
      <c r="X828" s="378"/>
      <c r="Y828" s="378"/>
      <c r="Z828" s="378"/>
    </row>
    <row r="829" spans="1:26" ht="18">
      <c r="A829" s="378"/>
      <c r="B829" s="378"/>
      <c r="C829" s="378"/>
      <c r="D829" s="384"/>
      <c r="E829" s="378"/>
      <c r="F829" s="378"/>
      <c r="G829" s="378"/>
      <c r="H829" s="378"/>
      <c r="I829" s="378"/>
      <c r="J829" s="378"/>
      <c r="K829" s="378"/>
      <c r="L829" s="378"/>
      <c r="M829" s="378"/>
      <c r="N829" s="378"/>
      <c r="O829" s="378"/>
      <c r="P829" s="378"/>
      <c r="Q829" s="378"/>
      <c r="R829" s="378"/>
      <c r="S829" s="378"/>
      <c r="T829" s="378"/>
      <c r="U829" s="378"/>
      <c r="V829" s="378"/>
      <c r="W829" s="378"/>
      <c r="X829" s="378"/>
      <c r="Y829" s="378"/>
      <c r="Z829" s="378"/>
    </row>
    <row r="830" spans="1:26" ht="18">
      <c r="A830" s="378"/>
      <c r="B830" s="378"/>
      <c r="C830" s="378"/>
      <c r="D830" s="384"/>
      <c r="E830" s="378"/>
      <c r="F830" s="378"/>
      <c r="G830" s="378"/>
      <c r="H830" s="378"/>
      <c r="I830" s="378"/>
      <c r="J830" s="378"/>
      <c r="K830" s="378"/>
      <c r="L830" s="378"/>
      <c r="M830" s="378"/>
      <c r="N830" s="378"/>
      <c r="O830" s="378"/>
      <c r="P830" s="378"/>
      <c r="Q830" s="378"/>
      <c r="R830" s="378"/>
      <c r="S830" s="378"/>
      <c r="T830" s="378"/>
      <c r="U830" s="378"/>
      <c r="V830" s="378"/>
      <c r="W830" s="378"/>
      <c r="X830" s="378"/>
      <c r="Y830" s="378"/>
      <c r="Z830" s="378"/>
    </row>
    <row r="831" spans="1:26" ht="18">
      <c r="A831" s="378"/>
      <c r="B831" s="378"/>
      <c r="C831" s="378"/>
      <c r="D831" s="384"/>
      <c r="E831" s="378"/>
      <c r="F831" s="378"/>
      <c r="G831" s="378"/>
      <c r="H831" s="378"/>
      <c r="I831" s="378"/>
      <c r="J831" s="378"/>
      <c r="K831" s="378"/>
      <c r="L831" s="378"/>
      <c r="M831" s="378"/>
      <c r="N831" s="378"/>
      <c r="O831" s="378"/>
      <c r="P831" s="378"/>
      <c r="Q831" s="378"/>
      <c r="R831" s="378"/>
      <c r="S831" s="378"/>
      <c r="T831" s="378"/>
      <c r="U831" s="378"/>
      <c r="V831" s="378"/>
      <c r="W831" s="378"/>
      <c r="X831" s="378"/>
      <c r="Y831" s="378"/>
      <c r="Z831" s="378"/>
    </row>
    <row r="832" spans="1:26" ht="18">
      <c r="A832" s="378"/>
      <c r="B832" s="378"/>
      <c r="C832" s="378"/>
      <c r="D832" s="384"/>
      <c r="E832" s="378"/>
      <c r="F832" s="378"/>
      <c r="G832" s="378"/>
      <c r="H832" s="378"/>
      <c r="I832" s="378"/>
      <c r="J832" s="378"/>
      <c r="K832" s="378"/>
      <c r="L832" s="378"/>
      <c r="M832" s="378"/>
      <c r="N832" s="378"/>
      <c r="O832" s="378"/>
      <c r="P832" s="378"/>
      <c r="Q832" s="378"/>
      <c r="R832" s="378"/>
      <c r="S832" s="378"/>
      <c r="T832" s="378"/>
      <c r="U832" s="378"/>
      <c r="V832" s="378"/>
      <c r="W832" s="378"/>
      <c r="X832" s="378"/>
      <c r="Y832" s="378"/>
      <c r="Z832" s="378"/>
    </row>
    <row r="833" spans="1:26" ht="18">
      <c r="A833" s="378"/>
      <c r="B833" s="378"/>
      <c r="C833" s="378"/>
      <c r="D833" s="384"/>
      <c r="E833" s="378"/>
      <c r="F833" s="378"/>
      <c r="G833" s="378"/>
      <c r="H833" s="378"/>
      <c r="I833" s="378"/>
      <c r="J833" s="378"/>
      <c r="K833" s="378"/>
      <c r="L833" s="378"/>
      <c r="M833" s="378"/>
      <c r="N833" s="378"/>
      <c r="O833" s="378"/>
      <c r="P833" s="378"/>
      <c r="Q833" s="378"/>
      <c r="R833" s="378"/>
      <c r="S833" s="378"/>
      <c r="T833" s="378"/>
      <c r="U833" s="378"/>
      <c r="V833" s="378"/>
      <c r="W833" s="378"/>
      <c r="X833" s="378"/>
      <c r="Y833" s="378"/>
      <c r="Z833" s="378"/>
    </row>
    <row r="834" spans="1:26" ht="18">
      <c r="A834" s="378"/>
      <c r="B834" s="378"/>
      <c r="C834" s="378"/>
      <c r="D834" s="384"/>
      <c r="E834" s="378"/>
      <c r="F834" s="378"/>
      <c r="G834" s="378"/>
      <c r="H834" s="378"/>
      <c r="I834" s="378"/>
      <c r="J834" s="378"/>
      <c r="K834" s="378"/>
      <c r="L834" s="378"/>
      <c r="M834" s="378"/>
      <c r="N834" s="378"/>
      <c r="O834" s="378"/>
      <c r="P834" s="378"/>
      <c r="Q834" s="378"/>
      <c r="R834" s="378"/>
      <c r="S834" s="378"/>
      <c r="T834" s="378"/>
      <c r="U834" s="378"/>
      <c r="V834" s="378"/>
      <c r="W834" s="378"/>
      <c r="X834" s="378"/>
      <c r="Y834" s="378"/>
      <c r="Z834" s="378"/>
    </row>
    <row r="835" spans="1:26" ht="18">
      <c r="A835" s="378"/>
      <c r="B835" s="378"/>
      <c r="C835" s="378"/>
      <c r="D835" s="384"/>
      <c r="E835" s="378"/>
      <c r="F835" s="378"/>
      <c r="G835" s="378"/>
      <c r="H835" s="378"/>
      <c r="I835" s="378"/>
      <c r="J835" s="378"/>
      <c r="K835" s="378"/>
      <c r="L835" s="378"/>
      <c r="M835" s="378"/>
      <c r="N835" s="378"/>
      <c r="O835" s="378"/>
      <c r="P835" s="378"/>
      <c r="Q835" s="378"/>
      <c r="R835" s="378"/>
      <c r="S835" s="378"/>
      <c r="T835" s="378"/>
      <c r="U835" s="378"/>
      <c r="V835" s="378"/>
      <c r="W835" s="378"/>
      <c r="X835" s="378"/>
      <c r="Y835" s="378"/>
      <c r="Z835" s="378"/>
    </row>
    <row r="836" spans="1:26" ht="18">
      <c r="A836" s="378"/>
      <c r="B836" s="378"/>
      <c r="C836" s="378"/>
      <c r="D836" s="384"/>
      <c r="E836" s="378"/>
      <c r="F836" s="378"/>
      <c r="G836" s="378"/>
      <c r="H836" s="378"/>
      <c r="I836" s="378"/>
      <c r="J836" s="378"/>
      <c r="K836" s="378"/>
      <c r="L836" s="378"/>
      <c r="M836" s="378"/>
      <c r="N836" s="378"/>
      <c r="O836" s="378"/>
      <c r="P836" s="378"/>
      <c r="Q836" s="378"/>
      <c r="R836" s="378"/>
      <c r="S836" s="378"/>
      <c r="T836" s="378"/>
      <c r="U836" s="378"/>
      <c r="V836" s="378"/>
      <c r="W836" s="378"/>
      <c r="X836" s="378"/>
      <c r="Y836" s="378"/>
      <c r="Z836" s="378"/>
    </row>
    <row r="837" spans="1:26" ht="18">
      <c r="A837" s="378"/>
      <c r="B837" s="378"/>
      <c r="C837" s="378"/>
      <c r="D837" s="384"/>
      <c r="E837" s="378"/>
      <c r="F837" s="378"/>
      <c r="G837" s="378"/>
      <c r="H837" s="378"/>
      <c r="I837" s="378"/>
      <c r="J837" s="378"/>
      <c r="K837" s="378"/>
      <c r="L837" s="378"/>
      <c r="M837" s="378"/>
      <c r="N837" s="378"/>
      <c r="O837" s="378"/>
      <c r="P837" s="378"/>
      <c r="Q837" s="378"/>
      <c r="R837" s="378"/>
      <c r="S837" s="378"/>
      <c r="T837" s="378"/>
      <c r="U837" s="378"/>
      <c r="V837" s="378"/>
      <c r="W837" s="378"/>
      <c r="X837" s="378"/>
      <c r="Y837" s="378"/>
      <c r="Z837" s="378"/>
    </row>
    <row r="838" spans="1:26" ht="18">
      <c r="A838" s="378"/>
      <c r="B838" s="378"/>
      <c r="C838" s="378"/>
      <c r="D838" s="384"/>
      <c r="E838" s="378"/>
      <c r="F838" s="378"/>
      <c r="G838" s="378"/>
      <c r="H838" s="378"/>
      <c r="I838" s="378"/>
      <c r="J838" s="378"/>
      <c r="K838" s="378"/>
      <c r="L838" s="378"/>
      <c r="M838" s="378"/>
      <c r="N838" s="378"/>
      <c r="O838" s="378"/>
      <c r="P838" s="378"/>
      <c r="Q838" s="378"/>
      <c r="R838" s="378"/>
      <c r="S838" s="378"/>
      <c r="T838" s="378"/>
      <c r="U838" s="378"/>
      <c r="V838" s="378"/>
      <c r="W838" s="378"/>
      <c r="X838" s="378"/>
      <c r="Y838" s="378"/>
      <c r="Z838" s="378"/>
    </row>
    <row r="839" spans="1:26" ht="18">
      <c r="A839" s="378"/>
      <c r="B839" s="378"/>
      <c r="C839" s="378"/>
      <c r="D839" s="384"/>
      <c r="E839" s="378"/>
      <c r="F839" s="378"/>
      <c r="G839" s="378"/>
      <c r="H839" s="378"/>
      <c r="I839" s="378"/>
      <c r="J839" s="378"/>
      <c r="K839" s="378"/>
      <c r="L839" s="378"/>
      <c r="M839" s="378"/>
      <c r="N839" s="378"/>
      <c r="O839" s="378"/>
      <c r="P839" s="378"/>
      <c r="Q839" s="378"/>
      <c r="R839" s="378"/>
      <c r="S839" s="378"/>
      <c r="T839" s="378"/>
      <c r="U839" s="378"/>
      <c r="V839" s="378"/>
      <c r="W839" s="378"/>
      <c r="X839" s="378"/>
      <c r="Y839" s="378"/>
      <c r="Z839" s="378"/>
    </row>
    <row r="840" spans="1:26" ht="18">
      <c r="A840" s="378"/>
      <c r="B840" s="378"/>
      <c r="C840" s="378"/>
      <c r="D840" s="384"/>
      <c r="E840" s="378"/>
      <c r="F840" s="378"/>
      <c r="G840" s="378"/>
      <c r="H840" s="378"/>
      <c r="I840" s="378"/>
      <c r="J840" s="378"/>
      <c r="K840" s="378"/>
      <c r="L840" s="378"/>
      <c r="M840" s="378"/>
      <c r="N840" s="378"/>
      <c r="O840" s="378"/>
      <c r="P840" s="378"/>
      <c r="Q840" s="378"/>
      <c r="R840" s="378"/>
      <c r="S840" s="378"/>
      <c r="T840" s="378"/>
      <c r="U840" s="378"/>
      <c r="V840" s="378"/>
      <c r="W840" s="378"/>
      <c r="X840" s="378"/>
      <c r="Y840" s="378"/>
      <c r="Z840" s="378"/>
    </row>
    <row r="841" spans="1:26" ht="18">
      <c r="A841" s="378"/>
      <c r="B841" s="378"/>
      <c r="C841" s="378"/>
      <c r="D841" s="384"/>
      <c r="E841" s="378"/>
      <c r="F841" s="378"/>
      <c r="G841" s="378"/>
      <c r="H841" s="378"/>
      <c r="I841" s="378"/>
      <c r="J841" s="378"/>
      <c r="K841" s="378"/>
      <c r="L841" s="378"/>
      <c r="M841" s="378"/>
      <c r="N841" s="378"/>
      <c r="O841" s="378"/>
      <c r="P841" s="378"/>
      <c r="Q841" s="378"/>
      <c r="R841" s="378"/>
      <c r="S841" s="378"/>
      <c r="T841" s="378"/>
      <c r="U841" s="378"/>
      <c r="V841" s="378"/>
      <c r="W841" s="378"/>
      <c r="X841" s="378"/>
      <c r="Y841" s="378"/>
      <c r="Z841" s="378"/>
    </row>
    <row r="842" spans="1:26" ht="18">
      <c r="A842" s="378"/>
      <c r="B842" s="378"/>
      <c r="C842" s="378"/>
      <c r="D842" s="384"/>
      <c r="E842" s="378"/>
      <c r="F842" s="378"/>
      <c r="G842" s="378"/>
      <c r="H842" s="378"/>
      <c r="I842" s="378"/>
      <c r="J842" s="378"/>
      <c r="K842" s="378"/>
      <c r="L842" s="378"/>
      <c r="M842" s="378"/>
      <c r="N842" s="378"/>
      <c r="O842" s="378"/>
      <c r="P842" s="378"/>
      <c r="Q842" s="378"/>
      <c r="R842" s="378"/>
      <c r="S842" s="378"/>
      <c r="T842" s="378"/>
      <c r="U842" s="378"/>
      <c r="V842" s="378"/>
      <c r="W842" s="378"/>
      <c r="X842" s="378"/>
      <c r="Y842" s="378"/>
      <c r="Z842" s="378"/>
    </row>
    <row r="843" spans="1:26" ht="18">
      <c r="A843" s="378"/>
      <c r="B843" s="378"/>
      <c r="C843" s="378"/>
      <c r="D843" s="384"/>
      <c r="E843" s="378"/>
      <c r="F843" s="378"/>
      <c r="G843" s="378"/>
      <c r="H843" s="378"/>
      <c r="I843" s="378"/>
      <c r="J843" s="378"/>
      <c r="K843" s="378"/>
      <c r="L843" s="378"/>
      <c r="M843" s="378"/>
      <c r="N843" s="378"/>
      <c r="O843" s="378"/>
      <c r="P843" s="378"/>
      <c r="Q843" s="378"/>
      <c r="R843" s="378"/>
      <c r="S843" s="378"/>
      <c r="T843" s="378"/>
      <c r="U843" s="378"/>
      <c r="V843" s="378"/>
      <c r="W843" s="378"/>
      <c r="X843" s="378"/>
      <c r="Y843" s="378"/>
      <c r="Z843" s="378"/>
    </row>
    <row r="844" spans="1:26" ht="18">
      <c r="A844" s="378"/>
      <c r="B844" s="378"/>
      <c r="C844" s="378"/>
      <c r="D844" s="384"/>
      <c r="E844" s="378"/>
      <c r="F844" s="378"/>
      <c r="G844" s="378"/>
      <c r="H844" s="378"/>
      <c r="I844" s="378"/>
      <c r="J844" s="378"/>
      <c r="K844" s="378"/>
      <c r="L844" s="378"/>
      <c r="M844" s="378"/>
      <c r="N844" s="378"/>
      <c r="O844" s="378"/>
      <c r="P844" s="378"/>
      <c r="Q844" s="378"/>
      <c r="R844" s="378"/>
      <c r="S844" s="378"/>
      <c r="T844" s="378"/>
      <c r="U844" s="378"/>
      <c r="V844" s="378"/>
      <c r="W844" s="378"/>
      <c r="X844" s="378"/>
      <c r="Y844" s="378"/>
      <c r="Z844" s="378"/>
    </row>
    <row r="845" spans="1:26" ht="18">
      <c r="A845" s="378"/>
      <c r="B845" s="378"/>
      <c r="C845" s="378"/>
      <c r="D845" s="384"/>
      <c r="E845" s="378"/>
      <c r="F845" s="378"/>
      <c r="G845" s="378"/>
      <c r="H845" s="378"/>
      <c r="I845" s="378"/>
      <c r="J845" s="378"/>
      <c r="K845" s="378"/>
      <c r="L845" s="378"/>
      <c r="M845" s="378"/>
      <c r="N845" s="378"/>
      <c r="O845" s="378"/>
      <c r="P845" s="378"/>
      <c r="Q845" s="378"/>
      <c r="R845" s="378"/>
      <c r="S845" s="378"/>
      <c r="T845" s="378"/>
      <c r="U845" s="378"/>
      <c r="V845" s="378"/>
      <c r="W845" s="378"/>
      <c r="X845" s="378"/>
      <c r="Y845" s="378"/>
      <c r="Z845" s="378"/>
    </row>
    <row r="846" spans="1:26" ht="18">
      <c r="A846" s="378"/>
      <c r="B846" s="378"/>
      <c r="C846" s="378"/>
      <c r="D846" s="384"/>
      <c r="E846" s="378"/>
      <c r="F846" s="378"/>
      <c r="G846" s="378"/>
      <c r="H846" s="378"/>
      <c r="I846" s="378"/>
      <c r="J846" s="378"/>
      <c r="K846" s="378"/>
      <c r="L846" s="378"/>
      <c r="M846" s="378"/>
      <c r="N846" s="378"/>
      <c r="O846" s="378"/>
      <c r="P846" s="378"/>
      <c r="Q846" s="378"/>
      <c r="R846" s="378"/>
      <c r="S846" s="378"/>
      <c r="T846" s="378"/>
      <c r="U846" s="378"/>
      <c r="V846" s="378"/>
      <c r="W846" s="378"/>
      <c r="X846" s="378"/>
      <c r="Y846" s="378"/>
      <c r="Z846" s="378"/>
    </row>
    <row r="847" spans="1:26" ht="18">
      <c r="A847" s="378"/>
      <c r="B847" s="378"/>
      <c r="C847" s="378"/>
      <c r="D847" s="384"/>
      <c r="E847" s="378"/>
      <c r="F847" s="378"/>
      <c r="G847" s="378"/>
      <c r="H847" s="378"/>
      <c r="I847" s="378"/>
      <c r="J847" s="378"/>
      <c r="K847" s="378"/>
      <c r="L847" s="378"/>
      <c r="M847" s="378"/>
      <c r="N847" s="378"/>
      <c r="O847" s="378"/>
      <c r="P847" s="378"/>
      <c r="Q847" s="378"/>
      <c r="R847" s="378"/>
      <c r="S847" s="378"/>
      <c r="T847" s="378"/>
      <c r="U847" s="378"/>
      <c r="V847" s="378"/>
      <c r="W847" s="378"/>
      <c r="X847" s="378"/>
      <c r="Y847" s="378"/>
      <c r="Z847" s="378"/>
    </row>
    <row r="848" spans="1:26" ht="18">
      <c r="A848" s="378"/>
      <c r="B848" s="378"/>
      <c r="C848" s="378"/>
      <c r="D848" s="384"/>
      <c r="E848" s="378"/>
      <c r="F848" s="378"/>
      <c r="G848" s="378"/>
      <c r="H848" s="378"/>
      <c r="I848" s="378"/>
      <c r="J848" s="378"/>
      <c r="K848" s="378"/>
      <c r="L848" s="378"/>
      <c r="M848" s="378"/>
      <c r="N848" s="378"/>
      <c r="O848" s="378"/>
      <c r="P848" s="378"/>
      <c r="Q848" s="378"/>
      <c r="R848" s="378"/>
      <c r="S848" s="378"/>
      <c r="T848" s="378"/>
      <c r="U848" s="378"/>
      <c r="V848" s="378"/>
      <c r="W848" s="378"/>
      <c r="X848" s="378"/>
      <c r="Y848" s="378"/>
      <c r="Z848" s="378"/>
    </row>
    <row r="849" spans="1:26" ht="18">
      <c r="A849" s="378"/>
      <c r="B849" s="378"/>
      <c r="C849" s="378"/>
      <c r="D849" s="384"/>
      <c r="E849" s="378"/>
      <c r="F849" s="378"/>
      <c r="G849" s="378"/>
      <c r="H849" s="378"/>
      <c r="I849" s="378"/>
      <c r="J849" s="378"/>
      <c r="K849" s="378"/>
      <c r="L849" s="378"/>
      <c r="M849" s="378"/>
      <c r="N849" s="378"/>
      <c r="O849" s="378"/>
      <c r="P849" s="378"/>
      <c r="Q849" s="378"/>
      <c r="R849" s="378"/>
      <c r="S849" s="378"/>
      <c r="T849" s="378"/>
      <c r="U849" s="378"/>
      <c r="V849" s="378"/>
      <c r="W849" s="378"/>
      <c r="X849" s="378"/>
      <c r="Y849" s="378"/>
      <c r="Z849" s="378"/>
    </row>
    <row r="850" spans="1:26" ht="18">
      <c r="A850" s="378"/>
      <c r="B850" s="378"/>
      <c r="C850" s="378"/>
      <c r="D850" s="384"/>
      <c r="E850" s="378"/>
      <c r="F850" s="378"/>
      <c r="G850" s="378"/>
      <c r="H850" s="378"/>
      <c r="I850" s="378"/>
      <c r="J850" s="378"/>
      <c r="K850" s="378"/>
      <c r="L850" s="378"/>
      <c r="M850" s="378"/>
      <c r="N850" s="378"/>
      <c r="O850" s="378"/>
      <c r="P850" s="378"/>
      <c r="Q850" s="378"/>
      <c r="R850" s="378"/>
      <c r="S850" s="378"/>
      <c r="T850" s="378"/>
      <c r="U850" s="378"/>
      <c r="V850" s="378"/>
      <c r="W850" s="378"/>
      <c r="X850" s="378"/>
      <c r="Y850" s="378"/>
      <c r="Z850" s="378"/>
    </row>
    <row r="851" spans="1:26" ht="18">
      <c r="A851" s="378"/>
      <c r="B851" s="378"/>
      <c r="C851" s="378"/>
      <c r="D851" s="384"/>
      <c r="E851" s="378"/>
      <c r="F851" s="378"/>
      <c r="G851" s="378"/>
      <c r="H851" s="378"/>
      <c r="I851" s="378"/>
      <c r="J851" s="378"/>
      <c r="K851" s="378"/>
      <c r="L851" s="378"/>
      <c r="M851" s="378"/>
      <c r="N851" s="378"/>
      <c r="O851" s="378"/>
      <c r="P851" s="378"/>
      <c r="Q851" s="378"/>
      <c r="R851" s="378"/>
      <c r="S851" s="378"/>
      <c r="T851" s="378"/>
      <c r="U851" s="378"/>
      <c r="V851" s="378"/>
      <c r="W851" s="378"/>
      <c r="X851" s="378"/>
      <c r="Y851" s="378"/>
      <c r="Z851" s="378"/>
    </row>
    <row r="852" spans="1:26" ht="18">
      <c r="A852" s="378"/>
      <c r="B852" s="378"/>
      <c r="C852" s="378"/>
      <c r="D852" s="384"/>
      <c r="E852" s="378"/>
      <c r="F852" s="378"/>
      <c r="G852" s="378"/>
      <c r="H852" s="378"/>
      <c r="I852" s="378"/>
      <c r="J852" s="378"/>
      <c r="K852" s="378"/>
      <c r="L852" s="378"/>
      <c r="M852" s="378"/>
      <c r="N852" s="378"/>
      <c r="O852" s="378"/>
      <c r="P852" s="378"/>
      <c r="Q852" s="378"/>
      <c r="R852" s="378"/>
      <c r="S852" s="378"/>
      <c r="T852" s="378"/>
      <c r="U852" s="378"/>
      <c r="V852" s="378"/>
      <c r="W852" s="378"/>
      <c r="X852" s="378"/>
      <c r="Y852" s="378"/>
      <c r="Z852" s="378"/>
    </row>
    <row r="853" spans="1:26" ht="18">
      <c r="A853" s="378"/>
      <c r="B853" s="378"/>
      <c r="C853" s="378"/>
      <c r="D853" s="384"/>
      <c r="E853" s="378"/>
      <c r="F853" s="378"/>
      <c r="G853" s="378"/>
      <c r="H853" s="378"/>
      <c r="I853" s="378"/>
      <c r="J853" s="378"/>
      <c r="K853" s="378"/>
      <c r="L853" s="378"/>
      <c r="M853" s="378"/>
      <c r="N853" s="378"/>
      <c r="O853" s="378"/>
      <c r="P853" s="378"/>
      <c r="Q853" s="378"/>
      <c r="R853" s="378"/>
      <c r="S853" s="378"/>
      <c r="T853" s="378"/>
      <c r="U853" s="378"/>
      <c r="V853" s="378"/>
      <c r="W853" s="378"/>
      <c r="X853" s="378"/>
      <c r="Y853" s="378"/>
      <c r="Z853" s="378"/>
    </row>
    <row r="854" spans="1:26" ht="18">
      <c r="A854" s="378"/>
      <c r="B854" s="378"/>
      <c r="C854" s="378"/>
      <c r="D854" s="384"/>
      <c r="E854" s="378"/>
      <c r="F854" s="378"/>
      <c r="G854" s="378"/>
      <c r="H854" s="378"/>
      <c r="I854" s="378"/>
      <c r="J854" s="378"/>
      <c r="K854" s="378"/>
      <c r="L854" s="378"/>
      <c r="M854" s="378"/>
      <c r="N854" s="378"/>
      <c r="O854" s="378"/>
      <c r="P854" s="378"/>
      <c r="Q854" s="378"/>
      <c r="R854" s="378"/>
      <c r="S854" s="378"/>
      <c r="T854" s="378"/>
      <c r="U854" s="378"/>
      <c r="V854" s="378"/>
      <c r="W854" s="378"/>
      <c r="X854" s="378"/>
      <c r="Y854" s="378"/>
      <c r="Z854" s="378"/>
    </row>
    <row r="855" spans="1:26" ht="18">
      <c r="A855" s="378"/>
      <c r="B855" s="378"/>
      <c r="C855" s="378"/>
      <c r="D855" s="384"/>
      <c r="E855" s="378"/>
      <c r="F855" s="378"/>
      <c r="G855" s="378"/>
      <c r="H855" s="378"/>
      <c r="I855" s="378"/>
      <c r="J855" s="378"/>
      <c r="K855" s="378"/>
      <c r="L855" s="378"/>
      <c r="M855" s="378"/>
      <c r="N855" s="378"/>
      <c r="O855" s="378"/>
      <c r="P855" s="378"/>
      <c r="Q855" s="378"/>
      <c r="R855" s="378"/>
      <c r="S855" s="378"/>
      <c r="T855" s="378"/>
      <c r="U855" s="378"/>
      <c r="V855" s="378"/>
      <c r="W855" s="378"/>
      <c r="X855" s="378"/>
      <c r="Y855" s="378"/>
      <c r="Z855" s="378"/>
    </row>
    <row r="856" spans="1:26" ht="18">
      <c r="A856" s="378"/>
      <c r="B856" s="378"/>
      <c r="C856" s="378"/>
      <c r="D856" s="384"/>
      <c r="E856" s="378"/>
      <c r="F856" s="378"/>
      <c r="G856" s="378"/>
      <c r="H856" s="378"/>
      <c r="I856" s="378"/>
      <c r="J856" s="378"/>
      <c r="K856" s="378"/>
      <c r="L856" s="378"/>
      <c r="M856" s="378"/>
      <c r="N856" s="378"/>
      <c r="O856" s="378"/>
      <c r="P856" s="378"/>
      <c r="Q856" s="378"/>
      <c r="R856" s="378"/>
      <c r="S856" s="378"/>
      <c r="T856" s="378"/>
      <c r="U856" s="378"/>
      <c r="V856" s="378"/>
      <c r="W856" s="378"/>
      <c r="X856" s="378"/>
      <c r="Y856" s="378"/>
      <c r="Z856" s="378"/>
    </row>
    <row r="857" spans="1:26" ht="18">
      <c r="A857" s="378"/>
      <c r="B857" s="378"/>
      <c r="C857" s="378"/>
      <c r="D857" s="384"/>
      <c r="E857" s="378"/>
      <c r="F857" s="378"/>
      <c r="G857" s="378"/>
      <c r="H857" s="378"/>
      <c r="I857" s="378"/>
      <c r="J857" s="378"/>
      <c r="K857" s="378"/>
      <c r="L857" s="378"/>
      <c r="M857" s="378"/>
      <c r="N857" s="378"/>
      <c r="O857" s="378"/>
      <c r="P857" s="378"/>
      <c r="Q857" s="378"/>
      <c r="R857" s="378"/>
      <c r="S857" s="378"/>
      <c r="T857" s="378"/>
      <c r="U857" s="378"/>
      <c r="V857" s="378"/>
      <c r="W857" s="378"/>
      <c r="X857" s="378"/>
      <c r="Y857" s="378"/>
      <c r="Z857" s="378"/>
    </row>
    <row r="858" spans="1:26" ht="18">
      <c r="A858" s="378"/>
      <c r="B858" s="378"/>
      <c r="C858" s="378"/>
      <c r="D858" s="384"/>
      <c r="E858" s="378"/>
      <c r="F858" s="378"/>
      <c r="G858" s="378"/>
      <c r="H858" s="378"/>
      <c r="I858" s="378"/>
      <c r="J858" s="378"/>
      <c r="K858" s="378"/>
      <c r="L858" s="378"/>
      <c r="M858" s="378"/>
      <c r="N858" s="378"/>
      <c r="O858" s="378"/>
      <c r="P858" s="378"/>
      <c r="Q858" s="378"/>
      <c r="R858" s="378"/>
      <c r="S858" s="378"/>
      <c r="T858" s="378"/>
      <c r="U858" s="378"/>
      <c r="V858" s="378"/>
      <c r="W858" s="378"/>
      <c r="X858" s="378"/>
      <c r="Y858" s="378"/>
      <c r="Z858" s="378"/>
    </row>
    <row r="859" spans="1:26" ht="18">
      <c r="A859" s="378"/>
      <c r="B859" s="378"/>
      <c r="C859" s="378"/>
      <c r="D859" s="384"/>
      <c r="E859" s="378"/>
      <c r="F859" s="378"/>
      <c r="G859" s="378"/>
      <c r="H859" s="378"/>
      <c r="I859" s="378"/>
      <c r="J859" s="378"/>
      <c r="K859" s="378"/>
      <c r="L859" s="378"/>
      <c r="M859" s="378"/>
      <c r="N859" s="378"/>
      <c r="O859" s="378"/>
      <c r="P859" s="378"/>
      <c r="Q859" s="378"/>
      <c r="R859" s="378"/>
      <c r="S859" s="378"/>
      <c r="T859" s="378"/>
      <c r="U859" s="378"/>
      <c r="V859" s="378"/>
      <c r="W859" s="378"/>
      <c r="X859" s="378"/>
      <c r="Y859" s="378"/>
      <c r="Z859" s="378"/>
    </row>
    <row r="860" spans="1:26" ht="18">
      <c r="A860" s="378"/>
      <c r="B860" s="378"/>
      <c r="C860" s="378"/>
      <c r="D860" s="384"/>
      <c r="E860" s="378"/>
      <c r="F860" s="378"/>
      <c r="G860" s="378"/>
      <c r="H860" s="378"/>
      <c r="I860" s="378"/>
      <c r="J860" s="378"/>
      <c r="K860" s="378"/>
      <c r="L860" s="378"/>
      <c r="M860" s="378"/>
      <c r="N860" s="378"/>
      <c r="O860" s="378"/>
      <c r="P860" s="378"/>
      <c r="Q860" s="378"/>
      <c r="R860" s="378"/>
      <c r="S860" s="378"/>
      <c r="T860" s="378"/>
      <c r="U860" s="378"/>
      <c r="V860" s="378"/>
      <c r="W860" s="378"/>
      <c r="X860" s="378"/>
      <c r="Y860" s="378"/>
      <c r="Z860" s="378"/>
    </row>
    <row r="861" spans="1:26" ht="18">
      <c r="A861" s="378"/>
      <c r="B861" s="378"/>
      <c r="C861" s="378"/>
      <c r="D861" s="384"/>
      <c r="E861" s="378"/>
      <c r="F861" s="378"/>
      <c r="G861" s="378"/>
      <c r="H861" s="378"/>
      <c r="I861" s="378"/>
      <c r="J861" s="378"/>
      <c r="K861" s="378"/>
      <c r="L861" s="378"/>
      <c r="M861" s="378"/>
      <c r="N861" s="378"/>
      <c r="O861" s="378"/>
      <c r="P861" s="378"/>
      <c r="Q861" s="378"/>
      <c r="R861" s="378"/>
      <c r="S861" s="378"/>
      <c r="T861" s="378"/>
      <c r="U861" s="378"/>
      <c r="V861" s="378"/>
      <c r="W861" s="378"/>
      <c r="X861" s="378"/>
      <c r="Y861" s="378"/>
      <c r="Z861" s="378"/>
    </row>
    <row r="862" spans="1:26" ht="18">
      <c r="A862" s="378"/>
      <c r="B862" s="378"/>
      <c r="C862" s="378"/>
      <c r="D862" s="384"/>
      <c r="E862" s="378"/>
      <c r="F862" s="378"/>
      <c r="G862" s="378"/>
      <c r="H862" s="378"/>
      <c r="I862" s="378"/>
      <c r="J862" s="378"/>
      <c r="K862" s="378"/>
      <c r="L862" s="378"/>
      <c r="M862" s="378"/>
      <c r="N862" s="378"/>
      <c r="O862" s="378"/>
      <c r="P862" s="378"/>
      <c r="Q862" s="378"/>
      <c r="R862" s="378"/>
      <c r="S862" s="378"/>
      <c r="T862" s="378"/>
      <c r="U862" s="378"/>
      <c r="V862" s="378"/>
      <c r="W862" s="378"/>
      <c r="X862" s="378"/>
      <c r="Y862" s="378"/>
      <c r="Z862" s="378"/>
    </row>
    <row r="863" spans="1:26" ht="18">
      <c r="A863" s="378"/>
      <c r="B863" s="378"/>
      <c r="C863" s="378"/>
      <c r="D863" s="384"/>
      <c r="E863" s="378"/>
      <c r="F863" s="378"/>
      <c r="G863" s="378"/>
      <c r="H863" s="378"/>
      <c r="I863" s="378"/>
      <c r="J863" s="378"/>
      <c r="K863" s="378"/>
      <c r="L863" s="378"/>
      <c r="M863" s="378"/>
      <c r="N863" s="378"/>
      <c r="O863" s="378"/>
      <c r="P863" s="378"/>
      <c r="Q863" s="378"/>
      <c r="R863" s="378"/>
      <c r="S863" s="378"/>
      <c r="T863" s="378"/>
      <c r="U863" s="378"/>
      <c r="V863" s="378"/>
      <c r="W863" s="378"/>
      <c r="X863" s="378"/>
      <c r="Y863" s="378"/>
      <c r="Z863" s="378"/>
    </row>
    <row r="864" spans="1:26" ht="18">
      <c r="A864" s="378"/>
      <c r="B864" s="378"/>
      <c r="C864" s="378"/>
      <c r="D864" s="384"/>
      <c r="E864" s="378"/>
      <c r="F864" s="378"/>
      <c r="G864" s="378"/>
      <c r="H864" s="378"/>
      <c r="I864" s="378"/>
      <c r="J864" s="378"/>
      <c r="K864" s="378"/>
      <c r="L864" s="378"/>
      <c r="M864" s="378"/>
      <c r="N864" s="378"/>
      <c r="O864" s="378"/>
      <c r="P864" s="378"/>
      <c r="Q864" s="378"/>
      <c r="R864" s="378"/>
      <c r="S864" s="378"/>
      <c r="T864" s="378"/>
      <c r="U864" s="378"/>
      <c r="V864" s="378"/>
      <c r="W864" s="378"/>
      <c r="X864" s="378"/>
      <c r="Y864" s="378"/>
      <c r="Z864" s="378"/>
    </row>
    <row r="865" spans="1:26" ht="18">
      <c r="A865" s="378"/>
      <c r="B865" s="378"/>
      <c r="C865" s="378"/>
      <c r="D865" s="384"/>
      <c r="E865" s="378"/>
      <c r="F865" s="378"/>
      <c r="G865" s="378"/>
      <c r="H865" s="378"/>
      <c r="I865" s="378"/>
      <c r="J865" s="378"/>
      <c r="K865" s="378"/>
      <c r="L865" s="378"/>
      <c r="M865" s="378"/>
      <c r="N865" s="378"/>
      <c r="O865" s="378"/>
      <c r="P865" s="378"/>
      <c r="Q865" s="378"/>
      <c r="R865" s="378"/>
      <c r="S865" s="378"/>
      <c r="T865" s="378"/>
      <c r="U865" s="378"/>
      <c r="V865" s="378"/>
      <c r="W865" s="378"/>
      <c r="X865" s="378"/>
      <c r="Y865" s="378"/>
      <c r="Z865" s="378"/>
    </row>
    <row r="866" spans="1:26" ht="18">
      <c r="A866" s="378"/>
      <c r="B866" s="378"/>
      <c r="C866" s="378"/>
      <c r="D866" s="384"/>
      <c r="E866" s="378"/>
      <c r="F866" s="378"/>
      <c r="G866" s="378"/>
      <c r="H866" s="378"/>
      <c r="I866" s="378"/>
      <c r="J866" s="378"/>
      <c r="K866" s="378"/>
      <c r="L866" s="378"/>
      <c r="M866" s="378"/>
      <c r="N866" s="378"/>
      <c r="O866" s="378"/>
      <c r="P866" s="378"/>
      <c r="Q866" s="378"/>
      <c r="R866" s="378"/>
      <c r="S866" s="378"/>
      <c r="T866" s="378"/>
      <c r="U866" s="378"/>
      <c r="V866" s="378"/>
      <c r="W866" s="378"/>
      <c r="X866" s="378"/>
      <c r="Y866" s="378"/>
      <c r="Z866" s="378"/>
    </row>
    <row r="867" spans="1:26" ht="18">
      <c r="A867" s="378"/>
      <c r="B867" s="378"/>
      <c r="C867" s="378"/>
      <c r="D867" s="384"/>
      <c r="E867" s="378"/>
      <c r="F867" s="378"/>
      <c r="G867" s="378"/>
      <c r="H867" s="378"/>
      <c r="I867" s="378"/>
      <c r="J867" s="378"/>
      <c r="K867" s="378"/>
      <c r="L867" s="378"/>
      <c r="M867" s="378"/>
      <c r="N867" s="378"/>
      <c r="O867" s="378"/>
      <c r="P867" s="378"/>
      <c r="Q867" s="378"/>
      <c r="R867" s="378"/>
      <c r="S867" s="378"/>
      <c r="T867" s="378"/>
      <c r="U867" s="378"/>
      <c r="V867" s="378"/>
      <c r="W867" s="378"/>
      <c r="X867" s="378"/>
      <c r="Y867" s="378"/>
      <c r="Z867" s="378"/>
    </row>
    <row r="868" spans="1:26" ht="18">
      <c r="A868" s="378"/>
      <c r="B868" s="378"/>
      <c r="C868" s="378"/>
      <c r="D868" s="384"/>
      <c r="E868" s="378"/>
      <c r="F868" s="378"/>
      <c r="G868" s="378"/>
      <c r="H868" s="378"/>
      <c r="I868" s="378"/>
      <c r="J868" s="378"/>
      <c r="K868" s="378"/>
      <c r="L868" s="378"/>
      <c r="M868" s="378"/>
      <c r="N868" s="378"/>
      <c r="O868" s="378"/>
      <c r="P868" s="378"/>
      <c r="Q868" s="378"/>
      <c r="R868" s="378"/>
      <c r="S868" s="378"/>
      <c r="T868" s="378"/>
      <c r="U868" s="378"/>
      <c r="V868" s="378"/>
      <c r="W868" s="378"/>
      <c r="X868" s="378"/>
      <c r="Y868" s="378"/>
      <c r="Z868" s="378"/>
    </row>
    <row r="869" spans="1:26" ht="18">
      <c r="A869" s="378"/>
      <c r="B869" s="378"/>
      <c r="C869" s="378"/>
      <c r="D869" s="384"/>
      <c r="E869" s="378"/>
      <c r="F869" s="378"/>
      <c r="G869" s="378"/>
      <c r="H869" s="378"/>
      <c r="I869" s="378"/>
      <c r="J869" s="378"/>
      <c r="K869" s="378"/>
      <c r="L869" s="378"/>
      <c r="M869" s="378"/>
      <c r="N869" s="378"/>
      <c r="O869" s="378"/>
      <c r="P869" s="378"/>
      <c r="Q869" s="378"/>
      <c r="R869" s="378"/>
      <c r="S869" s="378"/>
      <c r="T869" s="378"/>
      <c r="U869" s="378"/>
      <c r="V869" s="378"/>
      <c r="W869" s="378"/>
      <c r="X869" s="378"/>
      <c r="Y869" s="378"/>
      <c r="Z869" s="378"/>
    </row>
    <row r="870" spans="1:26" ht="18">
      <c r="A870" s="378"/>
      <c r="B870" s="378"/>
      <c r="C870" s="378"/>
      <c r="D870" s="384"/>
      <c r="E870" s="378"/>
      <c r="F870" s="378"/>
      <c r="G870" s="378"/>
      <c r="H870" s="378"/>
      <c r="I870" s="378"/>
      <c r="J870" s="378"/>
      <c r="K870" s="378"/>
      <c r="L870" s="378"/>
      <c r="M870" s="378"/>
      <c r="N870" s="378"/>
      <c r="O870" s="378"/>
      <c r="P870" s="378"/>
      <c r="Q870" s="378"/>
      <c r="R870" s="378"/>
      <c r="S870" s="378"/>
      <c r="T870" s="378"/>
      <c r="U870" s="378"/>
      <c r="V870" s="378"/>
      <c r="W870" s="378"/>
      <c r="X870" s="378"/>
      <c r="Y870" s="378"/>
      <c r="Z870" s="378"/>
    </row>
    <row r="871" spans="1:26" ht="18">
      <c r="A871" s="378"/>
      <c r="B871" s="378"/>
      <c r="C871" s="378"/>
      <c r="D871" s="384"/>
      <c r="E871" s="378"/>
      <c r="F871" s="378"/>
      <c r="G871" s="378"/>
      <c r="H871" s="378"/>
      <c r="I871" s="378"/>
      <c r="J871" s="378"/>
      <c r="K871" s="378"/>
      <c r="L871" s="378"/>
      <c r="M871" s="378"/>
      <c r="N871" s="378"/>
      <c r="O871" s="378"/>
      <c r="P871" s="378"/>
      <c r="Q871" s="378"/>
      <c r="R871" s="378"/>
      <c r="S871" s="378"/>
      <c r="T871" s="378"/>
      <c r="U871" s="378"/>
      <c r="V871" s="378"/>
      <c r="W871" s="378"/>
      <c r="X871" s="378"/>
      <c r="Y871" s="378"/>
      <c r="Z871" s="378"/>
    </row>
    <row r="872" spans="1:26" ht="18">
      <c r="A872" s="378"/>
      <c r="B872" s="378"/>
      <c r="C872" s="378"/>
      <c r="D872" s="384"/>
      <c r="E872" s="378"/>
      <c r="F872" s="378"/>
      <c r="G872" s="378"/>
      <c r="H872" s="378"/>
      <c r="I872" s="378"/>
      <c r="J872" s="378"/>
      <c r="K872" s="378"/>
      <c r="L872" s="378"/>
      <c r="M872" s="378"/>
      <c r="N872" s="378"/>
      <c r="O872" s="378"/>
      <c r="P872" s="378"/>
      <c r="Q872" s="378"/>
      <c r="R872" s="378"/>
      <c r="S872" s="378"/>
      <c r="T872" s="378"/>
      <c r="U872" s="378"/>
      <c r="V872" s="378"/>
      <c r="W872" s="378"/>
      <c r="X872" s="378"/>
      <c r="Y872" s="378"/>
      <c r="Z872" s="378"/>
    </row>
    <row r="873" spans="1:26" ht="18">
      <c r="A873" s="378"/>
      <c r="B873" s="378"/>
      <c r="C873" s="378"/>
      <c r="D873" s="384"/>
      <c r="E873" s="378"/>
      <c r="F873" s="378"/>
      <c r="G873" s="378"/>
      <c r="H873" s="378"/>
      <c r="I873" s="378"/>
      <c r="J873" s="378"/>
      <c r="K873" s="378"/>
      <c r="L873" s="378"/>
      <c r="M873" s="378"/>
      <c r="N873" s="378"/>
      <c r="O873" s="378"/>
      <c r="P873" s="378"/>
      <c r="Q873" s="378"/>
      <c r="R873" s="378"/>
      <c r="S873" s="378"/>
      <c r="T873" s="378"/>
      <c r="U873" s="378"/>
      <c r="V873" s="378"/>
      <c r="W873" s="378"/>
      <c r="X873" s="378"/>
      <c r="Y873" s="378"/>
      <c r="Z873" s="378"/>
    </row>
    <row r="874" spans="1:26" ht="18">
      <c r="A874" s="378"/>
      <c r="B874" s="378"/>
      <c r="C874" s="378"/>
      <c r="D874" s="384"/>
      <c r="E874" s="378"/>
      <c r="F874" s="378"/>
      <c r="G874" s="378"/>
      <c r="H874" s="378"/>
      <c r="I874" s="378"/>
      <c r="J874" s="378"/>
      <c r="K874" s="378"/>
      <c r="L874" s="378"/>
      <c r="M874" s="378"/>
      <c r="N874" s="378"/>
      <c r="O874" s="378"/>
      <c r="P874" s="378"/>
      <c r="Q874" s="378"/>
      <c r="R874" s="378"/>
      <c r="S874" s="378"/>
      <c r="T874" s="378"/>
      <c r="U874" s="378"/>
      <c r="V874" s="378"/>
      <c r="W874" s="378"/>
      <c r="X874" s="378"/>
      <c r="Y874" s="378"/>
      <c r="Z874" s="378"/>
    </row>
    <row r="875" spans="1:26" ht="18">
      <c r="A875" s="378"/>
      <c r="B875" s="378"/>
      <c r="C875" s="378"/>
      <c r="D875" s="384"/>
      <c r="E875" s="378"/>
      <c r="F875" s="378"/>
      <c r="G875" s="378"/>
      <c r="H875" s="378"/>
      <c r="I875" s="378"/>
      <c r="J875" s="378"/>
      <c r="K875" s="378"/>
      <c r="L875" s="378"/>
      <c r="M875" s="378"/>
      <c r="N875" s="378"/>
      <c r="O875" s="378"/>
      <c r="P875" s="378"/>
      <c r="Q875" s="378"/>
      <c r="R875" s="378"/>
      <c r="S875" s="378"/>
      <c r="T875" s="378"/>
      <c r="U875" s="378"/>
      <c r="V875" s="378"/>
      <c r="W875" s="378"/>
      <c r="X875" s="378"/>
      <c r="Y875" s="378"/>
      <c r="Z875" s="378"/>
    </row>
    <row r="876" spans="1:26" ht="18">
      <c r="A876" s="378"/>
      <c r="B876" s="378"/>
      <c r="C876" s="378"/>
      <c r="D876" s="384"/>
      <c r="E876" s="378"/>
      <c r="F876" s="378"/>
      <c r="G876" s="378"/>
      <c r="H876" s="378"/>
      <c r="I876" s="378"/>
      <c r="J876" s="378"/>
      <c r="K876" s="378"/>
      <c r="L876" s="378"/>
      <c r="M876" s="378"/>
      <c r="N876" s="378"/>
      <c r="O876" s="378"/>
      <c r="P876" s="378"/>
      <c r="Q876" s="378"/>
      <c r="R876" s="378"/>
      <c r="S876" s="378"/>
      <c r="T876" s="378"/>
      <c r="U876" s="378"/>
      <c r="V876" s="378"/>
      <c r="W876" s="378"/>
      <c r="X876" s="378"/>
      <c r="Y876" s="378"/>
      <c r="Z876" s="378"/>
    </row>
    <row r="877" spans="1:26" ht="18">
      <c r="A877" s="378"/>
      <c r="B877" s="378"/>
      <c r="C877" s="378"/>
      <c r="D877" s="384"/>
      <c r="E877" s="378"/>
      <c r="F877" s="378"/>
      <c r="G877" s="378"/>
      <c r="H877" s="378"/>
      <c r="I877" s="378"/>
      <c r="J877" s="378"/>
      <c r="K877" s="378"/>
      <c r="L877" s="378"/>
      <c r="M877" s="378"/>
      <c r="N877" s="378"/>
      <c r="O877" s="378"/>
      <c r="P877" s="378"/>
      <c r="Q877" s="378"/>
      <c r="R877" s="378"/>
      <c r="S877" s="378"/>
      <c r="T877" s="378"/>
      <c r="U877" s="378"/>
      <c r="V877" s="378"/>
      <c r="W877" s="378"/>
      <c r="X877" s="378"/>
      <c r="Y877" s="378"/>
      <c r="Z877" s="378"/>
    </row>
    <row r="878" spans="1:26" ht="18">
      <c r="A878" s="378"/>
      <c r="B878" s="378"/>
      <c r="C878" s="378"/>
      <c r="D878" s="384"/>
      <c r="E878" s="378"/>
      <c r="F878" s="378"/>
      <c r="G878" s="378"/>
      <c r="H878" s="378"/>
      <c r="I878" s="378"/>
      <c r="J878" s="378"/>
      <c r="K878" s="378"/>
      <c r="L878" s="378"/>
      <c r="M878" s="378"/>
      <c r="N878" s="378"/>
      <c r="O878" s="378"/>
      <c r="P878" s="378"/>
      <c r="Q878" s="378"/>
      <c r="R878" s="378"/>
      <c r="S878" s="378"/>
      <c r="T878" s="378"/>
      <c r="U878" s="378"/>
      <c r="V878" s="378"/>
      <c r="W878" s="378"/>
      <c r="X878" s="378"/>
      <c r="Y878" s="378"/>
      <c r="Z878" s="378"/>
    </row>
    <row r="879" spans="1:26" ht="18">
      <c r="A879" s="378"/>
      <c r="B879" s="378"/>
      <c r="C879" s="378"/>
      <c r="D879" s="384"/>
      <c r="E879" s="378"/>
      <c r="F879" s="378"/>
      <c r="G879" s="378"/>
      <c r="H879" s="378"/>
      <c r="I879" s="378"/>
      <c r="J879" s="378"/>
      <c r="K879" s="378"/>
      <c r="L879" s="378"/>
      <c r="M879" s="378"/>
      <c r="N879" s="378"/>
      <c r="O879" s="378"/>
      <c r="P879" s="378"/>
      <c r="Q879" s="378"/>
      <c r="R879" s="378"/>
      <c r="S879" s="378"/>
      <c r="T879" s="378"/>
      <c r="U879" s="378"/>
      <c r="V879" s="378"/>
      <c r="W879" s="378"/>
      <c r="X879" s="378"/>
      <c r="Y879" s="378"/>
      <c r="Z879" s="378"/>
    </row>
    <row r="880" spans="1:26" ht="18">
      <c r="A880" s="378"/>
      <c r="B880" s="378"/>
      <c r="C880" s="378"/>
      <c r="D880" s="384"/>
      <c r="E880" s="378"/>
      <c r="F880" s="378"/>
      <c r="G880" s="378"/>
      <c r="H880" s="378"/>
      <c r="I880" s="378"/>
      <c r="J880" s="378"/>
      <c r="K880" s="378"/>
      <c r="L880" s="378"/>
      <c r="M880" s="378"/>
      <c r="N880" s="378"/>
      <c r="O880" s="378"/>
      <c r="P880" s="378"/>
      <c r="Q880" s="378"/>
      <c r="R880" s="378"/>
      <c r="S880" s="378"/>
      <c r="T880" s="378"/>
      <c r="U880" s="378"/>
      <c r="V880" s="378"/>
      <c r="W880" s="378"/>
      <c r="X880" s="378"/>
      <c r="Y880" s="378"/>
      <c r="Z880" s="378"/>
    </row>
    <row r="881" spans="1:26" ht="18">
      <c r="A881" s="378"/>
      <c r="B881" s="378"/>
      <c r="C881" s="378"/>
      <c r="D881" s="384"/>
      <c r="E881" s="378"/>
      <c r="F881" s="378"/>
      <c r="G881" s="378"/>
      <c r="H881" s="378"/>
      <c r="I881" s="378"/>
      <c r="J881" s="378"/>
      <c r="K881" s="378"/>
      <c r="L881" s="378"/>
      <c r="M881" s="378"/>
      <c r="N881" s="378"/>
      <c r="O881" s="378"/>
      <c r="P881" s="378"/>
      <c r="Q881" s="378"/>
      <c r="R881" s="378"/>
      <c r="S881" s="378"/>
      <c r="T881" s="378"/>
      <c r="U881" s="378"/>
      <c r="V881" s="378"/>
      <c r="W881" s="378"/>
      <c r="X881" s="378"/>
      <c r="Y881" s="378"/>
      <c r="Z881" s="378"/>
    </row>
    <row r="882" spans="1:26" ht="18">
      <c r="A882" s="378"/>
      <c r="B882" s="378"/>
      <c r="C882" s="378"/>
      <c r="D882" s="384"/>
      <c r="E882" s="378"/>
      <c r="F882" s="378"/>
      <c r="G882" s="378"/>
      <c r="H882" s="378"/>
      <c r="I882" s="378"/>
      <c r="J882" s="378"/>
      <c r="K882" s="378"/>
      <c r="L882" s="378"/>
      <c r="M882" s="378"/>
      <c r="N882" s="378"/>
      <c r="O882" s="378"/>
      <c r="P882" s="378"/>
      <c r="Q882" s="378"/>
      <c r="R882" s="378"/>
      <c r="S882" s="378"/>
      <c r="T882" s="378"/>
      <c r="U882" s="378"/>
      <c r="V882" s="378"/>
      <c r="W882" s="378"/>
      <c r="X882" s="378"/>
      <c r="Y882" s="378"/>
      <c r="Z882" s="378"/>
    </row>
    <row r="883" spans="1:26" ht="18">
      <c r="A883" s="378"/>
      <c r="B883" s="378"/>
      <c r="C883" s="378"/>
      <c r="D883" s="384"/>
      <c r="E883" s="378"/>
      <c r="F883" s="378"/>
      <c r="G883" s="378"/>
      <c r="H883" s="378"/>
      <c r="I883" s="378"/>
      <c r="J883" s="378"/>
      <c r="K883" s="378"/>
      <c r="L883" s="378"/>
      <c r="M883" s="378"/>
      <c r="N883" s="378"/>
      <c r="O883" s="378"/>
      <c r="P883" s="378"/>
      <c r="Q883" s="378"/>
      <c r="R883" s="378"/>
      <c r="S883" s="378"/>
      <c r="T883" s="378"/>
      <c r="U883" s="378"/>
      <c r="V883" s="378"/>
      <c r="W883" s="378"/>
      <c r="X883" s="378"/>
      <c r="Y883" s="378"/>
      <c r="Z883" s="378"/>
    </row>
    <row r="884" spans="1:26" ht="18">
      <c r="A884" s="378"/>
      <c r="B884" s="378"/>
      <c r="C884" s="378"/>
      <c r="D884" s="384"/>
      <c r="E884" s="378"/>
      <c r="F884" s="378"/>
      <c r="G884" s="378"/>
      <c r="H884" s="378"/>
      <c r="I884" s="378"/>
      <c r="J884" s="378"/>
      <c r="K884" s="378"/>
      <c r="L884" s="378"/>
      <c r="M884" s="378"/>
      <c r="N884" s="378"/>
      <c r="O884" s="378"/>
      <c r="P884" s="378"/>
      <c r="Q884" s="378"/>
      <c r="R884" s="378"/>
      <c r="S884" s="378"/>
      <c r="T884" s="378"/>
      <c r="U884" s="378"/>
      <c r="V884" s="378"/>
      <c r="W884" s="378"/>
      <c r="X884" s="378"/>
      <c r="Y884" s="378"/>
      <c r="Z884" s="378"/>
    </row>
    <row r="885" spans="1:26" ht="18">
      <c r="A885" s="378"/>
      <c r="B885" s="378"/>
      <c r="C885" s="378"/>
      <c r="D885" s="384"/>
      <c r="E885" s="378"/>
      <c r="F885" s="378"/>
      <c r="G885" s="378"/>
      <c r="H885" s="378"/>
      <c r="I885" s="378"/>
      <c r="J885" s="378"/>
      <c r="K885" s="378"/>
      <c r="L885" s="378"/>
      <c r="M885" s="378"/>
      <c r="N885" s="378"/>
      <c r="O885" s="378"/>
      <c r="P885" s="378"/>
      <c r="Q885" s="378"/>
      <c r="R885" s="378"/>
      <c r="S885" s="378"/>
      <c r="T885" s="378"/>
      <c r="U885" s="378"/>
      <c r="V885" s="378"/>
      <c r="W885" s="378"/>
      <c r="X885" s="378"/>
      <c r="Y885" s="378"/>
      <c r="Z885" s="378"/>
    </row>
    <row r="886" spans="1:26" ht="18">
      <c r="A886" s="378"/>
      <c r="B886" s="378"/>
      <c r="C886" s="378"/>
      <c r="D886" s="384"/>
      <c r="E886" s="378"/>
      <c r="F886" s="378"/>
      <c r="G886" s="378"/>
      <c r="H886" s="378"/>
      <c r="I886" s="378"/>
      <c r="J886" s="378"/>
      <c r="K886" s="378"/>
      <c r="L886" s="378"/>
      <c r="M886" s="378"/>
      <c r="N886" s="378"/>
      <c r="O886" s="378"/>
      <c r="P886" s="378"/>
      <c r="Q886" s="378"/>
      <c r="R886" s="378"/>
      <c r="S886" s="378"/>
      <c r="T886" s="378"/>
      <c r="U886" s="378"/>
      <c r="V886" s="378"/>
      <c r="W886" s="378"/>
      <c r="X886" s="378"/>
      <c r="Y886" s="378"/>
      <c r="Z886" s="378"/>
    </row>
    <row r="887" spans="1:26" ht="18">
      <c r="A887" s="378"/>
      <c r="B887" s="378"/>
      <c r="C887" s="378"/>
      <c r="D887" s="384"/>
      <c r="E887" s="378"/>
      <c r="F887" s="378"/>
      <c r="G887" s="378"/>
      <c r="H887" s="378"/>
      <c r="I887" s="378"/>
      <c r="J887" s="378"/>
      <c r="K887" s="378"/>
      <c r="L887" s="378"/>
      <c r="M887" s="378"/>
      <c r="N887" s="378"/>
      <c r="O887" s="378"/>
      <c r="P887" s="378"/>
      <c r="Q887" s="378"/>
      <c r="R887" s="378"/>
      <c r="S887" s="378"/>
      <c r="T887" s="378"/>
      <c r="U887" s="378"/>
      <c r="V887" s="378"/>
      <c r="W887" s="378"/>
      <c r="X887" s="378"/>
      <c r="Y887" s="378"/>
      <c r="Z887" s="378"/>
    </row>
    <row r="888" spans="1:26" ht="18">
      <c r="A888" s="378"/>
      <c r="B888" s="378"/>
      <c r="C888" s="378"/>
      <c r="D888" s="384"/>
      <c r="E888" s="378"/>
      <c r="F888" s="378"/>
      <c r="G888" s="378"/>
      <c r="H888" s="378"/>
      <c r="I888" s="378"/>
      <c r="J888" s="378"/>
      <c r="K888" s="378"/>
      <c r="L888" s="378"/>
      <c r="M888" s="378"/>
      <c r="N888" s="378"/>
      <c r="O888" s="378"/>
      <c r="P888" s="378"/>
      <c r="Q888" s="378"/>
      <c r="R888" s="378"/>
      <c r="S888" s="378"/>
      <c r="T888" s="378"/>
      <c r="U888" s="378"/>
      <c r="V888" s="378"/>
      <c r="W888" s="378"/>
      <c r="X888" s="378"/>
      <c r="Y888" s="378"/>
      <c r="Z888" s="378"/>
    </row>
    <row r="889" spans="1:26" ht="18">
      <c r="A889" s="378"/>
      <c r="B889" s="378"/>
      <c r="C889" s="378"/>
      <c r="D889" s="384"/>
      <c r="E889" s="378"/>
      <c r="F889" s="378"/>
      <c r="G889" s="378"/>
      <c r="H889" s="378"/>
      <c r="I889" s="378"/>
      <c r="J889" s="378"/>
      <c r="K889" s="378"/>
      <c r="L889" s="378"/>
      <c r="M889" s="378"/>
      <c r="N889" s="378"/>
      <c r="O889" s="378"/>
      <c r="P889" s="378"/>
      <c r="Q889" s="378"/>
      <c r="R889" s="378"/>
      <c r="S889" s="378"/>
      <c r="T889" s="378"/>
      <c r="U889" s="378"/>
      <c r="V889" s="378"/>
      <c r="W889" s="378"/>
      <c r="X889" s="378"/>
      <c r="Y889" s="378"/>
      <c r="Z889" s="378"/>
    </row>
    <row r="890" spans="1:26" ht="18">
      <c r="A890" s="378"/>
      <c r="B890" s="378"/>
      <c r="C890" s="378"/>
      <c r="D890" s="384"/>
      <c r="E890" s="378"/>
      <c r="F890" s="378"/>
      <c r="G890" s="378"/>
      <c r="H890" s="378"/>
      <c r="I890" s="378"/>
      <c r="J890" s="378"/>
      <c r="K890" s="378"/>
      <c r="L890" s="378"/>
      <c r="M890" s="378"/>
      <c r="N890" s="378"/>
      <c r="O890" s="378"/>
      <c r="P890" s="378"/>
      <c r="Q890" s="378"/>
      <c r="R890" s="378"/>
      <c r="S890" s="378"/>
      <c r="T890" s="378"/>
      <c r="U890" s="378"/>
      <c r="V890" s="378"/>
      <c r="W890" s="378"/>
      <c r="X890" s="378"/>
      <c r="Y890" s="378"/>
      <c r="Z890" s="378"/>
    </row>
    <row r="891" spans="1:26" ht="18">
      <c r="A891" s="378"/>
      <c r="B891" s="378"/>
      <c r="C891" s="378"/>
      <c r="D891" s="384"/>
      <c r="E891" s="378"/>
      <c r="F891" s="378"/>
      <c r="G891" s="378"/>
      <c r="H891" s="378"/>
      <c r="I891" s="378"/>
      <c r="J891" s="378"/>
      <c r="K891" s="378"/>
      <c r="L891" s="378"/>
      <c r="M891" s="378"/>
      <c r="N891" s="378"/>
      <c r="O891" s="378"/>
      <c r="P891" s="378"/>
      <c r="Q891" s="378"/>
      <c r="R891" s="378"/>
      <c r="S891" s="378"/>
      <c r="T891" s="378"/>
      <c r="U891" s="378"/>
      <c r="V891" s="378"/>
      <c r="W891" s="378"/>
      <c r="X891" s="378"/>
      <c r="Y891" s="378"/>
      <c r="Z891" s="378"/>
    </row>
    <row r="892" spans="1:26" ht="18">
      <c r="A892" s="378"/>
      <c r="B892" s="378"/>
      <c r="C892" s="378"/>
      <c r="D892" s="384"/>
      <c r="E892" s="378"/>
      <c r="F892" s="378"/>
      <c r="G892" s="378"/>
      <c r="H892" s="378"/>
      <c r="I892" s="378"/>
      <c r="J892" s="378"/>
      <c r="K892" s="378"/>
      <c r="L892" s="378"/>
      <c r="M892" s="378"/>
      <c r="N892" s="378"/>
      <c r="O892" s="378"/>
      <c r="P892" s="378"/>
      <c r="Q892" s="378"/>
      <c r="R892" s="378"/>
      <c r="S892" s="378"/>
      <c r="T892" s="378"/>
      <c r="U892" s="378"/>
      <c r="V892" s="378"/>
      <c r="W892" s="378"/>
      <c r="X892" s="378"/>
      <c r="Y892" s="378"/>
      <c r="Z892" s="378"/>
    </row>
    <row r="893" spans="1:26" ht="18">
      <c r="A893" s="378"/>
      <c r="B893" s="378"/>
      <c r="C893" s="378"/>
      <c r="D893" s="384"/>
      <c r="E893" s="378"/>
      <c r="F893" s="378"/>
      <c r="G893" s="378"/>
      <c r="H893" s="378"/>
      <c r="I893" s="378"/>
      <c r="J893" s="378"/>
      <c r="K893" s="378"/>
      <c r="L893" s="378"/>
      <c r="M893" s="378"/>
      <c r="N893" s="378"/>
      <c r="O893" s="378"/>
      <c r="P893" s="378"/>
      <c r="Q893" s="378"/>
      <c r="R893" s="378"/>
      <c r="S893" s="378"/>
      <c r="T893" s="378"/>
      <c r="U893" s="378"/>
      <c r="V893" s="378"/>
      <c r="W893" s="378"/>
      <c r="X893" s="378"/>
      <c r="Y893" s="378"/>
      <c r="Z893" s="378"/>
    </row>
    <row r="894" spans="1:26" ht="18">
      <c r="A894" s="378"/>
      <c r="B894" s="378"/>
      <c r="C894" s="378"/>
      <c r="D894" s="384"/>
      <c r="E894" s="378"/>
      <c r="F894" s="378"/>
      <c r="G894" s="378"/>
      <c r="H894" s="378"/>
      <c r="I894" s="378"/>
      <c r="J894" s="378"/>
      <c r="K894" s="378"/>
      <c r="L894" s="378"/>
      <c r="M894" s="378"/>
      <c r="N894" s="378"/>
      <c r="O894" s="378"/>
      <c r="P894" s="378"/>
      <c r="Q894" s="378"/>
      <c r="R894" s="378"/>
      <c r="S894" s="378"/>
      <c r="T894" s="378"/>
      <c r="U894" s="378"/>
      <c r="V894" s="378"/>
      <c r="W894" s="378"/>
      <c r="X894" s="378"/>
      <c r="Y894" s="378"/>
      <c r="Z894" s="378"/>
    </row>
    <row r="895" spans="1:26" ht="18">
      <c r="A895" s="378"/>
      <c r="B895" s="378"/>
      <c r="C895" s="378"/>
      <c r="D895" s="384"/>
      <c r="E895" s="378"/>
      <c r="F895" s="378"/>
      <c r="G895" s="378"/>
      <c r="H895" s="378"/>
      <c r="I895" s="378"/>
      <c r="J895" s="378"/>
      <c r="K895" s="378"/>
      <c r="L895" s="378"/>
      <c r="M895" s="378"/>
      <c r="N895" s="378"/>
      <c r="O895" s="378"/>
      <c r="P895" s="378"/>
      <c r="Q895" s="378"/>
      <c r="R895" s="378"/>
      <c r="S895" s="378"/>
      <c r="T895" s="378"/>
      <c r="U895" s="378"/>
      <c r="V895" s="378"/>
      <c r="W895" s="378"/>
      <c r="X895" s="378"/>
      <c r="Y895" s="378"/>
      <c r="Z895" s="378"/>
    </row>
    <row r="896" spans="1:26" ht="18">
      <c r="A896" s="378"/>
      <c r="B896" s="378"/>
      <c r="C896" s="378"/>
      <c r="D896" s="384"/>
      <c r="E896" s="378"/>
      <c r="F896" s="378"/>
      <c r="G896" s="378"/>
      <c r="H896" s="378"/>
      <c r="I896" s="378"/>
      <c r="J896" s="378"/>
      <c r="K896" s="378"/>
      <c r="L896" s="378"/>
      <c r="M896" s="378"/>
      <c r="N896" s="378"/>
      <c r="O896" s="378"/>
      <c r="P896" s="378"/>
      <c r="Q896" s="378"/>
      <c r="R896" s="378"/>
      <c r="S896" s="378"/>
      <c r="T896" s="378"/>
      <c r="U896" s="378"/>
      <c r="V896" s="378"/>
      <c r="W896" s="378"/>
      <c r="X896" s="378"/>
      <c r="Y896" s="378"/>
      <c r="Z896" s="378"/>
    </row>
    <row r="897" spans="1:26" ht="18">
      <c r="A897" s="378"/>
      <c r="B897" s="378"/>
      <c r="C897" s="378"/>
      <c r="D897" s="384"/>
      <c r="E897" s="378"/>
      <c r="F897" s="378"/>
      <c r="G897" s="378"/>
      <c r="H897" s="378"/>
      <c r="I897" s="378"/>
      <c r="J897" s="378"/>
      <c r="K897" s="378"/>
      <c r="L897" s="378"/>
      <c r="M897" s="378"/>
      <c r="N897" s="378"/>
      <c r="O897" s="378"/>
      <c r="P897" s="378"/>
      <c r="Q897" s="378"/>
      <c r="R897" s="378"/>
      <c r="S897" s="378"/>
      <c r="T897" s="378"/>
      <c r="U897" s="378"/>
      <c r="V897" s="378"/>
      <c r="W897" s="378"/>
      <c r="X897" s="378"/>
      <c r="Y897" s="378"/>
      <c r="Z897" s="378"/>
    </row>
    <row r="898" spans="1:26" ht="18">
      <c r="A898" s="378"/>
      <c r="B898" s="378"/>
      <c r="C898" s="378"/>
      <c r="D898" s="384"/>
      <c r="E898" s="378"/>
      <c r="F898" s="378"/>
      <c r="G898" s="378"/>
      <c r="H898" s="378"/>
      <c r="I898" s="378"/>
      <c r="J898" s="378"/>
      <c r="K898" s="378"/>
      <c r="L898" s="378"/>
      <c r="M898" s="378"/>
      <c r="N898" s="378"/>
      <c r="O898" s="378"/>
      <c r="P898" s="378"/>
      <c r="Q898" s="378"/>
      <c r="R898" s="378"/>
      <c r="S898" s="378"/>
      <c r="T898" s="378"/>
      <c r="U898" s="378"/>
      <c r="V898" s="378"/>
      <c r="W898" s="378"/>
      <c r="X898" s="378"/>
      <c r="Y898" s="378"/>
      <c r="Z898" s="378"/>
    </row>
    <row r="899" spans="1:26" ht="18">
      <c r="A899" s="378"/>
      <c r="B899" s="378"/>
      <c r="C899" s="378"/>
      <c r="D899" s="384"/>
      <c r="E899" s="378"/>
      <c r="F899" s="378"/>
      <c r="G899" s="378"/>
      <c r="H899" s="378"/>
      <c r="I899" s="378"/>
      <c r="J899" s="378"/>
      <c r="K899" s="378"/>
      <c r="L899" s="378"/>
      <c r="M899" s="378"/>
      <c r="N899" s="378"/>
      <c r="O899" s="378"/>
      <c r="P899" s="378"/>
      <c r="Q899" s="378"/>
      <c r="R899" s="378"/>
      <c r="S899" s="378"/>
      <c r="T899" s="378"/>
      <c r="U899" s="378"/>
      <c r="V899" s="378"/>
      <c r="W899" s="378"/>
      <c r="X899" s="378"/>
      <c r="Y899" s="378"/>
      <c r="Z899" s="378"/>
    </row>
    <row r="900" spans="1:26" ht="18">
      <c r="A900" s="378"/>
      <c r="B900" s="378"/>
      <c r="C900" s="378"/>
      <c r="D900" s="384"/>
      <c r="E900" s="378"/>
      <c r="F900" s="378"/>
      <c r="G900" s="378"/>
      <c r="H900" s="378"/>
      <c r="I900" s="378"/>
      <c r="J900" s="378"/>
      <c r="K900" s="378"/>
      <c r="L900" s="378"/>
      <c r="M900" s="378"/>
      <c r="N900" s="378"/>
      <c r="O900" s="378"/>
      <c r="P900" s="378"/>
      <c r="Q900" s="378"/>
      <c r="R900" s="378"/>
      <c r="S900" s="378"/>
      <c r="T900" s="378"/>
      <c r="U900" s="378"/>
      <c r="V900" s="378"/>
      <c r="W900" s="378"/>
      <c r="X900" s="378"/>
      <c r="Y900" s="378"/>
      <c r="Z900" s="378"/>
    </row>
    <row r="901" spans="1:26" ht="18">
      <c r="A901" s="378"/>
      <c r="B901" s="378"/>
      <c r="C901" s="378"/>
      <c r="D901" s="384"/>
      <c r="E901" s="378"/>
      <c r="F901" s="378"/>
      <c r="G901" s="378"/>
      <c r="H901" s="378"/>
      <c r="I901" s="378"/>
      <c r="J901" s="378"/>
      <c r="K901" s="378"/>
      <c r="L901" s="378"/>
      <c r="M901" s="378"/>
      <c r="N901" s="378"/>
      <c r="O901" s="378"/>
      <c r="P901" s="378"/>
      <c r="Q901" s="378"/>
      <c r="R901" s="378"/>
      <c r="S901" s="378"/>
      <c r="T901" s="378"/>
      <c r="U901" s="378"/>
      <c r="V901" s="378"/>
      <c r="W901" s="378"/>
      <c r="X901" s="378"/>
      <c r="Y901" s="378"/>
      <c r="Z901" s="378"/>
    </row>
    <row r="902" spans="1:26" ht="18">
      <c r="A902" s="378"/>
      <c r="B902" s="378"/>
      <c r="C902" s="378"/>
      <c r="D902" s="384"/>
      <c r="E902" s="378"/>
      <c r="F902" s="378"/>
      <c r="G902" s="378"/>
      <c r="H902" s="378"/>
      <c r="I902" s="378"/>
      <c r="J902" s="378"/>
      <c r="K902" s="378"/>
      <c r="L902" s="378"/>
      <c r="M902" s="378"/>
      <c r="N902" s="378"/>
      <c r="O902" s="378"/>
      <c r="P902" s="378"/>
      <c r="Q902" s="378"/>
      <c r="R902" s="378"/>
      <c r="S902" s="378"/>
      <c r="T902" s="378"/>
      <c r="U902" s="378"/>
      <c r="V902" s="378"/>
      <c r="W902" s="378"/>
      <c r="X902" s="378"/>
      <c r="Y902" s="378"/>
      <c r="Z902" s="378"/>
    </row>
    <row r="903" spans="1:26" ht="18">
      <c r="A903" s="378"/>
      <c r="B903" s="378"/>
      <c r="C903" s="378"/>
      <c r="D903" s="384"/>
      <c r="E903" s="378"/>
      <c r="F903" s="378"/>
      <c r="G903" s="378"/>
      <c r="H903" s="378"/>
      <c r="I903" s="378"/>
      <c r="J903" s="378"/>
      <c r="K903" s="378"/>
      <c r="L903" s="378"/>
      <c r="M903" s="378"/>
      <c r="N903" s="378"/>
      <c r="O903" s="378"/>
      <c r="P903" s="378"/>
      <c r="Q903" s="378"/>
      <c r="R903" s="378"/>
      <c r="S903" s="378"/>
      <c r="T903" s="378"/>
      <c r="U903" s="378"/>
      <c r="V903" s="378"/>
      <c r="W903" s="378"/>
      <c r="X903" s="378"/>
      <c r="Y903" s="378"/>
      <c r="Z903" s="378"/>
    </row>
    <row r="904" spans="1:26" ht="18">
      <c r="A904" s="378"/>
      <c r="B904" s="378"/>
      <c r="C904" s="378"/>
      <c r="D904" s="384"/>
      <c r="E904" s="378"/>
      <c r="F904" s="378"/>
      <c r="G904" s="378"/>
      <c r="H904" s="378"/>
      <c r="I904" s="378"/>
      <c r="J904" s="378"/>
      <c r="K904" s="378"/>
      <c r="L904" s="378"/>
      <c r="M904" s="378"/>
      <c r="N904" s="378"/>
      <c r="O904" s="378"/>
      <c r="P904" s="378"/>
      <c r="Q904" s="378"/>
      <c r="R904" s="378"/>
      <c r="S904" s="378"/>
      <c r="T904" s="378"/>
      <c r="U904" s="378"/>
      <c r="V904" s="378"/>
      <c r="W904" s="378"/>
      <c r="X904" s="378"/>
      <c r="Y904" s="378"/>
      <c r="Z904" s="378"/>
    </row>
    <row r="905" spans="1:26" ht="18">
      <c r="A905" s="378"/>
      <c r="B905" s="378"/>
      <c r="C905" s="378"/>
      <c r="D905" s="384"/>
      <c r="E905" s="378"/>
      <c r="F905" s="378"/>
      <c r="G905" s="378"/>
      <c r="H905" s="378"/>
      <c r="I905" s="378"/>
      <c r="J905" s="378"/>
      <c r="K905" s="378"/>
      <c r="L905" s="378"/>
      <c r="M905" s="378"/>
      <c r="N905" s="378"/>
      <c r="O905" s="378"/>
      <c r="P905" s="378"/>
      <c r="Q905" s="378"/>
      <c r="R905" s="378"/>
      <c r="S905" s="378"/>
      <c r="T905" s="378"/>
      <c r="U905" s="378"/>
      <c r="V905" s="378"/>
      <c r="W905" s="378"/>
      <c r="X905" s="378"/>
      <c r="Y905" s="378"/>
      <c r="Z905" s="378"/>
    </row>
    <row r="906" spans="1:26" ht="18">
      <c r="A906" s="378"/>
      <c r="B906" s="378"/>
      <c r="C906" s="378"/>
      <c r="D906" s="384"/>
      <c r="E906" s="378"/>
      <c r="F906" s="378"/>
      <c r="G906" s="378"/>
      <c r="H906" s="378"/>
      <c r="I906" s="378"/>
      <c r="J906" s="378"/>
      <c r="K906" s="378"/>
      <c r="L906" s="378"/>
      <c r="M906" s="378"/>
      <c r="N906" s="378"/>
      <c r="O906" s="378"/>
      <c r="P906" s="378"/>
      <c r="Q906" s="378"/>
      <c r="R906" s="378"/>
      <c r="S906" s="378"/>
      <c r="T906" s="378"/>
      <c r="U906" s="378"/>
      <c r="V906" s="378"/>
      <c r="W906" s="378"/>
      <c r="X906" s="378"/>
      <c r="Y906" s="378"/>
      <c r="Z906" s="378"/>
    </row>
    <row r="907" spans="1:26" ht="18">
      <c r="A907" s="378"/>
      <c r="B907" s="378"/>
      <c r="C907" s="378"/>
      <c r="D907" s="384"/>
      <c r="E907" s="378"/>
      <c r="F907" s="378"/>
      <c r="G907" s="378"/>
      <c r="H907" s="378"/>
      <c r="I907" s="378"/>
      <c r="J907" s="378"/>
      <c r="K907" s="378"/>
      <c r="L907" s="378"/>
      <c r="M907" s="378"/>
      <c r="N907" s="378"/>
      <c r="O907" s="378"/>
      <c r="P907" s="378"/>
      <c r="Q907" s="378"/>
      <c r="R907" s="378"/>
      <c r="S907" s="378"/>
      <c r="T907" s="378"/>
      <c r="U907" s="378"/>
      <c r="V907" s="378"/>
      <c r="W907" s="378"/>
      <c r="X907" s="378"/>
      <c r="Y907" s="378"/>
      <c r="Z907" s="378"/>
    </row>
    <row r="908" spans="1:26" ht="18">
      <c r="A908" s="378"/>
      <c r="B908" s="378"/>
      <c r="C908" s="378"/>
      <c r="D908" s="384"/>
      <c r="E908" s="378"/>
      <c r="F908" s="378"/>
      <c r="G908" s="378"/>
      <c r="H908" s="378"/>
      <c r="I908" s="378"/>
      <c r="J908" s="378"/>
      <c r="K908" s="378"/>
      <c r="L908" s="378"/>
      <c r="M908" s="378"/>
      <c r="N908" s="378"/>
      <c r="O908" s="378"/>
      <c r="P908" s="378"/>
      <c r="Q908" s="378"/>
      <c r="R908" s="378"/>
      <c r="S908" s="378"/>
      <c r="T908" s="378"/>
      <c r="U908" s="378"/>
      <c r="V908" s="378"/>
      <c r="W908" s="378"/>
      <c r="X908" s="378"/>
      <c r="Y908" s="378"/>
      <c r="Z908" s="378"/>
    </row>
    <row r="909" spans="1:26" ht="18">
      <c r="A909" s="378"/>
      <c r="B909" s="378"/>
      <c r="C909" s="378"/>
      <c r="D909" s="384"/>
      <c r="E909" s="378"/>
      <c r="F909" s="378"/>
      <c r="G909" s="378"/>
      <c r="H909" s="378"/>
      <c r="I909" s="378"/>
      <c r="J909" s="378"/>
      <c r="K909" s="378"/>
      <c r="L909" s="378"/>
      <c r="M909" s="378"/>
      <c r="N909" s="378"/>
      <c r="O909" s="378"/>
      <c r="P909" s="378"/>
      <c r="Q909" s="378"/>
      <c r="R909" s="378"/>
      <c r="S909" s="378"/>
      <c r="T909" s="378"/>
      <c r="U909" s="378"/>
      <c r="V909" s="378"/>
      <c r="W909" s="378"/>
      <c r="X909" s="378"/>
      <c r="Y909" s="378"/>
      <c r="Z909" s="378"/>
    </row>
    <row r="910" spans="1:26" ht="18">
      <c r="A910" s="378"/>
      <c r="B910" s="378"/>
      <c r="C910" s="378"/>
      <c r="D910" s="384"/>
      <c r="E910" s="378"/>
      <c r="F910" s="378"/>
      <c r="G910" s="378"/>
      <c r="H910" s="378"/>
      <c r="I910" s="378"/>
      <c r="J910" s="378"/>
      <c r="K910" s="378"/>
      <c r="L910" s="378"/>
      <c r="M910" s="378"/>
      <c r="N910" s="378"/>
      <c r="O910" s="378"/>
      <c r="P910" s="378"/>
      <c r="Q910" s="378"/>
      <c r="R910" s="378"/>
      <c r="S910" s="378"/>
      <c r="T910" s="378"/>
      <c r="U910" s="378"/>
      <c r="V910" s="378"/>
      <c r="W910" s="378"/>
      <c r="X910" s="378"/>
      <c r="Y910" s="378"/>
      <c r="Z910" s="378"/>
    </row>
    <row r="911" spans="1:26" ht="18">
      <c r="A911" s="378"/>
      <c r="B911" s="378"/>
      <c r="C911" s="378"/>
      <c r="D911" s="384"/>
      <c r="E911" s="378"/>
      <c r="F911" s="378"/>
      <c r="G911" s="378"/>
      <c r="H911" s="378"/>
      <c r="I911" s="378"/>
      <c r="J911" s="378"/>
      <c r="K911" s="378"/>
      <c r="L911" s="378"/>
      <c r="M911" s="378"/>
      <c r="N911" s="378"/>
      <c r="O911" s="378"/>
      <c r="P911" s="378"/>
      <c r="Q911" s="378"/>
      <c r="R911" s="378"/>
      <c r="S911" s="378"/>
      <c r="T911" s="378"/>
      <c r="U911" s="378"/>
      <c r="V911" s="378"/>
      <c r="W911" s="378"/>
      <c r="X911" s="378"/>
      <c r="Y911" s="378"/>
      <c r="Z911" s="378"/>
    </row>
    <row r="912" spans="1:26" ht="18">
      <c r="A912" s="378"/>
      <c r="B912" s="378"/>
      <c r="C912" s="378"/>
      <c r="D912" s="384"/>
      <c r="E912" s="378"/>
      <c r="F912" s="378"/>
      <c r="G912" s="378"/>
      <c r="H912" s="378"/>
      <c r="I912" s="378"/>
      <c r="J912" s="378"/>
      <c r="K912" s="378"/>
      <c r="L912" s="378"/>
      <c r="M912" s="378"/>
      <c r="N912" s="378"/>
      <c r="O912" s="378"/>
      <c r="P912" s="378"/>
      <c r="Q912" s="378"/>
      <c r="R912" s="378"/>
      <c r="S912" s="378"/>
      <c r="T912" s="378"/>
      <c r="U912" s="378"/>
      <c r="V912" s="378"/>
      <c r="W912" s="378"/>
      <c r="X912" s="378"/>
      <c r="Y912" s="378"/>
      <c r="Z912" s="378"/>
    </row>
    <row r="913" spans="1:26" ht="18">
      <c r="A913" s="378"/>
      <c r="B913" s="378"/>
      <c r="C913" s="378"/>
      <c r="D913" s="384"/>
      <c r="E913" s="378"/>
      <c r="F913" s="378"/>
      <c r="G913" s="378"/>
      <c r="H913" s="378"/>
      <c r="I913" s="378"/>
      <c r="J913" s="378"/>
      <c r="K913" s="378"/>
      <c r="L913" s="378"/>
      <c r="M913" s="378"/>
      <c r="N913" s="378"/>
      <c r="O913" s="378"/>
      <c r="P913" s="378"/>
      <c r="Q913" s="378"/>
      <c r="R913" s="378"/>
      <c r="S913" s="378"/>
      <c r="T913" s="378"/>
      <c r="U913" s="378"/>
      <c r="V913" s="378"/>
      <c r="W913" s="378"/>
      <c r="X913" s="378"/>
      <c r="Y913" s="378"/>
      <c r="Z913" s="378"/>
    </row>
    <row r="914" spans="1:26" ht="18">
      <c r="A914" s="378"/>
      <c r="B914" s="378"/>
      <c r="C914" s="378"/>
      <c r="D914" s="384"/>
      <c r="E914" s="378"/>
      <c r="F914" s="378"/>
      <c r="G914" s="378"/>
      <c r="H914" s="378"/>
      <c r="I914" s="378"/>
      <c r="J914" s="378"/>
      <c r="K914" s="378"/>
      <c r="L914" s="378"/>
      <c r="M914" s="378"/>
      <c r="N914" s="378"/>
      <c r="O914" s="378"/>
      <c r="P914" s="378"/>
      <c r="Q914" s="378"/>
      <c r="R914" s="378"/>
      <c r="S914" s="378"/>
      <c r="T914" s="378"/>
      <c r="U914" s="378"/>
      <c r="V914" s="378"/>
      <c r="W914" s="378"/>
      <c r="X914" s="378"/>
      <c r="Y914" s="378"/>
      <c r="Z914" s="378"/>
    </row>
    <row r="915" spans="1:26" ht="18">
      <c r="A915" s="378"/>
      <c r="B915" s="378"/>
      <c r="C915" s="378"/>
      <c r="D915" s="384"/>
      <c r="E915" s="378"/>
      <c r="F915" s="378"/>
      <c r="G915" s="378"/>
      <c r="H915" s="378"/>
      <c r="I915" s="378"/>
      <c r="J915" s="378"/>
      <c r="K915" s="378"/>
      <c r="L915" s="378"/>
      <c r="M915" s="378"/>
      <c r="N915" s="378"/>
      <c r="O915" s="378"/>
      <c r="P915" s="378"/>
      <c r="Q915" s="378"/>
      <c r="R915" s="378"/>
      <c r="S915" s="378"/>
      <c r="T915" s="378"/>
      <c r="U915" s="378"/>
      <c r="V915" s="378"/>
      <c r="W915" s="378"/>
      <c r="X915" s="378"/>
      <c r="Y915" s="378"/>
      <c r="Z915" s="378"/>
    </row>
    <row r="916" spans="1:26" ht="18">
      <c r="A916" s="378"/>
      <c r="B916" s="378"/>
      <c r="C916" s="378"/>
      <c r="D916" s="384"/>
      <c r="E916" s="378"/>
      <c r="F916" s="378"/>
      <c r="G916" s="378"/>
      <c r="H916" s="378"/>
      <c r="I916" s="378"/>
      <c r="J916" s="378"/>
      <c r="K916" s="378"/>
      <c r="L916" s="378"/>
      <c r="M916" s="378"/>
      <c r="N916" s="378"/>
      <c r="O916" s="378"/>
      <c r="P916" s="378"/>
      <c r="Q916" s="378"/>
      <c r="R916" s="378"/>
      <c r="S916" s="378"/>
      <c r="T916" s="378"/>
      <c r="U916" s="378"/>
      <c r="V916" s="378"/>
      <c r="W916" s="378"/>
      <c r="X916" s="378"/>
      <c r="Y916" s="378"/>
      <c r="Z916" s="378"/>
    </row>
    <row r="917" spans="1:26" ht="18">
      <c r="A917" s="378"/>
      <c r="B917" s="378"/>
      <c r="C917" s="378"/>
      <c r="D917" s="384"/>
      <c r="E917" s="378"/>
      <c r="F917" s="378"/>
      <c r="G917" s="378"/>
      <c r="H917" s="378"/>
      <c r="I917" s="378"/>
      <c r="J917" s="378"/>
      <c r="K917" s="378"/>
      <c r="L917" s="378"/>
      <c r="M917" s="378"/>
      <c r="N917" s="378"/>
      <c r="O917" s="378"/>
      <c r="P917" s="378"/>
      <c r="Q917" s="378"/>
      <c r="R917" s="378"/>
      <c r="S917" s="378"/>
      <c r="T917" s="378"/>
      <c r="U917" s="378"/>
      <c r="V917" s="378"/>
      <c r="W917" s="378"/>
      <c r="X917" s="378"/>
      <c r="Y917" s="378"/>
      <c r="Z917" s="378"/>
    </row>
    <row r="918" spans="1:26" ht="18">
      <c r="A918" s="378"/>
      <c r="B918" s="378"/>
      <c r="C918" s="378"/>
      <c r="D918" s="384"/>
      <c r="E918" s="378"/>
      <c r="F918" s="378"/>
      <c r="G918" s="378"/>
      <c r="H918" s="378"/>
      <c r="I918" s="378"/>
      <c r="J918" s="378"/>
      <c r="K918" s="378"/>
      <c r="L918" s="378"/>
      <c r="M918" s="378"/>
      <c r="N918" s="378"/>
      <c r="O918" s="378"/>
      <c r="P918" s="378"/>
      <c r="Q918" s="378"/>
      <c r="R918" s="378"/>
      <c r="S918" s="378"/>
      <c r="T918" s="378"/>
      <c r="U918" s="378"/>
      <c r="V918" s="378"/>
      <c r="W918" s="378"/>
      <c r="X918" s="378"/>
      <c r="Y918" s="378"/>
      <c r="Z918" s="378"/>
    </row>
    <row r="919" spans="1:26" ht="18">
      <c r="A919" s="378"/>
      <c r="B919" s="378"/>
      <c r="C919" s="378"/>
      <c r="D919" s="384"/>
      <c r="E919" s="378"/>
      <c r="F919" s="378"/>
      <c r="G919" s="378"/>
      <c r="H919" s="378"/>
      <c r="I919" s="378"/>
      <c r="J919" s="378"/>
      <c r="K919" s="378"/>
      <c r="L919" s="378"/>
      <c r="M919" s="378"/>
      <c r="N919" s="378"/>
      <c r="O919" s="378"/>
      <c r="P919" s="378"/>
      <c r="Q919" s="378"/>
      <c r="R919" s="378"/>
      <c r="S919" s="378"/>
      <c r="T919" s="378"/>
      <c r="U919" s="378"/>
      <c r="V919" s="378"/>
      <c r="W919" s="378"/>
      <c r="X919" s="378"/>
      <c r="Y919" s="378"/>
      <c r="Z919" s="378"/>
    </row>
    <row r="920" spans="1:26" ht="18">
      <c r="A920" s="378"/>
      <c r="B920" s="378"/>
      <c r="C920" s="378"/>
      <c r="D920" s="384"/>
      <c r="E920" s="378"/>
      <c r="F920" s="378"/>
      <c r="G920" s="378"/>
      <c r="H920" s="378"/>
      <c r="I920" s="378"/>
      <c r="J920" s="378"/>
      <c r="K920" s="378"/>
      <c r="L920" s="378"/>
      <c r="M920" s="378"/>
      <c r="N920" s="378"/>
      <c r="O920" s="378"/>
      <c r="P920" s="378"/>
      <c r="Q920" s="378"/>
      <c r="R920" s="378"/>
      <c r="S920" s="378"/>
      <c r="T920" s="378"/>
      <c r="U920" s="378"/>
      <c r="V920" s="378"/>
      <c r="W920" s="378"/>
      <c r="X920" s="378"/>
      <c r="Y920" s="378"/>
      <c r="Z920" s="378"/>
    </row>
    <row r="921" spans="1:26" ht="18">
      <c r="A921" s="378"/>
      <c r="B921" s="378"/>
      <c r="C921" s="378"/>
      <c r="D921" s="384"/>
      <c r="E921" s="378"/>
      <c r="F921" s="378"/>
      <c r="G921" s="378"/>
      <c r="H921" s="378"/>
      <c r="I921" s="378"/>
      <c r="J921" s="378"/>
      <c r="K921" s="378"/>
      <c r="L921" s="378"/>
      <c r="M921" s="378"/>
      <c r="N921" s="378"/>
      <c r="O921" s="378"/>
      <c r="P921" s="378"/>
      <c r="Q921" s="378"/>
      <c r="R921" s="378"/>
      <c r="S921" s="378"/>
      <c r="T921" s="378"/>
      <c r="U921" s="378"/>
      <c r="V921" s="378"/>
      <c r="W921" s="378"/>
      <c r="X921" s="378"/>
      <c r="Y921" s="378"/>
      <c r="Z921" s="378"/>
    </row>
    <row r="922" spans="1:26" ht="18">
      <c r="A922" s="378"/>
      <c r="B922" s="378"/>
      <c r="C922" s="378"/>
      <c r="D922" s="384"/>
      <c r="E922" s="378"/>
      <c r="F922" s="378"/>
      <c r="G922" s="378"/>
      <c r="H922" s="378"/>
      <c r="I922" s="378"/>
      <c r="J922" s="378"/>
      <c r="K922" s="378"/>
      <c r="L922" s="378"/>
      <c r="M922" s="378"/>
      <c r="N922" s="378"/>
      <c r="O922" s="378"/>
      <c r="P922" s="378"/>
      <c r="Q922" s="378"/>
      <c r="R922" s="378"/>
      <c r="S922" s="378"/>
      <c r="T922" s="378"/>
      <c r="U922" s="378"/>
      <c r="V922" s="378"/>
      <c r="W922" s="378"/>
      <c r="X922" s="378"/>
      <c r="Y922" s="378"/>
      <c r="Z922" s="378"/>
    </row>
    <row r="923" spans="1:26" ht="18">
      <c r="A923" s="378"/>
      <c r="B923" s="378"/>
      <c r="C923" s="378"/>
      <c r="D923" s="384"/>
      <c r="E923" s="378"/>
      <c r="F923" s="378"/>
      <c r="G923" s="378"/>
      <c r="H923" s="378"/>
      <c r="I923" s="378"/>
      <c r="J923" s="378"/>
      <c r="K923" s="378"/>
      <c r="L923" s="378"/>
      <c r="M923" s="378"/>
      <c r="N923" s="378"/>
      <c r="O923" s="378"/>
      <c r="P923" s="378"/>
      <c r="Q923" s="378"/>
      <c r="R923" s="378"/>
      <c r="S923" s="378"/>
      <c r="T923" s="378"/>
      <c r="U923" s="378"/>
      <c r="V923" s="378"/>
      <c r="W923" s="378"/>
      <c r="X923" s="378"/>
      <c r="Y923" s="378"/>
      <c r="Z923" s="378"/>
    </row>
    <row r="924" spans="1:26" ht="18">
      <c r="A924" s="378"/>
      <c r="B924" s="378"/>
      <c r="C924" s="378"/>
      <c r="D924" s="384"/>
      <c r="E924" s="378"/>
      <c r="F924" s="378"/>
      <c r="G924" s="378"/>
      <c r="H924" s="378"/>
      <c r="I924" s="378"/>
      <c r="J924" s="378"/>
      <c r="K924" s="378"/>
      <c r="L924" s="378"/>
      <c r="M924" s="378"/>
      <c r="N924" s="378"/>
      <c r="O924" s="378"/>
      <c r="P924" s="378"/>
      <c r="Q924" s="378"/>
      <c r="R924" s="378"/>
      <c r="S924" s="378"/>
      <c r="T924" s="378"/>
      <c r="U924" s="378"/>
      <c r="V924" s="378"/>
      <c r="W924" s="378"/>
      <c r="X924" s="378"/>
      <c r="Y924" s="378"/>
      <c r="Z924" s="378"/>
    </row>
    <row r="925" spans="1:26" ht="18">
      <c r="A925" s="378"/>
      <c r="B925" s="378"/>
      <c r="C925" s="378"/>
      <c r="D925" s="384"/>
      <c r="E925" s="378"/>
      <c r="F925" s="378"/>
      <c r="G925" s="378"/>
      <c r="H925" s="378"/>
      <c r="I925" s="378"/>
      <c r="J925" s="378"/>
      <c r="K925" s="378"/>
      <c r="L925" s="378"/>
      <c r="M925" s="378"/>
      <c r="N925" s="378"/>
      <c r="O925" s="378"/>
      <c r="P925" s="378"/>
      <c r="Q925" s="378"/>
      <c r="R925" s="378"/>
      <c r="S925" s="378"/>
      <c r="T925" s="378"/>
      <c r="U925" s="378"/>
      <c r="V925" s="378"/>
      <c r="W925" s="378"/>
      <c r="X925" s="378"/>
      <c r="Y925" s="378"/>
      <c r="Z925" s="378"/>
    </row>
    <row r="926" spans="1:26" ht="18">
      <c r="A926" s="378"/>
      <c r="B926" s="378"/>
      <c r="C926" s="378"/>
      <c r="D926" s="384"/>
      <c r="E926" s="378"/>
      <c r="F926" s="378"/>
      <c r="G926" s="378"/>
      <c r="H926" s="378"/>
      <c r="I926" s="378"/>
      <c r="J926" s="378"/>
      <c r="K926" s="378"/>
      <c r="L926" s="378"/>
      <c r="M926" s="378"/>
      <c r="N926" s="378"/>
      <c r="O926" s="378"/>
      <c r="P926" s="378"/>
      <c r="Q926" s="378"/>
      <c r="R926" s="378"/>
      <c r="S926" s="378"/>
      <c r="T926" s="378"/>
      <c r="U926" s="378"/>
      <c r="V926" s="378"/>
      <c r="W926" s="378"/>
      <c r="X926" s="378"/>
      <c r="Y926" s="378"/>
      <c r="Z926" s="378"/>
    </row>
    <row r="927" spans="1:26" ht="18">
      <c r="A927" s="378"/>
      <c r="B927" s="378"/>
      <c r="C927" s="378"/>
      <c r="D927" s="384"/>
      <c r="E927" s="378"/>
      <c r="F927" s="378"/>
      <c r="G927" s="378"/>
      <c r="H927" s="378"/>
      <c r="I927" s="378"/>
      <c r="J927" s="378"/>
      <c r="K927" s="378"/>
      <c r="L927" s="378"/>
      <c r="M927" s="378"/>
      <c r="N927" s="378"/>
      <c r="O927" s="378"/>
      <c r="P927" s="378"/>
      <c r="Q927" s="378"/>
      <c r="R927" s="378"/>
      <c r="S927" s="378"/>
      <c r="T927" s="378"/>
      <c r="U927" s="378"/>
      <c r="V927" s="378"/>
      <c r="W927" s="378"/>
      <c r="X927" s="378"/>
      <c r="Y927" s="378"/>
      <c r="Z927" s="378"/>
    </row>
    <row r="928" spans="1:26" ht="18">
      <c r="A928" s="378"/>
      <c r="B928" s="378"/>
      <c r="C928" s="378"/>
      <c r="D928" s="384"/>
      <c r="E928" s="378"/>
      <c r="F928" s="378"/>
      <c r="G928" s="378"/>
      <c r="H928" s="378"/>
      <c r="I928" s="378"/>
      <c r="J928" s="378"/>
      <c r="K928" s="378"/>
      <c r="L928" s="378"/>
      <c r="M928" s="378"/>
      <c r="N928" s="378"/>
      <c r="O928" s="378"/>
      <c r="P928" s="378"/>
      <c r="Q928" s="378"/>
      <c r="R928" s="378"/>
      <c r="S928" s="378"/>
      <c r="T928" s="378"/>
      <c r="U928" s="378"/>
      <c r="V928" s="378"/>
      <c r="W928" s="378"/>
      <c r="X928" s="378"/>
      <c r="Y928" s="378"/>
      <c r="Z928" s="378"/>
    </row>
    <row r="929" spans="1:26" ht="18">
      <c r="A929" s="378"/>
      <c r="B929" s="378"/>
      <c r="C929" s="378"/>
      <c r="D929" s="384"/>
      <c r="E929" s="378"/>
      <c r="F929" s="378"/>
      <c r="G929" s="378"/>
      <c r="H929" s="378"/>
      <c r="I929" s="378"/>
      <c r="J929" s="378"/>
      <c r="K929" s="378"/>
      <c r="L929" s="378"/>
      <c r="M929" s="378"/>
      <c r="N929" s="378"/>
      <c r="O929" s="378"/>
      <c r="P929" s="378"/>
      <c r="Q929" s="378"/>
      <c r="R929" s="378"/>
      <c r="S929" s="378"/>
      <c r="T929" s="378"/>
      <c r="U929" s="378"/>
      <c r="V929" s="378"/>
      <c r="W929" s="378"/>
      <c r="X929" s="378"/>
      <c r="Y929" s="378"/>
      <c r="Z929" s="378"/>
    </row>
    <row r="930" spans="1:26" ht="18">
      <c r="A930" s="378"/>
      <c r="B930" s="378"/>
      <c r="C930" s="378"/>
      <c r="D930" s="384"/>
      <c r="E930" s="378"/>
      <c r="F930" s="378"/>
      <c r="G930" s="378"/>
      <c r="H930" s="378"/>
      <c r="I930" s="378"/>
      <c r="J930" s="378"/>
      <c r="K930" s="378"/>
      <c r="L930" s="378"/>
      <c r="M930" s="378"/>
      <c r="N930" s="378"/>
      <c r="O930" s="378"/>
      <c r="P930" s="378"/>
      <c r="Q930" s="378"/>
      <c r="R930" s="378"/>
      <c r="S930" s="378"/>
      <c r="T930" s="378"/>
      <c r="U930" s="378"/>
      <c r="V930" s="378"/>
      <c r="W930" s="378"/>
      <c r="X930" s="378"/>
      <c r="Y930" s="378"/>
      <c r="Z930" s="378"/>
    </row>
    <row r="931" spans="1:26" ht="18">
      <c r="A931" s="378"/>
      <c r="B931" s="378"/>
      <c r="C931" s="378"/>
      <c r="D931" s="384"/>
      <c r="E931" s="378"/>
      <c r="F931" s="378"/>
      <c r="G931" s="378"/>
      <c r="H931" s="378"/>
      <c r="I931" s="378"/>
      <c r="J931" s="378"/>
      <c r="K931" s="378"/>
      <c r="L931" s="378"/>
      <c r="M931" s="378"/>
      <c r="N931" s="378"/>
      <c r="O931" s="378"/>
      <c r="P931" s="378"/>
      <c r="Q931" s="378"/>
      <c r="R931" s="378"/>
      <c r="S931" s="378"/>
      <c r="T931" s="378"/>
      <c r="U931" s="378"/>
      <c r="V931" s="378"/>
      <c r="W931" s="378"/>
      <c r="X931" s="378"/>
      <c r="Y931" s="378"/>
      <c r="Z931" s="378"/>
    </row>
    <row r="932" spans="1:26" ht="18">
      <c r="A932" s="378"/>
      <c r="B932" s="378"/>
      <c r="C932" s="378"/>
      <c r="D932" s="384"/>
      <c r="E932" s="378"/>
      <c r="F932" s="378"/>
      <c r="G932" s="378"/>
      <c r="H932" s="378"/>
      <c r="I932" s="378"/>
      <c r="J932" s="378"/>
      <c r="K932" s="378"/>
      <c r="L932" s="378"/>
      <c r="M932" s="378"/>
      <c r="N932" s="378"/>
      <c r="O932" s="378"/>
      <c r="P932" s="378"/>
      <c r="Q932" s="378"/>
      <c r="R932" s="378"/>
      <c r="S932" s="378"/>
      <c r="T932" s="378"/>
      <c r="U932" s="378"/>
      <c r="V932" s="378"/>
      <c r="W932" s="378"/>
      <c r="X932" s="378"/>
      <c r="Y932" s="378"/>
      <c r="Z932" s="378"/>
    </row>
    <row r="933" spans="1:26" ht="18">
      <c r="A933" s="378"/>
      <c r="B933" s="378"/>
      <c r="C933" s="378"/>
      <c r="D933" s="384"/>
      <c r="E933" s="378"/>
      <c r="F933" s="378"/>
      <c r="G933" s="378"/>
      <c r="H933" s="378"/>
      <c r="I933" s="378"/>
      <c r="J933" s="378"/>
      <c r="K933" s="378"/>
      <c r="L933" s="378"/>
      <c r="M933" s="378"/>
      <c r="N933" s="378"/>
      <c r="O933" s="378"/>
      <c r="P933" s="378"/>
      <c r="Q933" s="378"/>
      <c r="R933" s="378"/>
      <c r="S933" s="378"/>
      <c r="T933" s="378"/>
      <c r="U933" s="378"/>
      <c r="V933" s="378"/>
      <c r="W933" s="378"/>
      <c r="X933" s="378"/>
      <c r="Y933" s="378"/>
      <c r="Z933" s="378"/>
    </row>
    <row r="934" spans="1:26" ht="18">
      <c r="A934" s="378"/>
      <c r="B934" s="378"/>
      <c r="C934" s="378"/>
      <c r="D934" s="384"/>
      <c r="E934" s="378"/>
      <c r="F934" s="378"/>
      <c r="G934" s="378"/>
      <c r="H934" s="378"/>
      <c r="I934" s="378"/>
      <c r="J934" s="378"/>
      <c r="K934" s="378"/>
      <c r="L934" s="378"/>
      <c r="M934" s="378"/>
      <c r="N934" s="378"/>
      <c r="O934" s="378"/>
      <c r="P934" s="378"/>
      <c r="Q934" s="378"/>
      <c r="R934" s="378"/>
      <c r="S934" s="378"/>
      <c r="T934" s="378"/>
      <c r="U934" s="378"/>
      <c r="V934" s="378"/>
      <c r="W934" s="378"/>
      <c r="X934" s="378"/>
      <c r="Y934" s="378"/>
      <c r="Z934" s="378"/>
    </row>
    <row r="935" spans="1:26" ht="18">
      <c r="A935" s="378"/>
      <c r="B935" s="378"/>
      <c r="C935" s="378"/>
      <c r="D935" s="384"/>
      <c r="E935" s="378"/>
      <c r="F935" s="378"/>
      <c r="G935" s="378"/>
      <c r="H935" s="378"/>
      <c r="I935" s="378"/>
      <c r="J935" s="378"/>
      <c r="K935" s="378"/>
      <c r="L935" s="378"/>
      <c r="M935" s="378"/>
      <c r="N935" s="378"/>
      <c r="O935" s="378"/>
      <c r="P935" s="378"/>
      <c r="Q935" s="378"/>
      <c r="R935" s="378"/>
      <c r="S935" s="378"/>
      <c r="T935" s="378"/>
      <c r="U935" s="378"/>
      <c r="V935" s="378"/>
      <c r="W935" s="378"/>
      <c r="X935" s="378"/>
      <c r="Y935" s="378"/>
      <c r="Z935" s="378"/>
    </row>
    <row r="936" spans="1:26" ht="18">
      <c r="A936" s="378"/>
      <c r="B936" s="378"/>
      <c r="C936" s="378"/>
      <c r="D936" s="384"/>
      <c r="E936" s="378"/>
      <c r="F936" s="378"/>
      <c r="G936" s="378"/>
      <c r="H936" s="378"/>
      <c r="I936" s="378"/>
      <c r="J936" s="378"/>
      <c r="K936" s="378"/>
      <c r="L936" s="378"/>
      <c r="M936" s="378"/>
      <c r="N936" s="378"/>
      <c r="O936" s="378"/>
      <c r="P936" s="378"/>
      <c r="Q936" s="378"/>
      <c r="R936" s="378"/>
      <c r="S936" s="378"/>
      <c r="T936" s="378"/>
      <c r="U936" s="378"/>
      <c r="V936" s="378"/>
      <c r="W936" s="378"/>
      <c r="X936" s="378"/>
      <c r="Y936" s="378"/>
      <c r="Z936" s="378"/>
    </row>
    <row r="937" spans="1:26" ht="18">
      <c r="A937" s="378"/>
      <c r="B937" s="378"/>
      <c r="C937" s="378"/>
      <c r="D937" s="384"/>
      <c r="E937" s="378"/>
      <c r="F937" s="378"/>
      <c r="G937" s="378"/>
      <c r="H937" s="378"/>
      <c r="I937" s="378"/>
      <c r="J937" s="378"/>
      <c r="K937" s="378"/>
      <c r="L937" s="378"/>
      <c r="M937" s="378"/>
      <c r="N937" s="378"/>
      <c r="O937" s="378"/>
      <c r="P937" s="378"/>
      <c r="Q937" s="378"/>
      <c r="R937" s="378"/>
      <c r="S937" s="378"/>
      <c r="T937" s="378"/>
      <c r="U937" s="378"/>
      <c r="V937" s="378"/>
      <c r="W937" s="378"/>
      <c r="X937" s="378"/>
      <c r="Y937" s="378"/>
      <c r="Z937" s="378"/>
    </row>
    <row r="938" spans="1:26" ht="18">
      <c r="A938" s="378"/>
      <c r="B938" s="378"/>
      <c r="C938" s="378"/>
      <c r="D938" s="384"/>
      <c r="E938" s="378"/>
      <c r="F938" s="378"/>
      <c r="G938" s="378"/>
      <c r="H938" s="378"/>
      <c r="I938" s="378"/>
      <c r="J938" s="378"/>
      <c r="K938" s="378"/>
      <c r="L938" s="378"/>
      <c r="M938" s="378"/>
      <c r="N938" s="378"/>
      <c r="O938" s="378"/>
      <c r="P938" s="378"/>
      <c r="Q938" s="378"/>
      <c r="R938" s="378"/>
      <c r="S938" s="378"/>
      <c r="T938" s="378"/>
      <c r="U938" s="378"/>
      <c r="V938" s="378"/>
      <c r="W938" s="378"/>
      <c r="X938" s="378"/>
      <c r="Y938" s="378"/>
      <c r="Z938" s="378"/>
    </row>
    <row r="939" spans="1:26" ht="18">
      <c r="A939" s="378"/>
      <c r="B939" s="378"/>
      <c r="C939" s="378"/>
      <c r="D939" s="384"/>
      <c r="E939" s="378"/>
      <c r="F939" s="378"/>
      <c r="G939" s="378"/>
      <c r="H939" s="378"/>
      <c r="I939" s="378"/>
      <c r="J939" s="378"/>
      <c r="K939" s="378"/>
      <c r="L939" s="378"/>
      <c r="M939" s="378"/>
      <c r="N939" s="378"/>
      <c r="O939" s="378"/>
      <c r="P939" s="378"/>
      <c r="Q939" s="378"/>
      <c r="R939" s="378"/>
      <c r="S939" s="378"/>
      <c r="T939" s="378"/>
      <c r="U939" s="378"/>
      <c r="V939" s="378"/>
      <c r="W939" s="378"/>
      <c r="X939" s="378"/>
      <c r="Y939" s="378"/>
      <c r="Z939" s="378"/>
    </row>
    <row r="940" spans="1:26" ht="18">
      <c r="A940" s="378"/>
      <c r="B940" s="378"/>
      <c r="C940" s="378"/>
      <c r="D940" s="384"/>
      <c r="E940" s="378"/>
      <c r="F940" s="378"/>
      <c r="G940" s="378"/>
      <c r="H940" s="378"/>
      <c r="I940" s="378"/>
      <c r="J940" s="378"/>
      <c r="K940" s="378"/>
      <c r="L940" s="378"/>
      <c r="M940" s="378"/>
      <c r="N940" s="378"/>
      <c r="O940" s="378"/>
      <c r="P940" s="378"/>
      <c r="Q940" s="378"/>
      <c r="R940" s="378"/>
      <c r="S940" s="378"/>
      <c r="T940" s="378"/>
      <c r="U940" s="378"/>
      <c r="V940" s="378"/>
      <c r="W940" s="378"/>
      <c r="X940" s="378"/>
      <c r="Y940" s="378"/>
      <c r="Z940" s="378"/>
    </row>
    <row r="941" spans="1:26" ht="18">
      <c r="A941" s="378"/>
      <c r="B941" s="378"/>
      <c r="C941" s="378"/>
      <c r="D941" s="384"/>
      <c r="E941" s="378"/>
      <c r="F941" s="378"/>
      <c r="G941" s="378"/>
      <c r="H941" s="378"/>
      <c r="I941" s="378"/>
      <c r="J941" s="378"/>
      <c r="K941" s="378"/>
      <c r="L941" s="378"/>
      <c r="M941" s="378"/>
      <c r="N941" s="378"/>
      <c r="O941" s="378"/>
      <c r="P941" s="378"/>
      <c r="Q941" s="378"/>
      <c r="R941" s="378"/>
      <c r="S941" s="378"/>
      <c r="T941" s="378"/>
      <c r="U941" s="378"/>
      <c r="V941" s="378"/>
      <c r="W941" s="378"/>
      <c r="X941" s="378"/>
      <c r="Y941" s="378"/>
      <c r="Z941" s="378"/>
    </row>
    <row r="942" spans="1:26" ht="18">
      <c r="A942" s="378"/>
      <c r="B942" s="378"/>
      <c r="C942" s="378"/>
      <c r="D942" s="384"/>
      <c r="E942" s="378"/>
      <c r="F942" s="378"/>
      <c r="G942" s="378"/>
      <c r="H942" s="378"/>
      <c r="I942" s="378"/>
      <c r="J942" s="378"/>
      <c r="K942" s="378"/>
      <c r="L942" s="378"/>
      <c r="M942" s="378"/>
      <c r="N942" s="378"/>
      <c r="O942" s="378"/>
      <c r="P942" s="378"/>
      <c r="Q942" s="378"/>
      <c r="R942" s="378"/>
      <c r="S942" s="378"/>
      <c r="T942" s="378"/>
      <c r="U942" s="378"/>
      <c r="V942" s="378"/>
      <c r="W942" s="378"/>
      <c r="X942" s="378"/>
      <c r="Y942" s="378"/>
      <c r="Z942" s="378"/>
    </row>
    <row r="943" spans="1:26" ht="18">
      <c r="A943" s="378"/>
      <c r="B943" s="378"/>
      <c r="C943" s="378"/>
      <c r="D943" s="384"/>
      <c r="E943" s="378"/>
      <c r="F943" s="378"/>
      <c r="G943" s="378"/>
      <c r="H943" s="378"/>
      <c r="I943" s="378"/>
      <c r="J943" s="378"/>
      <c r="K943" s="378"/>
      <c r="L943" s="378"/>
      <c r="M943" s="378"/>
      <c r="N943" s="378"/>
      <c r="O943" s="378"/>
      <c r="P943" s="378"/>
      <c r="Q943" s="378"/>
      <c r="R943" s="378"/>
      <c r="S943" s="378"/>
      <c r="T943" s="378"/>
      <c r="U943" s="378"/>
      <c r="V943" s="378"/>
      <c r="W943" s="378"/>
      <c r="X943" s="378"/>
      <c r="Y943" s="378"/>
      <c r="Z943" s="378"/>
    </row>
    <row r="944" spans="1:26" ht="18">
      <c r="A944" s="378"/>
      <c r="B944" s="378"/>
      <c r="C944" s="378"/>
      <c r="D944" s="384"/>
      <c r="E944" s="378"/>
      <c r="F944" s="378"/>
      <c r="G944" s="378"/>
      <c r="H944" s="378"/>
      <c r="I944" s="378"/>
      <c r="J944" s="378"/>
      <c r="K944" s="378"/>
      <c r="L944" s="378"/>
      <c r="M944" s="378"/>
      <c r="N944" s="378"/>
      <c r="O944" s="378"/>
      <c r="P944" s="378"/>
      <c r="Q944" s="378"/>
      <c r="R944" s="378"/>
      <c r="S944" s="378"/>
      <c r="T944" s="378"/>
      <c r="U944" s="378"/>
      <c r="V944" s="378"/>
      <c r="W944" s="378"/>
      <c r="X944" s="378"/>
      <c r="Y944" s="378"/>
      <c r="Z944" s="378"/>
    </row>
    <row r="945" spans="1:26" ht="18">
      <c r="A945" s="378"/>
      <c r="B945" s="378"/>
      <c r="C945" s="378"/>
      <c r="D945" s="384"/>
      <c r="E945" s="378"/>
      <c r="F945" s="378"/>
      <c r="G945" s="378"/>
      <c r="H945" s="378"/>
      <c r="I945" s="378"/>
      <c r="J945" s="378"/>
      <c r="K945" s="378"/>
      <c r="L945" s="378"/>
      <c r="M945" s="378"/>
      <c r="N945" s="378"/>
      <c r="O945" s="378"/>
      <c r="P945" s="378"/>
      <c r="Q945" s="378"/>
      <c r="R945" s="378"/>
      <c r="S945" s="378"/>
      <c r="T945" s="378"/>
      <c r="U945" s="378"/>
      <c r="V945" s="378"/>
      <c r="W945" s="378"/>
      <c r="X945" s="378"/>
      <c r="Y945" s="378"/>
      <c r="Z945" s="378"/>
    </row>
    <row r="946" spans="1:26" ht="18">
      <c r="A946" s="378"/>
      <c r="B946" s="378"/>
      <c r="C946" s="378"/>
      <c r="D946" s="384"/>
      <c r="E946" s="378"/>
      <c r="F946" s="378"/>
      <c r="G946" s="378"/>
      <c r="H946" s="378"/>
      <c r="I946" s="378"/>
      <c r="J946" s="378"/>
      <c r="K946" s="378"/>
      <c r="L946" s="378"/>
      <c r="M946" s="378"/>
      <c r="N946" s="378"/>
      <c r="O946" s="378"/>
      <c r="P946" s="378"/>
      <c r="Q946" s="378"/>
      <c r="R946" s="378"/>
      <c r="S946" s="378"/>
      <c r="T946" s="378"/>
      <c r="U946" s="378"/>
      <c r="V946" s="378"/>
      <c r="W946" s="378"/>
      <c r="X946" s="378"/>
      <c r="Y946" s="378"/>
      <c r="Z946" s="378"/>
    </row>
    <row r="947" spans="1:26" ht="18">
      <c r="A947" s="378"/>
      <c r="B947" s="378"/>
      <c r="C947" s="378"/>
      <c r="D947" s="384"/>
      <c r="E947" s="378"/>
      <c r="F947" s="378"/>
      <c r="G947" s="378"/>
      <c r="H947" s="378"/>
      <c r="I947" s="378"/>
      <c r="J947" s="378"/>
      <c r="K947" s="378"/>
      <c r="L947" s="378"/>
      <c r="M947" s="378"/>
      <c r="N947" s="378"/>
      <c r="O947" s="378"/>
      <c r="P947" s="378"/>
      <c r="Q947" s="378"/>
      <c r="R947" s="378"/>
      <c r="S947" s="378"/>
      <c r="T947" s="378"/>
      <c r="U947" s="378"/>
      <c r="V947" s="378"/>
      <c r="W947" s="378"/>
      <c r="X947" s="378"/>
      <c r="Y947" s="378"/>
      <c r="Z947" s="378"/>
    </row>
    <row r="948" spans="1:26" ht="18">
      <c r="A948" s="378"/>
      <c r="B948" s="378"/>
      <c r="C948" s="378"/>
      <c r="D948" s="384"/>
      <c r="E948" s="378"/>
      <c r="F948" s="378"/>
      <c r="G948" s="378"/>
      <c r="H948" s="378"/>
      <c r="I948" s="378"/>
      <c r="J948" s="378"/>
      <c r="K948" s="378"/>
      <c r="L948" s="378"/>
      <c r="M948" s="378"/>
      <c r="N948" s="378"/>
      <c r="O948" s="378"/>
      <c r="P948" s="378"/>
      <c r="Q948" s="378"/>
      <c r="R948" s="378"/>
      <c r="S948" s="378"/>
      <c r="T948" s="378"/>
      <c r="U948" s="378"/>
      <c r="V948" s="378"/>
      <c r="W948" s="378"/>
      <c r="X948" s="378"/>
      <c r="Y948" s="378"/>
      <c r="Z948" s="378"/>
    </row>
    <row r="949" spans="1:26" ht="18">
      <c r="A949" s="378"/>
      <c r="B949" s="378"/>
      <c r="C949" s="378"/>
      <c r="D949" s="384"/>
      <c r="E949" s="378"/>
      <c r="F949" s="378"/>
      <c r="G949" s="378"/>
      <c r="H949" s="378"/>
      <c r="I949" s="378"/>
      <c r="J949" s="378"/>
      <c r="K949" s="378"/>
      <c r="L949" s="378"/>
      <c r="M949" s="378"/>
      <c r="N949" s="378"/>
      <c r="O949" s="378"/>
      <c r="P949" s="378"/>
      <c r="Q949" s="378"/>
      <c r="R949" s="378"/>
      <c r="S949" s="378"/>
      <c r="T949" s="378"/>
      <c r="U949" s="378"/>
      <c r="V949" s="378"/>
      <c r="W949" s="378"/>
      <c r="X949" s="378"/>
      <c r="Y949" s="378"/>
      <c r="Z949" s="378"/>
    </row>
    <row r="950" spans="1:26" ht="18">
      <c r="A950" s="378"/>
      <c r="B950" s="378"/>
      <c r="C950" s="378"/>
      <c r="D950" s="384"/>
      <c r="E950" s="378"/>
      <c r="F950" s="378"/>
      <c r="G950" s="378"/>
      <c r="H950" s="378"/>
      <c r="I950" s="378"/>
      <c r="J950" s="378"/>
      <c r="K950" s="378"/>
      <c r="L950" s="378"/>
      <c r="M950" s="378"/>
      <c r="N950" s="378"/>
      <c r="O950" s="378"/>
      <c r="P950" s="378"/>
      <c r="Q950" s="378"/>
      <c r="R950" s="378"/>
      <c r="S950" s="378"/>
      <c r="T950" s="378"/>
      <c r="U950" s="378"/>
      <c r="V950" s="378"/>
      <c r="W950" s="378"/>
      <c r="X950" s="378"/>
      <c r="Y950" s="378"/>
      <c r="Z950" s="378"/>
    </row>
    <row r="951" spans="1:26" ht="18">
      <c r="A951" s="378"/>
      <c r="B951" s="378"/>
      <c r="C951" s="378"/>
      <c r="D951" s="384"/>
      <c r="E951" s="378"/>
      <c r="F951" s="378"/>
      <c r="G951" s="378"/>
      <c r="H951" s="378"/>
      <c r="I951" s="378"/>
      <c r="J951" s="378"/>
      <c r="K951" s="378"/>
      <c r="L951" s="378"/>
      <c r="M951" s="378"/>
      <c r="N951" s="378"/>
      <c r="O951" s="378"/>
      <c r="P951" s="378"/>
      <c r="Q951" s="378"/>
      <c r="R951" s="378"/>
      <c r="S951" s="378"/>
      <c r="T951" s="378"/>
      <c r="U951" s="378"/>
      <c r="V951" s="378"/>
      <c r="W951" s="378"/>
      <c r="X951" s="378"/>
      <c r="Y951" s="378"/>
      <c r="Z951" s="378"/>
    </row>
    <row r="952" spans="1:26" ht="18">
      <c r="A952" s="378"/>
      <c r="B952" s="378"/>
      <c r="C952" s="378"/>
      <c r="D952" s="384"/>
      <c r="E952" s="378"/>
      <c r="F952" s="378"/>
      <c r="G952" s="378"/>
      <c r="H952" s="378"/>
      <c r="I952" s="378"/>
      <c r="J952" s="378"/>
      <c r="K952" s="378"/>
      <c r="L952" s="378"/>
      <c r="M952" s="378"/>
      <c r="N952" s="378"/>
      <c r="O952" s="378"/>
      <c r="P952" s="378"/>
      <c r="Q952" s="378"/>
      <c r="R952" s="378"/>
      <c r="S952" s="378"/>
      <c r="T952" s="378"/>
      <c r="U952" s="378"/>
      <c r="V952" s="378"/>
      <c r="W952" s="378"/>
      <c r="X952" s="378"/>
      <c r="Y952" s="378"/>
      <c r="Z952" s="378"/>
    </row>
    <row r="953" spans="1:26" ht="18">
      <c r="A953" s="378"/>
      <c r="B953" s="378"/>
      <c r="C953" s="378"/>
      <c r="D953" s="384"/>
      <c r="E953" s="378"/>
      <c r="F953" s="378"/>
      <c r="G953" s="378"/>
      <c r="H953" s="378"/>
      <c r="I953" s="378"/>
      <c r="J953" s="378"/>
      <c r="K953" s="378"/>
      <c r="L953" s="378"/>
      <c r="M953" s="378"/>
      <c r="N953" s="378"/>
      <c r="O953" s="378"/>
      <c r="P953" s="378"/>
      <c r="Q953" s="378"/>
      <c r="R953" s="378"/>
      <c r="S953" s="378"/>
      <c r="T953" s="378"/>
      <c r="U953" s="378"/>
      <c r="V953" s="378"/>
      <c r="W953" s="378"/>
      <c r="X953" s="378"/>
      <c r="Y953" s="378"/>
      <c r="Z953" s="378"/>
    </row>
    <row r="954" spans="1:26" ht="18">
      <c r="A954" s="378"/>
      <c r="B954" s="378"/>
      <c r="C954" s="378"/>
      <c r="D954" s="384"/>
      <c r="E954" s="378"/>
      <c r="F954" s="378"/>
      <c r="G954" s="378"/>
      <c r="H954" s="378"/>
      <c r="I954" s="378"/>
      <c r="J954" s="378"/>
      <c r="K954" s="378"/>
      <c r="L954" s="378"/>
      <c r="M954" s="378"/>
      <c r="N954" s="378"/>
      <c r="O954" s="378"/>
      <c r="P954" s="378"/>
      <c r="Q954" s="378"/>
      <c r="R954" s="378"/>
      <c r="S954" s="378"/>
      <c r="T954" s="378"/>
      <c r="U954" s="378"/>
      <c r="V954" s="378"/>
      <c r="W954" s="378"/>
      <c r="X954" s="378"/>
      <c r="Y954" s="378"/>
      <c r="Z954" s="378"/>
    </row>
    <row r="955" spans="1:26" ht="18">
      <c r="A955" s="378"/>
      <c r="B955" s="378"/>
      <c r="C955" s="378"/>
      <c r="D955" s="384"/>
      <c r="E955" s="378"/>
      <c r="F955" s="378"/>
      <c r="G955" s="378"/>
      <c r="H955" s="378"/>
      <c r="I955" s="378"/>
      <c r="J955" s="378"/>
      <c r="K955" s="378"/>
      <c r="L955" s="378"/>
      <c r="M955" s="378"/>
      <c r="N955" s="378"/>
      <c r="O955" s="378"/>
      <c r="P955" s="378"/>
      <c r="Q955" s="378"/>
      <c r="R955" s="378"/>
      <c r="S955" s="378"/>
      <c r="T955" s="378"/>
      <c r="U955" s="378"/>
      <c r="V955" s="378"/>
      <c r="W955" s="378"/>
      <c r="X955" s="378"/>
      <c r="Y955" s="378"/>
      <c r="Z955" s="378"/>
    </row>
    <row r="956" spans="1:26" ht="18">
      <c r="A956" s="378"/>
      <c r="B956" s="378"/>
      <c r="C956" s="378"/>
      <c r="D956" s="384"/>
      <c r="E956" s="378"/>
      <c r="F956" s="378"/>
      <c r="G956" s="378"/>
      <c r="H956" s="378"/>
      <c r="I956" s="378"/>
      <c r="J956" s="378"/>
      <c r="K956" s="378"/>
      <c r="L956" s="378"/>
      <c r="M956" s="378"/>
      <c r="N956" s="378"/>
      <c r="O956" s="378"/>
      <c r="P956" s="378"/>
      <c r="Q956" s="378"/>
      <c r="R956" s="378"/>
      <c r="S956" s="378"/>
      <c r="T956" s="378"/>
      <c r="U956" s="378"/>
      <c r="V956" s="378"/>
      <c r="W956" s="378"/>
      <c r="X956" s="378"/>
      <c r="Y956" s="378"/>
      <c r="Z956" s="378"/>
    </row>
    <row r="957" spans="1:26" ht="18">
      <c r="A957" s="378"/>
      <c r="B957" s="378"/>
      <c r="C957" s="378"/>
      <c r="D957" s="384"/>
      <c r="E957" s="378"/>
      <c r="F957" s="378"/>
      <c r="G957" s="378"/>
      <c r="H957" s="378"/>
      <c r="I957" s="378"/>
      <c r="J957" s="378"/>
      <c r="K957" s="378"/>
      <c r="L957" s="378"/>
      <c r="M957" s="378"/>
      <c r="N957" s="378"/>
      <c r="O957" s="378"/>
      <c r="P957" s="378"/>
      <c r="Q957" s="378"/>
      <c r="R957" s="378"/>
      <c r="S957" s="378"/>
      <c r="T957" s="378"/>
      <c r="U957" s="378"/>
      <c r="V957" s="378"/>
      <c r="W957" s="378"/>
      <c r="X957" s="378"/>
      <c r="Y957" s="378"/>
      <c r="Z957" s="378"/>
    </row>
    <row r="958" spans="1:26" ht="18">
      <c r="A958" s="378"/>
      <c r="B958" s="378"/>
      <c r="C958" s="378"/>
      <c r="D958" s="384"/>
      <c r="E958" s="378"/>
      <c r="F958" s="378"/>
      <c r="G958" s="378"/>
      <c r="H958" s="378"/>
      <c r="I958" s="378"/>
      <c r="J958" s="378"/>
      <c r="K958" s="378"/>
      <c r="L958" s="378"/>
      <c r="M958" s="378"/>
      <c r="N958" s="378"/>
      <c r="O958" s="378"/>
      <c r="P958" s="378"/>
      <c r="Q958" s="378"/>
      <c r="R958" s="378"/>
      <c r="S958" s="378"/>
      <c r="T958" s="378"/>
      <c r="U958" s="378"/>
      <c r="V958" s="378"/>
      <c r="W958" s="378"/>
      <c r="X958" s="378"/>
      <c r="Y958" s="378"/>
      <c r="Z958" s="378"/>
    </row>
    <row r="959" spans="1:26" ht="18">
      <c r="A959" s="378"/>
      <c r="B959" s="378"/>
      <c r="C959" s="378"/>
      <c r="D959" s="384"/>
      <c r="E959" s="378"/>
      <c r="F959" s="378"/>
      <c r="G959" s="378"/>
      <c r="H959" s="378"/>
      <c r="I959" s="378"/>
      <c r="J959" s="378"/>
      <c r="K959" s="378"/>
      <c r="L959" s="378"/>
      <c r="M959" s="378"/>
      <c r="N959" s="378"/>
      <c r="O959" s="378"/>
      <c r="P959" s="378"/>
      <c r="Q959" s="378"/>
      <c r="R959" s="378"/>
      <c r="S959" s="378"/>
      <c r="T959" s="378"/>
      <c r="U959" s="378"/>
      <c r="V959" s="378"/>
      <c r="W959" s="378"/>
      <c r="X959" s="378"/>
      <c r="Y959" s="378"/>
      <c r="Z959" s="378"/>
    </row>
    <row r="960" spans="1:26" ht="18">
      <c r="A960" s="378"/>
      <c r="B960" s="378"/>
      <c r="C960" s="378"/>
      <c r="D960" s="384"/>
      <c r="E960" s="378"/>
      <c r="F960" s="378"/>
      <c r="G960" s="378"/>
      <c r="H960" s="378"/>
      <c r="I960" s="378"/>
      <c r="J960" s="378"/>
      <c r="K960" s="378"/>
      <c r="L960" s="378"/>
      <c r="M960" s="378"/>
      <c r="N960" s="378"/>
      <c r="O960" s="378"/>
      <c r="P960" s="378"/>
      <c r="Q960" s="378"/>
      <c r="R960" s="378"/>
      <c r="S960" s="378"/>
      <c r="T960" s="378"/>
      <c r="U960" s="378"/>
      <c r="V960" s="378"/>
      <c r="W960" s="378"/>
      <c r="X960" s="378"/>
      <c r="Y960" s="378"/>
      <c r="Z960" s="378"/>
    </row>
    <row r="961" spans="1:26" ht="18">
      <c r="A961" s="378"/>
      <c r="B961" s="378"/>
      <c r="C961" s="378"/>
      <c r="D961" s="384"/>
      <c r="E961" s="378"/>
      <c r="F961" s="378"/>
      <c r="G961" s="378"/>
      <c r="H961" s="378"/>
      <c r="I961" s="378"/>
      <c r="J961" s="378"/>
      <c r="K961" s="378"/>
      <c r="L961" s="378"/>
      <c r="M961" s="378"/>
      <c r="N961" s="378"/>
      <c r="O961" s="378"/>
      <c r="P961" s="378"/>
      <c r="Q961" s="378"/>
      <c r="R961" s="378"/>
      <c r="S961" s="378"/>
      <c r="T961" s="378"/>
      <c r="U961" s="378"/>
      <c r="V961" s="378"/>
      <c r="W961" s="378"/>
      <c r="X961" s="378"/>
      <c r="Y961" s="378"/>
      <c r="Z961" s="378"/>
    </row>
    <row r="962" spans="1:26" ht="18">
      <c r="A962" s="378"/>
      <c r="B962" s="378"/>
      <c r="C962" s="378"/>
      <c r="D962" s="384"/>
      <c r="E962" s="378"/>
      <c r="F962" s="378"/>
      <c r="G962" s="378"/>
      <c r="H962" s="378"/>
      <c r="I962" s="378"/>
      <c r="J962" s="378"/>
      <c r="K962" s="378"/>
      <c r="L962" s="378"/>
      <c r="M962" s="378"/>
      <c r="N962" s="378"/>
      <c r="O962" s="378"/>
      <c r="P962" s="378"/>
      <c r="Q962" s="378"/>
      <c r="R962" s="378"/>
      <c r="S962" s="378"/>
      <c r="T962" s="378"/>
      <c r="U962" s="378"/>
      <c r="V962" s="378"/>
      <c r="W962" s="378"/>
      <c r="X962" s="378"/>
      <c r="Y962" s="378"/>
      <c r="Z962" s="378"/>
    </row>
    <row r="963" spans="1:26" ht="18">
      <c r="A963" s="378"/>
      <c r="B963" s="378"/>
      <c r="C963" s="378"/>
      <c r="D963" s="384"/>
      <c r="E963" s="378"/>
      <c r="F963" s="378"/>
      <c r="G963" s="378"/>
      <c r="H963" s="378"/>
      <c r="I963" s="378"/>
      <c r="J963" s="378"/>
      <c r="K963" s="378"/>
      <c r="L963" s="378"/>
      <c r="M963" s="378"/>
      <c r="N963" s="378"/>
      <c r="O963" s="378"/>
      <c r="P963" s="378"/>
      <c r="Q963" s="378"/>
      <c r="R963" s="378"/>
      <c r="S963" s="378"/>
      <c r="T963" s="378"/>
      <c r="U963" s="378"/>
      <c r="V963" s="378"/>
      <c r="W963" s="378"/>
      <c r="X963" s="378"/>
      <c r="Y963" s="378"/>
      <c r="Z963" s="378"/>
    </row>
    <row r="964" spans="1:26" ht="18">
      <c r="A964" s="378"/>
      <c r="B964" s="378"/>
      <c r="C964" s="378"/>
      <c r="D964" s="384"/>
      <c r="E964" s="378"/>
      <c r="F964" s="378"/>
      <c r="G964" s="378"/>
      <c r="H964" s="378"/>
      <c r="I964" s="378"/>
      <c r="J964" s="378"/>
      <c r="K964" s="378"/>
      <c r="L964" s="378"/>
      <c r="M964" s="378"/>
      <c r="N964" s="378"/>
      <c r="O964" s="378"/>
      <c r="P964" s="378"/>
      <c r="Q964" s="378"/>
      <c r="R964" s="378"/>
      <c r="S964" s="378"/>
      <c r="T964" s="378"/>
      <c r="U964" s="378"/>
      <c r="V964" s="378"/>
      <c r="W964" s="378"/>
      <c r="X964" s="378"/>
      <c r="Y964" s="378"/>
      <c r="Z964" s="378"/>
    </row>
    <row r="965" spans="1:26" ht="18">
      <c r="A965" s="378"/>
      <c r="B965" s="378"/>
      <c r="C965" s="378"/>
      <c r="D965" s="384"/>
      <c r="E965" s="378"/>
      <c r="F965" s="378"/>
      <c r="G965" s="378"/>
      <c r="H965" s="378"/>
      <c r="I965" s="378"/>
      <c r="J965" s="378"/>
      <c r="K965" s="378"/>
      <c r="L965" s="378"/>
      <c r="M965" s="378"/>
      <c r="N965" s="378"/>
      <c r="O965" s="378"/>
      <c r="P965" s="378"/>
      <c r="Q965" s="378"/>
      <c r="R965" s="378"/>
      <c r="S965" s="378"/>
      <c r="T965" s="378"/>
      <c r="U965" s="378"/>
      <c r="V965" s="378"/>
      <c r="W965" s="378"/>
      <c r="X965" s="378"/>
      <c r="Y965" s="378"/>
      <c r="Z965" s="378"/>
    </row>
    <row r="966" spans="1:26" ht="18">
      <c r="A966" s="378"/>
      <c r="B966" s="378"/>
      <c r="C966" s="378"/>
      <c r="D966" s="384"/>
      <c r="E966" s="378"/>
      <c r="F966" s="378"/>
      <c r="G966" s="378"/>
      <c r="H966" s="378"/>
      <c r="I966" s="378"/>
      <c r="J966" s="378"/>
      <c r="K966" s="378"/>
      <c r="L966" s="378"/>
      <c r="M966" s="378"/>
      <c r="N966" s="378"/>
      <c r="O966" s="378"/>
      <c r="P966" s="378"/>
      <c r="Q966" s="378"/>
      <c r="R966" s="378"/>
      <c r="S966" s="378"/>
      <c r="T966" s="378"/>
      <c r="U966" s="378"/>
      <c r="V966" s="378"/>
      <c r="W966" s="378"/>
      <c r="X966" s="378"/>
      <c r="Y966" s="378"/>
      <c r="Z966" s="378"/>
    </row>
    <row r="967" spans="1:26" ht="18">
      <c r="A967" s="378"/>
      <c r="B967" s="378"/>
      <c r="C967" s="378"/>
      <c r="D967" s="384"/>
      <c r="E967" s="378"/>
      <c r="F967" s="378"/>
      <c r="G967" s="378"/>
      <c r="H967" s="378"/>
      <c r="I967" s="378"/>
      <c r="J967" s="378"/>
      <c r="K967" s="378"/>
      <c r="L967" s="378"/>
      <c r="M967" s="378"/>
      <c r="N967" s="378"/>
      <c r="O967" s="378"/>
      <c r="P967" s="378"/>
      <c r="Q967" s="378"/>
      <c r="R967" s="378"/>
      <c r="S967" s="378"/>
      <c r="T967" s="378"/>
      <c r="U967" s="378"/>
      <c r="V967" s="378"/>
      <c r="W967" s="378"/>
      <c r="X967" s="378"/>
      <c r="Y967" s="378"/>
      <c r="Z967" s="378"/>
    </row>
    <row r="968" spans="1:26" ht="18">
      <c r="A968" s="378"/>
      <c r="B968" s="378"/>
      <c r="C968" s="378"/>
      <c r="D968" s="384"/>
      <c r="E968" s="378"/>
      <c r="F968" s="378"/>
      <c r="G968" s="378"/>
      <c r="H968" s="378"/>
      <c r="I968" s="378"/>
      <c r="J968" s="378"/>
      <c r="K968" s="378"/>
      <c r="L968" s="378"/>
      <c r="M968" s="378"/>
      <c r="N968" s="378"/>
      <c r="O968" s="378"/>
      <c r="P968" s="378"/>
      <c r="Q968" s="378"/>
      <c r="R968" s="378"/>
      <c r="S968" s="378"/>
      <c r="T968" s="378"/>
      <c r="U968" s="378"/>
      <c r="V968" s="378"/>
      <c r="W968" s="378"/>
      <c r="X968" s="378"/>
      <c r="Y968" s="378"/>
      <c r="Z968" s="378"/>
    </row>
    <row r="969" spans="1:26" ht="18">
      <c r="A969" s="378"/>
      <c r="B969" s="378"/>
      <c r="C969" s="378"/>
      <c r="D969" s="384"/>
      <c r="E969" s="378"/>
      <c r="F969" s="378"/>
      <c r="G969" s="378"/>
      <c r="H969" s="378"/>
      <c r="I969" s="378"/>
      <c r="J969" s="378"/>
      <c r="K969" s="378"/>
      <c r="L969" s="378"/>
      <c r="M969" s="378"/>
      <c r="N969" s="378"/>
      <c r="O969" s="378"/>
      <c r="P969" s="378"/>
      <c r="Q969" s="378"/>
      <c r="R969" s="378"/>
      <c r="S969" s="378"/>
      <c r="T969" s="378"/>
      <c r="U969" s="378"/>
      <c r="V969" s="378"/>
      <c r="W969" s="378"/>
      <c r="X969" s="378"/>
      <c r="Y969" s="378"/>
      <c r="Z969" s="378"/>
    </row>
    <row r="970" spans="1:26" ht="18">
      <c r="A970" s="378"/>
      <c r="B970" s="378"/>
      <c r="C970" s="378"/>
      <c r="D970" s="384"/>
      <c r="E970" s="378"/>
      <c r="F970" s="378"/>
      <c r="G970" s="378"/>
      <c r="H970" s="378"/>
      <c r="I970" s="378"/>
      <c r="J970" s="378"/>
      <c r="K970" s="378"/>
      <c r="L970" s="378"/>
      <c r="M970" s="378"/>
      <c r="N970" s="378"/>
      <c r="O970" s="378"/>
      <c r="P970" s="378"/>
      <c r="Q970" s="378"/>
      <c r="R970" s="378"/>
      <c r="S970" s="378"/>
      <c r="T970" s="378"/>
      <c r="U970" s="378"/>
      <c r="V970" s="378"/>
      <c r="W970" s="378"/>
      <c r="X970" s="378"/>
      <c r="Y970" s="378"/>
      <c r="Z970" s="378"/>
    </row>
    <row r="971" spans="1:26" ht="18">
      <c r="A971" s="378"/>
      <c r="B971" s="378"/>
      <c r="C971" s="378"/>
      <c r="D971" s="384"/>
      <c r="E971" s="378"/>
      <c r="F971" s="378"/>
      <c r="G971" s="378"/>
      <c r="H971" s="378"/>
      <c r="I971" s="378"/>
      <c r="J971" s="378"/>
      <c r="K971" s="378"/>
      <c r="L971" s="378"/>
      <c r="M971" s="378"/>
      <c r="N971" s="378"/>
      <c r="O971" s="378"/>
      <c r="P971" s="378"/>
      <c r="Q971" s="378"/>
      <c r="R971" s="378"/>
      <c r="S971" s="378"/>
      <c r="T971" s="378"/>
      <c r="U971" s="378"/>
      <c r="V971" s="378"/>
      <c r="W971" s="378"/>
      <c r="X971" s="378"/>
      <c r="Y971" s="378"/>
      <c r="Z971" s="378"/>
    </row>
    <row r="972" spans="1:26" ht="18">
      <c r="A972" s="378"/>
      <c r="B972" s="378"/>
      <c r="C972" s="378"/>
      <c r="D972" s="384"/>
      <c r="E972" s="378"/>
      <c r="F972" s="378"/>
      <c r="G972" s="378"/>
      <c r="H972" s="378"/>
      <c r="I972" s="378"/>
      <c r="J972" s="378"/>
      <c r="K972" s="378"/>
      <c r="L972" s="378"/>
      <c r="M972" s="378"/>
      <c r="N972" s="378"/>
      <c r="O972" s="378"/>
      <c r="P972" s="378"/>
      <c r="Q972" s="378"/>
      <c r="R972" s="378"/>
      <c r="S972" s="378"/>
      <c r="T972" s="378"/>
      <c r="U972" s="378"/>
      <c r="V972" s="378"/>
      <c r="W972" s="378"/>
      <c r="X972" s="378"/>
      <c r="Y972" s="378"/>
      <c r="Z972" s="378"/>
    </row>
    <row r="973" spans="1:26" ht="18">
      <c r="A973" s="378"/>
      <c r="B973" s="378"/>
      <c r="C973" s="378"/>
      <c r="D973" s="384"/>
      <c r="E973" s="378"/>
      <c r="F973" s="378"/>
      <c r="G973" s="378"/>
      <c r="H973" s="378"/>
      <c r="I973" s="378"/>
      <c r="J973" s="378"/>
      <c r="K973" s="378"/>
      <c r="L973" s="378"/>
      <c r="M973" s="378"/>
      <c r="N973" s="378"/>
      <c r="O973" s="378"/>
      <c r="P973" s="378"/>
      <c r="Q973" s="378"/>
      <c r="R973" s="378"/>
      <c r="S973" s="378"/>
      <c r="T973" s="378"/>
      <c r="U973" s="378"/>
      <c r="V973" s="378"/>
      <c r="W973" s="378"/>
      <c r="X973" s="378"/>
      <c r="Y973" s="378"/>
      <c r="Z973" s="378"/>
    </row>
    <row r="974" spans="1:26" ht="18">
      <c r="A974" s="378"/>
      <c r="B974" s="378"/>
      <c r="C974" s="378"/>
      <c r="D974" s="384"/>
      <c r="E974" s="378"/>
      <c r="F974" s="378"/>
      <c r="G974" s="378"/>
      <c r="H974" s="378"/>
      <c r="I974" s="378"/>
      <c r="J974" s="378"/>
      <c r="K974" s="378"/>
      <c r="L974" s="378"/>
      <c r="M974" s="378"/>
      <c r="N974" s="378"/>
      <c r="O974" s="378"/>
      <c r="P974" s="378"/>
      <c r="Q974" s="378"/>
      <c r="R974" s="378"/>
      <c r="S974" s="378"/>
      <c r="T974" s="378"/>
      <c r="U974" s="378"/>
      <c r="V974" s="378"/>
      <c r="W974" s="378"/>
      <c r="X974" s="378"/>
      <c r="Y974" s="378"/>
      <c r="Z974" s="378"/>
    </row>
    <row r="975" spans="1:26" ht="18">
      <c r="A975" s="378"/>
      <c r="B975" s="378"/>
      <c r="C975" s="378"/>
      <c r="D975" s="384"/>
      <c r="E975" s="378"/>
      <c r="F975" s="378"/>
      <c r="G975" s="378"/>
      <c r="H975" s="378"/>
      <c r="I975" s="378"/>
      <c r="J975" s="378"/>
      <c r="K975" s="378"/>
      <c r="L975" s="378"/>
      <c r="M975" s="378"/>
      <c r="N975" s="378"/>
      <c r="O975" s="378"/>
      <c r="P975" s="378"/>
      <c r="Q975" s="378"/>
      <c r="R975" s="378"/>
      <c r="S975" s="378"/>
      <c r="T975" s="378"/>
      <c r="U975" s="378"/>
      <c r="V975" s="378"/>
      <c r="W975" s="378"/>
      <c r="X975" s="378"/>
      <c r="Y975" s="378"/>
      <c r="Z975" s="378"/>
    </row>
    <row r="976" spans="1:26" ht="18">
      <c r="A976" s="378"/>
      <c r="B976" s="378"/>
      <c r="C976" s="378"/>
      <c r="D976" s="384"/>
      <c r="E976" s="378"/>
      <c r="F976" s="378"/>
      <c r="G976" s="378"/>
      <c r="H976" s="378"/>
      <c r="I976" s="378"/>
      <c r="J976" s="378"/>
      <c r="K976" s="378"/>
      <c r="L976" s="378"/>
      <c r="M976" s="378"/>
      <c r="N976" s="378"/>
      <c r="O976" s="378"/>
      <c r="P976" s="378"/>
      <c r="Q976" s="378"/>
      <c r="R976" s="378"/>
      <c r="S976" s="378"/>
      <c r="T976" s="378"/>
      <c r="U976" s="378"/>
      <c r="V976" s="378"/>
      <c r="W976" s="378"/>
      <c r="X976" s="378"/>
      <c r="Y976" s="378"/>
      <c r="Z976" s="378"/>
    </row>
    <row r="977" spans="1:26" ht="18">
      <c r="A977" s="378"/>
      <c r="B977" s="378"/>
      <c r="C977" s="378"/>
      <c r="D977" s="384"/>
      <c r="E977" s="378"/>
      <c r="F977" s="378"/>
      <c r="G977" s="378"/>
      <c r="H977" s="378"/>
      <c r="I977" s="378"/>
      <c r="J977" s="378"/>
      <c r="K977" s="378"/>
      <c r="L977" s="378"/>
      <c r="M977" s="378"/>
      <c r="N977" s="378"/>
      <c r="O977" s="378"/>
      <c r="P977" s="378"/>
      <c r="Q977" s="378"/>
      <c r="R977" s="378"/>
      <c r="S977" s="378"/>
      <c r="T977" s="378"/>
      <c r="U977" s="378"/>
      <c r="V977" s="378"/>
      <c r="W977" s="378"/>
      <c r="X977" s="378"/>
      <c r="Y977" s="378"/>
      <c r="Z977" s="378"/>
    </row>
    <row r="978" spans="1:26" ht="18">
      <c r="A978" s="378"/>
      <c r="B978" s="378"/>
      <c r="C978" s="378"/>
      <c r="D978" s="384"/>
      <c r="E978" s="378"/>
      <c r="F978" s="378"/>
      <c r="G978" s="378"/>
      <c r="H978" s="378"/>
      <c r="I978" s="378"/>
      <c r="J978" s="378"/>
      <c r="K978" s="378"/>
      <c r="L978" s="378"/>
      <c r="M978" s="378"/>
      <c r="N978" s="378"/>
      <c r="O978" s="378"/>
      <c r="P978" s="378"/>
      <c r="Q978" s="378"/>
      <c r="R978" s="378"/>
      <c r="S978" s="378"/>
      <c r="T978" s="378"/>
      <c r="U978" s="378"/>
      <c r="V978" s="378"/>
      <c r="W978" s="378"/>
      <c r="X978" s="378"/>
      <c r="Y978" s="378"/>
      <c r="Z978" s="378"/>
    </row>
    <row r="979" spans="1:26" ht="18">
      <c r="A979" s="378"/>
      <c r="B979" s="378"/>
      <c r="C979" s="378"/>
      <c r="D979" s="384"/>
      <c r="E979" s="378"/>
      <c r="F979" s="378"/>
      <c r="G979" s="378"/>
      <c r="H979" s="378"/>
      <c r="I979" s="378"/>
      <c r="J979" s="378"/>
      <c r="K979" s="378"/>
      <c r="L979" s="378"/>
      <c r="M979" s="378"/>
      <c r="N979" s="378"/>
      <c r="O979" s="378"/>
      <c r="P979" s="378"/>
      <c r="Q979" s="378"/>
      <c r="R979" s="378"/>
      <c r="S979" s="378"/>
      <c r="T979" s="378"/>
      <c r="U979" s="378"/>
      <c r="V979" s="378"/>
      <c r="W979" s="378"/>
      <c r="X979" s="378"/>
      <c r="Y979" s="378"/>
      <c r="Z979" s="378"/>
    </row>
    <row r="980" spans="1:26" ht="18">
      <c r="A980" s="378"/>
      <c r="B980" s="378"/>
      <c r="C980" s="378"/>
      <c r="D980" s="384"/>
      <c r="E980" s="378"/>
      <c r="F980" s="378"/>
      <c r="G980" s="378"/>
      <c r="H980" s="378"/>
      <c r="I980" s="378"/>
      <c r="J980" s="378"/>
      <c r="K980" s="378"/>
      <c r="L980" s="378"/>
      <c r="M980" s="378"/>
      <c r="N980" s="378"/>
      <c r="O980" s="378"/>
      <c r="P980" s="378"/>
      <c r="Q980" s="378"/>
      <c r="R980" s="378"/>
      <c r="S980" s="378"/>
      <c r="T980" s="378"/>
      <c r="U980" s="378"/>
      <c r="V980" s="378"/>
      <c r="W980" s="378"/>
      <c r="X980" s="378"/>
      <c r="Y980" s="378"/>
      <c r="Z980" s="378"/>
    </row>
    <row r="981" spans="1:26" ht="18">
      <c r="A981" s="378"/>
      <c r="B981" s="378"/>
      <c r="C981" s="378"/>
      <c r="D981" s="384"/>
      <c r="E981" s="378"/>
      <c r="F981" s="378"/>
      <c r="G981" s="378"/>
      <c r="H981" s="378"/>
      <c r="I981" s="378"/>
      <c r="J981" s="378"/>
      <c r="K981" s="378"/>
      <c r="L981" s="378"/>
      <c r="M981" s="378"/>
      <c r="N981" s="378"/>
      <c r="O981" s="378"/>
      <c r="P981" s="378"/>
      <c r="Q981" s="378"/>
      <c r="R981" s="378"/>
      <c r="S981" s="378"/>
      <c r="T981" s="378"/>
      <c r="U981" s="378"/>
      <c r="V981" s="378"/>
      <c r="W981" s="378"/>
      <c r="X981" s="378"/>
      <c r="Y981" s="378"/>
      <c r="Z981" s="378"/>
    </row>
    <row r="982" spans="1:26" ht="18">
      <c r="A982" s="378"/>
      <c r="B982" s="378"/>
      <c r="C982" s="378"/>
      <c r="D982" s="384"/>
      <c r="E982" s="378"/>
      <c r="F982" s="378"/>
      <c r="G982" s="378"/>
      <c r="H982" s="378"/>
      <c r="I982" s="378"/>
      <c r="J982" s="378"/>
      <c r="K982" s="378"/>
      <c r="L982" s="378"/>
      <c r="M982" s="378"/>
      <c r="N982" s="378"/>
      <c r="O982" s="378"/>
      <c r="P982" s="378"/>
      <c r="Q982" s="378"/>
      <c r="R982" s="378"/>
      <c r="S982" s="378"/>
      <c r="T982" s="378"/>
      <c r="U982" s="378"/>
      <c r="V982" s="378"/>
      <c r="W982" s="378"/>
      <c r="X982" s="378"/>
      <c r="Y982" s="378"/>
      <c r="Z982" s="378"/>
    </row>
    <row r="983" spans="1:26" ht="18">
      <c r="A983" s="378"/>
      <c r="B983" s="378"/>
      <c r="C983" s="378"/>
      <c r="D983" s="384"/>
      <c r="E983" s="378"/>
      <c r="F983" s="378"/>
      <c r="G983" s="378"/>
      <c r="H983" s="378"/>
      <c r="I983" s="378"/>
      <c r="J983" s="378"/>
      <c r="K983" s="378"/>
      <c r="L983" s="378"/>
      <c r="M983" s="378"/>
      <c r="N983" s="378"/>
      <c r="O983" s="378"/>
      <c r="P983" s="378"/>
      <c r="Q983" s="378"/>
      <c r="R983" s="378"/>
      <c r="S983" s="378"/>
      <c r="T983" s="378"/>
      <c r="U983" s="378"/>
      <c r="V983" s="378"/>
      <c r="W983" s="378"/>
      <c r="X983" s="378"/>
      <c r="Y983" s="378"/>
      <c r="Z983" s="378"/>
    </row>
    <row r="984" spans="1:26" ht="18">
      <c r="A984" s="378"/>
      <c r="B984" s="378"/>
      <c r="C984" s="378"/>
      <c r="D984" s="384"/>
      <c r="E984" s="378"/>
      <c r="F984" s="378"/>
      <c r="G984" s="378"/>
      <c r="H984" s="378"/>
      <c r="I984" s="378"/>
      <c r="J984" s="378"/>
      <c r="K984" s="378"/>
      <c r="L984" s="378"/>
      <c r="M984" s="378"/>
      <c r="N984" s="378"/>
      <c r="O984" s="378"/>
      <c r="P984" s="378"/>
      <c r="Q984" s="378"/>
      <c r="R984" s="378"/>
      <c r="S984" s="378"/>
      <c r="T984" s="378"/>
      <c r="U984" s="378"/>
      <c r="V984" s="378"/>
      <c r="W984" s="378"/>
      <c r="X984" s="378"/>
      <c r="Y984" s="378"/>
      <c r="Z984" s="378"/>
    </row>
    <row r="985" spans="1:26" ht="18">
      <c r="A985" s="378"/>
      <c r="B985" s="378"/>
      <c r="C985" s="378"/>
      <c r="D985" s="384"/>
      <c r="E985" s="378"/>
      <c r="F985" s="378"/>
      <c r="G985" s="378"/>
      <c r="H985" s="378"/>
      <c r="I985" s="378"/>
      <c r="J985" s="378"/>
      <c r="K985" s="378"/>
      <c r="L985" s="378"/>
      <c r="M985" s="378"/>
      <c r="N985" s="378"/>
      <c r="O985" s="378"/>
      <c r="P985" s="378"/>
      <c r="Q985" s="378"/>
      <c r="R985" s="378"/>
      <c r="S985" s="378"/>
      <c r="T985" s="378"/>
      <c r="U985" s="378"/>
      <c r="V985" s="378"/>
      <c r="W985" s="378"/>
      <c r="X985" s="378"/>
      <c r="Y985" s="378"/>
      <c r="Z985" s="378"/>
    </row>
    <row r="986" spans="1:26" ht="18">
      <c r="A986" s="378"/>
      <c r="B986" s="378"/>
      <c r="C986" s="378"/>
      <c r="D986" s="384"/>
      <c r="E986" s="378"/>
      <c r="F986" s="378"/>
      <c r="G986" s="378"/>
      <c r="H986" s="378"/>
      <c r="I986" s="378"/>
      <c r="J986" s="378"/>
      <c r="K986" s="378"/>
      <c r="L986" s="378"/>
      <c r="M986" s="378"/>
      <c r="N986" s="378"/>
      <c r="O986" s="378"/>
      <c r="P986" s="378"/>
      <c r="Q986" s="378"/>
      <c r="R986" s="378"/>
      <c r="S986" s="378"/>
      <c r="T986" s="378"/>
      <c r="U986" s="378"/>
      <c r="V986" s="378"/>
      <c r="W986" s="378"/>
      <c r="X986" s="378"/>
      <c r="Y986" s="378"/>
      <c r="Z986" s="378"/>
    </row>
    <row r="987" spans="1:26" ht="18">
      <c r="A987" s="378"/>
      <c r="B987" s="378"/>
      <c r="C987" s="378"/>
      <c r="D987" s="384"/>
      <c r="E987" s="378"/>
      <c r="F987" s="378"/>
      <c r="G987" s="378"/>
      <c r="H987" s="378"/>
      <c r="I987" s="378"/>
      <c r="J987" s="378"/>
      <c r="K987" s="378"/>
      <c r="L987" s="378"/>
      <c r="M987" s="378"/>
      <c r="N987" s="378"/>
      <c r="O987" s="378"/>
      <c r="P987" s="378"/>
      <c r="Q987" s="378"/>
      <c r="R987" s="378"/>
      <c r="S987" s="378"/>
      <c r="T987" s="378"/>
      <c r="U987" s="378"/>
      <c r="V987" s="378"/>
      <c r="W987" s="378"/>
      <c r="X987" s="378"/>
      <c r="Y987" s="378"/>
      <c r="Z987" s="378"/>
    </row>
    <row r="988" spans="1:26" ht="18">
      <c r="A988" s="378"/>
      <c r="B988" s="378"/>
      <c r="C988" s="378"/>
      <c r="D988" s="384"/>
      <c r="E988" s="378"/>
      <c r="F988" s="378"/>
      <c r="G988" s="378"/>
      <c r="H988" s="378"/>
      <c r="I988" s="378"/>
      <c r="J988" s="378"/>
      <c r="K988" s="378"/>
      <c r="L988" s="378"/>
      <c r="M988" s="378"/>
      <c r="N988" s="378"/>
      <c r="O988" s="378"/>
      <c r="P988" s="378"/>
      <c r="Q988" s="378"/>
      <c r="R988" s="378"/>
      <c r="S988" s="378"/>
      <c r="T988" s="378"/>
      <c r="U988" s="378"/>
      <c r="V988" s="378"/>
      <c r="W988" s="378"/>
      <c r="X988" s="378"/>
      <c r="Y988" s="378"/>
      <c r="Z988" s="378"/>
    </row>
    <row r="989" spans="1:26" ht="18">
      <c r="A989" s="378"/>
      <c r="B989" s="378"/>
      <c r="C989" s="378"/>
      <c r="D989" s="384"/>
      <c r="E989" s="378"/>
      <c r="F989" s="378"/>
      <c r="G989" s="378"/>
      <c r="H989" s="378"/>
      <c r="I989" s="378"/>
      <c r="J989" s="378"/>
      <c r="K989" s="378"/>
      <c r="L989" s="378"/>
      <c r="M989" s="378"/>
      <c r="N989" s="378"/>
      <c r="O989" s="378"/>
      <c r="P989" s="378"/>
      <c r="Q989" s="378"/>
      <c r="R989" s="378"/>
      <c r="S989" s="378"/>
      <c r="T989" s="378"/>
      <c r="U989" s="378"/>
      <c r="V989" s="378"/>
      <c r="W989" s="378"/>
      <c r="X989" s="378"/>
      <c r="Y989" s="378"/>
      <c r="Z989" s="378"/>
    </row>
    <row r="990" spans="1:26" ht="18">
      <c r="A990" s="378"/>
      <c r="B990" s="378"/>
      <c r="C990" s="378"/>
      <c r="D990" s="384"/>
      <c r="E990" s="378"/>
      <c r="F990" s="378"/>
      <c r="G990" s="378"/>
      <c r="H990" s="378"/>
      <c r="I990" s="378"/>
      <c r="J990" s="378"/>
      <c r="K990" s="378"/>
      <c r="L990" s="378"/>
      <c r="M990" s="378"/>
      <c r="N990" s="378"/>
      <c r="O990" s="378"/>
      <c r="P990" s="378"/>
      <c r="Q990" s="378"/>
      <c r="R990" s="378"/>
      <c r="S990" s="378"/>
      <c r="T990" s="378"/>
      <c r="U990" s="378"/>
      <c r="V990" s="378"/>
      <c r="W990" s="378"/>
      <c r="X990" s="378"/>
      <c r="Y990" s="378"/>
      <c r="Z990" s="378"/>
    </row>
    <row r="991" spans="1:26" ht="18">
      <c r="A991" s="378"/>
      <c r="B991" s="378"/>
      <c r="C991" s="378"/>
      <c r="D991" s="384"/>
      <c r="E991" s="378"/>
      <c r="F991" s="378"/>
      <c r="G991" s="378"/>
      <c r="H991" s="378"/>
      <c r="I991" s="378"/>
      <c r="J991" s="378"/>
      <c r="K991" s="378"/>
      <c r="L991" s="378"/>
      <c r="M991" s="378"/>
      <c r="N991" s="378"/>
      <c r="O991" s="378"/>
      <c r="P991" s="378"/>
      <c r="Q991" s="378"/>
      <c r="R991" s="378"/>
      <c r="S991" s="378"/>
      <c r="T991" s="378"/>
      <c r="U991" s="378"/>
      <c r="V991" s="378"/>
      <c r="W991" s="378"/>
      <c r="X991" s="378"/>
      <c r="Y991" s="378"/>
      <c r="Z991" s="378"/>
    </row>
    <row r="992" spans="1:26" ht="18">
      <c r="A992" s="378"/>
      <c r="B992" s="378"/>
      <c r="C992" s="378"/>
      <c r="D992" s="384"/>
      <c r="E992" s="378"/>
      <c r="F992" s="378"/>
      <c r="G992" s="378"/>
      <c r="H992" s="378"/>
      <c r="I992" s="378"/>
      <c r="J992" s="378"/>
      <c r="K992" s="378"/>
      <c r="L992" s="378"/>
      <c r="M992" s="378"/>
      <c r="N992" s="378"/>
      <c r="O992" s="378"/>
      <c r="P992" s="378"/>
      <c r="Q992" s="378"/>
      <c r="R992" s="378"/>
      <c r="S992" s="378"/>
      <c r="T992" s="378"/>
      <c r="U992" s="378"/>
      <c r="V992" s="378"/>
      <c r="W992" s="378"/>
      <c r="X992" s="378"/>
      <c r="Y992" s="378"/>
      <c r="Z992" s="378"/>
    </row>
    <row r="993" spans="1:26" ht="18">
      <c r="A993" s="378"/>
      <c r="B993" s="378"/>
      <c r="C993" s="378"/>
      <c r="D993" s="384"/>
      <c r="E993" s="378"/>
      <c r="F993" s="378"/>
      <c r="G993" s="378"/>
      <c r="H993" s="378"/>
      <c r="I993" s="378"/>
      <c r="J993" s="378"/>
      <c r="K993" s="378"/>
      <c r="L993" s="378"/>
      <c r="M993" s="378"/>
      <c r="N993" s="378"/>
      <c r="O993" s="378"/>
      <c r="P993" s="378"/>
      <c r="Q993" s="378"/>
      <c r="R993" s="378"/>
      <c r="S993" s="378"/>
      <c r="T993" s="378"/>
      <c r="U993" s="378"/>
      <c r="V993" s="378"/>
      <c r="W993" s="378"/>
      <c r="X993" s="378"/>
      <c r="Y993" s="378"/>
      <c r="Z993" s="378"/>
    </row>
    <row r="994" spans="1:26" ht="18">
      <c r="A994" s="378"/>
      <c r="B994" s="378"/>
      <c r="C994" s="378"/>
      <c r="D994" s="384"/>
      <c r="E994" s="378"/>
      <c r="F994" s="378"/>
      <c r="G994" s="378"/>
      <c r="H994" s="378"/>
      <c r="I994" s="378"/>
      <c r="J994" s="378"/>
      <c r="K994" s="378"/>
      <c r="L994" s="378"/>
      <c r="M994" s="378"/>
      <c r="N994" s="378"/>
      <c r="O994" s="378"/>
      <c r="P994" s="378"/>
      <c r="Q994" s="378"/>
      <c r="R994" s="378"/>
      <c r="S994" s="378"/>
      <c r="T994" s="378"/>
      <c r="U994" s="378"/>
      <c r="V994" s="378"/>
      <c r="W994" s="378"/>
      <c r="X994" s="378"/>
      <c r="Y994" s="378"/>
      <c r="Z994" s="378"/>
    </row>
    <row r="995" spans="1:26" ht="18">
      <c r="A995" s="378"/>
      <c r="B995" s="378"/>
      <c r="C995" s="378"/>
      <c r="D995" s="384"/>
      <c r="E995" s="378"/>
      <c r="F995" s="378"/>
      <c r="G995" s="378"/>
      <c r="H995" s="378"/>
      <c r="I995" s="378"/>
      <c r="J995" s="378"/>
      <c r="K995" s="378"/>
      <c r="L995" s="378"/>
      <c r="M995" s="378"/>
      <c r="N995" s="378"/>
      <c r="O995" s="378"/>
      <c r="P995" s="378"/>
      <c r="Q995" s="378"/>
      <c r="R995" s="378"/>
      <c r="S995" s="378"/>
      <c r="T995" s="378"/>
      <c r="U995" s="378"/>
      <c r="V995" s="378"/>
      <c r="W995" s="378"/>
      <c r="X995" s="378"/>
      <c r="Y995" s="378"/>
      <c r="Z995" s="378"/>
    </row>
    <row r="996" spans="1:26" ht="18">
      <c r="A996" s="378"/>
      <c r="B996" s="378"/>
      <c r="C996" s="378"/>
      <c r="D996" s="384"/>
      <c r="E996" s="378"/>
      <c r="F996" s="378"/>
      <c r="G996" s="378"/>
      <c r="H996" s="378"/>
      <c r="I996" s="378"/>
      <c r="J996" s="378"/>
      <c r="K996" s="378"/>
      <c r="L996" s="378"/>
      <c r="M996" s="378"/>
      <c r="N996" s="378"/>
      <c r="O996" s="378"/>
      <c r="P996" s="378"/>
      <c r="Q996" s="378"/>
      <c r="R996" s="378"/>
      <c r="S996" s="378"/>
      <c r="T996" s="378"/>
      <c r="U996" s="378"/>
      <c r="V996" s="378"/>
      <c r="W996" s="378"/>
      <c r="X996" s="378"/>
      <c r="Y996" s="378"/>
      <c r="Z996" s="378"/>
    </row>
    <row r="997" spans="1:26" ht="18">
      <c r="A997" s="378"/>
      <c r="B997" s="378"/>
      <c r="C997" s="378"/>
      <c r="D997" s="384"/>
      <c r="E997" s="378"/>
      <c r="F997" s="378"/>
      <c r="G997" s="378"/>
      <c r="H997" s="378"/>
      <c r="I997" s="378"/>
      <c r="J997" s="378"/>
      <c r="K997" s="378"/>
      <c r="L997" s="378"/>
      <c r="M997" s="378"/>
      <c r="N997" s="378"/>
      <c r="O997" s="378"/>
      <c r="P997" s="378"/>
      <c r="Q997" s="378"/>
      <c r="R997" s="378"/>
      <c r="S997" s="378"/>
      <c r="T997" s="378"/>
      <c r="U997" s="378"/>
      <c r="V997" s="378"/>
      <c r="W997" s="378"/>
      <c r="X997" s="378"/>
      <c r="Y997" s="378"/>
      <c r="Z997" s="378"/>
    </row>
    <row r="998" spans="1:26" ht="18">
      <c r="A998" s="378"/>
      <c r="B998" s="378"/>
      <c r="C998" s="378"/>
      <c r="D998" s="384"/>
      <c r="E998" s="378"/>
      <c r="F998" s="378"/>
      <c r="G998" s="378"/>
      <c r="H998" s="378"/>
      <c r="I998" s="378"/>
      <c r="J998" s="378"/>
      <c r="K998" s="378"/>
      <c r="L998" s="378"/>
      <c r="M998" s="378"/>
      <c r="N998" s="378"/>
      <c r="O998" s="378"/>
      <c r="P998" s="378"/>
      <c r="Q998" s="378"/>
      <c r="R998" s="378"/>
      <c r="S998" s="378"/>
      <c r="T998" s="378"/>
      <c r="U998" s="378"/>
      <c r="V998" s="378"/>
      <c r="W998" s="378"/>
      <c r="X998" s="378"/>
      <c r="Y998" s="378"/>
      <c r="Z998" s="378"/>
    </row>
    <row r="999" spans="1:26" ht="18">
      <c r="A999" s="378"/>
      <c r="B999" s="378"/>
      <c r="C999" s="378"/>
      <c r="D999" s="384"/>
      <c r="E999" s="378"/>
      <c r="F999" s="378"/>
      <c r="G999" s="378"/>
      <c r="H999" s="378"/>
      <c r="I999" s="378"/>
      <c r="J999" s="378"/>
      <c r="K999" s="378"/>
      <c r="L999" s="378"/>
      <c r="M999" s="378"/>
      <c r="N999" s="378"/>
      <c r="O999" s="378"/>
      <c r="P999" s="378"/>
      <c r="Q999" s="378"/>
      <c r="R999" s="378"/>
      <c r="S999" s="378"/>
      <c r="T999" s="378"/>
      <c r="U999" s="378"/>
      <c r="V999" s="378"/>
      <c r="W999" s="378"/>
      <c r="X999" s="378"/>
      <c r="Y999" s="378"/>
      <c r="Z999" s="378"/>
    </row>
    <row r="1000" spans="1:26" ht="18">
      <c r="A1000" s="378"/>
      <c r="B1000" s="378"/>
      <c r="C1000" s="378"/>
      <c r="D1000" s="384"/>
      <c r="E1000" s="378"/>
      <c r="F1000" s="378"/>
      <c r="G1000" s="378"/>
      <c r="H1000" s="378"/>
      <c r="I1000" s="378"/>
      <c r="J1000" s="378"/>
      <c r="K1000" s="378"/>
      <c r="L1000" s="378"/>
      <c r="M1000" s="378"/>
      <c r="N1000" s="378"/>
      <c r="O1000" s="378"/>
      <c r="P1000" s="378"/>
      <c r="Q1000" s="378"/>
      <c r="R1000" s="378"/>
      <c r="S1000" s="378"/>
      <c r="T1000" s="378"/>
      <c r="U1000" s="378"/>
      <c r="V1000" s="378"/>
      <c r="W1000" s="378"/>
      <c r="X1000" s="378"/>
      <c r="Y1000" s="378"/>
      <c r="Z1000" s="378"/>
    </row>
    <row r="1001" spans="1:26" ht="18">
      <c r="A1001" s="378"/>
      <c r="B1001" s="378"/>
      <c r="C1001" s="378"/>
      <c r="D1001" s="384"/>
      <c r="E1001" s="378"/>
      <c r="F1001" s="378"/>
      <c r="G1001" s="378"/>
      <c r="H1001" s="378"/>
      <c r="I1001" s="378"/>
      <c r="J1001" s="378"/>
      <c r="K1001" s="378"/>
      <c r="L1001" s="378"/>
      <c r="M1001" s="378"/>
      <c r="N1001" s="378"/>
      <c r="O1001" s="378"/>
      <c r="P1001" s="378"/>
      <c r="Q1001" s="378"/>
      <c r="R1001" s="378"/>
      <c r="S1001" s="378"/>
      <c r="T1001" s="378"/>
      <c r="U1001" s="378"/>
      <c r="V1001" s="378"/>
      <c r="W1001" s="378"/>
      <c r="X1001" s="378"/>
      <c r="Y1001" s="378"/>
      <c r="Z1001" s="378"/>
    </row>
  </sheetData>
  <mergeCells count="1">
    <mergeCell ref="C1:I1"/>
  </mergeCells>
  <hyperlinks>
    <hyperlink ref="B1" location="Index!A1" display="Index!A1"/>
  </hyperlinks>
  <pageMargins left="0.7" right="0.7" top="0.75" bottom="0.75" header="0.3" footer="0.3"/>
  <pageSetup orientation="portrait" r:id="rId1"/>
  <ignoredErrors>
    <ignoredError sqref="D6" formulaRange="1"/>
  </ignoredError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6D7A8"/>
  </sheetPr>
  <dimension ref="A1:Z1001"/>
  <sheetViews>
    <sheetView zoomScale="96" zoomScaleNormal="130" workbookViewId="0">
      <selection activeCell="A3" sqref="A3"/>
    </sheetView>
  </sheetViews>
  <sheetFormatPr defaultColWidth="14.33203125" defaultRowHeight="14.25"/>
  <cols>
    <col min="1" max="1" width="17.33203125" bestFit="1" customWidth="1"/>
    <col min="2" max="2" width="16" bestFit="1" customWidth="1"/>
    <col min="3" max="4" width="10.6640625" customWidth="1"/>
    <col min="5" max="5" width="9.1328125" bestFit="1" customWidth="1"/>
    <col min="6" max="11" width="10.6640625" customWidth="1"/>
    <col min="12" max="12" width="20.6640625" bestFit="1" customWidth="1"/>
    <col min="13" max="26" width="10.6640625" customWidth="1"/>
  </cols>
  <sheetData>
    <row r="1" spans="1:26" s="739" customFormat="1" ht="14.65" thickBot="1">
      <c r="A1" s="765" t="s">
        <v>0</v>
      </c>
    </row>
    <row r="2" spans="1:26" ht="18">
      <c r="A2" s="1109" t="s">
        <v>470</v>
      </c>
      <c r="B2" s="1110" t="s">
        <v>485</v>
      </c>
      <c r="C2" s="2"/>
      <c r="D2" s="2"/>
      <c r="E2" s="2"/>
      <c r="F2" s="2"/>
      <c r="G2" s="2"/>
      <c r="H2" s="2"/>
      <c r="I2" s="2"/>
      <c r="J2" s="2"/>
      <c r="K2" s="2"/>
      <c r="L2" s="2"/>
      <c r="M2" s="2"/>
      <c r="N2" s="2"/>
      <c r="O2" s="2"/>
      <c r="P2" s="2"/>
      <c r="Q2" s="2"/>
      <c r="R2" s="2"/>
      <c r="S2" s="2"/>
      <c r="T2" s="2"/>
      <c r="U2" s="2"/>
      <c r="V2" s="2"/>
      <c r="W2" s="2"/>
      <c r="X2" s="2"/>
      <c r="Y2" s="2"/>
      <c r="Z2" s="2"/>
    </row>
    <row r="3" spans="1:26" ht="18">
      <c r="A3" s="1111">
        <v>0.1</v>
      </c>
      <c r="B3" s="1112">
        <f t="array" ref="B3">NPV(A3,'FE Cash Flow'!$E$15,'FE Cash Flow'!$F$15,'FE Cash Flow'!$G$15,'FE Cash Flow'!$H$15,'FE Cash Flow'!$I$15)+'FE Cash Flow'!$D$15</f>
        <v>2596739.1788979457</v>
      </c>
      <c r="C3" s="2"/>
      <c r="D3" s="2"/>
      <c r="E3" s="2"/>
      <c r="F3" s="2"/>
      <c r="G3" s="2"/>
      <c r="H3" s="2"/>
      <c r="I3" s="2"/>
      <c r="J3" s="2"/>
      <c r="K3" s="2"/>
      <c r="L3" s="2"/>
      <c r="M3" s="2"/>
      <c r="N3" s="2"/>
      <c r="O3" s="2"/>
      <c r="P3" s="2"/>
      <c r="Q3" s="2"/>
      <c r="R3" s="2"/>
      <c r="S3" s="2"/>
      <c r="T3" s="2"/>
      <c r="U3" s="2"/>
      <c r="V3" s="2"/>
      <c r="W3" s="2"/>
      <c r="X3" s="2"/>
      <c r="Y3" s="2"/>
      <c r="Z3" s="2"/>
    </row>
    <row r="4" spans="1:26" ht="18">
      <c r="A4" s="1111">
        <v>0.11</v>
      </c>
      <c r="B4" s="1112">
        <f t="array" ref="B4">NPV(A4,'FE Cash Flow'!$E$15,'FE Cash Flow'!$F$15,'FE Cash Flow'!$G$15,'FE Cash Flow'!$H$15,'FE Cash Flow'!$I$15)+'FE Cash Flow'!$D$15</f>
        <v>2442457.5883394699</v>
      </c>
      <c r="C4" s="2"/>
      <c r="D4" s="2"/>
      <c r="E4" s="2"/>
      <c r="F4" s="2"/>
      <c r="G4" s="2"/>
      <c r="H4" s="2"/>
      <c r="I4" s="2"/>
      <c r="J4" s="2"/>
      <c r="K4" s="2"/>
      <c r="L4" s="2"/>
      <c r="M4" s="2"/>
      <c r="N4" s="2"/>
      <c r="O4" s="2"/>
      <c r="P4" s="2"/>
      <c r="Q4" s="2"/>
      <c r="R4" s="2"/>
      <c r="S4" s="2"/>
      <c r="T4" s="2"/>
      <c r="U4" s="2"/>
      <c r="V4" s="2"/>
      <c r="W4" s="2"/>
      <c r="X4" s="2"/>
      <c r="Y4" s="2"/>
      <c r="Z4" s="2"/>
    </row>
    <row r="5" spans="1:26" ht="18">
      <c r="A5" s="1111">
        <v>0.12</v>
      </c>
      <c r="B5" s="1112">
        <f t="array" ref="B5">NPV(A5,'FE Cash Flow'!$E$15,'FE Cash Flow'!$F$15,'FE Cash Flow'!$G$15,'FE Cash Flow'!$H$15,'FE Cash Flow'!$I$15)+'FE Cash Flow'!$D$15</f>
        <v>2296160.6625034977</v>
      </c>
      <c r="C5" s="2"/>
      <c r="D5" s="2"/>
      <c r="E5" s="2"/>
      <c r="F5" s="2"/>
      <c r="G5" s="2"/>
      <c r="H5" s="2"/>
      <c r="I5" s="2"/>
      <c r="J5" s="2"/>
      <c r="K5" s="2"/>
      <c r="L5" s="2"/>
      <c r="M5" s="2"/>
      <c r="N5" s="2"/>
      <c r="O5" s="2"/>
      <c r="P5" s="2"/>
      <c r="Q5" s="2"/>
      <c r="R5" s="2"/>
      <c r="S5" s="2"/>
      <c r="T5" s="2"/>
      <c r="U5" s="2"/>
      <c r="V5" s="2"/>
      <c r="W5" s="2"/>
      <c r="X5" s="2"/>
      <c r="Y5" s="2"/>
      <c r="Z5" s="2"/>
    </row>
    <row r="6" spans="1:26" ht="18">
      <c r="A6" s="1111">
        <v>0.13</v>
      </c>
      <c r="B6" s="1112">
        <f t="array" ref="B6">NPV(A6,'FE Cash Flow'!$E$15,'FE Cash Flow'!$F$15,'FE Cash Flow'!$G$15,'FE Cash Flow'!$H$15,'FE Cash Flow'!$I$15)+'FE Cash Flow'!$D$15</f>
        <v>2157369.221969753</v>
      </c>
      <c r="C6" s="2"/>
      <c r="D6" s="2"/>
      <c r="E6" s="2"/>
      <c r="F6" s="2"/>
      <c r="G6" s="2"/>
      <c r="H6" s="2"/>
      <c r="I6" s="2"/>
      <c r="J6" s="2"/>
      <c r="K6" s="2"/>
      <c r="L6" s="2"/>
      <c r="M6" s="2"/>
      <c r="N6" s="2"/>
      <c r="O6" s="2"/>
      <c r="P6" s="2"/>
      <c r="Q6" s="2"/>
      <c r="R6" s="2"/>
      <c r="S6" s="2"/>
      <c r="T6" s="2"/>
      <c r="U6" s="2"/>
      <c r="V6" s="2"/>
      <c r="W6" s="2"/>
      <c r="X6" s="2"/>
      <c r="Y6" s="2"/>
      <c r="Z6" s="2"/>
    </row>
    <row r="7" spans="1:26" ht="18">
      <c r="A7" s="1111">
        <v>0.14000000000000001</v>
      </c>
      <c r="B7" s="1112">
        <f t="array" ref="B7">NPV(A7,'FE Cash Flow'!$E$15,'FE Cash Flow'!$F$15,'FE Cash Flow'!$G$15,'FE Cash Flow'!$H$15,'FE Cash Flow'!$I$15)+'FE Cash Flow'!$D$15</f>
        <v>2025636.7755842437</v>
      </c>
      <c r="C7" s="2"/>
      <c r="D7" s="2"/>
      <c r="E7" s="2"/>
      <c r="F7" s="2"/>
      <c r="G7" s="2"/>
      <c r="H7" s="2"/>
      <c r="I7" s="2"/>
      <c r="J7" s="2"/>
      <c r="K7" s="2"/>
      <c r="L7" s="2"/>
      <c r="M7" s="2"/>
      <c r="N7" s="2"/>
      <c r="O7" s="2"/>
      <c r="P7" s="2"/>
      <c r="Q7" s="2"/>
      <c r="R7" s="2"/>
      <c r="S7" s="2"/>
      <c r="T7" s="2"/>
      <c r="U7" s="2"/>
      <c r="V7" s="2"/>
      <c r="W7" s="2"/>
      <c r="X7" s="2"/>
      <c r="Y7" s="2"/>
      <c r="Z7" s="2"/>
    </row>
    <row r="8" spans="1:26" ht="18">
      <c r="A8" s="1111">
        <v>0.15</v>
      </c>
      <c r="B8" s="1112">
        <f t="array" ref="B8">NPV(A8,'FE Cash Flow'!$E$15,'FE Cash Flow'!$F$15,'FE Cash Flow'!$G$15,'FE Cash Flow'!$H$15,'FE Cash Flow'!$I$15)+'FE Cash Flow'!$D$15</f>
        <v>1900547.0272699608</v>
      </c>
      <c r="C8" s="2"/>
      <c r="D8" s="2"/>
      <c r="E8" s="2"/>
      <c r="F8" s="2"/>
      <c r="G8" s="2"/>
      <c r="H8" s="2"/>
      <c r="I8" s="2"/>
      <c r="J8" s="2"/>
      <c r="K8" s="2"/>
      <c r="L8" s="2"/>
      <c r="M8" s="2"/>
      <c r="N8" s="2"/>
      <c r="O8" s="2"/>
      <c r="P8" s="2"/>
      <c r="Q8" s="2"/>
      <c r="R8" s="2"/>
      <c r="S8" s="2"/>
      <c r="T8" s="2"/>
      <c r="U8" s="2"/>
      <c r="V8" s="2"/>
      <c r="W8" s="2"/>
      <c r="X8" s="2"/>
      <c r="Y8" s="2"/>
      <c r="Z8" s="2"/>
    </row>
    <row r="9" spans="1:26" ht="18">
      <c r="A9" s="1111">
        <v>0.1613</v>
      </c>
      <c r="B9" s="1112">
        <f t="array" ref="B9">NPV(A9,'FE Cash Flow'!$E$15,'FE Cash Flow'!$F$15,'FE Cash Flow'!$G$15,'FE Cash Flow'!$H$15,'FE Cash Flow'!$I$15)+'FE Cash Flow'!$D$15</f>
        <v>1766703.1790794469</v>
      </c>
      <c r="C9" s="2"/>
      <c r="D9" s="2"/>
      <c r="E9" s="2"/>
      <c r="F9" s="2"/>
      <c r="G9" s="2"/>
      <c r="H9" s="2"/>
      <c r="I9" s="2"/>
      <c r="J9" s="2"/>
      <c r="K9" s="2"/>
      <c r="L9" s="2"/>
      <c r="M9" s="2"/>
      <c r="N9" s="2"/>
      <c r="O9" s="2"/>
      <c r="P9" s="2"/>
      <c r="Q9" s="2"/>
      <c r="R9" s="2"/>
      <c r="S9" s="2"/>
      <c r="T9" s="2"/>
      <c r="U9" s="2"/>
      <c r="V9" s="2"/>
      <c r="W9" s="2"/>
      <c r="X9" s="2"/>
      <c r="Y9" s="2"/>
      <c r="Z9" s="2"/>
    </row>
    <row r="10" spans="1:26" ht="18">
      <c r="A10" s="1111">
        <v>0.17</v>
      </c>
      <c r="B10" s="1112">
        <f t="array" ref="B10">NPV(A10,'FE Cash Flow'!$E$15,'FE Cash Flow'!$F$15,'FE Cash Flow'!$G$15,'FE Cash Flow'!$H$15,'FE Cash Flow'!$I$15)+'FE Cash Flow'!$D$15</f>
        <v>1668767.9064933951</v>
      </c>
      <c r="C10" s="2"/>
      <c r="D10" s="2"/>
      <c r="E10" s="2"/>
      <c r="F10" s="2"/>
      <c r="G10" s="2"/>
      <c r="H10" s="2"/>
      <c r="I10" s="2"/>
      <c r="J10" s="2"/>
      <c r="K10" s="2"/>
      <c r="L10" s="2"/>
      <c r="M10" s="2"/>
      <c r="N10" s="2"/>
      <c r="O10" s="2"/>
      <c r="P10" s="2"/>
      <c r="Q10" s="2"/>
      <c r="R10" s="2"/>
      <c r="S10" s="2"/>
      <c r="T10" s="2"/>
      <c r="U10" s="2"/>
      <c r="V10" s="2"/>
      <c r="W10" s="2"/>
      <c r="X10" s="2"/>
      <c r="Y10" s="2"/>
      <c r="Z10" s="2"/>
    </row>
    <row r="11" spans="1:26" ht="18">
      <c r="A11" s="1111">
        <v>0.18</v>
      </c>
      <c r="B11" s="1112">
        <f t="array" ref="B11">NPV(A11,'FE Cash Flow'!$E$15,'FE Cash Flow'!$F$15,'FE Cash Flow'!$G$15,'FE Cash Flow'!$H$15,'FE Cash Flow'!$I$15)+'FE Cash Flow'!$D$15</f>
        <v>1561377.3027107893</v>
      </c>
      <c r="C11" s="2"/>
      <c r="D11" s="2"/>
      <c r="E11" s="2"/>
      <c r="F11" s="2"/>
      <c r="G11" s="2"/>
      <c r="H11" s="2"/>
      <c r="I11" s="2"/>
      <c r="J11" s="2"/>
      <c r="K11" s="2"/>
      <c r="L11" s="2"/>
      <c r="M11" s="2"/>
      <c r="N11" s="2"/>
      <c r="O11" s="2"/>
      <c r="P11" s="2"/>
      <c r="Q11" s="2"/>
      <c r="R11" s="2"/>
      <c r="S11" s="2"/>
      <c r="T11" s="2"/>
      <c r="U11" s="2"/>
      <c r="V11" s="2"/>
      <c r="W11" s="2"/>
      <c r="X11" s="2"/>
      <c r="Y11" s="2"/>
      <c r="Z11" s="2"/>
    </row>
    <row r="12" spans="1:26" ht="18">
      <c r="A12" s="1111">
        <v>0.19</v>
      </c>
      <c r="B12" s="1112">
        <f t="array" ref="B12">NPV(A12,'FE Cash Flow'!$E$15,'FE Cash Flow'!$F$15,'FE Cash Flow'!$G$15,'FE Cash Flow'!$H$15,'FE Cash Flow'!$I$15)+'FE Cash Flow'!$D$15</f>
        <v>1459223.2527478212</v>
      </c>
      <c r="C12" s="2"/>
      <c r="D12" s="2"/>
      <c r="E12" s="2"/>
      <c r="F12" s="2"/>
      <c r="G12" s="2"/>
      <c r="H12" s="2"/>
      <c r="I12" s="2"/>
      <c r="J12" s="2"/>
      <c r="K12" s="2"/>
      <c r="L12" s="2"/>
      <c r="M12" s="2"/>
      <c r="N12" s="2"/>
      <c r="O12" s="2"/>
      <c r="P12" s="2"/>
      <c r="Q12" s="2"/>
      <c r="R12" s="2"/>
      <c r="S12" s="2"/>
      <c r="T12" s="2"/>
      <c r="U12" s="2"/>
      <c r="V12" s="2"/>
      <c r="W12" s="2"/>
      <c r="X12" s="2"/>
      <c r="Y12" s="2"/>
      <c r="Z12" s="2"/>
    </row>
    <row r="13" spans="1:26" ht="18">
      <c r="A13" s="1111">
        <v>0.2</v>
      </c>
      <c r="B13" s="1112">
        <f t="array" ref="B13">NPV(A13,'FE Cash Flow'!$E$15,'FE Cash Flow'!$F$15,'FE Cash Flow'!$G$15,'FE Cash Flow'!$H$15,'FE Cash Flow'!$I$15)+'FE Cash Flow'!$D$15</f>
        <v>1362009.7467491874</v>
      </c>
      <c r="C13" s="2"/>
      <c r="D13" s="2"/>
      <c r="E13" s="2"/>
      <c r="F13" s="2"/>
      <c r="G13" s="2"/>
      <c r="H13" s="2"/>
      <c r="I13" s="2"/>
      <c r="J13" s="2"/>
      <c r="K13" s="2"/>
      <c r="L13" s="2"/>
      <c r="M13" s="2"/>
      <c r="N13" s="2"/>
      <c r="O13" s="2"/>
      <c r="P13" s="2"/>
      <c r="Q13" s="2"/>
      <c r="R13" s="2"/>
      <c r="S13" s="2"/>
      <c r="T13" s="2"/>
      <c r="U13" s="2"/>
      <c r="V13" s="2"/>
      <c r="W13" s="2"/>
      <c r="X13" s="2"/>
      <c r="Y13" s="2"/>
      <c r="Z13" s="2"/>
    </row>
    <row r="14" spans="1:26" ht="18">
      <c r="A14" s="1111">
        <v>0.21</v>
      </c>
      <c r="B14" s="1112">
        <f t="array" ref="B14">NPV(A14,'FE Cash Flow'!$E$15,'FE Cash Flow'!$F$15,'FE Cash Flow'!$G$15,'FE Cash Flow'!$H$15,'FE Cash Flow'!$I$15)+'FE Cash Flow'!$D$15</f>
        <v>1269459.8056436451</v>
      </c>
      <c r="C14" s="2"/>
      <c r="D14" s="2"/>
      <c r="E14" s="2"/>
      <c r="F14" s="2"/>
      <c r="G14" s="2"/>
      <c r="H14" s="2"/>
      <c r="I14" s="2"/>
      <c r="J14" s="2"/>
      <c r="K14" s="2"/>
      <c r="L14" s="2"/>
      <c r="M14" s="2"/>
      <c r="N14" s="2"/>
      <c r="O14" s="2"/>
      <c r="P14" s="2"/>
      <c r="Q14" s="2"/>
      <c r="R14" s="2"/>
      <c r="S14" s="2"/>
      <c r="T14" s="2"/>
      <c r="U14" s="2"/>
      <c r="V14" s="2"/>
      <c r="W14" s="2"/>
      <c r="X14" s="2"/>
      <c r="Y14" s="2"/>
      <c r="Z14" s="2"/>
    </row>
    <row r="15" spans="1:26" ht="18">
      <c r="A15" s="1111">
        <v>0.22</v>
      </c>
      <c r="B15" s="1112">
        <f t="array" ref="B15">NPV(A15,'FE Cash Flow'!$E$15,'FE Cash Flow'!$F$15,'FE Cash Flow'!$G$15,'FE Cash Flow'!$H$15,'FE Cash Flow'!$I$15)+'FE Cash Flow'!$D$15</f>
        <v>1181314.1123253524</v>
      </c>
      <c r="C15" s="2"/>
      <c r="D15" s="2"/>
      <c r="E15" s="2"/>
      <c r="F15" s="2"/>
      <c r="G15" s="2"/>
      <c r="H15" s="2"/>
      <c r="I15" s="2"/>
      <c r="J15" s="2"/>
      <c r="K15" s="2"/>
      <c r="L15" s="2"/>
      <c r="M15" s="2"/>
      <c r="N15" s="2"/>
      <c r="O15" s="2"/>
      <c r="P15" s="2"/>
      <c r="Q15" s="2"/>
      <c r="R15" s="2"/>
      <c r="S15" s="2"/>
      <c r="T15" s="2"/>
      <c r="U15" s="2"/>
      <c r="V15" s="2"/>
      <c r="W15" s="2"/>
      <c r="X15" s="2"/>
      <c r="Y15" s="2"/>
      <c r="Z15" s="2"/>
    </row>
    <row r="16" spans="1:26" ht="18">
      <c r="A16" s="1111">
        <v>0.23</v>
      </c>
      <c r="B16" s="1112">
        <f t="array" ref="B16">NPV(A16,'FE Cash Flow'!$E$15,'FE Cash Flow'!$F$15,'FE Cash Flow'!$G$15,'FE Cash Flow'!$H$15,'FE Cash Flow'!$I$15)+'FE Cash Flow'!$D$15</f>
        <v>1097329.7515515753</v>
      </c>
      <c r="C16" s="2"/>
      <c r="D16" s="2"/>
      <c r="E16" s="2"/>
      <c r="F16" s="2"/>
      <c r="G16" s="2"/>
      <c r="H16" s="2"/>
      <c r="I16" s="2"/>
      <c r="J16" s="2"/>
      <c r="K16" s="2"/>
      <c r="L16" s="2"/>
      <c r="M16" s="2"/>
      <c r="N16" s="2"/>
      <c r="O16" s="2"/>
      <c r="P16" s="2"/>
      <c r="Q16" s="2"/>
      <c r="R16" s="2"/>
      <c r="S16" s="2"/>
      <c r="T16" s="2"/>
      <c r="U16" s="2"/>
      <c r="V16" s="2"/>
      <c r="W16" s="2"/>
      <c r="X16" s="2"/>
      <c r="Y16" s="2"/>
      <c r="Z16" s="2"/>
    </row>
    <row r="17" spans="1:26" ht="18">
      <c r="A17" s="1111">
        <v>0.24</v>
      </c>
      <c r="B17" s="1112">
        <f t="array" ref="B17">NPV(A17,'FE Cash Flow'!$E$15,'FE Cash Flow'!$F$15,'FE Cash Flow'!$G$15,'FE Cash Flow'!$H$15,'FE Cash Flow'!$I$15)+'FE Cash Flow'!$D$15</f>
        <v>1017279.0491216336</v>
      </c>
      <c r="C17" s="2"/>
      <c r="D17" s="2"/>
      <c r="E17" s="2"/>
      <c r="F17" s="2"/>
      <c r="G17" s="2"/>
      <c r="H17" s="2"/>
      <c r="I17" s="2"/>
      <c r="J17" s="2"/>
      <c r="K17" s="2"/>
      <c r="L17" s="2"/>
      <c r="M17" s="2"/>
      <c r="N17" s="2"/>
      <c r="O17" s="2"/>
      <c r="P17" s="2"/>
      <c r="Q17" s="2"/>
      <c r="R17" s="2"/>
      <c r="S17" s="2"/>
      <c r="T17" s="2"/>
      <c r="U17" s="2"/>
      <c r="V17" s="2"/>
      <c r="W17" s="2"/>
      <c r="X17" s="2"/>
      <c r="Y17" s="2"/>
      <c r="Z17" s="2"/>
    </row>
    <row r="18" spans="1:26" ht="18">
      <c r="A18" s="1111">
        <v>0.25</v>
      </c>
      <c r="B18" s="1112">
        <f t="array" ref="B18">NPV(A18,'FE Cash Flow'!$E$15,'FE Cash Flow'!$F$15,'FE Cash Flow'!$G$15,'FE Cash Flow'!$H$15,'FE Cash Flow'!$I$15)+'FE Cash Flow'!$D$15</f>
        <v>940948.5017890681</v>
      </c>
      <c r="C18" s="2"/>
      <c r="D18" s="2"/>
      <c r="E18" s="2"/>
      <c r="F18" s="2"/>
      <c r="G18" s="2"/>
      <c r="H18" s="2"/>
      <c r="I18" s="2"/>
      <c r="J18" s="2"/>
      <c r="K18" s="2"/>
      <c r="L18" s="2"/>
      <c r="M18" s="2"/>
      <c r="N18" s="2"/>
      <c r="O18" s="2"/>
      <c r="P18" s="2"/>
      <c r="Q18" s="2"/>
      <c r="R18" s="2"/>
      <c r="S18" s="2"/>
      <c r="T18" s="2"/>
      <c r="U18" s="2"/>
      <c r="V18" s="2"/>
      <c r="W18" s="2"/>
      <c r="X18" s="2"/>
      <c r="Y18" s="2"/>
      <c r="Z18" s="2"/>
    </row>
    <row r="19" spans="1:26" ht="18">
      <c r="A19" s="1113">
        <v>0.26</v>
      </c>
      <c r="B19" s="1114">
        <f t="array" ref="B19">NPV(A19,'FE Cash Flow'!$E$15,'FE Cash Flow'!$F$15,'FE Cash Flow'!$G$15,'FE Cash Flow'!$H$15,'FE Cash Flow'!$I$15)+'FE Cash Flow'!$D$15</f>
        <v>868137.7901563996</v>
      </c>
      <c r="C19" s="2"/>
      <c r="D19" s="2"/>
      <c r="E19" s="2"/>
      <c r="F19" s="2"/>
      <c r="G19" s="2"/>
      <c r="H19" s="2"/>
      <c r="I19" s="2"/>
      <c r="J19" s="2"/>
      <c r="K19" s="2"/>
      <c r="L19" s="2"/>
      <c r="M19" s="2"/>
      <c r="N19" s="2"/>
      <c r="O19" s="2"/>
      <c r="P19" s="2"/>
      <c r="Q19" s="2"/>
      <c r="R19" s="2"/>
      <c r="S19" s="2"/>
      <c r="T19" s="2"/>
      <c r="U19" s="2"/>
      <c r="V19" s="2"/>
      <c r="W19" s="2"/>
      <c r="X19" s="2"/>
      <c r="Y19" s="2"/>
      <c r="Z19" s="2"/>
    </row>
    <row r="20" spans="1:26" ht="18">
      <c r="A20" s="1111">
        <v>0.27</v>
      </c>
      <c r="B20" s="1112">
        <f t="array" ref="B20">NPV(A20,'FE Cash Flow'!$E$15,'FE Cash Flow'!$F$15,'FE Cash Flow'!$G$15,'FE Cash Flow'!$H$15,'FE Cash Flow'!$I$15)+'FE Cash Flow'!$D$15</f>
        <v>798658.86751924758</v>
      </c>
      <c r="C20" s="2"/>
      <c r="D20" s="2"/>
      <c r="E20" s="2"/>
      <c r="F20" s="2"/>
      <c r="G20" s="2"/>
      <c r="H20" s="2"/>
      <c r="I20" s="2"/>
      <c r="J20" s="2"/>
      <c r="K20" s="2"/>
      <c r="L20" s="2"/>
      <c r="M20" s="2"/>
      <c r="N20" s="2"/>
      <c r="O20" s="2"/>
      <c r="P20" s="2"/>
      <c r="Q20" s="2"/>
      <c r="R20" s="2"/>
      <c r="S20" s="2"/>
      <c r="T20" s="2"/>
      <c r="U20" s="2"/>
      <c r="V20" s="2"/>
      <c r="W20" s="2"/>
      <c r="X20" s="2"/>
      <c r="Y20" s="2"/>
      <c r="Z20" s="2"/>
    </row>
    <row r="21" spans="1:26" ht="18">
      <c r="A21" s="1111">
        <v>0.28000000000000003</v>
      </c>
      <c r="B21" s="1112">
        <f t="array" ref="B21">NPV(A21,'FE Cash Flow'!$E$15,'FE Cash Flow'!$F$15,'FE Cash Flow'!$G$15,'FE Cash Flow'!$H$15,'FE Cash Flow'!$I$15)+'FE Cash Flow'!$D$15</f>
        <v>732335.11827248544</v>
      </c>
      <c r="C21" s="2"/>
      <c r="D21" s="2"/>
      <c r="E21" s="2"/>
      <c r="F21" s="2"/>
      <c r="G21" s="2"/>
      <c r="H21" s="2"/>
      <c r="I21" s="2"/>
      <c r="J21" s="2"/>
      <c r="K21" s="2"/>
      <c r="L21" s="2"/>
      <c r="M21" s="2"/>
      <c r="N21" s="2"/>
      <c r="O21" s="2"/>
      <c r="P21" s="2"/>
      <c r="Q21" s="2"/>
      <c r="R21" s="2"/>
      <c r="S21" s="2"/>
      <c r="T21" s="2"/>
      <c r="U21" s="2"/>
      <c r="V21" s="2"/>
      <c r="W21" s="2"/>
      <c r="X21" s="2"/>
      <c r="Y21" s="2"/>
      <c r="Z21" s="2"/>
    </row>
    <row r="22" spans="1:26" ht="18">
      <c r="A22" s="1111">
        <v>0.28999999999999998</v>
      </c>
      <c r="B22" s="1112">
        <f t="array" ref="B22">NPV(A22,'FE Cash Flow'!$E$15,'FE Cash Flow'!$F$15,'FE Cash Flow'!$G$15,'FE Cash Flow'!$H$15,'FE Cash Flow'!$I$15)+'FE Cash Flow'!$D$15</f>
        <v>669000.58007326769</v>
      </c>
      <c r="C22" s="2"/>
      <c r="D22" s="2"/>
      <c r="E22" s="2"/>
      <c r="F22" s="2"/>
      <c r="G22" s="2"/>
      <c r="H22" s="2"/>
      <c r="I22" s="2"/>
      <c r="J22" s="2"/>
      <c r="K22" s="2"/>
      <c r="L22" s="2"/>
      <c r="M22" s="2"/>
      <c r="N22" s="2"/>
      <c r="O22" s="2"/>
      <c r="P22" s="2"/>
      <c r="Q22" s="2"/>
      <c r="R22" s="2"/>
      <c r="S22" s="2"/>
      <c r="T22" s="2"/>
      <c r="U22" s="2"/>
      <c r="V22" s="2"/>
      <c r="W22" s="2"/>
      <c r="X22" s="2"/>
      <c r="Y22" s="2"/>
      <c r="Z22" s="2"/>
    </row>
    <row r="23" spans="1:26" ht="18">
      <c r="A23" s="1111">
        <v>0.30277799999999999</v>
      </c>
      <c r="B23" s="1112">
        <f t="array" ref="B23">NPV(A23,'FE Cash Flow'!$E$15,'FE Cash Flow'!$F$15,'FE Cash Flow'!$G$15,'FE Cash Flow'!$H$15,'FE Cash Flow'!$I$15)+'FE Cash Flow'!$D$15</f>
        <v>592174.80653948779</v>
      </c>
      <c r="C23" s="2"/>
      <c r="D23" s="2"/>
      <c r="E23" s="2"/>
      <c r="F23" s="2"/>
      <c r="G23" s="2"/>
      <c r="H23" s="2"/>
      <c r="I23" s="2"/>
      <c r="J23" s="2"/>
      <c r="K23" s="2"/>
      <c r="L23" s="2"/>
      <c r="M23" s="2"/>
      <c r="N23" s="2"/>
      <c r="O23" s="2"/>
      <c r="P23" s="2"/>
      <c r="Q23" s="2"/>
      <c r="R23" s="2"/>
      <c r="S23" s="2"/>
      <c r="T23" s="2"/>
      <c r="U23" s="2"/>
      <c r="V23" s="2"/>
      <c r="W23" s="2"/>
      <c r="X23" s="2"/>
      <c r="Y23" s="2"/>
      <c r="Z23" s="2"/>
    </row>
    <row r="24" spans="1:26" ht="18">
      <c r="A24" s="1111">
        <v>0.31</v>
      </c>
      <c r="B24" s="1112">
        <f t="array" ref="B24">NPV(A24,'FE Cash Flow'!$E$15,'FE Cash Flow'!$F$15,'FE Cash Flow'!$G$15,'FE Cash Flow'!$H$15,'FE Cash Flow'!$I$15)+'FE Cash Flow'!$D$15</f>
        <v>550684.29126637196</v>
      </c>
      <c r="C24" s="2"/>
      <c r="D24" s="2"/>
      <c r="E24" s="2"/>
      <c r="F24" s="2"/>
      <c r="G24" s="2"/>
      <c r="H24" s="2"/>
      <c r="I24" s="2"/>
      <c r="J24" s="2"/>
      <c r="K24" s="2"/>
      <c r="L24" s="2"/>
      <c r="M24" s="2"/>
      <c r="N24" s="2"/>
      <c r="O24" s="2"/>
      <c r="P24" s="2"/>
      <c r="Q24" s="2"/>
      <c r="R24" s="2"/>
      <c r="S24" s="2"/>
      <c r="T24" s="2"/>
      <c r="U24" s="2"/>
      <c r="V24" s="2"/>
      <c r="W24" s="2"/>
      <c r="X24" s="2"/>
      <c r="Y24" s="2"/>
      <c r="Z24" s="2"/>
    </row>
    <row r="25" spans="1:26" ht="18">
      <c r="A25" s="1111">
        <v>0.32</v>
      </c>
      <c r="B25" s="1112">
        <f t="array" ref="B25">NPV(A25,'FE Cash Flow'!$E$15,'FE Cash Flow'!$F$15,'FE Cash Flow'!$G$15,'FE Cash Flow'!$H$15,'FE Cash Flow'!$I$15)+'FE Cash Flow'!$D$15</f>
        <v>495417.67201647419</v>
      </c>
      <c r="C25" s="2"/>
      <c r="D25" s="2"/>
      <c r="E25" s="2"/>
      <c r="F25" s="2"/>
      <c r="G25" s="2"/>
      <c r="H25" s="2"/>
      <c r="I25" s="2"/>
      <c r="J25" s="2"/>
      <c r="K25" s="2"/>
      <c r="L25" s="2"/>
      <c r="M25" s="2"/>
      <c r="N25" s="2"/>
      <c r="O25" s="2"/>
      <c r="P25" s="2"/>
      <c r="Q25" s="2"/>
      <c r="R25" s="2"/>
      <c r="S25" s="2"/>
      <c r="T25" s="2"/>
      <c r="U25" s="2"/>
      <c r="V25" s="2"/>
      <c r="W25" s="2"/>
      <c r="X25" s="2"/>
      <c r="Y25" s="2"/>
      <c r="Z25" s="2"/>
    </row>
    <row r="26" spans="1:26" ht="18">
      <c r="A26" s="1111">
        <v>0.33</v>
      </c>
      <c r="B26" s="1112">
        <f t="array" ref="B26">NPV(A26,'FE Cash Flow'!$E$15,'FE Cash Flow'!$F$15,'FE Cash Flow'!$G$15,'FE Cash Flow'!$H$15,'FE Cash Flow'!$I$15)+'FE Cash Flow'!$D$15</f>
        <v>442569.33903661231</v>
      </c>
      <c r="C26" s="2"/>
      <c r="D26" s="2"/>
      <c r="E26" s="2"/>
      <c r="F26" s="2"/>
      <c r="G26" s="2"/>
      <c r="H26" s="2"/>
      <c r="I26" s="2"/>
      <c r="J26" s="2"/>
      <c r="K26" s="2"/>
      <c r="L26" s="2"/>
      <c r="M26" s="2"/>
      <c r="N26" s="2"/>
      <c r="O26" s="2"/>
      <c r="P26" s="2"/>
      <c r="Q26" s="2"/>
      <c r="R26" s="2"/>
      <c r="S26" s="2"/>
      <c r="T26" s="2"/>
      <c r="U26" s="2"/>
      <c r="V26" s="2"/>
      <c r="W26" s="2"/>
      <c r="X26" s="2"/>
      <c r="Y26" s="2"/>
      <c r="Z26" s="2"/>
    </row>
    <row r="27" spans="1:26" ht="18">
      <c r="A27" s="1111">
        <v>0.34</v>
      </c>
      <c r="B27" s="1112">
        <f t="array" ref="B27">NPV(A27,'FE Cash Flow'!$E$15,'FE Cash Flow'!$F$15,'FE Cash Flow'!$G$15,'FE Cash Flow'!$H$15,'FE Cash Flow'!$I$15)+'FE Cash Flow'!$D$15</f>
        <v>392016.81591662741</v>
      </c>
      <c r="C27" s="2"/>
      <c r="D27" s="2"/>
      <c r="E27" s="2"/>
      <c r="F27" s="2"/>
      <c r="G27" s="2"/>
      <c r="H27" s="2"/>
      <c r="I27" s="2"/>
      <c r="J27" s="2"/>
      <c r="K27" s="2"/>
      <c r="L27" s="2"/>
      <c r="M27" s="2"/>
      <c r="N27" s="2"/>
      <c r="O27" s="2"/>
      <c r="P27" s="2"/>
      <c r="Q27" s="2"/>
      <c r="R27" s="2"/>
      <c r="S27" s="2"/>
      <c r="T27" s="2"/>
      <c r="U27" s="2"/>
      <c r="V27" s="2"/>
      <c r="W27" s="2"/>
      <c r="X27" s="2"/>
      <c r="Y27" s="2"/>
      <c r="Z27" s="2"/>
    </row>
    <row r="28" spans="1:26" ht="18">
      <c r="A28" s="1111">
        <v>0.35</v>
      </c>
      <c r="B28" s="1112">
        <f t="array" ref="B28">NPV(A28,'FE Cash Flow'!$E$15,'FE Cash Flow'!$F$15,'FE Cash Flow'!$G$15,'FE Cash Flow'!$H$15,'FE Cash Flow'!$I$15)+'FE Cash Flow'!$D$15</f>
        <v>343644.68643318629</v>
      </c>
      <c r="C28" s="2"/>
      <c r="D28" s="2"/>
      <c r="E28" s="2"/>
      <c r="F28" s="2"/>
      <c r="G28" s="2"/>
      <c r="H28" s="2"/>
      <c r="I28" s="2"/>
      <c r="J28" s="2"/>
      <c r="K28" s="2"/>
      <c r="L28" s="2"/>
      <c r="M28" s="2"/>
      <c r="N28" s="2"/>
      <c r="O28" s="2"/>
      <c r="P28" s="2"/>
      <c r="Q28" s="2"/>
      <c r="R28" s="2"/>
      <c r="S28" s="2"/>
      <c r="T28" s="2"/>
      <c r="U28" s="2"/>
      <c r="V28" s="2"/>
      <c r="W28" s="2"/>
      <c r="X28" s="2"/>
      <c r="Y28" s="2"/>
      <c r="Z28" s="2"/>
    </row>
    <row r="29" spans="1:26" ht="18">
      <c r="A29" s="1111">
        <v>0.36</v>
      </c>
      <c r="B29" s="1112">
        <f t="array" ref="B29">NPV(A29,'FE Cash Flow'!$E$15,'FE Cash Flow'!$F$15,'FE Cash Flow'!$G$15,'FE Cash Flow'!$H$15,'FE Cash Flow'!$I$15)+'FE Cash Flow'!$D$15</f>
        <v>297344.13875370775</v>
      </c>
      <c r="C29" s="2"/>
      <c r="D29" s="2"/>
      <c r="E29" s="2"/>
      <c r="F29" s="2"/>
      <c r="G29" s="2"/>
      <c r="H29" s="2"/>
      <c r="I29" s="2"/>
      <c r="J29" s="2"/>
      <c r="K29" s="2"/>
      <c r="L29" s="2"/>
      <c r="M29" s="2"/>
      <c r="N29" s="2"/>
      <c r="O29" s="2"/>
      <c r="P29" s="2"/>
      <c r="Q29" s="2"/>
      <c r="R29" s="2"/>
      <c r="S29" s="2"/>
      <c r="T29" s="2"/>
      <c r="U29" s="2"/>
      <c r="V29" s="2"/>
      <c r="W29" s="2"/>
      <c r="X29" s="2"/>
      <c r="Y29" s="2"/>
      <c r="Z29" s="2"/>
    </row>
    <row r="30" spans="1:26" ht="18">
      <c r="A30" s="1111">
        <v>0.37</v>
      </c>
      <c r="B30" s="1112">
        <f t="array" ref="B30">NPV(A30,'FE Cash Flow'!$E$15,'FE Cash Flow'!$F$15,'FE Cash Flow'!$G$15,'FE Cash Flow'!$H$15,'FE Cash Flow'!$I$15)+'FE Cash Flow'!$D$15</f>
        <v>253012.54216634645</v>
      </c>
      <c r="C30" s="2"/>
      <c r="D30" s="2"/>
      <c r="E30" s="2"/>
      <c r="F30" s="2"/>
      <c r="G30" s="2"/>
      <c r="H30" s="2"/>
      <c r="I30" s="2"/>
      <c r="J30" s="2"/>
      <c r="K30" s="2"/>
      <c r="L30" s="2"/>
      <c r="M30" s="2"/>
      <c r="N30" s="2"/>
      <c r="O30" s="2"/>
      <c r="P30" s="2"/>
      <c r="Q30" s="2"/>
      <c r="R30" s="2"/>
      <c r="S30" s="2"/>
      <c r="T30" s="2"/>
      <c r="U30" s="2"/>
      <c r="V30" s="2"/>
      <c r="W30" s="2"/>
      <c r="X30" s="2"/>
      <c r="Y30" s="2"/>
      <c r="Z30" s="2"/>
    </row>
    <row r="31" spans="1:26" ht="18">
      <c r="A31" s="1111">
        <v>0.38</v>
      </c>
      <c r="B31" s="1112">
        <f t="array" ref="B31">NPV(A31,'FE Cash Flow'!$E$15,'FE Cash Flow'!$F$15,'FE Cash Flow'!$G$15,'FE Cash Flow'!$H$15,'FE Cash Flow'!$I$15)+'FE Cash Flow'!$D$15</f>
        <v>210553.05379730323</v>
      </c>
      <c r="C31" s="2"/>
      <c r="D31" s="2"/>
      <c r="E31" s="2"/>
      <c r="F31" s="2"/>
      <c r="G31" s="2"/>
      <c r="H31" s="2"/>
      <c r="I31" s="2"/>
      <c r="J31" s="2"/>
      <c r="K31" s="2"/>
      <c r="L31" s="2"/>
      <c r="M31" s="2"/>
      <c r="N31" s="2"/>
      <c r="O31" s="2"/>
      <c r="P31" s="2"/>
      <c r="Q31" s="2"/>
      <c r="R31" s="2"/>
      <c r="S31" s="2"/>
      <c r="T31" s="2"/>
      <c r="U31" s="2"/>
      <c r="V31" s="2"/>
      <c r="W31" s="2"/>
      <c r="X31" s="2"/>
      <c r="Y31" s="2"/>
      <c r="Z31" s="2"/>
    </row>
    <row r="32" spans="1:26" ht="18">
      <c r="A32" s="1111">
        <v>0.39</v>
      </c>
      <c r="B32" s="1112">
        <f t="array" ref="B32">NPV(A32,'FE Cash Flow'!$E$15,'FE Cash Flow'!$F$15,'FE Cash Flow'!$G$15,'FE Cash Flow'!$H$15,'FE Cash Flow'!$I$15)+'FE Cash Flow'!$D$15</f>
        <v>169874.25299154967</v>
      </c>
      <c r="C32" s="2"/>
      <c r="D32" s="2"/>
      <c r="E32" s="2"/>
      <c r="F32" s="2"/>
      <c r="G32" s="2"/>
      <c r="H32" s="2"/>
      <c r="I32" s="2"/>
      <c r="J32" s="2"/>
      <c r="K32" s="2"/>
      <c r="L32" s="397" t="s">
        <v>517</v>
      </c>
      <c r="M32" s="400"/>
      <c r="N32" s="2"/>
      <c r="O32" s="2"/>
      <c r="P32" s="2"/>
      <c r="Q32" s="2"/>
      <c r="R32" s="2"/>
      <c r="S32" s="2"/>
      <c r="T32" s="2"/>
      <c r="U32" s="2"/>
      <c r="V32" s="2"/>
      <c r="W32" s="2"/>
      <c r="X32" s="2"/>
      <c r="Y32" s="2"/>
      <c r="Z32" s="2"/>
    </row>
    <row r="33" spans="1:26" ht="18">
      <c r="A33" s="1111">
        <v>0.4</v>
      </c>
      <c r="B33" s="1112">
        <f t="array" ref="B33">NPV(A33,'FE Cash Flow'!$E$15,'FE Cash Flow'!$F$15,'FE Cash Flow'!$G$15,'FE Cash Flow'!$H$15,'FE Cash Flow'!$I$15)+'FE Cash Flow'!$D$15</f>
        <v>130889.80122844153</v>
      </c>
      <c r="C33" s="2"/>
      <c r="D33" s="2"/>
      <c r="E33" s="2"/>
      <c r="F33" s="2"/>
      <c r="G33" s="2"/>
      <c r="H33" s="2"/>
      <c r="I33" s="2"/>
      <c r="J33" s="2"/>
      <c r="K33" s="2"/>
      <c r="L33" s="2"/>
      <c r="M33" s="2"/>
      <c r="N33" s="2"/>
      <c r="O33" s="2"/>
      <c r="P33" s="2"/>
      <c r="Q33" s="2"/>
      <c r="R33" s="2"/>
      <c r="S33" s="2"/>
      <c r="T33" s="2"/>
      <c r="U33" s="2"/>
      <c r="V33" s="2"/>
      <c r="W33" s="2"/>
      <c r="X33" s="2"/>
      <c r="Y33" s="2"/>
      <c r="Z33" s="2"/>
    </row>
    <row r="34" spans="1:26" ht="18">
      <c r="A34" s="1111">
        <v>0.41</v>
      </c>
      <c r="B34" s="1112">
        <f t="array" ref="B34">NPV(A34,'FE Cash Flow'!$E$15,'FE Cash Flow'!$F$15,'FE Cash Flow'!$G$15,'FE Cash Flow'!$H$15,'FE Cash Flow'!$I$15)+'FE Cash Flow'!$D$15</f>
        <v>93518.125621212414</v>
      </c>
      <c r="C34" s="2"/>
      <c r="D34" s="2"/>
      <c r="E34" s="2"/>
      <c r="F34" s="2"/>
      <c r="G34" s="2"/>
      <c r="H34" s="2"/>
      <c r="I34" s="2"/>
      <c r="J34" s="2"/>
      <c r="K34" s="2"/>
      <c r="L34" s="2"/>
      <c r="M34" s="2"/>
      <c r="N34" s="2"/>
      <c r="O34" s="2"/>
      <c r="P34" s="2"/>
      <c r="Q34" s="2"/>
      <c r="R34" s="2"/>
      <c r="S34" s="2"/>
      <c r="T34" s="2"/>
      <c r="U34" s="2"/>
      <c r="V34" s="2"/>
      <c r="W34" s="2"/>
      <c r="X34" s="2"/>
      <c r="Y34" s="2"/>
      <c r="Z34" s="2"/>
    </row>
    <row r="35" spans="1:26" ht="18">
      <c r="A35" s="1111">
        <v>0.42</v>
      </c>
      <c r="B35" s="1112">
        <f t="array" ref="B35">NPV(A35,'FE Cash Flow'!$E$15,'FE Cash Flow'!$F$15,'FE Cash Flow'!$G$15,'FE Cash Flow'!$H$15,'FE Cash Flow'!$I$15)+'FE Cash Flow'!$D$15</f>
        <v>57682.124211110757</v>
      </c>
      <c r="C35" s="2"/>
      <c r="D35" s="2"/>
      <c r="E35" s="2"/>
      <c r="F35" s="2"/>
      <c r="G35" s="2"/>
      <c r="H35" s="2"/>
      <c r="I35" s="2"/>
      <c r="J35" s="2"/>
      <c r="K35" s="2"/>
      <c r="L35" s="2"/>
      <c r="M35" s="2"/>
      <c r="N35" s="2"/>
      <c r="O35" s="2"/>
      <c r="P35" s="2"/>
      <c r="Q35" s="2"/>
      <c r="R35" s="2"/>
      <c r="S35" s="2"/>
      <c r="T35" s="2"/>
      <c r="U35" s="2"/>
      <c r="V35" s="2"/>
      <c r="W35" s="2"/>
      <c r="X35" s="2"/>
      <c r="Y35" s="2"/>
      <c r="Z35" s="2"/>
    </row>
    <row r="36" spans="1:26" ht="18">
      <c r="A36" s="1111">
        <v>0.43</v>
      </c>
      <c r="B36" s="1112">
        <f t="array" ref="B36">NPV(A36,'FE Cash Flow'!$E$15,'FE Cash Flow'!$F$15,'FE Cash Flow'!$G$15,'FE Cash Flow'!$H$15,'FE Cash Flow'!$I$15)+'FE Cash Flow'!$D$15</f>
        <v>23308.891414097743</v>
      </c>
      <c r="C36" s="2"/>
      <c r="D36" s="2"/>
      <c r="E36" s="2"/>
      <c r="F36" s="2"/>
      <c r="G36" s="2"/>
      <c r="H36" s="2"/>
      <c r="I36" s="2"/>
      <c r="J36" s="2"/>
      <c r="K36" s="2"/>
      <c r="L36" s="2"/>
      <c r="M36" s="2"/>
      <c r="N36" s="2"/>
      <c r="O36" s="2"/>
      <c r="P36" s="2"/>
      <c r="Q36" s="2"/>
      <c r="R36" s="2"/>
      <c r="S36" s="2"/>
      <c r="T36" s="2"/>
      <c r="U36" s="2"/>
      <c r="V36" s="2"/>
      <c r="W36" s="2"/>
      <c r="X36" s="2"/>
      <c r="Y36" s="2"/>
      <c r="Z36" s="2"/>
    </row>
    <row r="37" spans="1:26" ht="18">
      <c r="A37" s="1111">
        <v>0.44</v>
      </c>
      <c r="B37" s="1112">
        <f t="array" ref="B37">NPV(A37,'FE Cash Flow'!$E$15,'FE Cash Flow'!$F$15,'FE Cash Flow'!$G$15,'FE Cash Flow'!$H$15,'FE Cash Flow'!$I$15)+'FE Cash Flow'!$D$15</f>
        <v>-9670.5378877349431</v>
      </c>
      <c r="C37" s="2"/>
      <c r="D37" s="2"/>
      <c r="E37" s="2"/>
      <c r="F37" s="2"/>
      <c r="G37" s="2"/>
      <c r="H37" s="2"/>
      <c r="I37" s="2"/>
      <c r="J37" s="2"/>
      <c r="K37" s="2"/>
      <c r="L37" s="2"/>
      <c r="M37" s="2"/>
      <c r="N37" s="2"/>
      <c r="O37" s="2"/>
      <c r="P37" s="2"/>
      <c r="Q37" s="2"/>
      <c r="R37" s="2"/>
      <c r="S37" s="2"/>
      <c r="T37" s="2"/>
      <c r="U37" s="2"/>
      <c r="V37" s="2"/>
      <c r="W37" s="2"/>
      <c r="X37" s="2"/>
      <c r="Y37" s="2"/>
      <c r="Z37" s="2"/>
    </row>
    <row r="38" spans="1:26" ht="18">
      <c r="A38" s="1111">
        <v>0.45</v>
      </c>
      <c r="B38" s="1112">
        <f t="array" ref="B38">NPV(A38,'FE Cash Flow'!$E$15,'FE Cash Flow'!$F$15,'FE Cash Flow'!$G$15,'FE Cash Flow'!$H$15,'FE Cash Flow'!$I$15)+'FE Cash Flow'!$D$15</f>
        <v>-41321.42699549871</v>
      </c>
      <c r="C38" s="2"/>
      <c r="D38" s="2"/>
      <c r="E38" s="2"/>
      <c r="F38" s="2"/>
      <c r="G38" s="2"/>
      <c r="H38" s="2"/>
      <c r="I38" s="2"/>
      <c r="J38" s="2"/>
      <c r="K38" s="2"/>
      <c r="L38" s="2"/>
      <c r="M38" s="2"/>
      <c r="N38" s="2"/>
      <c r="O38" s="2"/>
      <c r="P38" s="2"/>
      <c r="Q38" s="2"/>
      <c r="R38" s="2"/>
      <c r="S38" s="2"/>
      <c r="T38" s="2"/>
      <c r="U38" s="2"/>
      <c r="V38" s="2"/>
      <c r="W38" s="2"/>
      <c r="X38" s="2"/>
      <c r="Y38" s="2"/>
      <c r="Z38" s="2"/>
    </row>
    <row r="39" spans="1:26" ht="18">
      <c r="A39" s="1111">
        <v>0.46</v>
      </c>
      <c r="B39" s="1112">
        <f t="array" ref="B39">NPV(A39,'FE Cash Flow'!$E$15,'FE Cash Flow'!$F$15,'FE Cash Flow'!$G$15,'FE Cash Flow'!$H$15,'FE Cash Flow'!$I$15)+'FE Cash Flow'!$D$15</f>
        <v>-71705.560057384544</v>
      </c>
      <c r="C39" s="2"/>
      <c r="D39" s="2"/>
      <c r="E39" s="2"/>
      <c r="F39" s="2"/>
      <c r="G39" s="2"/>
      <c r="H39" s="2"/>
      <c r="I39" s="2"/>
      <c r="J39" s="2"/>
      <c r="K39" s="2"/>
      <c r="L39" s="2"/>
      <c r="M39" s="2"/>
      <c r="N39" s="2"/>
      <c r="O39" s="2"/>
      <c r="P39" s="2"/>
      <c r="Q39" s="2"/>
      <c r="R39" s="2"/>
      <c r="S39" s="2"/>
      <c r="T39" s="2"/>
      <c r="U39" s="2"/>
      <c r="V39" s="2"/>
      <c r="W39" s="2"/>
      <c r="X39" s="2"/>
      <c r="Y39" s="2"/>
      <c r="Z39" s="2"/>
    </row>
    <row r="40" spans="1:26" ht="18">
      <c r="A40" s="1111">
        <v>0.47</v>
      </c>
      <c r="B40" s="1112">
        <f t="array" ref="B40">NPV(A40,'FE Cash Flow'!$E$15,'FE Cash Flow'!$F$15,'FE Cash Flow'!$G$15,'FE Cash Flow'!$H$15,'FE Cash Flow'!$I$15)+'FE Cash Flow'!$D$15</f>
        <v>-100881.44991888071</v>
      </c>
      <c r="C40" s="2"/>
      <c r="D40" s="2"/>
      <c r="E40" s="2"/>
      <c r="F40" s="2"/>
      <c r="G40" s="2"/>
      <c r="H40" s="2"/>
      <c r="I40" s="2"/>
      <c r="J40" s="2"/>
      <c r="K40" s="2"/>
      <c r="L40" s="2"/>
      <c r="M40" s="2"/>
      <c r="N40" s="2"/>
      <c r="O40" s="2"/>
      <c r="P40" s="2"/>
      <c r="Q40" s="2"/>
      <c r="R40" s="2"/>
      <c r="S40" s="2"/>
      <c r="T40" s="2"/>
      <c r="U40" s="2"/>
      <c r="V40" s="2"/>
      <c r="W40" s="2"/>
      <c r="X40" s="2"/>
      <c r="Y40" s="2"/>
      <c r="Z40" s="2"/>
    </row>
    <row r="41" spans="1:26" ht="18">
      <c r="A41" s="1111">
        <v>0.48</v>
      </c>
      <c r="B41" s="1112">
        <f t="array" ref="B41">NPV(A41,'FE Cash Flow'!$E$15,'FE Cash Flow'!$F$15,'FE Cash Flow'!$G$15,'FE Cash Flow'!$H$15,'FE Cash Flow'!$I$15)+'FE Cash Flow'!$D$15</f>
        <v>-128904.53223793453</v>
      </c>
      <c r="C41" s="2"/>
      <c r="D41" s="2"/>
      <c r="E41" s="2"/>
      <c r="F41" s="2"/>
      <c r="G41" s="2"/>
      <c r="H41" s="2"/>
      <c r="I41" s="2"/>
      <c r="J41" s="2"/>
      <c r="K41" s="2"/>
      <c r="L41" s="2"/>
      <c r="M41" s="2"/>
      <c r="N41" s="2"/>
      <c r="O41" s="2"/>
      <c r="P41" s="2"/>
      <c r="Q41" s="2"/>
      <c r="R41" s="2"/>
      <c r="S41" s="2"/>
      <c r="T41" s="2"/>
      <c r="U41" s="2"/>
      <c r="V41" s="2"/>
      <c r="W41" s="2"/>
      <c r="X41" s="2"/>
      <c r="Y41" s="2"/>
      <c r="Z41" s="2"/>
    </row>
    <row r="42" spans="1:26" ht="18">
      <c r="A42" s="1111">
        <v>0.49</v>
      </c>
      <c r="B42" s="1112">
        <f t="array" ref="B42">NPV(A42,'FE Cash Flow'!$E$15,'FE Cash Flow'!$F$15,'FE Cash Flow'!$G$15,'FE Cash Flow'!$H$15,'FE Cash Flow'!$I$15)+'FE Cash Flow'!$D$15</f>
        <v>-155827.34685845603</v>
      </c>
      <c r="C42" s="2"/>
      <c r="D42" s="2"/>
      <c r="E42" s="2"/>
      <c r="F42" s="2"/>
      <c r="G42" s="2"/>
      <c r="H42" s="2"/>
      <c r="I42" s="2"/>
      <c r="J42" s="2"/>
      <c r="K42" s="2"/>
      <c r="L42" s="2"/>
      <c r="M42" s="2"/>
      <c r="N42" s="2"/>
      <c r="O42" s="2"/>
      <c r="P42" s="2"/>
      <c r="Q42" s="2"/>
      <c r="R42" s="2"/>
      <c r="S42" s="2"/>
      <c r="T42" s="2"/>
      <c r="U42" s="2"/>
      <c r="V42" s="2"/>
      <c r="W42" s="2"/>
      <c r="X42" s="2"/>
      <c r="Y42" s="2"/>
      <c r="Z42" s="2"/>
    </row>
    <row r="43" spans="1:26" ht="18.399999999999999" thickBot="1">
      <c r="A43" s="1115">
        <v>0.5</v>
      </c>
      <c r="B43" s="1116">
        <f t="array" ref="B43">NPV(A43,'FE Cash Flow'!$E$15,'FE Cash Flow'!$F$15,'FE Cash Flow'!$G$15,'FE Cash Flow'!$H$15,'FE Cash Flow'!$I$15)+'FE Cash Flow'!$D$15</f>
        <v>-181699.70735760231</v>
      </c>
      <c r="C43" s="2"/>
      <c r="D43" s="2"/>
      <c r="E43" s="2"/>
      <c r="F43" s="2"/>
      <c r="G43" s="2"/>
      <c r="H43" s="2"/>
      <c r="I43" s="2"/>
      <c r="J43" s="2"/>
      <c r="K43" s="2"/>
      <c r="L43" s="2"/>
      <c r="M43" s="2"/>
      <c r="N43" s="2"/>
      <c r="O43" s="2"/>
      <c r="P43" s="2"/>
      <c r="Q43" s="2"/>
      <c r="R43" s="2"/>
      <c r="S43" s="2"/>
      <c r="T43" s="2"/>
      <c r="U43" s="2"/>
      <c r="V43" s="2"/>
      <c r="W43" s="2"/>
      <c r="X43" s="2"/>
      <c r="Y43" s="2"/>
      <c r="Z43" s="2"/>
    </row>
    <row r="44" spans="1:26" ht="18">
      <c r="A44" s="1107"/>
      <c r="B44" s="1108"/>
      <c r="C44" s="2"/>
      <c r="D44" s="2"/>
      <c r="E44" s="2"/>
      <c r="F44" s="2"/>
      <c r="G44" s="2"/>
      <c r="H44" s="2"/>
      <c r="I44" s="2"/>
      <c r="J44" s="2"/>
      <c r="K44" s="2"/>
      <c r="L44" s="2"/>
      <c r="M44" s="2"/>
      <c r="N44" s="2"/>
      <c r="O44" s="2"/>
      <c r="P44" s="2"/>
      <c r="Q44" s="2"/>
      <c r="R44" s="2"/>
      <c r="S44" s="2"/>
      <c r="T44" s="2"/>
      <c r="U44" s="2"/>
      <c r="V44" s="2"/>
      <c r="W44" s="2"/>
      <c r="X44" s="2"/>
      <c r="Y44" s="2"/>
      <c r="Z44" s="2"/>
    </row>
    <row r="45" spans="1:26" ht="18">
      <c r="A45" s="406"/>
      <c r="B45" s="407"/>
      <c r="C45" s="2"/>
      <c r="D45" s="2"/>
      <c r="E45" s="2"/>
      <c r="F45" s="2"/>
      <c r="G45" s="2"/>
      <c r="H45" s="2"/>
      <c r="I45" s="2"/>
      <c r="J45" s="2"/>
      <c r="K45" s="2"/>
      <c r="L45" s="2"/>
      <c r="M45" s="2"/>
      <c r="N45" s="2"/>
      <c r="O45" s="2"/>
      <c r="P45" s="2"/>
      <c r="Q45" s="2"/>
      <c r="R45" s="2"/>
      <c r="S45" s="2"/>
      <c r="T45" s="2"/>
      <c r="U45" s="2"/>
      <c r="V45" s="2"/>
      <c r="W45" s="2"/>
      <c r="X45" s="2"/>
      <c r="Y45" s="2"/>
      <c r="Z45" s="2"/>
    </row>
    <row r="46" spans="1:26" ht="18">
      <c r="A46" s="406"/>
      <c r="B46" s="407"/>
      <c r="C46" s="2"/>
      <c r="D46" s="2"/>
      <c r="E46" s="2"/>
      <c r="F46" s="2"/>
      <c r="G46" s="2"/>
      <c r="H46" s="2"/>
      <c r="I46" s="2"/>
      <c r="J46" s="2"/>
      <c r="K46" s="2"/>
      <c r="L46" s="2"/>
      <c r="M46" s="2"/>
      <c r="N46" s="2"/>
      <c r="O46" s="2"/>
      <c r="P46" s="2"/>
      <c r="Q46" s="2"/>
      <c r="R46" s="2"/>
      <c r="S46" s="2"/>
      <c r="T46" s="2"/>
      <c r="U46" s="2"/>
      <c r="V46" s="2"/>
      <c r="W46" s="2"/>
      <c r="X46" s="2"/>
      <c r="Y46" s="2"/>
      <c r="Z46" s="2"/>
    </row>
    <row r="47" spans="1:26" ht="18">
      <c r="A47" s="406"/>
      <c r="B47" s="407"/>
      <c r="C47" s="2"/>
      <c r="D47" s="2"/>
      <c r="E47" s="2"/>
      <c r="F47" s="2"/>
      <c r="G47" s="2"/>
      <c r="H47" s="2"/>
      <c r="I47" s="2"/>
      <c r="J47" s="2"/>
      <c r="K47" s="2"/>
      <c r="L47" s="2"/>
      <c r="M47" s="2"/>
      <c r="N47" s="2"/>
      <c r="O47" s="2"/>
      <c r="P47" s="2"/>
      <c r="Q47" s="2"/>
      <c r="R47" s="2"/>
      <c r="S47" s="2"/>
      <c r="T47" s="2"/>
      <c r="U47" s="2"/>
      <c r="V47" s="2"/>
      <c r="W47" s="2"/>
      <c r="X47" s="2"/>
      <c r="Y47" s="2"/>
      <c r="Z47" s="2"/>
    </row>
    <row r="48" spans="1:26" ht="18">
      <c r="A48" s="406"/>
      <c r="B48" s="407"/>
      <c r="C48" s="2"/>
      <c r="D48" s="2"/>
      <c r="E48" s="2"/>
      <c r="F48" s="2"/>
      <c r="G48" s="2"/>
      <c r="H48" s="2"/>
      <c r="I48" s="2"/>
      <c r="J48" s="2"/>
      <c r="K48" s="2"/>
      <c r="L48" s="2"/>
      <c r="M48" s="2"/>
      <c r="N48" s="2"/>
      <c r="O48" s="2"/>
      <c r="P48" s="2"/>
      <c r="Q48" s="2"/>
      <c r="R48" s="2"/>
      <c r="S48" s="2"/>
      <c r="T48" s="2"/>
      <c r="U48" s="2"/>
      <c r="V48" s="2"/>
      <c r="W48" s="2"/>
      <c r="X48" s="2"/>
      <c r="Y48" s="2"/>
      <c r="Z48" s="2"/>
    </row>
    <row r="49" spans="1:26" ht="18">
      <c r="A49" s="406"/>
      <c r="B49" s="407"/>
      <c r="C49" s="2"/>
      <c r="D49" s="2"/>
      <c r="E49" s="2"/>
      <c r="F49" s="2"/>
      <c r="G49" s="2"/>
      <c r="H49" s="2"/>
      <c r="I49" s="2"/>
      <c r="J49" s="2"/>
      <c r="K49" s="2"/>
      <c r="L49" s="2"/>
      <c r="M49" s="2"/>
      <c r="N49" s="2"/>
      <c r="O49" s="2"/>
      <c r="P49" s="2"/>
      <c r="Q49" s="2"/>
      <c r="R49" s="2"/>
      <c r="S49" s="2"/>
      <c r="T49" s="2"/>
      <c r="U49" s="2"/>
      <c r="V49" s="2"/>
      <c r="W49" s="2"/>
      <c r="X49" s="2"/>
      <c r="Y49" s="2"/>
      <c r="Z49" s="2"/>
    </row>
    <row r="50" spans="1:26" ht="18">
      <c r="A50" s="406"/>
      <c r="B50" s="407"/>
      <c r="C50" s="2"/>
      <c r="D50" s="2"/>
      <c r="E50" s="2"/>
      <c r="F50" s="2"/>
      <c r="G50" s="2"/>
      <c r="H50" s="2"/>
      <c r="I50" s="2"/>
      <c r="J50" s="2"/>
      <c r="K50" s="2"/>
      <c r="L50" s="2"/>
      <c r="M50" s="2"/>
      <c r="N50" s="2"/>
      <c r="O50" s="2"/>
      <c r="P50" s="2"/>
      <c r="Q50" s="2"/>
      <c r="R50" s="2"/>
      <c r="S50" s="2"/>
      <c r="T50" s="2"/>
      <c r="U50" s="2"/>
      <c r="V50" s="2"/>
      <c r="W50" s="2"/>
      <c r="X50" s="2"/>
      <c r="Y50" s="2"/>
      <c r="Z50" s="2"/>
    </row>
    <row r="51" spans="1:26" ht="18">
      <c r="A51" s="406"/>
      <c r="B51" s="407"/>
      <c r="C51" s="2"/>
      <c r="D51" s="2"/>
      <c r="E51" s="2"/>
      <c r="F51" s="2"/>
      <c r="G51" s="2"/>
      <c r="H51" s="2"/>
      <c r="I51" s="2"/>
      <c r="J51" s="2"/>
      <c r="K51" s="2"/>
      <c r="L51" s="2"/>
      <c r="M51" s="2"/>
      <c r="N51" s="2"/>
      <c r="O51" s="2"/>
      <c r="P51" s="2"/>
      <c r="Q51" s="2"/>
      <c r="R51" s="2"/>
      <c r="S51" s="2"/>
      <c r="T51" s="2"/>
      <c r="U51" s="2"/>
      <c r="V51" s="2"/>
      <c r="W51" s="2"/>
      <c r="X51" s="2"/>
      <c r="Y51" s="2"/>
      <c r="Z51" s="2"/>
    </row>
    <row r="52" spans="1:26" ht="18">
      <c r="A52" s="406"/>
      <c r="B52" s="407"/>
      <c r="C52" s="2"/>
      <c r="D52" s="2"/>
      <c r="E52" s="2"/>
      <c r="F52" s="2"/>
      <c r="G52" s="2"/>
      <c r="H52" s="2"/>
      <c r="I52" s="2"/>
      <c r="J52" s="2"/>
      <c r="K52" s="2"/>
      <c r="L52" s="2"/>
      <c r="M52" s="2"/>
      <c r="N52" s="2"/>
      <c r="O52" s="2"/>
      <c r="P52" s="2"/>
      <c r="Q52" s="2"/>
      <c r="R52" s="2"/>
      <c r="S52" s="2"/>
      <c r="T52" s="2"/>
      <c r="U52" s="2"/>
      <c r="V52" s="2"/>
      <c r="W52" s="2"/>
      <c r="X52" s="2"/>
      <c r="Y52" s="2"/>
      <c r="Z52" s="2"/>
    </row>
    <row r="53" spans="1:26" ht="18">
      <c r="A53" s="406"/>
      <c r="B53" s="407"/>
      <c r="C53" s="2"/>
      <c r="D53" s="2"/>
      <c r="E53" s="2"/>
      <c r="F53" s="2"/>
      <c r="G53" s="2"/>
      <c r="H53" s="2"/>
      <c r="I53" s="2"/>
      <c r="J53" s="2"/>
      <c r="K53" s="2"/>
      <c r="L53" s="2"/>
      <c r="M53" s="2"/>
      <c r="N53" s="2"/>
      <c r="O53" s="2"/>
      <c r="P53" s="2"/>
      <c r="Q53" s="2"/>
      <c r="R53" s="2"/>
      <c r="S53" s="2"/>
      <c r="T53" s="2"/>
      <c r="U53" s="2"/>
      <c r="V53" s="2"/>
      <c r="W53" s="2"/>
      <c r="X53" s="2"/>
      <c r="Y53" s="2"/>
      <c r="Z53" s="2"/>
    </row>
    <row r="54" spans="1:26" ht="18">
      <c r="A54" s="406"/>
      <c r="B54" s="407"/>
      <c r="C54" s="2"/>
      <c r="D54" s="2"/>
      <c r="E54" s="2"/>
      <c r="F54" s="2"/>
      <c r="G54" s="2"/>
      <c r="H54" s="2"/>
      <c r="I54" s="2"/>
      <c r="J54" s="2"/>
      <c r="K54" s="2"/>
      <c r="L54" s="2"/>
      <c r="M54" s="2"/>
      <c r="N54" s="2"/>
      <c r="O54" s="2"/>
      <c r="P54" s="2"/>
      <c r="Q54" s="2"/>
      <c r="R54" s="2"/>
      <c r="S54" s="2"/>
      <c r="T54" s="2"/>
      <c r="U54" s="2"/>
      <c r="V54" s="2"/>
      <c r="W54" s="2"/>
      <c r="X54" s="2"/>
      <c r="Y54" s="2"/>
      <c r="Z54" s="2"/>
    </row>
    <row r="55" spans="1:26" ht="18">
      <c r="A55" s="406"/>
      <c r="B55" s="407"/>
      <c r="C55" s="2"/>
      <c r="D55" s="2"/>
      <c r="E55" s="2"/>
      <c r="F55" s="2"/>
      <c r="G55" s="2"/>
      <c r="H55" s="2"/>
      <c r="I55" s="2"/>
      <c r="J55" s="2"/>
      <c r="K55" s="2"/>
      <c r="L55" s="2"/>
      <c r="M55" s="2"/>
      <c r="N55" s="2"/>
      <c r="O55" s="2"/>
      <c r="P55" s="2"/>
      <c r="Q55" s="2"/>
      <c r="R55" s="2"/>
      <c r="S55" s="2"/>
      <c r="T55" s="2"/>
      <c r="U55" s="2"/>
      <c r="V55" s="2"/>
      <c r="W55" s="2"/>
      <c r="X55" s="2"/>
      <c r="Y55" s="2"/>
      <c r="Z55" s="2"/>
    </row>
    <row r="56" spans="1:26" ht="18">
      <c r="A56" s="406"/>
      <c r="B56" s="407"/>
      <c r="C56" s="2"/>
      <c r="D56" s="2"/>
      <c r="E56" s="2"/>
      <c r="F56" s="2"/>
      <c r="G56" s="2"/>
      <c r="H56" s="2"/>
      <c r="I56" s="2"/>
      <c r="J56" s="2"/>
      <c r="K56" s="2"/>
      <c r="L56" s="2"/>
      <c r="M56" s="2"/>
      <c r="N56" s="2"/>
      <c r="O56" s="2"/>
      <c r="P56" s="2"/>
      <c r="Q56" s="2"/>
      <c r="R56" s="2"/>
      <c r="S56" s="2"/>
      <c r="T56" s="2"/>
      <c r="U56" s="2"/>
      <c r="V56" s="2"/>
      <c r="W56" s="2"/>
      <c r="X56" s="2"/>
      <c r="Y56" s="2"/>
      <c r="Z56" s="2"/>
    </row>
    <row r="57" spans="1:26" ht="18">
      <c r="A57" s="406"/>
      <c r="B57" s="407"/>
      <c r="C57" s="2"/>
      <c r="D57" s="2"/>
      <c r="E57" s="2"/>
      <c r="F57" s="2"/>
      <c r="G57" s="2"/>
      <c r="H57" s="2"/>
      <c r="I57" s="2"/>
      <c r="J57" s="2"/>
      <c r="K57" s="2"/>
      <c r="L57" s="2"/>
      <c r="M57" s="2"/>
      <c r="N57" s="2"/>
      <c r="O57" s="2"/>
      <c r="P57" s="2"/>
      <c r="Q57" s="2"/>
      <c r="R57" s="2"/>
      <c r="S57" s="2"/>
      <c r="T57" s="2"/>
      <c r="U57" s="2"/>
      <c r="V57" s="2"/>
      <c r="W57" s="2"/>
      <c r="X57" s="2"/>
      <c r="Y57" s="2"/>
      <c r="Z57" s="2"/>
    </row>
    <row r="58" spans="1:26" ht="18">
      <c r="A58" s="406"/>
      <c r="B58" s="407"/>
      <c r="C58" s="2"/>
      <c r="D58" s="2"/>
      <c r="E58" s="2"/>
      <c r="F58" s="2"/>
      <c r="G58" s="2"/>
      <c r="H58" s="2"/>
      <c r="I58" s="2"/>
      <c r="J58" s="2"/>
      <c r="K58" s="2"/>
      <c r="L58" s="2"/>
      <c r="M58" s="2"/>
      <c r="N58" s="2"/>
      <c r="O58" s="2"/>
      <c r="P58" s="2"/>
      <c r="Q58" s="2"/>
      <c r="R58" s="2"/>
      <c r="S58" s="2"/>
      <c r="T58" s="2"/>
      <c r="U58" s="2"/>
      <c r="V58" s="2"/>
      <c r="W58" s="2"/>
      <c r="X58" s="2"/>
      <c r="Y58" s="2"/>
      <c r="Z58" s="2"/>
    </row>
    <row r="59" spans="1:26" ht="18">
      <c r="A59" s="406"/>
      <c r="B59" s="407"/>
      <c r="C59" s="2"/>
      <c r="D59" s="2"/>
      <c r="E59" s="2"/>
      <c r="F59" s="2"/>
      <c r="G59" s="2"/>
      <c r="H59" s="2"/>
      <c r="I59" s="2"/>
      <c r="J59" s="2"/>
      <c r="K59" s="2"/>
      <c r="L59" s="2"/>
      <c r="M59" s="2"/>
      <c r="N59" s="2"/>
      <c r="O59" s="2"/>
      <c r="P59" s="2"/>
      <c r="Q59" s="2"/>
      <c r="R59" s="2"/>
      <c r="S59" s="2"/>
      <c r="T59" s="2"/>
      <c r="U59" s="2"/>
      <c r="V59" s="2"/>
      <c r="W59" s="2"/>
      <c r="X59" s="2"/>
      <c r="Y59" s="2"/>
      <c r="Z59" s="2"/>
    </row>
    <row r="60" spans="1:26" ht="18">
      <c r="A60" s="406"/>
      <c r="B60" s="407"/>
      <c r="C60" s="2"/>
      <c r="D60" s="2"/>
      <c r="E60" s="2"/>
      <c r="F60" s="2"/>
      <c r="G60" s="2"/>
      <c r="H60" s="2"/>
      <c r="I60" s="2"/>
      <c r="J60" s="2"/>
      <c r="K60" s="2"/>
      <c r="L60" s="2"/>
      <c r="M60" s="2"/>
      <c r="N60" s="2"/>
      <c r="O60" s="2"/>
      <c r="P60" s="2"/>
      <c r="Q60" s="2"/>
      <c r="R60" s="2"/>
      <c r="S60" s="2"/>
      <c r="T60" s="2"/>
      <c r="U60" s="2"/>
      <c r="V60" s="2"/>
      <c r="W60" s="2"/>
      <c r="X60" s="2"/>
      <c r="Y60" s="2"/>
      <c r="Z60" s="2"/>
    </row>
    <row r="61" spans="1:26" ht="18">
      <c r="A61" s="406"/>
      <c r="B61" s="407"/>
      <c r="C61" s="2"/>
      <c r="D61" s="2"/>
      <c r="E61" s="2"/>
      <c r="F61" s="2"/>
      <c r="G61" s="2"/>
      <c r="H61" s="2"/>
      <c r="I61" s="2"/>
      <c r="J61" s="2"/>
      <c r="K61" s="2"/>
      <c r="L61" s="2"/>
      <c r="M61" s="2"/>
      <c r="N61" s="2"/>
      <c r="O61" s="2"/>
      <c r="P61" s="2"/>
      <c r="Q61" s="2"/>
      <c r="R61" s="2"/>
      <c r="S61" s="2"/>
      <c r="T61" s="2"/>
      <c r="U61" s="2"/>
      <c r="V61" s="2"/>
      <c r="W61" s="2"/>
      <c r="X61" s="2"/>
      <c r="Y61" s="2"/>
      <c r="Z61" s="2"/>
    </row>
    <row r="62" spans="1:26" ht="18">
      <c r="A62" s="406"/>
      <c r="B62" s="407"/>
      <c r="C62" s="2"/>
      <c r="D62" s="2"/>
      <c r="E62" s="2"/>
      <c r="F62" s="2"/>
      <c r="G62" s="2"/>
      <c r="H62" s="2"/>
      <c r="I62" s="2"/>
      <c r="J62" s="2"/>
      <c r="K62" s="2"/>
      <c r="L62" s="2"/>
      <c r="M62" s="2"/>
      <c r="N62" s="2"/>
      <c r="O62" s="2"/>
      <c r="P62" s="2"/>
      <c r="Q62" s="2"/>
      <c r="R62" s="2"/>
      <c r="S62" s="2"/>
      <c r="T62" s="2"/>
      <c r="U62" s="2"/>
      <c r="V62" s="2"/>
      <c r="W62" s="2"/>
      <c r="X62" s="2"/>
      <c r="Y62" s="2"/>
      <c r="Z62" s="2"/>
    </row>
    <row r="63" spans="1:26" ht="18">
      <c r="A63" s="406"/>
      <c r="B63" s="407"/>
      <c r="C63" s="2"/>
      <c r="D63" s="2"/>
      <c r="E63" s="2"/>
      <c r="F63" s="2"/>
      <c r="G63" s="2"/>
      <c r="H63" s="2"/>
      <c r="I63" s="2"/>
      <c r="J63" s="2"/>
      <c r="K63" s="2"/>
      <c r="L63" s="2"/>
      <c r="M63" s="2"/>
      <c r="N63" s="2"/>
      <c r="O63" s="2"/>
      <c r="P63" s="2"/>
      <c r="Q63" s="2"/>
      <c r="R63" s="2"/>
      <c r="S63" s="2"/>
      <c r="T63" s="2"/>
      <c r="U63" s="2"/>
      <c r="V63" s="2"/>
      <c r="W63" s="2"/>
      <c r="X63" s="2"/>
      <c r="Y63" s="2"/>
      <c r="Z63" s="2"/>
    </row>
    <row r="64" spans="1:26" ht="18">
      <c r="A64" s="406"/>
      <c r="B64" s="407"/>
      <c r="C64" s="2"/>
      <c r="D64" s="2"/>
      <c r="E64" s="2"/>
      <c r="F64" s="2"/>
      <c r="G64" s="2"/>
      <c r="H64" s="2"/>
      <c r="I64" s="2"/>
      <c r="J64" s="2"/>
      <c r="K64" s="2"/>
      <c r="L64" s="2"/>
      <c r="M64" s="2"/>
      <c r="N64" s="2"/>
      <c r="O64" s="2"/>
      <c r="P64" s="2"/>
      <c r="Q64" s="2"/>
      <c r="R64" s="2"/>
      <c r="S64" s="2"/>
      <c r="T64" s="2"/>
      <c r="U64" s="2"/>
      <c r="V64" s="2"/>
      <c r="W64" s="2"/>
      <c r="X64" s="2"/>
      <c r="Y64" s="2"/>
      <c r="Z64" s="2"/>
    </row>
    <row r="65" spans="1:26" ht="18">
      <c r="A65" s="406"/>
      <c r="B65" s="407"/>
      <c r="C65" s="2"/>
      <c r="D65" s="2"/>
      <c r="E65" s="2"/>
      <c r="F65" s="2"/>
      <c r="G65" s="2"/>
      <c r="H65" s="2"/>
      <c r="I65" s="2"/>
      <c r="J65" s="2"/>
      <c r="K65" s="2"/>
      <c r="L65" s="2"/>
      <c r="M65" s="2"/>
      <c r="N65" s="2"/>
      <c r="O65" s="2"/>
      <c r="P65" s="2"/>
      <c r="Q65" s="2"/>
      <c r="R65" s="2"/>
      <c r="S65" s="2"/>
      <c r="T65" s="2"/>
      <c r="U65" s="2"/>
      <c r="V65" s="2"/>
      <c r="W65" s="2"/>
      <c r="X65" s="2"/>
      <c r="Y65" s="2"/>
      <c r="Z65" s="2"/>
    </row>
    <row r="66" spans="1:26" ht="18">
      <c r="A66" s="406"/>
      <c r="B66" s="407"/>
      <c r="C66" s="2"/>
      <c r="D66" s="2"/>
      <c r="E66" s="2"/>
      <c r="F66" s="2"/>
      <c r="G66" s="2"/>
      <c r="H66" s="2"/>
      <c r="I66" s="2"/>
      <c r="J66" s="2"/>
      <c r="K66" s="2"/>
      <c r="L66" s="2"/>
      <c r="M66" s="2"/>
      <c r="N66" s="2"/>
      <c r="O66" s="2"/>
      <c r="P66" s="2"/>
      <c r="Q66" s="2"/>
      <c r="R66" s="2"/>
      <c r="S66" s="2"/>
      <c r="T66" s="2"/>
      <c r="U66" s="2"/>
      <c r="V66" s="2"/>
      <c r="W66" s="2"/>
      <c r="X66" s="2"/>
      <c r="Y66" s="2"/>
      <c r="Z66" s="2"/>
    </row>
    <row r="67" spans="1:26" ht="18">
      <c r="A67" s="406"/>
      <c r="B67" s="407"/>
      <c r="C67" s="2"/>
      <c r="D67" s="2"/>
      <c r="E67" s="2"/>
      <c r="F67" s="2"/>
      <c r="G67" s="2"/>
      <c r="H67" s="2"/>
      <c r="I67" s="2"/>
      <c r="J67" s="2"/>
      <c r="K67" s="2"/>
      <c r="L67" s="2"/>
      <c r="M67" s="2"/>
      <c r="N67" s="2"/>
      <c r="O67" s="2"/>
      <c r="P67" s="2"/>
      <c r="Q67" s="2"/>
      <c r="R67" s="2"/>
      <c r="S67" s="2"/>
      <c r="T67" s="2"/>
      <c r="U67" s="2"/>
      <c r="V67" s="2"/>
      <c r="W67" s="2"/>
      <c r="X67" s="2"/>
      <c r="Y67" s="2"/>
      <c r="Z67" s="2"/>
    </row>
    <row r="68" spans="1:26" ht="18">
      <c r="A68" s="406"/>
      <c r="B68" s="407"/>
      <c r="C68" s="2"/>
      <c r="D68" s="2"/>
      <c r="E68" s="2"/>
      <c r="F68" s="2"/>
      <c r="G68" s="2"/>
      <c r="H68" s="2"/>
      <c r="I68" s="2"/>
      <c r="J68" s="2"/>
      <c r="K68" s="2"/>
      <c r="L68" s="2"/>
      <c r="M68" s="2"/>
      <c r="N68" s="2"/>
      <c r="O68" s="2"/>
      <c r="P68" s="2"/>
      <c r="Q68" s="2"/>
      <c r="R68" s="2"/>
      <c r="S68" s="2"/>
      <c r="T68" s="2"/>
      <c r="U68" s="2"/>
      <c r="V68" s="2"/>
      <c r="W68" s="2"/>
      <c r="X68" s="2"/>
      <c r="Y68" s="2"/>
      <c r="Z68" s="2"/>
    </row>
    <row r="69" spans="1:26" ht="18">
      <c r="A69" s="406"/>
      <c r="B69" s="407"/>
      <c r="C69" s="2"/>
      <c r="D69" s="2"/>
      <c r="E69" s="2"/>
      <c r="F69" s="2"/>
      <c r="G69" s="2"/>
      <c r="H69" s="2"/>
      <c r="I69" s="2"/>
      <c r="J69" s="2"/>
      <c r="K69" s="2"/>
      <c r="L69" s="2"/>
      <c r="M69" s="2"/>
      <c r="N69" s="2"/>
      <c r="O69" s="2"/>
      <c r="P69" s="2"/>
      <c r="Q69" s="2"/>
      <c r="R69" s="2"/>
      <c r="S69" s="2"/>
      <c r="T69" s="2"/>
      <c r="U69" s="2"/>
      <c r="V69" s="2"/>
      <c r="W69" s="2"/>
      <c r="X69" s="2"/>
      <c r="Y69" s="2"/>
      <c r="Z69" s="2"/>
    </row>
    <row r="70" spans="1:26" ht="18">
      <c r="A70" s="406"/>
      <c r="B70" s="407"/>
      <c r="C70" s="2"/>
      <c r="D70" s="2"/>
      <c r="E70" s="2"/>
      <c r="F70" s="2"/>
      <c r="G70" s="2"/>
      <c r="H70" s="2"/>
      <c r="I70" s="2"/>
      <c r="J70" s="2"/>
      <c r="K70" s="2"/>
      <c r="L70" s="2"/>
      <c r="M70" s="2"/>
      <c r="N70" s="2"/>
      <c r="O70" s="2"/>
      <c r="P70" s="2"/>
      <c r="Q70" s="2"/>
      <c r="R70" s="2"/>
      <c r="S70" s="2"/>
      <c r="T70" s="2"/>
      <c r="U70" s="2"/>
      <c r="V70" s="2"/>
      <c r="W70" s="2"/>
      <c r="X70" s="2"/>
      <c r="Y70" s="2"/>
      <c r="Z70" s="2"/>
    </row>
    <row r="71" spans="1:26" ht="18">
      <c r="A71" s="406"/>
      <c r="B71" s="407"/>
      <c r="C71" s="2"/>
      <c r="D71" s="2"/>
      <c r="E71" s="2"/>
      <c r="F71" s="2"/>
      <c r="G71" s="2"/>
      <c r="H71" s="2"/>
      <c r="I71" s="2"/>
      <c r="J71" s="2"/>
      <c r="K71" s="2"/>
      <c r="L71" s="2"/>
      <c r="M71" s="2"/>
      <c r="N71" s="2"/>
      <c r="O71" s="2"/>
      <c r="P71" s="2"/>
      <c r="Q71" s="2"/>
      <c r="R71" s="2"/>
      <c r="S71" s="2"/>
      <c r="T71" s="2"/>
      <c r="U71" s="2"/>
      <c r="V71" s="2"/>
      <c r="W71" s="2"/>
      <c r="X71" s="2"/>
      <c r="Y71" s="2"/>
      <c r="Z71" s="2"/>
    </row>
    <row r="72" spans="1:26" ht="18">
      <c r="A72" s="406"/>
      <c r="B72" s="407"/>
      <c r="C72" s="2"/>
      <c r="D72" s="2"/>
      <c r="E72" s="2"/>
      <c r="F72" s="2"/>
      <c r="G72" s="2"/>
      <c r="H72" s="2"/>
      <c r="I72" s="2"/>
      <c r="J72" s="2"/>
      <c r="K72" s="2"/>
      <c r="L72" s="2"/>
      <c r="M72" s="2"/>
      <c r="N72" s="2"/>
      <c r="O72" s="2"/>
      <c r="P72" s="2"/>
      <c r="Q72" s="2"/>
      <c r="R72" s="2"/>
      <c r="S72" s="2"/>
      <c r="T72" s="2"/>
      <c r="U72" s="2"/>
      <c r="V72" s="2"/>
      <c r="W72" s="2"/>
      <c r="X72" s="2"/>
      <c r="Y72" s="2"/>
      <c r="Z72" s="2"/>
    </row>
    <row r="73" spans="1:26" ht="18">
      <c r="A73" s="406"/>
      <c r="B73" s="407"/>
      <c r="C73" s="2"/>
      <c r="D73" s="2"/>
      <c r="E73" s="2"/>
      <c r="F73" s="2"/>
      <c r="G73" s="2"/>
      <c r="H73" s="2"/>
      <c r="I73" s="2"/>
      <c r="J73" s="2"/>
      <c r="K73" s="2"/>
      <c r="L73" s="2"/>
      <c r="M73" s="2"/>
      <c r="N73" s="2"/>
      <c r="O73" s="2"/>
      <c r="P73" s="2"/>
      <c r="Q73" s="2"/>
      <c r="R73" s="2"/>
      <c r="S73" s="2"/>
      <c r="T73" s="2"/>
      <c r="U73" s="2"/>
      <c r="V73" s="2"/>
      <c r="W73" s="2"/>
      <c r="X73" s="2"/>
      <c r="Y73" s="2"/>
      <c r="Z73" s="2"/>
    </row>
    <row r="74" spans="1:26" ht="18">
      <c r="A74" s="406"/>
      <c r="B74" s="407"/>
      <c r="C74" s="2"/>
      <c r="D74" s="2"/>
      <c r="E74" s="2"/>
      <c r="F74" s="2"/>
      <c r="G74" s="2"/>
      <c r="H74" s="2"/>
      <c r="I74" s="2"/>
      <c r="J74" s="2"/>
      <c r="K74" s="2"/>
      <c r="L74" s="2"/>
      <c r="M74" s="2"/>
      <c r="N74" s="2"/>
      <c r="O74" s="2"/>
      <c r="P74" s="2"/>
      <c r="Q74" s="2"/>
      <c r="R74" s="2"/>
      <c r="S74" s="2"/>
      <c r="T74" s="2"/>
      <c r="U74" s="2"/>
      <c r="V74" s="2"/>
      <c r="W74" s="2"/>
      <c r="X74" s="2"/>
      <c r="Y74" s="2"/>
      <c r="Z74" s="2"/>
    </row>
    <row r="75" spans="1:26" ht="18">
      <c r="A75" s="406"/>
      <c r="B75" s="407"/>
      <c r="C75" s="2"/>
      <c r="D75" s="2"/>
      <c r="E75" s="2"/>
      <c r="F75" s="2"/>
      <c r="G75" s="2"/>
      <c r="H75" s="2"/>
      <c r="I75" s="2"/>
      <c r="J75" s="2"/>
      <c r="K75" s="2"/>
      <c r="L75" s="2"/>
      <c r="M75" s="2"/>
      <c r="N75" s="2"/>
      <c r="O75" s="2"/>
      <c r="P75" s="2"/>
      <c r="Q75" s="2"/>
      <c r="R75" s="2"/>
      <c r="S75" s="2"/>
      <c r="T75" s="2"/>
      <c r="U75" s="2"/>
      <c r="V75" s="2"/>
      <c r="W75" s="2"/>
      <c r="X75" s="2"/>
      <c r="Y75" s="2"/>
      <c r="Z75" s="2"/>
    </row>
    <row r="76" spans="1:26" ht="18">
      <c r="A76" s="406"/>
      <c r="B76" s="407"/>
      <c r="C76" s="2"/>
      <c r="D76" s="2"/>
      <c r="E76" s="2"/>
      <c r="F76" s="2"/>
      <c r="G76" s="2"/>
      <c r="H76" s="2"/>
      <c r="I76" s="2"/>
      <c r="J76" s="2"/>
      <c r="K76" s="2"/>
      <c r="L76" s="2"/>
      <c r="M76" s="2"/>
      <c r="N76" s="2"/>
      <c r="O76" s="2"/>
      <c r="P76" s="2"/>
      <c r="Q76" s="2"/>
      <c r="R76" s="2"/>
      <c r="S76" s="2"/>
      <c r="T76" s="2"/>
      <c r="U76" s="2"/>
      <c r="V76" s="2"/>
      <c r="W76" s="2"/>
      <c r="X76" s="2"/>
      <c r="Y76" s="2"/>
      <c r="Z76" s="2"/>
    </row>
    <row r="77" spans="1:26" ht="18">
      <c r="A77" s="406"/>
      <c r="B77" s="407"/>
      <c r="C77" s="2"/>
      <c r="D77" s="2"/>
      <c r="E77" s="2"/>
      <c r="F77" s="2"/>
      <c r="G77" s="2"/>
      <c r="H77" s="2"/>
      <c r="I77" s="2"/>
      <c r="J77" s="2"/>
      <c r="K77" s="2"/>
      <c r="L77" s="2"/>
      <c r="M77" s="2"/>
      <c r="N77" s="2"/>
      <c r="O77" s="2"/>
      <c r="P77" s="2"/>
      <c r="Q77" s="2"/>
      <c r="R77" s="2"/>
      <c r="S77" s="2"/>
      <c r="T77" s="2"/>
      <c r="U77" s="2"/>
      <c r="V77" s="2"/>
      <c r="W77" s="2"/>
      <c r="X77" s="2"/>
      <c r="Y77" s="2"/>
      <c r="Z77" s="2"/>
    </row>
    <row r="78" spans="1:26" ht="18">
      <c r="A78" s="406"/>
      <c r="B78" s="407"/>
      <c r="C78" s="2"/>
      <c r="D78" s="2"/>
      <c r="E78" s="2"/>
      <c r="F78" s="2"/>
      <c r="G78" s="2"/>
      <c r="H78" s="2"/>
      <c r="I78" s="2"/>
      <c r="J78" s="2"/>
      <c r="K78" s="2"/>
      <c r="L78" s="2"/>
      <c r="M78" s="2"/>
      <c r="N78" s="2"/>
      <c r="O78" s="2"/>
      <c r="P78" s="2"/>
      <c r="Q78" s="2"/>
      <c r="R78" s="2"/>
      <c r="S78" s="2"/>
      <c r="T78" s="2"/>
      <c r="U78" s="2"/>
      <c r="V78" s="2"/>
      <c r="W78" s="2"/>
      <c r="X78" s="2"/>
      <c r="Y78" s="2"/>
      <c r="Z78" s="2"/>
    </row>
    <row r="79" spans="1:26" ht="18">
      <c r="A79" s="406"/>
      <c r="B79" s="407"/>
      <c r="C79" s="2"/>
      <c r="D79" s="2"/>
      <c r="E79" s="2"/>
      <c r="F79" s="2"/>
      <c r="G79" s="2"/>
      <c r="H79" s="2"/>
      <c r="I79" s="2"/>
      <c r="J79" s="2"/>
      <c r="K79" s="2"/>
      <c r="L79" s="2"/>
      <c r="M79" s="2"/>
      <c r="N79" s="2"/>
      <c r="O79" s="2"/>
      <c r="P79" s="2"/>
      <c r="Q79" s="2"/>
      <c r="R79" s="2"/>
      <c r="S79" s="2"/>
      <c r="T79" s="2"/>
      <c r="U79" s="2"/>
      <c r="V79" s="2"/>
      <c r="W79" s="2"/>
      <c r="X79" s="2"/>
      <c r="Y79" s="2"/>
      <c r="Z79" s="2"/>
    </row>
    <row r="80" spans="1:26" ht="18">
      <c r="A80" s="406"/>
      <c r="B80" s="407"/>
      <c r="C80" s="2"/>
      <c r="D80" s="2"/>
      <c r="E80" s="2"/>
      <c r="F80" s="2"/>
      <c r="G80" s="2"/>
      <c r="H80" s="2"/>
      <c r="I80" s="2"/>
      <c r="J80" s="2"/>
      <c r="K80" s="2"/>
      <c r="L80" s="2"/>
      <c r="M80" s="2"/>
      <c r="N80" s="2"/>
      <c r="O80" s="2"/>
      <c r="P80" s="2"/>
      <c r="Q80" s="2"/>
      <c r="R80" s="2"/>
      <c r="S80" s="2"/>
      <c r="T80" s="2"/>
      <c r="U80" s="2"/>
      <c r="V80" s="2"/>
      <c r="W80" s="2"/>
      <c r="X80" s="2"/>
      <c r="Y80" s="2"/>
      <c r="Z80" s="2"/>
    </row>
    <row r="81" spans="1:26" ht="18">
      <c r="A81" s="406"/>
      <c r="B81" s="407"/>
      <c r="C81" s="2"/>
      <c r="D81" s="2"/>
      <c r="E81" s="2"/>
      <c r="F81" s="2"/>
      <c r="G81" s="2"/>
      <c r="H81" s="2"/>
      <c r="I81" s="2"/>
      <c r="J81" s="2"/>
      <c r="K81" s="2"/>
      <c r="L81" s="2"/>
      <c r="M81" s="2"/>
      <c r="N81" s="2"/>
      <c r="O81" s="2"/>
      <c r="P81" s="2"/>
      <c r="Q81" s="2"/>
      <c r="R81" s="2"/>
      <c r="S81" s="2"/>
      <c r="T81" s="2"/>
      <c r="U81" s="2"/>
      <c r="V81" s="2"/>
      <c r="W81" s="2"/>
      <c r="X81" s="2"/>
      <c r="Y81" s="2"/>
      <c r="Z81" s="2"/>
    </row>
    <row r="82" spans="1:26" ht="18">
      <c r="A82" s="406"/>
      <c r="B82" s="407"/>
      <c r="C82" s="2"/>
      <c r="D82" s="2"/>
      <c r="E82" s="2"/>
      <c r="F82" s="2"/>
      <c r="G82" s="2"/>
      <c r="H82" s="2"/>
      <c r="I82" s="2"/>
      <c r="J82" s="2"/>
      <c r="K82" s="2"/>
      <c r="L82" s="2"/>
      <c r="M82" s="2"/>
      <c r="N82" s="2"/>
      <c r="O82" s="2"/>
      <c r="P82" s="2"/>
      <c r="Q82" s="2"/>
      <c r="R82" s="2"/>
      <c r="S82" s="2"/>
      <c r="T82" s="2"/>
      <c r="U82" s="2"/>
      <c r="V82" s="2"/>
      <c r="W82" s="2"/>
      <c r="X82" s="2"/>
      <c r="Y82" s="2"/>
      <c r="Z82" s="2"/>
    </row>
    <row r="83" spans="1:26" ht="18">
      <c r="A83" s="406"/>
      <c r="B83" s="407"/>
      <c r="C83" s="2"/>
      <c r="D83" s="2"/>
      <c r="E83" s="2"/>
      <c r="F83" s="2"/>
      <c r="G83" s="2"/>
      <c r="H83" s="2"/>
      <c r="I83" s="2"/>
      <c r="J83" s="2"/>
      <c r="K83" s="2"/>
      <c r="L83" s="2"/>
      <c r="M83" s="2"/>
      <c r="N83" s="2"/>
      <c r="O83" s="2"/>
      <c r="P83" s="2"/>
      <c r="Q83" s="2"/>
      <c r="R83" s="2"/>
      <c r="S83" s="2"/>
      <c r="T83" s="2"/>
      <c r="U83" s="2"/>
      <c r="V83" s="2"/>
      <c r="W83" s="2"/>
      <c r="X83" s="2"/>
      <c r="Y83" s="2"/>
      <c r="Z83" s="2"/>
    </row>
    <row r="84" spans="1:26" ht="18">
      <c r="A84" s="406"/>
      <c r="B84" s="407"/>
      <c r="C84" s="2"/>
      <c r="D84" s="2"/>
      <c r="E84" s="2"/>
      <c r="F84" s="2"/>
      <c r="G84" s="2"/>
      <c r="H84" s="2"/>
      <c r="I84" s="2"/>
      <c r="J84" s="2"/>
      <c r="K84" s="2"/>
      <c r="L84" s="2"/>
      <c r="M84" s="2"/>
      <c r="N84" s="2"/>
      <c r="O84" s="2"/>
      <c r="P84" s="2"/>
      <c r="Q84" s="2"/>
      <c r="R84" s="2"/>
      <c r="S84" s="2"/>
      <c r="T84" s="2"/>
      <c r="U84" s="2"/>
      <c r="V84" s="2"/>
      <c r="W84" s="2"/>
      <c r="X84" s="2"/>
      <c r="Y84" s="2"/>
      <c r="Z84" s="2"/>
    </row>
    <row r="85" spans="1:26" ht="18">
      <c r="A85" s="406"/>
      <c r="B85" s="407"/>
      <c r="C85" s="2"/>
      <c r="D85" s="2"/>
      <c r="E85" s="2"/>
      <c r="F85" s="2"/>
      <c r="G85" s="2"/>
      <c r="H85" s="2"/>
      <c r="I85" s="2"/>
      <c r="J85" s="2"/>
      <c r="K85" s="2"/>
      <c r="L85" s="2"/>
      <c r="M85" s="2"/>
      <c r="N85" s="2"/>
      <c r="O85" s="2"/>
      <c r="P85" s="2"/>
      <c r="Q85" s="2"/>
      <c r="R85" s="2"/>
      <c r="S85" s="2"/>
      <c r="T85" s="2"/>
      <c r="U85" s="2"/>
      <c r="V85" s="2"/>
      <c r="W85" s="2"/>
      <c r="X85" s="2"/>
      <c r="Y85" s="2"/>
      <c r="Z85" s="2"/>
    </row>
    <row r="86" spans="1:26" ht="18">
      <c r="A86" s="406"/>
      <c r="B86" s="407"/>
      <c r="C86" s="2"/>
      <c r="D86" s="2"/>
      <c r="E86" s="2"/>
      <c r="F86" s="2"/>
      <c r="G86" s="2"/>
      <c r="H86" s="2"/>
      <c r="I86" s="2"/>
      <c r="J86" s="2"/>
      <c r="K86" s="2"/>
      <c r="L86" s="2"/>
      <c r="M86" s="2"/>
      <c r="N86" s="2"/>
      <c r="O86" s="2"/>
      <c r="P86" s="2"/>
      <c r="Q86" s="2"/>
      <c r="R86" s="2"/>
      <c r="S86" s="2"/>
      <c r="T86" s="2"/>
      <c r="U86" s="2"/>
      <c r="V86" s="2"/>
      <c r="W86" s="2"/>
      <c r="X86" s="2"/>
      <c r="Y86" s="2"/>
      <c r="Z86" s="2"/>
    </row>
    <row r="87" spans="1:26" ht="18">
      <c r="A87" s="406"/>
      <c r="B87" s="407"/>
      <c r="C87" s="2"/>
      <c r="D87" s="2"/>
      <c r="E87" s="2"/>
      <c r="F87" s="2"/>
      <c r="G87" s="2"/>
      <c r="H87" s="2"/>
      <c r="I87" s="2"/>
      <c r="J87" s="2"/>
      <c r="K87" s="2"/>
      <c r="L87" s="2"/>
      <c r="M87" s="2"/>
      <c r="N87" s="2"/>
      <c r="O87" s="2"/>
      <c r="P87" s="2"/>
      <c r="Q87" s="2"/>
      <c r="R87" s="2"/>
      <c r="S87" s="2"/>
      <c r="T87" s="2"/>
      <c r="U87" s="2"/>
      <c r="V87" s="2"/>
      <c r="W87" s="2"/>
      <c r="X87" s="2"/>
      <c r="Y87" s="2"/>
      <c r="Z87" s="2"/>
    </row>
    <row r="88" spans="1:26" ht="18">
      <c r="A88" s="406"/>
      <c r="B88" s="407"/>
      <c r="C88" s="2"/>
      <c r="D88" s="2"/>
      <c r="E88" s="2"/>
      <c r="F88" s="2"/>
      <c r="G88" s="2"/>
      <c r="H88" s="2"/>
      <c r="I88" s="2"/>
      <c r="J88" s="2"/>
      <c r="K88" s="2"/>
      <c r="L88" s="2"/>
      <c r="M88" s="2"/>
      <c r="N88" s="2"/>
      <c r="O88" s="2"/>
      <c r="P88" s="2"/>
      <c r="Q88" s="2"/>
      <c r="R88" s="2"/>
      <c r="S88" s="2"/>
      <c r="T88" s="2"/>
      <c r="U88" s="2"/>
      <c r="V88" s="2"/>
      <c r="W88" s="2"/>
      <c r="X88" s="2"/>
      <c r="Y88" s="2"/>
      <c r="Z88" s="2"/>
    </row>
    <row r="89" spans="1:26" ht="18">
      <c r="A89" s="406"/>
      <c r="B89" s="407"/>
      <c r="C89" s="2"/>
      <c r="D89" s="2"/>
      <c r="E89" s="2"/>
      <c r="F89" s="2"/>
      <c r="G89" s="2"/>
      <c r="H89" s="2"/>
      <c r="I89" s="2"/>
      <c r="J89" s="2"/>
      <c r="K89" s="2"/>
      <c r="L89" s="2"/>
      <c r="M89" s="2"/>
      <c r="N89" s="2"/>
      <c r="O89" s="2"/>
      <c r="P89" s="2"/>
      <c r="Q89" s="2"/>
      <c r="R89" s="2"/>
      <c r="S89" s="2"/>
      <c r="T89" s="2"/>
      <c r="U89" s="2"/>
      <c r="V89" s="2"/>
      <c r="W89" s="2"/>
      <c r="X89" s="2"/>
      <c r="Y89" s="2"/>
      <c r="Z89" s="2"/>
    </row>
    <row r="90" spans="1:26" ht="18">
      <c r="A90" s="406"/>
      <c r="B90" s="407"/>
      <c r="C90" s="2"/>
      <c r="D90" s="2"/>
      <c r="E90" s="2"/>
      <c r="F90" s="2"/>
      <c r="G90" s="2"/>
      <c r="H90" s="2"/>
      <c r="I90" s="2"/>
      <c r="J90" s="2"/>
      <c r="K90" s="2"/>
      <c r="L90" s="2"/>
      <c r="M90" s="2"/>
      <c r="N90" s="2"/>
      <c r="O90" s="2"/>
      <c r="P90" s="2"/>
      <c r="Q90" s="2"/>
      <c r="R90" s="2"/>
      <c r="S90" s="2"/>
      <c r="T90" s="2"/>
      <c r="U90" s="2"/>
      <c r="V90" s="2"/>
      <c r="W90" s="2"/>
      <c r="X90" s="2"/>
      <c r="Y90" s="2"/>
      <c r="Z90" s="2"/>
    </row>
    <row r="91" spans="1:26" ht="18">
      <c r="A91" s="406"/>
      <c r="B91" s="407"/>
      <c r="C91" s="2"/>
      <c r="D91" s="2"/>
      <c r="E91" s="2"/>
      <c r="F91" s="2"/>
      <c r="G91" s="2"/>
      <c r="H91" s="2"/>
      <c r="I91" s="2"/>
      <c r="J91" s="2"/>
      <c r="K91" s="2"/>
      <c r="L91" s="2"/>
      <c r="M91" s="2"/>
      <c r="N91" s="2"/>
      <c r="O91" s="2"/>
      <c r="P91" s="2"/>
      <c r="Q91" s="2"/>
      <c r="R91" s="2"/>
      <c r="S91" s="2"/>
      <c r="T91" s="2"/>
      <c r="U91" s="2"/>
      <c r="V91" s="2"/>
      <c r="W91" s="2"/>
      <c r="X91" s="2"/>
      <c r="Y91" s="2"/>
      <c r="Z91" s="2"/>
    </row>
    <row r="92" spans="1:26" ht="18">
      <c r="A92" s="406"/>
      <c r="B92" s="407"/>
      <c r="C92" s="2"/>
      <c r="D92" s="2"/>
      <c r="E92" s="2"/>
      <c r="F92" s="2"/>
      <c r="G92" s="2"/>
      <c r="H92" s="2"/>
      <c r="I92" s="2"/>
      <c r="J92" s="2"/>
      <c r="K92" s="2"/>
      <c r="L92" s="2"/>
      <c r="M92" s="2"/>
      <c r="N92" s="2"/>
      <c r="O92" s="2"/>
      <c r="P92" s="2"/>
      <c r="Q92" s="2"/>
      <c r="R92" s="2"/>
      <c r="S92" s="2"/>
      <c r="T92" s="2"/>
      <c r="U92" s="2"/>
      <c r="V92" s="2"/>
      <c r="W92" s="2"/>
      <c r="X92" s="2"/>
      <c r="Y92" s="2"/>
      <c r="Z92" s="2"/>
    </row>
    <row r="93" spans="1:26" ht="18">
      <c r="A93" s="406"/>
      <c r="B93" s="407"/>
      <c r="C93" s="2"/>
      <c r="D93" s="2"/>
      <c r="E93" s="2"/>
      <c r="F93" s="2"/>
      <c r="G93" s="2"/>
      <c r="H93" s="2"/>
      <c r="I93" s="2"/>
      <c r="J93" s="2"/>
      <c r="K93" s="2"/>
      <c r="L93" s="2"/>
      <c r="M93" s="2"/>
      <c r="N93" s="2"/>
      <c r="O93" s="2"/>
      <c r="P93" s="2"/>
      <c r="Q93" s="2"/>
      <c r="R93" s="2"/>
      <c r="S93" s="2"/>
      <c r="T93" s="2"/>
      <c r="U93" s="2"/>
      <c r="V93" s="2"/>
      <c r="W93" s="2"/>
      <c r="X93" s="2"/>
      <c r="Y93" s="2"/>
      <c r="Z93" s="2"/>
    </row>
    <row r="94" spans="1:26" ht="18">
      <c r="A94" s="406"/>
      <c r="B94" s="407"/>
      <c r="C94" s="2"/>
      <c r="D94" s="2"/>
      <c r="E94" s="2"/>
      <c r="F94" s="2"/>
      <c r="G94" s="2"/>
      <c r="H94" s="2"/>
      <c r="I94" s="2"/>
      <c r="J94" s="2"/>
      <c r="K94" s="2"/>
      <c r="L94" s="2"/>
      <c r="M94" s="2"/>
      <c r="N94" s="2"/>
      <c r="O94" s="2"/>
      <c r="P94" s="2"/>
      <c r="Q94" s="2"/>
      <c r="R94" s="2"/>
      <c r="S94" s="2"/>
      <c r="T94" s="2"/>
      <c r="U94" s="2"/>
      <c r="V94" s="2"/>
      <c r="W94" s="2"/>
      <c r="X94" s="2"/>
      <c r="Y94" s="2"/>
      <c r="Z94" s="2"/>
    </row>
    <row r="95" spans="1:26" ht="18">
      <c r="A95" s="406"/>
      <c r="B95" s="407"/>
      <c r="C95" s="2"/>
      <c r="D95" s="2"/>
      <c r="E95" s="2"/>
      <c r="F95" s="2"/>
      <c r="G95" s="2"/>
      <c r="H95" s="2"/>
      <c r="I95" s="2"/>
      <c r="J95" s="2"/>
      <c r="K95" s="2"/>
      <c r="L95" s="2"/>
      <c r="M95" s="2"/>
      <c r="N95" s="2"/>
      <c r="O95" s="2"/>
      <c r="P95" s="2"/>
      <c r="Q95" s="2"/>
      <c r="R95" s="2"/>
      <c r="S95" s="2"/>
      <c r="T95" s="2"/>
      <c r="U95" s="2"/>
      <c r="V95" s="2"/>
      <c r="W95" s="2"/>
      <c r="X95" s="2"/>
      <c r="Y95" s="2"/>
      <c r="Z95" s="2"/>
    </row>
    <row r="96" spans="1:26" ht="18">
      <c r="A96" s="406"/>
      <c r="B96" s="407"/>
      <c r="C96" s="2"/>
      <c r="D96" s="2"/>
      <c r="E96" s="2"/>
      <c r="F96" s="2"/>
      <c r="G96" s="2"/>
      <c r="H96" s="2"/>
      <c r="I96" s="2"/>
      <c r="J96" s="2"/>
      <c r="K96" s="2"/>
      <c r="L96" s="2"/>
      <c r="M96" s="2"/>
      <c r="N96" s="2"/>
      <c r="O96" s="2"/>
      <c r="P96" s="2"/>
      <c r="Q96" s="2"/>
      <c r="R96" s="2"/>
      <c r="S96" s="2"/>
      <c r="T96" s="2"/>
      <c r="U96" s="2"/>
      <c r="V96" s="2"/>
      <c r="W96" s="2"/>
      <c r="X96" s="2"/>
      <c r="Y96" s="2"/>
      <c r="Z96" s="2"/>
    </row>
    <row r="97" spans="1:26" ht="18">
      <c r="A97" s="406"/>
      <c r="B97" s="407"/>
      <c r="C97" s="2"/>
      <c r="D97" s="2"/>
      <c r="E97" s="2"/>
      <c r="F97" s="2"/>
      <c r="G97" s="2"/>
      <c r="H97" s="2"/>
      <c r="I97" s="2"/>
      <c r="J97" s="2"/>
      <c r="K97" s="2"/>
      <c r="L97" s="2"/>
      <c r="M97" s="2"/>
      <c r="N97" s="2"/>
      <c r="O97" s="2"/>
      <c r="P97" s="2"/>
      <c r="Q97" s="2"/>
      <c r="R97" s="2"/>
      <c r="S97" s="2"/>
      <c r="T97" s="2"/>
      <c r="U97" s="2"/>
      <c r="V97" s="2"/>
      <c r="W97" s="2"/>
      <c r="X97" s="2"/>
      <c r="Y97" s="2"/>
      <c r="Z97" s="2"/>
    </row>
    <row r="98" spans="1:26" ht="18">
      <c r="A98" s="406"/>
      <c r="B98" s="407"/>
      <c r="C98" s="2"/>
      <c r="D98" s="2"/>
      <c r="E98" s="2"/>
      <c r="F98" s="2"/>
      <c r="G98" s="2"/>
      <c r="H98" s="2"/>
      <c r="I98" s="2"/>
      <c r="J98" s="2"/>
      <c r="K98" s="2"/>
      <c r="L98" s="2"/>
      <c r="M98" s="2"/>
      <c r="N98" s="2"/>
      <c r="O98" s="2"/>
      <c r="P98" s="2"/>
      <c r="Q98" s="2"/>
      <c r="R98" s="2"/>
      <c r="S98" s="2"/>
      <c r="T98" s="2"/>
      <c r="U98" s="2"/>
      <c r="V98" s="2"/>
      <c r="W98" s="2"/>
      <c r="X98" s="2"/>
      <c r="Y98" s="2"/>
      <c r="Z98" s="2"/>
    </row>
    <row r="99" spans="1:26" ht="18">
      <c r="A99" s="406"/>
      <c r="B99" s="407"/>
      <c r="C99" s="2"/>
      <c r="D99" s="2"/>
      <c r="E99" s="2"/>
      <c r="F99" s="2"/>
      <c r="G99" s="2"/>
      <c r="H99" s="2"/>
      <c r="I99" s="2"/>
      <c r="J99" s="2"/>
      <c r="K99" s="2"/>
      <c r="L99" s="2"/>
      <c r="M99" s="2"/>
      <c r="N99" s="2"/>
      <c r="O99" s="2"/>
      <c r="P99" s="2"/>
      <c r="Q99" s="2"/>
      <c r="R99" s="2"/>
      <c r="S99" s="2"/>
      <c r="T99" s="2"/>
      <c r="U99" s="2"/>
      <c r="V99" s="2"/>
      <c r="W99" s="2"/>
      <c r="X99" s="2"/>
      <c r="Y99" s="2"/>
      <c r="Z99" s="2"/>
    </row>
    <row r="100" spans="1:26" ht="18">
      <c r="A100" s="406"/>
      <c r="B100" s="407"/>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8">
      <c r="A101" s="406"/>
      <c r="B101" s="407"/>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8">
      <c r="A102" s="406"/>
      <c r="B102" s="407"/>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8">
      <c r="A103" s="406"/>
      <c r="B103" s="407"/>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8">
      <c r="A104" s="406"/>
      <c r="B104" s="407"/>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8">
      <c r="A105" s="406"/>
      <c r="B105" s="40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8">
      <c r="A106" s="406"/>
      <c r="B106" s="407"/>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8">
      <c r="A107" s="406"/>
      <c r="B107" s="407"/>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8">
      <c r="A108" s="406"/>
      <c r="B108" s="407"/>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8">
      <c r="A109" s="406"/>
      <c r="B109" s="407"/>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8">
      <c r="A110" s="406"/>
      <c r="B110" s="407"/>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8">
      <c r="A111" s="406"/>
      <c r="B111" s="407"/>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8">
      <c r="A112" s="406"/>
      <c r="B112" s="407"/>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8">
      <c r="A113" s="406"/>
      <c r="B113" s="407"/>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8">
      <c r="A114" s="406"/>
      <c r="B114" s="407"/>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8">
      <c r="A115" s="406"/>
      <c r="B115" s="407"/>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
      <c r="A116" s="406"/>
      <c r="B116" s="407"/>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
      <c r="A117" s="406"/>
      <c r="B117" s="407"/>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8">
      <c r="A118" s="406"/>
      <c r="B118" s="407"/>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8">
      <c r="A119" s="406"/>
      <c r="B119" s="407"/>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8">
      <c r="A120" s="406"/>
      <c r="B120" s="407"/>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8">
      <c r="A121" s="406"/>
      <c r="B121" s="407"/>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
      <c r="A122" s="406"/>
      <c r="B122" s="407"/>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8">
      <c r="A123" s="406"/>
      <c r="B123" s="407"/>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8">
      <c r="A124" s="406"/>
      <c r="B124" s="407"/>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8">
      <c r="A125" s="406"/>
      <c r="B125" s="407"/>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8">
      <c r="A126" s="406"/>
      <c r="B126" s="407"/>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8">
      <c r="A127" s="406"/>
      <c r="B127" s="407"/>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8">
      <c r="A128" s="406"/>
      <c r="B128" s="407"/>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8">
      <c r="A129" s="406"/>
      <c r="B129" s="407"/>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8">
      <c r="A130" s="406"/>
      <c r="B130" s="407"/>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
      <c r="A131" s="406"/>
      <c r="B131" s="407"/>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
      <c r="A132" s="406"/>
      <c r="B132" s="407"/>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
      <c r="A133" s="406"/>
      <c r="B133" s="407"/>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
      <c r="A134" s="406"/>
      <c r="B134" s="407"/>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8">
      <c r="A135" s="406"/>
      <c r="B135" s="407"/>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8">
      <c r="A136" s="406"/>
      <c r="B136" s="407"/>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8">
      <c r="A137" s="406"/>
      <c r="B137" s="407"/>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8">
      <c r="A138" s="406"/>
      <c r="B138" s="407"/>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8">
      <c r="A139" s="406"/>
      <c r="B139" s="407"/>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8">
      <c r="A140" s="406"/>
      <c r="B140" s="407"/>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8">
      <c r="A141" s="406"/>
      <c r="B141" s="407"/>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8">
      <c r="A142" s="406"/>
      <c r="B142" s="407"/>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8">
      <c r="A143" s="406"/>
      <c r="B143" s="407"/>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8">
      <c r="A144" s="406"/>
      <c r="B144" s="407"/>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8">
      <c r="A145" s="406"/>
      <c r="B145" s="407"/>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8">
      <c r="A146" s="406"/>
      <c r="B146" s="407"/>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8">
      <c r="A147" s="406"/>
      <c r="B147" s="407"/>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8">
      <c r="A148" s="406"/>
      <c r="B148" s="407"/>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8">
      <c r="A149" s="406"/>
      <c r="B149" s="407"/>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8">
      <c r="A150" s="406"/>
      <c r="B150" s="407"/>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8">
      <c r="A151" s="406"/>
      <c r="B151" s="407"/>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8">
      <c r="A152" s="406"/>
      <c r="B152" s="407"/>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8">
      <c r="A153" s="406"/>
      <c r="B153" s="407"/>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8">
      <c r="A154" s="406"/>
      <c r="B154" s="407"/>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8">
      <c r="A155" s="406"/>
      <c r="B155" s="407"/>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8">
      <c r="A156" s="406"/>
      <c r="B156" s="407"/>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8">
      <c r="A157" s="406"/>
      <c r="B157" s="407"/>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8">
      <c r="A158" s="406"/>
      <c r="B158" s="407"/>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8">
      <c r="A159" s="406"/>
      <c r="B159" s="407"/>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8">
      <c r="A160" s="406"/>
      <c r="B160" s="407"/>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8">
      <c r="A161" s="406"/>
      <c r="B161" s="407"/>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8">
      <c r="A162" s="406"/>
      <c r="B162" s="407"/>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8">
      <c r="A163" s="406"/>
      <c r="B163" s="407"/>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8">
      <c r="A164" s="406"/>
      <c r="B164" s="40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8">
      <c r="A165" s="406"/>
      <c r="B165" s="407"/>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8">
      <c r="A166" s="406"/>
      <c r="B166" s="407"/>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8">
      <c r="A167" s="406"/>
      <c r="B167" s="407"/>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8">
      <c r="A168" s="406"/>
      <c r="B168" s="407"/>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8">
      <c r="A169" s="406"/>
      <c r="B169" s="407"/>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8">
      <c r="A170" s="406"/>
      <c r="B170" s="407"/>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8">
      <c r="A171" s="406"/>
      <c r="B171" s="407"/>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8">
      <c r="A172" s="406"/>
      <c r="B172" s="407"/>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8">
      <c r="A173" s="406"/>
      <c r="B173" s="407"/>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8">
      <c r="A174" s="406"/>
      <c r="B174" s="407"/>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8">
      <c r="A175" s="406"/>
      <c r="B175" s="407"/>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8">
      <c r="A176" s="406"/>
      <c r="B176" s="407"/>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8">
      <c r="A177" s="406"/>
      <c r="B177" s="40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8">
      <c r="A178" s="406"/>
      <c r="B178" s="407"/>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8">
      <c r="A179" s="406"/>
      <c r="B179" s="407"/>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8">
      <c r="A180" s="406"/>
      <c r="B180" s="407"/>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8">
      <c r="A181" s="406"/>
      <c r="B181" s="407"/>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8">
      <c r="A182" s="406"/>
      <c r="B182" s="407"/>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8">
      <c r="A183" s="406"/>
      <c r="B183" s="407"/>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8">
      <c r="A184" s="406"/>
      <c r="B184" s="407"/>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8">
      <c r="A185" s="406"/>
      <c r="B185" s="407"/>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8">
      <c r="A186" s="406"/>
      <c r="B186" s="407"/>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8">
      <c r="A187" s="406"/>
      <c r="B187" s="407"/>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8">
      <c r="A188" s="406"/>
      <c r="B188" s="407"/>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8">
      <c r="A189" s="406"/>
      <c r="B189" s="407"/>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8">
      <c r="A190" s="406"/>
      <c r="B190" s="40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8">
      <c r="A191" s="406"/>
      <c r="B191" s="407"/>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8">
      <c r="A192" s="406"/>
      <c r="B192" s="407"/>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8">
      <c r="A193" s="406"/>
      <c r="B193" s="407"/>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8">
      <c r="A194" s="406"/>
      <c r="B194" s="407"/>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8">
      <c r="A195" s="406"/>
      <c r="B195" s="407"/>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8">
      <c r="A196" s="406"/>
      <c r="B196" s="407"/>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8">
      <c r="A197" s="406"/>
      <c r="B197" s="407"/>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8">
      <c r="A198" s="406"/>
      <c r="B198" s="407"/>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8">
      <c r="A199" s="406"/>
      <c r="B199" s="407"/>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8">
      <c r="A200" s="406"/>
      <c r="B200" s="407"/>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8">
      <c r="A201" s="406"/>
      <c r="B201" s="407"/>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8">
      <c r="A202" s="406"/>
      <c r="B202" s="407"/>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8">
      <c r="A203" s="406"/>
      <c r="B203" s="407"/>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8">
      <c r="A204" s="406"/>
      <c r="B204" s="407"/>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8">
      <c r="A205" s="406"/>
      <c r="B205" s="407"/>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8">
      <c r="A206" s="406"/>
      <c r="B206" s="407"/>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8">
      <c r="A207" s="406"/>
      <c r="B207" s="407"/>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8">
      <c r="A208" s="406"/>
      <c r="B208" s="407"/>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8">
      <c r="A209" s="406"/>
      <c r="B209" s="407"/>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8">
      <c r="A210" s="406"/>
      <c r="B210" s="407"/>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8">
      <c r="A211" s="406"/>
      <c r="B211" s="407"/>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8">
      <c r="A212" s="406"/>
      <c r="B212" s="407"/>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8">
      <c r="A213" s="406"/>
      <c r="B213" s="407"/>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8">
      <c r="A214" s="406"/>
      <c r="B214" s="407"/>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8">
      <c r="A215" s="406"/>
      <c r="B215" s="407"/>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8">
      <c r="A216" s="406"/>
      <c r="B216" s="407"/>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8">
      <c r="A217" s="406"/>
      <c r="B217" s="407"/>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8">
      <c r="A218" s="406"/>
      <c r="B218" s="407"/>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8">
      <c r="A219" s="406"/>
      <c r="B219" s="407"/>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8">
      <c r="A220" s="406"/>
      <c r="B220" s="407"/>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8">
      <c r="A221" s="406"/>
      <c r="B221" s="407"/>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8">
      <c r="A222" s="406"/>
      <c r="B222" s="407"/>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8">
      <c r="A223" s="406"/>
      <c r="B223" s="407"/>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8">
      <c r="A224" s="406"/>
      <c r="B224" s="407"/>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8">
      <c r="A225" s="406"/>
      <c r="B225" s="407"/>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8">
      <c r="A226" s="406"/>
      <c r="B226" s="407"/>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8">
      <c r="A227" s="406"/>
      <c r="B227" s="407"/>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8">
      <c r="A228" s="406"/>
      <c r="B228" s="407"/>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8">
      <c r="A229" s="406"/>
      <c r="B229" s="407"/>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8">
      <c r="A230" s="406"/>
      <c r="B230" s="407"/>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8">
      <c r="A231" s="406"/>
      <c r="B231" s="407"/>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8">
      <c r="A232" s="406"/>
      <c r="B232" s="407"/>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8">
      <c r="A233" s="406"/>
      <c r="B233" s="407"/>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8">
      <c r="A234" s="406"/>
      <c r="B234" s="407"/>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8">
      <c r="A235" s="406"/>
      <c r="B235" s="407"/>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8">
      <c r="A236" s="406"/>
      <c r="B236" s="407"/>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8">
      <c r="A237" s="406"/>
      <c r="B237" s="407"/>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8">
      <c r="A238" s="406"/>
      <c r="B238" s="407"/>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8">
      <c r="A239" s="406"/>
      <c r="B239" s="407"/>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8">
      <c r="A240" s="406"/>
      <c r="B240" s="407"/>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8">
      <c r="A241" s="406"/>
      <c r="B241" s="407"/>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8">
      <c r="A242" s="406"/>
      <c r="B242" s="407"/>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8">
      <c r="A243" s="406"/>
      <c r="B243" s="407"/>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8">
      <c r="A244" s="406"/>
      <c r="B244" s="407"/>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8">
      <c r="A245" s="406"/>
      <c r="B245" s="407"/>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8">
      <c r="A246" s="406"/>
      <c r="B246" s="407"/>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8">
      <c r="A247" s="406"/>
      <c r="B247" s="407"/>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8">
      <c r="A248" s="406"/>
      <c r="B248" s="407"/>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8">
      <c r="A249" s="406"/>
      <c r="B249" s="407"/>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8">
      <c r="A250" s="406"/>
      <c r="B250" s="407"/>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8">
      <c r="A251" s="406"/>
      <c r="B251" s="407"/>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8">
      <c r="A252" s="406"/>
      <c r="B252" s="407"/>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8">
      <c r="A253" s="406"/>
      <c r="B253" s="407"/>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8">
      <c r="A254" s="406"/>
      <c r="B254" s="407"/>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8">
      <c r="A255" s="406"/>
      <c r="B255" s="407"/>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8">
      <c r="A256" s="406"/>
      <c r="B256" s="407"/>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8">
      <c r="A257" s="406"/>
      <c r="B257" s="407"/>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8">
      <c r="A258" s="406"/>
      <c r="B258" s="407"/>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8">
      <c r="A259" s="406"/>
      <c r="B259" s="407"/>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8">
      <c r="A260" s="406"/>
      <c r="B260" s="407"/>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8">
      <c r="A261" s="406"/>
      <c r="B261" s="407"/>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8">
      <c r="A262" s="406"/>
      <c r="B262" s="407"/>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8">
      <c r="A263" s="406"/>
      <c r="B263" s="407"/>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8">
      <c r="A264" s="406"/>
      <c r="B264" s="407"/>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8">
      <c r="A265" s="406"/>
      <c r="B265" s="407"/>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8">
      <c r="A266" s="406"/>
      <c r="B266" s="407"/>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8">
      <c r="A267" s="406"/>
      <c r="B267" s="407"/>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8">
      <c r="A268" s="406"/>
      <c r="B268" s="407"/>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8">
      <c r="A269" s="406"/>
      <c r="B269" s="407"/>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8">
      <c r="A270" s="406"/>
      <c r="B270" s="407"/>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8">
      <c r="A271" s="406"/>
      <c r="B271" s="407"/>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8">
      <c r="A272" s="406"/>
      <c r="B272" s="407"/>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8">
      <c r="A273" s="406"/>
      <c r="B273" s="407"/>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8">
      <c r="A274" s="406"/>
      <c r="B274" s="407"/>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8">
      <c r="A275" s="406"/>
      <c r="B275" s="407"/>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8">
      <c r="A276" s="406"/>
      <c r="B276" s="407"/>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8">
      <c r="A277" s="406"/>
      <c r="B277" s="407"/>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8">
      <c r="A278" s="406"/>
      <c r="B278" s="407"/>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8">
      <c r="A279" s="406"/>
      <c r="B279" s="407"/>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8">
      <c r="A280" s="406"/>
      <c r="B280" s="407"/>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8">
      <c r="A281" s="406"/>
      <c r="B281" s="407"/>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8">
      <c r="A282" s="406"/>
      <c r="B282" s="407"/>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8">
      <c r="A283" s="406"/>
      <c r="B283" s="407"/>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8">
      <c r="A284" s="406"/>
      <c r="B284" s="407"/>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8">
      <c r="A285" s="406"/>
      <c r="B285" s="407"/>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8">
      <c r="A286" s="406"/>
      <c r="B286" s="407"/>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8">
      <c r="A287" s="406"/>
      <c r="B287" s="407"/>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8">
      <c r="A288" s="406"/>
      <c r="B288" s="407"/>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8">
      <c r="A289" s="406"/>
      <c r="B289" s="407"/>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8">
      <c r="A290" s="406"/>
      <c r="B290" s="407"/>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8">
      <c r="A291" s="406"/>
      <c r="B291" s="407"/>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8">
      <c r="A292" s="406"/>
      <c r="B292" s="407"/>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8">
      <c r="A293" s="406"/>
      <c r="B293" s="407"/>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8">
      <c r="A294" s="406"/>
      <c r="B294" s="407"/>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8">
      <c r="A295" s="406"/>
      <c r="B295" s="407"/>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8">
      <c r="A296" s="406"/>
      <c r="B296" s="407"/>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8">
      <c r="A297" s="406"/>
      <c r="B297" s="407"/>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8">
      <c r="A298" s="406"/>
      <c r="B298" s="407"/>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8">
      <c r="A299" s="406"/>
      <c r="B299" s="407"/>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8">
      <c r="A300" s="406"/>
      <c r="B300" s="407"/>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8">
      <c r="A301" s="406"/>
      <c r="B301" s="407"/>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8">
      <c r="A302" s="406"/>
      <c r="B302" s="407"/>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8">
      <c r="A303" s="406"/>
      <c r="B303" s="407"/>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8">
      <c r="A304" s="406"/>
      <c r="B304" s="407"/>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8">
      <c r="A305" s="406"/>
      <c r="B305" s="407"/>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8">
      <c r="A306" s="406"/>
      <c r="B306" s="407"/>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8">
      <c r="A307" s="406"/>
      <c r="B307" s="407"/>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8">
      <c r="A308" s="406"/>
      <c r="B308" s="407"/>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8">
      <c r="A309" s="406"/>
      <c r="B309" s="407"/>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8">
      <c r="A310" s="406"/>
      <c r="B310" s="407"/>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8">
      <c r="A311" s="406"/>
      <c r="B311" s="407"/>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8">
      <c r="A312" s="406"/>
      <c r="B312" s="407"/>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8">
      <c r="A313" s="406"/>
      <c r="B313" s="407"/>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8">
      <c r="A314" s="406"/>
      <c r="B314" s="407"/>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8">
      <c r="A315" s="406"/>
      <c r="B315" s="407"/>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8">
      <c r="A316" s="406"/>
      <c r="B316" s="407"/>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8">
      <c r="A317" s="406"/>
      <c r="B317" s="407"/>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8">
      <c r="A318" s="406"/>
      <c r="B318" s="407"/>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8">
      <c r="A319" s="406"/>
      <c r="B319" s="407"/>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8">
      <c r="A320" s="406"/>
      <c r="B320" s="407"/>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8">
      <c r="A321" s="406"/>
      <c r="B321" s="407"/>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8">
      <c r="A322" s="406"/>
      <c r="B322" s="407"/>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8">
      <c r="A323" s="406"/>
      <c r="B323" s="407"/>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8">
      <c r="A324" s="406"/>
      <c r="B324" s="407"/>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8">
      <c r="A325" s="406"/>
      <c r="B325" s="407"/>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8">
      <c r="A326" s="406"/>
      <c r="B326" s="407"/>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8">
      <c r="A327" s="406"/>
      <c r="B327" s="407"/>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8">
      <c r="A328" s="406"/>
      <c r="B328" s="407"/>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8">
      <c r="A329" s="406"/>
      <c r="B329" s="407"/>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8">
      <c r="A330" s="406"/>
      <c r="B330" s="407"/>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8">
      <c r="A331" s="406"/>
      <c r="B331" s="407"/>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8">
      <c r="A332" s="406"/>
      <c r="B332" s="407"/>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8">
      <c r="A333" s="406"/>
      <c r="B333" s="407"/>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8">
      <c r="A334" s="406"/>
      <c r="B334" s="407"/>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8">
      <c r="A335" s="406"/>
      <c r="B335" s="407"/>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8">
      <c r="A336" s="406"/>
      <c r="B336" s="407"/>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8">
      <c r="A337" s="406"/>
      <c r="B337" s="407"/>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8">
      <c r="A338" s="406"/>
      <c r="B338" s="407"/>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8">
      <c r="A339" s="406"/>
      <c r="B339" s="407"/>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8">
      <c r="A340" s="406"/>
      <c r="B340" s="407"/>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8">
      <c r="A341" s="406"/>
      <c r="B341" s="407"/>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8">
      <c r="A342" s="406"/>
      <c r="B342" s="407"/>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8">
      <c r="A343" s="406"/>
      <c r="B343" s="407"/>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8">
      <c r="A344" s="406"/>
      <c r="B344" s="407"/>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8">
      <c r="A345" s="406"/>
      <c r="B345" s="407"/>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8">
      <c r="A346" s="406"/>
      <c r="B346" s="407"/>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8">
      <c r="A347" s="406"/>
      <c r="B347" s="407"/>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8">
      <c r="A348" s="406"/>
      <c r="B348" s="407"/>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8">
      <c r="A349" s="406"/>
      <c r="B349" s="407"/>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8">
      <c r="A350" s="406"/>
      <c r="B350" s="407"/>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8">
      <c r="A351" s="406"/>
      <c r="B351" s="407"/>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8">
      <c r="A352" s="406"/>
      <c r="B352" s="407"/>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8">
      <c r="A353" s="406"/>
      <c r="B353" s="407"/>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8">
      <c r="A354" s="406"/>
      <c r="B354" s="407"/>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8">
      <c r="A355" s="406"/>
      <c r="B355" s="407"/>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8">
      <c r="A356" s="406"/>
      <c r="B356" s="407"/>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8">
      <c r="A357" s="406"/>
      <c r="B357" s="407"/>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8">
      <c r="A358" s="406"/>
      <c r="B358" s="407"/>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8">
      <c r="A359" s="406"/>
      <c r="B359" s="407"/>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8">
      <c r="A360" s="406"/>
      <c r="B360" s="407"/>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8">
      <c r="A361" s="406"/>
      <c r="B361" s="407"/>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8">
      <c r="A362" s="406"/>
      <c r="B362" s="407"/>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8">
      <c r="A363" s="406"/>
      <c r="B363" s="407"/>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8">
      <c r="A364" s="406"/>
      <c r="B364" s="407"/>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8">
      <c r="A365" s="406"/>
      <c r="B365" s="407"/>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8">
      <c r="A366" s="406"/>
      <c r="B366" s="407"/>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8">
      <c r="A367" s="406"/>
      <c r="B367" s="407"/>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8">
      <c r="A368" s="406"/>
      <c r="B368" s="407"/>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8">
      <c r="A369" s="406"/>
      <c r="B369" s="407"/>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8">
      <c r="A370" s="406"/>
      <c r="B370" s="407"/>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8">
      <c r="A371" s="406"/>
      <c r="B371" s="407"/>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8">
      <c r="A372" s="406"/>
      <c r="B372" s="407"/>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8">
      <c r="A373" s="406"/>
      <c r="B373" s="407"/>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8">
      <c r="A374" s="406"/>
      <c r="B374" s="407"/>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8">
      <c r="A375" s="406"/>
      <c r="B375" s="407"/>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8">
      <c r="A376" s="406"/>
      <c r="B376" s="407"/>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8">
      <c r="A377" s="406"/>
      <c r="B377" s="407"/>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8">
      <c r="A378" s="406"/>
      <c r="B378" s="407"/>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8">
      <c r="A379" s="406"/>
      <c r="B379" s="407"/>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8">
      <c r="A380" s="406"/>
      <c r="B380" s="407"/>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8">
      <c r="A381" s="406"/>
      <c r="B381" s="407"/>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8">
      <c r="A382" s="406"/>
      <c r="B382" s="407"/>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8">
      <c r="A383" s="406"/>
      <c r="B383" s="407"/>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8">
      <c r="A384" s="406"/>
      <c r="B384" s="407"/>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8">
      <c r="A385" s="406"/>
      <c r="B385" s="407"/>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8">
      <c r="A386" s="406"/>
      <c r="B386" s="407"/>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8">
      <c r="A387" s="406"/>
      <c r="B387" s="407"/>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8">
      <c r="A388" s="406"/>
      <c r="B388" s="407"/>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8">
      <c r="A389" s="406"/>
      <c r="B389" s="407"/>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8">
      <c r="A390" s="406"/>
      <c r="B390" s="407"/>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8">
      <c r="A391" s="406"/>
      <c r="B391" s="407"/>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8">
      <c r="A392" s="406"/>
      <c r="B392" s="407"/>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8">
      <c r="A393" s="406"/>
      <c r="B393" s="407"/>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8">
      <c r="A394" s="406"/>
      <c r="B394" s="407"/>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8">
      <c r="A395" s="406"/>
      <c r="B395" s="407"/>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8">
      <c r="A396" s="406"/>
      <c r="B396" s="407"/>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8">
      <c r="A397" s="406"/>
      <c r="B397" s="407"/>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8">
      <c r="A398" s="406"/>
      <c r="B398" s="407"/>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8">
      <c r="A399" s="406"/>
      <c r="B399" s="407"/>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8">
      <c r="A400" s="406"/>
      <c r="B400" s="407"/>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8">
      <c r="A401" s="406"/>
      <c r="B401" s="407"/>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8">
      <c r="A402" s="406"/>
      <c r="B402" s="407"/>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8">
      <c r="A403" s="406"/>
      <c r="B403" s="407"/>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8">
      <c r="A404" s="406"/>
      <c r="B404" s="407"/>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8">
      <c r="A405" s="406"/>
      <c r="B405" s="407"/>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8">
      <c r="A406" s="406"/>
      <c r="B406" s="407"/>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8">
      <c r="A407" s="406"/>
      <c r="B407" s="407"/>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8">
      <c r="A408" s="406"/>
      <c r="B408" s="407"/>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8">
      <c r="A409" s="406"/>
      <c r="B409" s="407"/>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8">
      <c r="A410" s="406"/>
      <c r="B410" s="407"/>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8">
      <c r="A411" s="406"/>
      <c r="B411" s="407"/>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8">
      <c r="A412" s="406"/>
      <c r="B412" s="407"/>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8">
      <c r="A413" s="406"/>
      <c r="B413" s="407"/>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8">
      <c r="A414" s="406"/>
      <c r="B414" s="407"/>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8">
      <c r="A415" s="406"/>
      <c r="B415" s="407"/>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8">
      <c r="A416" s="406"/>
      <c r="B416" s="407"/>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8">
      <c r="A417" s="406"/>
      <c r="B417" s="407"/>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8">
      <c r="A418" s="406"/>
      <c r="B418" s="407"/>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8">
      <c r="A419" s="406"/>
      <c r="B419" s="407"/>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8">
      <c r="A420" s="406"/>
      <c r="B420" s="407"/>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8">
      <c r="A421" s="406"/>
      <c r="B421" s="407"/>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8">
      <c r="A422" s="406"/>
      <c r="B422" s="407"/>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8">
      <c r="A423" s="406"/>
      <c r="B423" s="407"/>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8">
      <c r="A424" s="406"/>
      <c r="B424" s="407"/>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8">
      <c r="A425" s="406"/>
      <c r="B425" s="407"/>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8">
      <c r="A426" s="406"/>
      <c r="B426" s="407"/>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8">
      <c r="A427" s="406"/>
      <c r="B427" s="407"/>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8">
      <c r="A428" s="406"/>
      <c r="B428" s="407"/>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8">
      <c r="A429" s="406"/>
      <c r="B429" s="407"/>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8">
      <c r="A430" s="406"/>
      <c r="B430" s="407"/>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8">
      <c r="A431" s="406"/>
      <c r="B431" s="407"/>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8">
      <c r="A432" s="406"/>
      <c r="B432" s="407"/>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8">
      <c r="A433" s="406"/>
      <c r="B433" s="407"/>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8">
      <c r="A434" s="406"/>
      <c r="B434" s="407"/>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8">
      <c r="A435" s="406"/>
      <c r="B435" s="407"/>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8">
      <c r="A436" s="406"/>
      <c r="B436" s="407"/>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8">
      <c r="A437" s="406"/>
      <c r="B437" s="407"/>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8">
      <c r="A438" s="406"/>
      <c r="B438" s="407"/>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8">
      <c r="A439" s="406"/>
      <c r="B439" s="407"/>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8">
      <c r="A440" s="406"/>
      <c r="B440" s="407"/>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8">
      <c r="A441" s="406"/>
      <c r="B441" s="407"/>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8">
      <c r="A442" s="406"/>
      <c r="B442" s="407"/>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8">
      <c r="A443" s="406"/>
      <c r="B443" s="407"/>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8">
      <c r="A444" s="406"/>
      <c r="B444" s="407"/>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8">
      <c r="A445" s="406"/>
      <c r="B445" s="407"/>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8">
      <c r="A446" s="406"/>
      <c r="B446" s="407"/>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8">
      <c r="A447" s="406"/>
      <c r="B447" s="407"/>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8">
      <c r="A448" s="406"/>
      <c r="B448" s="407"/>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8">
      <c r="A449" s="406"/>
      <c r="B449" s="407"/>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8">
      <c r="A450" s="406"/>
      <c r="B450" s="407"/>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8">
      <c r="A451" s="406"/>
      <c r="B451" s="407"/>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8">
      <c r="A452" s="406"/>
      <c r="B452" s="407"/>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8">
      <c r="A453" s="406"/>
      <c r="B453" s="407"/>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8">
      <c r="A454" s="406"/>
      <c r="B454" s="407"/>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8">
      <c r="A455" s="406"/>
      <c r="B455" s="407"/>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8">
      <c r="A456" s="406"/>
      <c r="B456" s="407"/>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8">
      <c r="A457" s="406"/>
      <c r="B457" s="407"/>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8">
      <c r="A458" s="406"/>
      <c r="B458" s="407"/>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8">
      <c r="A459" s="406"/>
      <c r="B459" s="407"/>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8">
      <c r="A460" s="406"/>
      <c r="B460" s="407"/>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8">
      <c r="A461" s="406"/>
      <c r="B461" s="407"/>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8">
      <c r="A462" s="406"/>
      <c r="B462" s="407"/>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8">
      <c r="A463" s="406"/>
      <c r="B463" s="407"/>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8">
      <c r="A464" s="406"/>
      <c r="B464" s="407"/>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8">
      <c r="A465" s="406"/>
      <c r="B465" s="407"/>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8">
      <c r="A466" s="406"/>
      <c r="B466" s="407"/>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8">
      <c r="A467" s="406"/>
      <c r="B467" s="407"/>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8">
      <c r="A468" s="406"/>
      <c r="B468" s="407"/>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8">
      <c r="A469" s="406"/>
      <c r="B469" s="407"/>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8">
      <c r="A470" s="406"/>
      <c r="B470" s="407"/>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8">
      <c r="A471" s="406"/>
      <c r="B471" s="407"/>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8">
      <c r="A472" s="406"/>
      <c r="B472" s="407"/>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8">
      <c r="A473" s="406"/>
      <c r="B473" s="407"/>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8">
      <c r="A474" s="406"/>
      <c r="B474" s="407"/>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8">
      <c r="A475" s="406"/>
      <c r="B475" s="407"/>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8">
      <c r="A476" s="406"/>
      <c r="B476" s="407"/>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8">
      <c r="A477" s="406"/>
      <c r="B477" s="407"/>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8">
      <c r="A478" s="406"/>
      <c r="B478" s="407"/>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8">
      <c r="A479" s="406"/>
      <c r="B479" s="407"/>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8">
      <c r="A480" s="406"/>
      <c r="B480" s="407"/>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8">
      <c r="A481" s="406"/>
      <c r="B481" s="407"/>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8">
      <c r="A482" s="406"/>
      <c r="B482" s="407"/>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8">
      <c r="A483" s="406"/>
      <c r="B483" s="407"/>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8">
      <c r="A484" s="406"/>
      <c r="B484" s="407"/>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8">
      <c r="A485" s="406"/>
      <c r="B485" s="407"/>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8">
      <c r="A486" s="406"/>
      <c r="B486" s="407"/>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8">
      <c r="A487" s="406"/>
      <c r="B487" s="407"/>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8">
      <c r="A488" s="406"/>
      <c r="B488" s="407"/>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8">
      <c r="A489" s="406"/>
      <c r="B489" s="407"/>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8">
      <c r="A490" s="406"/>
      <c r="B490" s="407"/>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8">
      <c r="A491" s="406"/>
      <c r="B491" s="407"/>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8">
      <c r="A492" s="406"/>
      <c r="B492" s="407"/>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8">
      <c r="A493" s="406"/>
      <c r="B493" s="407"/>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8">
      <c r="A494" s="406"/>
      <c r="B494" s="407"/>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8">
      <c r="A495" s="406"/>
      <c r="B495" s="407"/>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8">
      <c r="A496" s="406"/>
      <c r="B496" s="407"/>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8">
      <c r="A497" s="406"/>
      <c r="B497" s="407"/>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8">
      <c r="A498" s="406"/>
      <c r="B498" s="407"/>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8">
      <c r="A499" s="406"/>
      <c r="B499" s="407"/>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8">
      <c r="A500" s="406"/>
      <c r="B500" s="407"/>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8">
      <c r="A501" s="406"/>
      <c r="B501" s="407"/>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8">
      <c r="A502" s="406"/>
      <c r="B502" s="407"/>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8">
      <c r="A503" s="406"/>
      <c r="B503" s="407"/>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8">
      <c r="A504" s="406"/>
      <c r="B504" s="407"/>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8">
      <c r="A505" s="406"/>
      <c r="B505" s="407"/>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8">
      <c r="A506" s="406"/>
      <c r="B506" s="407"/>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8">
      <c r="A507" s="406"/>
      <c r="B507" s="407"/>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8">
      <c r="A508" s="406"/>
      <c r="B508" s="407"/>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8">
      <c r="A509" s="406"/>
      <c r="B509" s="407"/>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8">
      <c r="A510" s="406"/>
      <c r="B510" s="407"/>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8">
      <c r="A511" s="406"/>
      <c r="B511" s="407"/>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8">
      <c r="A512" s="406"/>
      <c r="B512" s="407"/>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8">
      <c r="A513" s="406"/>
      <c r="B513" s="407"/>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8">
      <c r="A514" s="406"/>
      <c r="B514" s="407"/>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8">
      <c r="A515" s="406"/>
      <c r="B515" s="407"/>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8">
      <c r="A516" s="406"/>
      <c r="B516" s="407"/>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8">
      <c r="A517" s="406"/>
      <c r="B517" s="407"/>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8">
      <c r="A518" s="406"/>
      <c r="B518" s="407"/>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8">
      <c r="A519" s="406"/>
      <c r="B519" s="407"/>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8">
      <c r="A520" s="406"/>
      <c r="B520" s="407"/>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8">
      <c r="A521" s="406"/>
      <c r="B521" s="407"/>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8">
      <c r="A522" s="406"/>
      <c r="B522" s="407"/>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8">
      <c r="A523" s="406"/>
      <c r="B523" s="407"/>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8">
      <c r="A524" s="406"/>
      <c r="B524" s="407"/>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8">
      <c r="A525" s="406"/>
      <c r="B525" s="407"/>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8">
      <c r="A526" s="406"/>
      <c r="B526" s="407"/>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8">
      <c r="A527" s="406"/>
      <c r="B527" s="407"/>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8">
      <c r="A528" s="406"/>
      <c r="B528" s="407"/>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8">
      <c r="A529" s="406"/>
      <c r="B529" s="407"/>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8">
      <c r="A530" s="406"/>
      <c r="B530" s="407"/>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8">
      <c r="A531" s="406"/>
      <c r="B531" s="407"/>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8">
      <c r="A532" s="406"/>
      <c r="B532" s="407"/>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8">
      <c r="A533" s="406"/>
      <c r="B533" s="407"/>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8">
      <c r="A534" s="406"/>
      <c r="B534" s="407"/>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8">
      <c r="A535" s="406"/>
      <c r="B535" s="407"/>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8">
      <c r="A536" s="406"/>
      <c r="B536" s="407"/>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8">
      <c r="A537" s="406"/>
      <c r="B537" s="407"/>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8">
      <c r="A538" s="406"/>
      <c r="B538" s="407"/>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8">
      <c r="A539" s="406"/>
      <c r="B539" s="407"/>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8">
      <c r="A540" s="406"/>
      <c r="B540" s="407"/>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8">
      <c r="A541" s="406"/>
      <c r="B541" s="407"/>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8">
      <c r="A542" s="406"/>
      <c r="B542" s="407"/>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8">
      <c r="A543" s="406"/>
      <c r="B543" s="407"/>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8">
      <c r="A544" s="406"/>
      <c r="B544" s="407"/>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8">
      <c r="A545" s="406"/>
      <c r="B545" s="407"/>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8">
      <c r="A546" s="406"/>
      <c r="B546" s="407"/>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8">
      <c r="A547" s="406"/>
      <c r="B547" s="407"/>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8">
      <c r="A548" s="406"/>
      <c r="B548" s="407"/>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8">
      <c r="A549" s="406"/>
      <c r="B549" s="407"/>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8">
      <c r="A550" s="406"/>
      <c r="B550" s="407"/>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8">
      <c r="A551" s="406"/>
      <c r="B551" s="407"/>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8">
      <c r="A552" s="406"/>
      <c r="B552" s="407"/>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8">
      <c r="A553" s="406"/>
      <c r="B553" s="407"/>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8">
      <c r="A554" s="406"/>
      <c r="B554" s="407"/>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8">
      <c r="A555" s="406"/>
      <c r="B555" s="407"/>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8">
      <c r="A556" s="406"/>
      <c r="B556" s="407"/>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8">
      <c r="A557" s="406"/>
      <c r="B557" s="407"/>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8">
      <c r="A558" s="406"/>
      <c r="B558" s="407"/>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8">
      <c r="A559" s="406"/>
      <c r="B559" s="407"/>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8">
      <c r="A560" s="406"/>
      <c r="B560" s="407"/>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8">
      <c r="A561" s="406"/>
      <c r="B561" s="407"/>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8">
      <c r="A562" s="406"/>
      <c r="B562" s="407"/>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8">
      <c r="A563" s="406"/>
      <c r="B563" s="407"/>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8">
      <c r="A564" s="406"/>
      <c r="B564" s="407"/>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8">
      <c r="A565" s="406"/>
      <c r="B565" s="407"/>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8">
      <c r="A566" s="406"/>
      <c r="B566" s="407"/>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8">
      <c r="A567" s="406"/>
      <c r="B567" s="407"/>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8">
      <c r="A568" s="406"/>
      <c r="B568" s="407"/>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8">
      <c r="A569" s="406"/>
      <c r="B569" s="407"/>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8">
      <c r="A570" s="406"/>
      <c r="B570" s="407"/>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8">
      <c r="A571" s="406"/>
      <c r="B571" s="407"/>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8">
      <c r="A572" s="406"/>
      <c r="B572" s="407"/>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8">
      <c r="A573" s="406"/>
      <c r="B573" s="407"/>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8">
      <c r="A574" s="406"/>
      <c r="B574" s="407"/>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8">
      <c r="A575" s="406"/>
      <c r="B575" s="407"/>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8">
      <c r="A576" s="406"/>
      <c r="B576" s="407"/>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8">
      <c r="A577" s="406"/>
      <c r="B577" s="407"/>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8">
      <c r="A578" s="406"/>
      <c r="B578" s="407"/>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8">
      <c r="A579" s="406"/>
      <c r="B579" s="407"/>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8">
      <c r="A580" s="406"/>
      <c r="B580" s="407"/>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8">
      <c r="A581" s="406"/>
      <c r="B581" s="407"/>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8">
      <c r="A582" s="406"/>
      <c r="B582" s="407"/>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8">
      <c r="A583" s="406"/>
      <c r="B583" s="407"/>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8">
      <c r="A584" s="406"/>
      <c r="B584" s="407"/>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8">
      <c r="A585" s="406"/>
      <c r="B585" s="407"/>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8">
      <c r="A586" s="406"/>
      <c r="B586" s="407"/>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8">
      <c r="A587" s="406"/>
      <c r="B587" s="407"/>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8">
      <c r="A588" s="406"/>
      <c r="B588" s="407"/>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8">
      <c r="A589" s="406"/>
      <c r="B589" s="407"/>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8">
      <c r="A590" s="406"/>
      <c r="B590" s="407"/>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8">
      <c r="A591" s="406"/>
      <c r="B591" s="407"/>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8">
      <c r="A592" s="406"/>
      <c r="B592" s="407"/>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8">
      <c r="A593" s="406"/>
      <c r="B593" s="407"/>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8">
      <c r="A594" s="406"/>
      <c r="B594" s="407"/>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8">
      <c r="A595" s="406"/>
      <c r="B595" s="407"/>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8">
      <c r="A596" s="406"/>
      <c r="B596" s="407"/>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8">
      <c r="A597" s="406"/>
      <c r="B597" s="407"/>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8">
      <c r="A598" s="406"/>
      <c r="B598" s="407"/>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8">
      <c r="A599" s="406"/>
      <c r="B599" s="407"/>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8">
      <c r="A600" s="406"/>
      <c r="B600" s="407"/>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8">
      <c r="A601" s="406"/>
      <c r="B601" s="407"/>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8">
      <c r="A602" s="406"/>
      <c r="B602" s="407"/>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8">
      <c r="A603" s="406"/>
      <c r="B603" s="407"/>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8">
      <c r="A604" s="406"/>
      <c r="B604" s="407"/>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8">
      <c r="A605" s="406"/>
      <c r="B605" s="407"/>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8">
      <c r="A606" s="406"/>
      <c r="B606" s="407"/>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8">
      <c r="A607" s="406"/>
      <c r="B607" s="407"/>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8">
      <c r="A608" s="406"/>
      <c r="B608" s="407"/>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8">
      <c r="A609" s="406"/>
      <c r="B609" s="407"/>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8">
      <c r="A610" s="406"/>
      <c r="B610" s="407"/>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8">
      <c r="A611" s="406"/>
      <c r="B611" s="407"/>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8">
      <c r="A612" s="406"/>
      <c r="B612" s="407"/>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8">
      <c r="A613" s="406"/>
      <c r="B613" s="407"/>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8">
      <c r="A614" s="406"/>
      <c r="B614" s="407"/>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8">
      <c r="A615" s="406"/>
      <c r="B615" s="407"/>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8">
      <c r="A616" s="406"/>
      <c r="B616" s="407"/>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8">
      <c r="A617" s="406"/>
      <c r="B617" s="407"/>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8">
      <c r="A618" s="406"/>
      <c r="B618" s="407"/>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8">
      <c r="A619" s="406"/>
      <c r="B619" s="407"/>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8">
      <c r="A620" s="406"/>
      <c r="B620" s="407"/>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8">
      <c r="A621" s="406"/>
      <c r="B621" s="407"/>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8">
      <c r="A622" s="406"/>
      <c r="B622" s="407"/>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8">
      <c r="A623" s="406"/>
      <c r="B623" s="407"/>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8">
      <c r="A624" s="406"/>
      <c r="B624" s="407"/>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8">
      <c r="A625" s="406"/>
      <c r="B625" s="407"/>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8">
      <c r="A626" s="406"/>
      <c r="B626" s="407"/>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8">
      <c r="A627" s="406"/>
      <c r="B627" s="407"/>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8">
      <c r="A628" s="406"/>
      <c r="B628" s="407"/>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8">
      <c r="A629" s="406"/>
      <c r="B629" s="407"/>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8">
      <c r="A630" s="406"/>
      <c r="B630" s="407"/>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8">
      <c r="A631" s="406"/>
      <c r="B631" s="407"/>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8">
      <c r="A632" s="406"/>
      <c r="B632" s="407"/>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8">
      <c r="A633" s="406"/>
      <c r="B633" s="407"/>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8">
      <c r="A634" s="406"/>
      <c r="B634" s="407"/>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8">
      <c r="A635" s="406"/>
      <c r="B635" s="407"/>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8">
      <c r="A636" s="406"/>
      <c r="B636" s="407"/>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8">
      <c r="A637" s="406"/>
      <c r="B637" s="407"/>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8">
      <c r="A638" s="406"/>
      <c r="B638" s="407"/>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8">
      <c r="A639" s="406"/>
      <c r="B639" s="407"/>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8">
      <c r="A640" s="406"/>
      <c r="B640" s="407"/>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8">
      <c r="A641" s="406"/>
      <c r="B641" s="407"/>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8">
      <c r="A642" s="406"/>
      <c r="B642" s="407"/>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8">
      <c r="A643" s="406"/>
      <c r="B643" s="407"/>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8">
      <c r="A644" s="406"/>
      <c r="B644" s="407"/>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8">
      <c r="A645" s="406"/>
      <c r="B645" s="407"/>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8">
      <c r="A646" s="406"/>
      <c r="B646" s="407"/>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8">
      <c r="A647" s="406"/>
      <c r="B647" s="407"/>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8">
      <c r="A648" s="406"/>
      <c r="B648" s="407"/>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8">
      <c r="A649" s="406"/>
      <c r="B649" s="407"/>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8">
      <c r="A650" s="406"/>
      <c r="B650" s="407"/>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8">
      <c r="A651" s="406"/>
      <c r="B651" s="407"/>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8">
      <c r="A652" s="406"/>
      <c r="B652" s="407"/>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8">
      <c r="A653" s="406"/>
      <c r="B653" s="407"/>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8">
      <c r="A654" s="406"/>
      <c r="B654" s="407"/>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8">
      <c r="A655" s="406"/>
      <c r="B655" s="407"/>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8">
      <c r="A656" s="406"/>
      <c r="B656" s="407"/>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8">
      <c r="A657" s="406"/>
      <c r="B657" s="407"/>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8">
      <c r="A658" s="406"/>
      <c r="B658" s="407"/>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8">
      <c r="A659" s="406"/>
      <c r="B659" s="407"/>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8">
      <c r="A660" s="406"/>
      <c r="B660" s="407"/>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8">
      <c r="A661" s="406"/>
      <c r="B661" s="407"/>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8">
      <c r="A662" s="406"/>
      <c r="B662" s="407"/>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8">
      <c r="A663" s="406"/>
      <c r="B663" s="407"/>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8">
      <c r="A664" s="406"/>
      <c r="B664" s="407"/>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8">
      <c r="A665" s="406"/>
      <c r="B665" s="407"/>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8">
      <c r="A666" s="406"/>
      <c r="B666" s="407"/>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8">
      <c r="A667" s="406"/>
      <c r="B667" s="407"/>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8">
      <c r="A668" s="406"/>
      <c r="B668" s="407"/>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8">
      <c r="A669" s="406"/>
      <c r="B669" s="407"/>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8">
      <c r="A670" s="406"/>
      <c r="B670" s="407"/>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8">
      <c r="A671" s="406"/>
      <c r="B671" s="407"/>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8">
      <c r="A672" s="406"/>
      <c r="B672" s="407"/>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8">
      <c r="A673" s="406"/>
      <c r="B673" s="407"/>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8">
      <c r="A674" s="406"/>
      <c r="B674" s="407"/>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8">
      <c r="A675" s="406"/>
      <c r="B675" s="407"/>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8">
      <c r="A676" s="406"/>
      <c r="B676" s="407"/>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8">
      <c r="A677" s="406"/>
      <c r="B677" s="407"/>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8">
      <c r="A678" s="406"/>
      <c r="B678" s="407"/>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8">
      <c r="A679" s="406"/>
      <c r="B679" s="407"/>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8">
      <c r="A680" s="406"/>
      <c r="B680" s="407"/>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8">
      <c r="A681" s="406"/>
      <c r="B681" s="407"/>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8">
      <c r="A682" s="406"/>
      <c r="B682" s="407"/>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8">
      <c r="A683" s="406"/>
      <c r="B683" s="407"/>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8">
      <c r="A684" s="406"/>
      <c r="B684" s="407"/>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8">
      <c r="A685" s="406"/>
      <c r="B685" s="407"/>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8">
      <c r="A686" s="406"/>
      <c r="B686" s="407"/>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8">
      <c r="A687" s="406"/>
      <c r="B687" s="407"/>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8">
      <c r="A688" s="406"/>
      <c r="B688" s="407"/>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8">
      <c r="A689" s="406"/>
      <c r="B689" s="407"/>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8">
      <c r="A690" s="406"/>
      <c r="B690" s="407"/>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8">
      <c r="A691" s="406"/>
      <c r="B691" s="407"/>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8">
      <c r="A692" s="406"/>
      <c r="B692" s="407"/>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8">
      <c r="A693" s="406"/>
      <c r="B693" s="407"/>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8">
      <c r="A694" s="406"/>
      <c r="B694" s="407"/>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8">
      <c r="A695" s="406"/>
      <c r="B695" s="407"/>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8">
      <c r="A696" s="406"/>
      <c r="B696" s="407"/>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8">
      <c r="A697" s="406"/>
      <c r="B697" s="407"/>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8">
      <c r="A698" s="406"/>
      <c r="B698" s="407"/>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8">
      <c r="A699" s="406"/>
      <c r="B699" s="407"/>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8">
      <c r="A700" s="406"/>
      <c r="B700" s="407"/>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8">
      <c r="A701" s="406"/>
      <c r="B701" s="407"/>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8">
      <c r="A702" s="406"/>
      <c r="B702" s="407"/>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8">
      <c r="A703" s="406"/>
      <c r="B703" s="407"/>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8">
      <c r="A704" s="406"/>
      <c r="B704" s="407"/>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8">
      <c r="A705" s="406"/>
      <c r="B705" s="407"/>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8">
      <c r="A706" s="406"/>
      <c r="B706" s="407"/>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8">
      <c r="A707" s="406"/>
      <c r="B707" s="407"/>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8">
      <c r="A708" s="406"/>
      <c r="B708" s="407"/>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8">
      <c r="A709" s="406"/>
      <c r="B709" s="407"/>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8">
      <c r="A710" s="406"/>
      <c r="B710" s="407"/>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8">
      <c r="A711" s="406"/>
      <c r="B711" s="407"/>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8">
      <c r="A712" s="406"/>
      <c r="B712" s="407"/>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8">
      <c r="A713" s="406"/>
      <c r="B713" s="407"/>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8">
      <c r="A714" s="406"/>
      <c r="B714" s="407"/>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8">
      <c r="A715" s="406"/>
      <c r="B715" s="407"/>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8">
      <c r="A716" s="406"/>
      <c r="B716" s="407"/>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8">
      <c r="A717" s="406"/>
      <c r="B717" s="407"/>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8">
      <c r="A718" s="406"/>
      <c r="B718" s="407"/>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8">
      <c r="A719" s="406"/>
      <c r="B719" s="407"/>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8">
      <c r="A720" s="406"/>
      <c r="B720" s="407"/>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8">
      <c r="A721" s="406"/>
      <c r="B721" s="407"/>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8">
      <c r="A722" s="406"/>
      <c r="B722" s="407"/>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8">
      <c r="A723" s="406"/>
      <c r="B723" s="407"/>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8">
      <c r="A724" s="406"/>
      <c r="B724" s="407"/>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8">
      <c r="A725" s="406"/>
      <c r="B725" s="407"/>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8">
      <c r="A726" s="406"/>
      <c r="B726" s="407"/>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8">
      <c r="A727" s="406"/>
      <c r="B727" s="407"/>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8">
      <c r="A728" s="406"/>
      <c r="B728" s="407"/>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8">
      <c r="A729" s="406"/>
      <c r="B729" s="407"/>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8">
      <c r="A730" s="406"/>
      <c r="B730" s="407"/>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8">
      <c r="A731" s="406"/>
      <c r="B731" s="407"/>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8">
      <c r="A732" s="406"/>
      <c r="B732" s="407"/>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8">
      <c r="A733" s="406"/>
      <c r="B733" s="407"/>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8">
      <c r="A734" s="406"/>
      <c r="B734" s="407"/>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8">
      <c r="A735" s="406"/>
      <c r="B735" s="407"/>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8">
      <c r="A736" s="406"/>
      <c r="B736" s="407"/>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8">
      <c r="A737" s="406"/>
      <c r="B737" s="407"/>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8">
      <c r="A738" s="406"/>
      <c r="B738" s="407"/>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8">
      <c r="A739" s="406"/>
      <c r="B739" s="407"/>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8">
      <c r="A740" s="406"/>
      <c r="B740" s="407"/>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8">
      <c r="A741" s="406"/>
      <c r="B741" s="407"/>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8">
      <c r="A742" s="406"/>
      <c r="B742" s="407"/>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8">
      <c r="A743" s="406"/>
      <c r="B743" s="407"/>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8">
      <c r="A744" s="406"/>
      <c r="B744" s="407"/>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8">
      <c r="A745" s="406"/>
      <c r="B745" s="407"/>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8">
      <c r="A746" s="406"/>
      <c r="B746" s="407"/>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8">
      <c r="A747" s="406"/>
      <c r="B747" s="407"/>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8">
      <c r="A748" s="406"/>
      <c r="B748" s="407"/>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8">
      <c r="A749" s="406"/>
      <c r="B749" s="407"/>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8">
      <c r="A750" s="406"/>
      <c r="B750" s="407"/>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8">
      <c r="A751" s="406"/>
      <c r="B751" s="407"/>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8">
      <c r="A752" s="406"/>
      <c r="B752" s="407"/>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8">
      <c r="A753" s="406"/>
      <c r="B753" s="407"/>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8">
      <c r="A754" s="406"/>
      <c r="B754" s="407"/>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8">
      <c r="A755" s="406"/>
      <c r="B755" s="407"/>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8">
      <c r="A756" s="406"/>
      <c r="B756" s="407"/>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8">
      <c r="A757" s="406"/>
      <c r="B757" s="407"/>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8">
      <c r="A758" s="406"/>
      <c r="B758" s="407"/>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8">
      <c r="A759" s="406"/>
      <c r="B759" s="407"/>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8">
      <c r="A760" s="406"/>
      <c r="B760" s="407"/>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8">
      <c r="A761" s="406"/>
      <c r="B761" s="407"/>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8">
      <c r="A762" s="406"/>
      <c r="B762" s="407"/>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8">
      <c r="A763" s="406"/>
      <c r="B763" s="407"/>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8">
      <c r="A764" s="406"/>
      <c r="B764" s="407"/>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8">
      <c r="A765" s="406"/>
      <c r="B765" s="407"/>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8">
      <c r="A766" s="406"/>
      <c r="B766" s="407"/>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8">
      <c r="A767" s="406"/>
      <c r="B767" s="407"/>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8">
      <c r="A768" s="406"/>
      <c r="B768" s="407"/>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8">
      <c r="A769" s="406"/>
      <c r="B769" s="407"/>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8">
      <c r="A770" s="406"/>
      <c r="B770" s="407"/>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8">
      <c r="A771" s="406"/>
      <c r="B771" s="407"/>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8">
      <c r="A772" s="406"/>
      <c r="B772" s="407"/>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8">
      <c r="A773" s="406"/>
      <c r="B773" s="407"/>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8">
      <c r="A774" s="406"/>
      <c r="B774" s="407"/>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8">
      <c r="A775" s="406"/>
      <c r="B775" s="407"/>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8">
      <c r="A776" s="406"/>
      <c r="B776" s="407"/>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8">
      <c r="A777" s="406"/>
      <c r="B777" s="407"/>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8">
      <c r="A778" s="406"/>
      <c r="B778" s="407"/>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8">
      <c r="A779" s="406"/>
      <c r="B779" s="407"/>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8">
      <c r="A780" s="406"/>
      <c r="B780" s="407"/>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8">
      <c r="A781" s="406"/>
      <c r="B781" s="407"/>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8">
      <c r="A782" s="406"/>
      <c r="B782" s="407"/>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8">
      <c r="A783" s="406"/>
      <c r="B783" s="407"/>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8">
      <c r="A784" s="406"/>
      <c r="B784" s="407"/>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8">
      <c r="A785" s="406"/>
      <c r="B785" s="407"/>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8">
      <c r="A786" s="406"/>
      <c r="B786" s="407"/>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8">
      <c r="A787" s="406"/>
      <c r="B787" s="407"/>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8">
      <c r="A788" s="406"/>
      <c r="B788" s="407"/>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8">
      <c r="A789" s="406"/>
      <c r="B789" s="407"/>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8">
      <c r="A790" s="406"/>
      <c r="B790" s="407"/>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8">
      <c r="A791" s="406"/>
      <c r="B791" s="407"/>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8">
      <c r="A792" s="406"/>
      <c r="B792" s="407"/>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8">
      <c r="A793" s="406"/>
      <c r="B793" s="407"/>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8">
      <c r="A794" s="406"/>
      <c r="B794" s="407"/>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8">
      <c r="A795" s="406"/>
      <c r="B795" s="407"/>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8">
      <c r="A796" s="406"/>
      <c r="B796" s="407"/>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8">
      <c r="A797" s="406"/>
      <c r="B797" s="407"/>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8">
      <c r="A798" s="406"/>
      <c r="B798" s="407"/>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8">
      <c r="A799" s="406"/>
      <c r="B799" s="407"/>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8">
      <c r="A800" s="406"/>
      <c r="B800" s="407"/>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8">
      <c r="A801" s="406"/>
      <c r="B801" s="407"/>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8">
      <c r="A802" s="406"/>
      <c r="B802" s="407"/>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8">
      <c r="A803" s="406"/>
      <c r="B803" s="407"/>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8">
      <c r="A804" s="406"/>
      <c r="B804" s="407"/>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8">
      <c r="A805" s="406"/>
      <c r="B805" s="407"/>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8">
      <c r="A806" s="406"/>
      <c r="B806" s="407"/>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8">
      <c r="A807" s="406"/>
      <c r="B807" s="407"/>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8">
      <c r="A808" s="406"/>
      <c r="B808" s="407"/>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8">
      <c r="A809" s="406"/>
      <c r="B809" s="407"/>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8">
      <c r="A810" s="406"/>
      <c r="B810" s="407"/>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8">
      <c r="A811" s="406"/>
      <c r="B811" s="407"/>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8">
      <c r="A812" s="406"/>
      <c r="B812" s="407"/>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8">
      <c r="A813" s="406"/>
      <c r="B813" s="407"/>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8">
      <c r="A814" s="406"/>
      <c r="B814" s="407"/>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8">
      <c r="A815" s="406"/>
      <c r="B815" s="407"/>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8">
      <c r="A816" s="406"/>
      <c r="B816" s="407"/>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8">
      <c r="A817" s="406"/>
      <c r="B817" s="407"/>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8">
      <c r="A818" s="406"/>
      <c r="B818" s="407"/>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8">
      <c r="A819" s="406"/>
      <c r="B819" s="407"/>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8">
      <c r="A820" s="406"/>
      <c r="B820" s="407"/>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8">
      <c r="A821" s="406"/>
      <c r="B821" s="407"/>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8">
      <c r="A822" s="406"/>
      <c r="B822" s="407"/>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8">
      <c r="A823" s="406"/>
      <c r="B823" s="407"/>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8">
      <c r="A824" s="406"/>
      <c r="B824" s="407"/>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8">
      <c r="A825" s="406"/>
      <c r="B825" s="407"/>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8">
      <c r="A826" s="406"/>
      <c r="B826" s="407"/>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8">
      <c r="A827" s="406"/>
      <c r="B827" s="407"/>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8">
      <c r="A828" s="406"/>
      <c r="B828" s="407"/>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8">
      <c r="A829" s="406"/>
      <c r="B829" s="407"/>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8">
      <c r="A830" s="406"/>
      <c r="B830" s="407"/>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8">
      <c r="A831" s="406"/>
      <c r="B831" s="407"/>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8">
      <c r="A832" s="406"/>
      <c r="B832" s="407"/>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8">
      <c r="A833" s="406"/>
      <c r="B833" s="407"/>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8">
      <c r="A834" s="406"/>
      <c r="B834" s="407"/>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8">
      <c r="A835" s="406"/>
      <c r="B835" s="407"/>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8">
      <c r="A836" s="406"/>
      <c r="B836" s="407"/>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8">
      <c r="A837" s="406"/>
      <c r="B837" s="407"/>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8">
      <c r="A838" s="406"/>
      <c r="B838" s="407"/>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8">
      <c r="A839" s="406"/>
      <c r="B839" s="407"/>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8">
      <c r="A840" s="406"/>
      <c r="B840" s="407"/>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8">
      <c r="A841" s="406"/>
      <c r="B841" s="407"/>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8">
      <c r="A842" s="406"/>
      <c r="B842" s="407"/>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8">
      <c r="A843" s="406"/>
      <c r="B843" s="407"/>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8">
      <c r="A844" s="406"/>
      <c r="B844" s="407"/>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8">
      <c r="A845" s="406"/>
      <c r="B845" s="407"/>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8">
      <c r="A846" s="406"/>
      <c r="B846" s="407"/>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8">
      <c r="A847" s="406"/>
      <c r="B847" s="407"/>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8">
      <c r="A848" s="406"/>
      <c r="B848" s="407"/>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8">
      <c r="A849" s="406"/>
      <c r="B849" s="407"/>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8">
      <c r="A850" s="406"/>
      <c r="B850" s="407"/>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8">
      <c r="A851" s="406"/>
      <c r="B851" s="407"/>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8">
      <c r="A852" s="406"/>
      <c r="B852" s="407"/>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8">
      <c r="A853" s="406"/>
      <c r="B853" s="407"/>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8">
      <c r="A854" s="406"/>
      <c r="B854" s="407"/>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8">
      <c r="A855" s="406"/>
      <c r="B855" s="407"/>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8">
      <c r="A856" s="406"/>
      <c r="B856" s="407"/>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8">
      <c r="A857" s="406"/>
      <c r="B857" s="407"/>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8">
      <c r="A858" s="406"/>
      <c r="B858" s="407"/>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8">
      <c r="A859" s="406"/>
      <c r="B859" s="407"/>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8">
      <c r="A860" s="406"/>
      <c r="B860" s="407"/>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8">
      <c r="A861" s="406"/>
      <c r="B861" s="407"/>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8">
      <c r="A862" s="406"/>
      <c r="B862" s="407"/>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8">
      <c r="A863" s="406"/>
      <c r="B863" s="407"/>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8">
      <c r="A864" s="406"/>
      <c r="B864" s="407"/>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8">
      <c r="A865" s="406"/>
      <c r="B865" s="407"/>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8">
      <c r="A866" s="406"/>
      <c r="B866" s="407"/>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8">
      <c r="A867" s="406"/>
      <c r="B867" s="407"/>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8">
      <c r="A868" s="406"/>
      <c r="B868" s="407"/>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8">
      <c r="A869" s="406"/>
      <c r="B869" s="407"/>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8">
      <c r="A870" s="406"/>
      <c r="B870" s="407"/>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8">
      <c r="A871" s="406"/>
      <c r="B871" s="407"/>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8">
      <c r="A872" s="406"/>
      <c r="B872" s="407"/>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8">
      <c r="A873" s="406"/>
      <c r="B873" s="407"/>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8">
      <c r="A874" s="406"/>
      <c r="B874" s="407"/>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8">
      <c r="A875" s="406"/>
      <c r="B875" s="407"/>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8">
      <c r="A876" s="406"/>
      <c r="B876" s="407"/>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8">
      <c r="A877" s="406"/>
      <c r="B877" s="407"/>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8">
      <c r="A878" s="406"/>
      <c r="B878" s="407"/>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8">
      <c r="A879" s="406"/>
      <c r="B879" s="407"/>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8">
      <c r="A880" s="406"/>
      <c r="B880" s="407"/>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8">
      <c r="A881" s="406"/>
      <c r="B881" s="407"/>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8">
      <c r="A882" s="406"/>
      <c r="B882" s="407"/>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8">
      <c r="A883" s="406"/>
      <c r="B883" s="407"/>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8">
      <c r="A884" s="406"/>
      <c r="B884" s="407"/>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8">
      <c r="A885" s="406"/>
      <c r="B885" s="407"/>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8">
      <c r="A886" s="406"/>
      <c r="B886" s="407"/>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8">
      <c r="A887" s="406"/>
      <c r="B887" s="407"/>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8">
      <c r="A888" s="406"/>
      <c r="B888" s="407"/>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8">
      <c r="A889" s="406"/>
      <c r="B889" s="407"/>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8">
      <c r="A890" s="406"/>
      <c r="B890" s="407"/>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8">
      <c r="A891" s="406"/>
      <c r="B891" s="407"/>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8">
      <c r="A892" s="406"/>
      <c r="B892" s="407"/>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8">
      <c r="A893" s="406"/>
      <c r="B893" s="407"/>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8">
      <c r="A894" s="406"/>
      <c r="B894" s="407"/>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8">
      <c r="A895" s="406"/>
      <c r="B895" s="407"/>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8">
      <c r="A896" s="406"/>
      <c r="B896" s="407"/>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8">
      <c r="A897" s="406"/>
      <c r="B897" s="407"/>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8">
      <c r="A898" s="406"/>
      <c r="B898" s="407"/>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8">
      <c r="A899" s="406"/>
      <c r="B899" s="407"/>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8">
      <c r="A900" s="406"/>
      <c r="B900" s="407"/>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8">
      <c r="A901" s="406"/>
      <c r="B901" s="407"/>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8">
      <c r="A902" s="406"/>
      <c r="B902" s="407"/>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8">
      <c r="A903" s="406"/>
      <c r="B903" s="407"/>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8">
      <c r="A904" s="406"/>
      <c r="B904" s="407"/>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8">
      <c r="A905" s="406"/>
      <c r="B905" s="407"/>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8">
      <c r="A906" s="406"/>
      <c r="B906" s="407"/>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8">
      <c r="A907" s="406"/>
      <c r="B907" s="407"/>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8">
      <c r="A908" s="406"/>
      <c r="B908" s="407"/>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8">
      <c r="A909" s="406"/>
      <c r="B909" s="407"/>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8">
      <c r="A910" s="406"/>
      <c r="B910" s="407"/>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8">
      <c r="A911" s="406"/>
      <c r="B911" s="407"/>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8">
      <c r="A912" s="406"/>
      <c r="B912" s="407"/>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8">
      <c r="A913" s="406"/>
      <c r="B913" s="407"/>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8">
      <c r="A914" s="406"/>
      <c r="B914" s="407"/>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8">
      <c r="A915" s="406"/>
      <c r="B915" s="407"/>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8">
      <c r="A916" s="406"/>
      <c r="B916" s="407"/>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8">
      <c r="A917" s="406"/>
      <c r="B917" s="407"/>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8">
      <c r="A918" s="406"/>
      <c r="B918" s="407"/>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8">
      <c r="A919" s="406"/>
      <c r="B919" s="407"/>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8">
      <c r="A920" s="406"/>
      <c r="B920" s="407"/>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8">
      <c r="A921" s="406"/>
      <c r="B921" s="407"/>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8">
      <c r="A922" s="406"/>
      <c r="B922" s="407"/>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8">
      <c r="A923" s="406"/>
      <c r="B923" s="407"/>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8">
      <c r="A924" s="406"/>
      <c r="B924" s="407"/>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8">
      <c r="A925" s="406"/>
      <c r="B925" s="407"/>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8">
      <c r="A926" s="406"/>
      <c r="B926" s="407"/>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8">
      <c r="A927" s="406"/>
      <c r="B927" s="407"/>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8">
      <c r="A928" s="406"/>
      <c r="B928" s="407"/>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8">
      <c r="A929" s="406"/>
      <c r="B929" s="407"/>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8">
      <c r="A930" s="406"/>
      <c r="B930" s="407"/>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8">
      <c r="A931" s="406"/>
      <c r="B931" s="407"/>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8">
      <c r="A932" s="406"/>
      <c r="B932" s="407"/>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8">
      <c r="A933" s="406"/>
      <c r="B933" s="407"/>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8">
      <c r="A934" s="406"/>
      <c r="B934" s="407"/>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8">
      <c r="A935" s="406"/>
      <c r="B935" s="407"/>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8">
      <c r="A936" s="406"/>
      <c r="B936" s="407"/>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8">
      <c r="A937" s="406"/>
      <c r="B937" s="407"/>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8">
      <c r="A938" s="406"/>
      <c r="B938" s="407"/>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8">
      <c r="A939" s="406"/>
      <c r="B939" s="407"/>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8">
      <c r="A940" s="406"/>
      <c r="B940" s="407"/>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8">
      <c r="A941" s="406"/>
      <c r="B941" s="407"/>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8">
      <c r="A942" s="406"/>
      <c r="B942" s="407"/>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8">
      <c r="A943" s="406"/>
      <c r="B943" s="407"/>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8">
      <c r="A944" s="406"/>
      <c r="B944" s="407"/>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8">
      <c r="A945" s="406"/>
      <c r="B945" s="407"/>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8">
      <c r="A946" s="406"/>
      <c r="B946" s="407"/>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8">
      <c r="A947" s="406"/>
      <c r="B947" s="407"/>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8">
      <c r="A948" s="406"/>
      <c r="B948" s="407"/>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8">
      <c r="A949" s="406"/>
      <c r="B949" s="407"/>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8">
      <c r="A950" s="406"/>
      <c r="B950" s="407"/>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8">
      <c r="A951" s="406"/>
      <c r="B951" s="407"/>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8">
      <c r="A952" s="406"/>
      <c r="B952" s="407"/>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8">
      <c r="A953" s="406"/>
      <c r="B953" s="407"/>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8">
      <c r="A954" s="406"/>
      <c r="B954" s="407"/>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8">
      <c r="A955" s="406"/>
      <c r="B955" s="407"/>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8">
      <c r="A956" s="406"/>
      <c r="B956" s="407"/>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8">
      <c r="A957" s="406"/>
      <c r="B957" s="407"/>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8">
      <c r="A958" s="406"/>
      <c r="B958" s="407"/>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8">
      <c r="A959" s="406"/>
      <c r="B959" s="407"/>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8">
      <c r="A960" s="406"/>
      <c r="B960" s="407"/>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8">
      <c r="A961" s="406"/>
      <c r="B961" s="407"/>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8">
      <c r="A962" s="406"/>
      <c r="B962" s="407"/>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8">
      <c r="A963" s="406"/>
      <c r="B963" s="407"/>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8">
      <c r="A964" s="406"/>
      <c r="B964" s="407"/>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8">
      <c r="A965" s="406"/>
      <c r="B965" s="407"/>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8">
      <c r="A966" s="406"/>
      <c r="B966" s="407"/>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8">
      <c r="A967" s="406"/>
      <c r="B967" s="407"/>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8">
      <c r="A968" s="406"/>
      <c r="B968" s="407"/>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8">
      <c r="A969" s="406"/>
      <c r="B969" s="407"/>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8">
      <c r="A970" s="406"/>
      <c r="B970" s="407"/>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8">
      <c r="A971" s="406"/>
      <c r="B971" s="407"/>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8">
      <c r="A972" s="406"/>
      <c r="B972" s="407"/>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8">
      <c r="A973" s="406"/>
      <c r="B973" s="407"/>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8">
      <c r="A974" s="406"/>
      <c r="B974" s="407"/>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8">
      <c r="A975" s="406"/>
      <c r="B975" s="407"/>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8">
      <c r="A976" s="406"/>
      <c r="B976" s="407"/>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8">
      <c r="A977" s="406"/>
      <c r="B977" s="407"/>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8">
      <c r="A978" s="406"/>
      <c r="B978" s="407"/>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8">
      <c r="A979" s="406"/>
      <c r="B979" s="407"/>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8">
      <c r="A980" s="406"/>
      <c r="B980" s="407"/>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8">
      <c r="A981" s="406"/>
      <c r="B981" s="407"/>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8">
      <c r="A982" s="406"/>
      <c r="B982" s="407"/>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8">
      <c r="A983" s="406"/>
      <c r="B983" s="407"/>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8">
      <c r="A984" s="406"/>
      <c r="B984" s="407"/>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8">
      <c r="A985" s="406"/>
      <c r="B985" s="407"/>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8">
      <c r="A986" s="406"/>
      <c r="B986" s="407"/>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8">
      <c r="A987" s="406"/>
      <c r="B987" s="407"/>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8">
      <c r="A988" s="406"/>
      <c r="B988" s="407"/>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8">
      <c r="A989" s="406"/>
      <c r="B989" s="407"/>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8">
      <c r="A990" s="406"/>
      <c r="B990" s="407"/>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8">
      <c r="A991" s="406"/>
      <c r="B991" s="407"/>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8">
      <c r="A992" s="406"/>
      <c r="B992" s="407"/>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8">
      <c r="A993" s="406"/>
      <c r="B993" s="407"/>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8">
      <c r="A994" s="406"/>
      <c r="B994" s="407"/>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8">
      <c r="A995" s="406"/>
      <c r="B995" s="407"/>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8">
      <c r="A996" s="406"/>
      <c r="B996" s="407"/>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8">
      <c r="A997" s="406"/>
      <c r="B997" s="407"/>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8">
      <c r="A998" s="406"/>
      <c r="B998" s="407"/>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8">
      <c r="A999" s="406"/>
      <c r="B999" s="407"/>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8">
      <c r="A1000" s="406"/>
      <c r="B1000" s="407"/>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8">
      <c r="A1001" s="415"/>
      <c r="B1001" s="416"/>
      <c r="C1001" s="2"/>
      <c r="D1001" s="2"/>
      <c r="F1001" s="2"/>
      <c r="G1001" s="2"/>
      <c r="H1001" s="2"/>
      <c r="I1001" s="2"/>
      <c r="J1001" s="2"/>
      <c r="K1001" s="2"/>
      <c r="L1001" s="2"/>
      <c r="M1001" s="2"/>
      <c r="N1001" s="2"/>
      <c r="O1001" s="2"/>
      <c r="P1001" s="2"/>
      <c r="Q1001" s="2"/>
      <c r="R1001" s="2"/>
      <c r="S1001" s="2"/>
      <c r="T1001" s="2"/>
      <c r="U1001" s="2"/>
      <c r="V1001" s="2"/>
      <c r="W1001" s="2"/>
      <c r="X1001" s="2"/>
      <c r="Y1001" s="2"/>
      <c r="Z1001" s="2"/>
    </row>
  </sheetData>
  <hyperlinks>
    <hyperlink ref="A1" location="Index!A1" display="Index!A1"/>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6D7A8"/>
  </sheetPr>
  <dimension ref="A1:Y998"/>
  <sheetViews>
    <sheetView zoomScale="62" workbookViewId="0"/>
  </sheetViews>
  <sheetFormatPr defaultColWidth="14.33203125" defaultRowHeight="14.25"/>
  <cols>
    <col min="1" max="1" width="24.6640625" bestFit="1" customWidth="1"/>
    <col min="2" max="3" width="19.6640625" bestFit="1" customWidth="1"/>
    <col min="4" max="4" width="20.6640625" bestFit="1" customWidth="1"/>
    <col min="5" max="8" width="21.1328125" bestFit="1" customWidth="1"/>
    <col min="10" max="10" width="31.796875" bestFit="1" customWidth="1"/>
    <col min="11" max="13" width="19.6640625" bestFit="1" customWidth="1"/>
    <col min="14" max="14" width="20.33203125" bestFit="1" customWidth="1"/>
    <col min="15" max="15" width="21.1328125" bestFit="1" customWidth="1"/>
    <col min="16" max="17" width="17.6640625" bestFit="1" customWidth="1"/>
  </cols>
  <sheetData>
    <row r="1" spans="1:25" ht="18">
      <c r="A1" s="1295" t="s">
        <v>0</v>
      </c>
      <c r="B1" s="888"/>
      <c r="C1" s="888"/>
      <c r="D1" s="888"/>
      <c r="E1" s="888"/>
      <c r="F1" s="888"/>
      <c r="G1" s="888"/>
      <c r="H1" s="888"/>
      <c r="I1" s="59"/>
      <c r="J1" s="59"/>
      <c r="K1" s="59"/>
      <c r="L1" s="59"/>
      <c r="M1" s="59"/>
      <c r="N1" s="59"/>
      <c r="O1" s="59"/>
      <c r="P1" s="59"/>
      <c r="Q1" s="59"/>
      <c r="R1" s="59"/>
      <c r="S1" s="59"/>
      <c r="T1" s="59"/>
      <c r="U1" s="59"/>
      <c r="V1" s="59"/>
      <c r="W1" s="59"/>
      <c r="X1" s="59"/>
      <c r="Y1" s="59"/>
    </row>
    <row r="2" spans="1:25" ht="18">
      <c r="A2" s="891" t="s">
        <v>486</v>
      </c>
      <c r="B2" s="891"/>
      <c r="C2" s="891"/>
      <c r="D2" s="891" t="s">
        <v>4</v>
      </c>
      <c r="E2" s="891" t="s">
        <v>61</v>
      </c>
      <c r="F2" s="891" t="s">
        <v>63</v>
      </c>
      <c r="G2" s="891" t="s">
        <v>65</v>
      </c>
      <c r="H2" s="891" t="s">
        <v>67</v>
      </c>
      <c r="I2" s="59"/>
      <c r="J2" s="59"/>
      <c r="K2" s="59"/>
      <c r="L2" s="59"/>
      <c r="M2" s="59"/>
      <c r="N2" s="59"/>
      <c r="O2" s="59"/>
      <c r="P2" s="59"/>
      <c r="Q2" s="59"/>
      <c r="R2" s="59"/>
      <c r="S2" s="59"/>
      <c r="T2" s="59"/>
      <c r="U2" s="59"/>
      <c r="V2" s="59"/>
      <c r="W2" s="59"/>
      <c r="X2" s="59"/>
      <c r="Y2" s="59"/>
    </row>
    <row r="3" spans="1:25" ht="36">
      <c r="A3" s="882" t="s">
        <v>487</v>
      </c>
      <c r="B3" s="881"/>
      <c r="C3" s="881"/>
      <c r="D3" s="892">
        <f>'FE Assumptions'!C25</f>
        <v>68212</v>
      </c>
      <c r="E3" s="892">
        <f>'FE Assumptions'!D25</f>
        <v>91223</v>
      </c>
      <c r="F3" s="892">
        <f>'FE Assumptions'!E25</f>
        <v>161606</v>
      </c>
      <c r="G3" s="892">
        <f>'FE Assumptions'!F25</f>
        <v>245757</v>
      </c>
      <c r="H3" s="892">
        <f>'FE Assumptions'!G25</f>
        <v>297058</v>
      </c>
      <c r="I3" s="59"/>
      <c r="M3" s="59"/>
      <c r="N3" s="59"/>
      <c r="O3" s="59"/>
      <c r="P3" s="59"/>
      <c r="Q3" s="59"/>
      <c r="R3" s="59"/>
      <c r="S3" s="59"/>
      <c r="T3" s="59"/>
      <c r="U3" s="59"/>
      <c r="V3" s="59"/>
      <c r="W3" s="59"/>
      <c r="X3" s="59"/>
      <c r="Y3" s="59"/>
    </row>
    <row r="4" spans="1:25" ht="36">
      <c r="A4" s="882" t="s">
        <v>488</v>
      </c>
      <c r="B4" s="886" t="s">
        <v>489</v>
      </c>
      <c r="C4" s="881"/>
      <c r="D4" s="893">
        <f>K4</f>
        <v>1</v>
      </c>
      <c r="E4" s="893">
        <f>D4</f>
        <v>1</v>
      </c>
      <c r="F4" s="893">
        <f t="shared" ref="F4:H4" si="0">E4</f>
        <v>1</v>
      </c>
      <c r="G4" s="893">
        <f t="shared" si="0"/>
        <v>1</v>
      </c>
      <c r="H4" s="893">
        <f t="shared" si="0"/>
        <v>1</v>
      </c>
      <c r="I4" s="396"/>
      <c r="J4" s="898" t="s">
        <v>861</v>
      </c>
      <c r="K4" s="762">
        <v>1</v>
      </c>
      <c r="L4" s="59"/>
      <c r="M4" s="59"/>
      <c r="N4" s="59"/>
      <c r="O4" s="59"/>
      <c r="P4" s="59"/>
      <c r="Q4" s="59"/>
      <c r="R4" s="59"/>
      <c r="S4" s="59"/>
      <c r="T4" s="59"/>
      <c r="U4" s="59"/>
      <c r="V4" s="59"/>
      <c r="W4" s="59"/>
      <c r="X4" s="59"/>
      <c r="Y4" s="59"/>
    </row>
    <row r="5" spans="1:25" ht="36">
      <c r="A5" s="882" t="s">
        <v>490</v>
      </c>
      <c r="B5" s="881"/>
      <c r="C5" s="881"/>
      <c r="D5" s="892">
        <f t="shared" ref="D5:H5" si="1">ROUNDUP(D3*D4,0)</f>
        <v>68212</v>
      </c>
      <c r="E5" s="892">
        <f t="shared" si="1"/>
        <v>91223</v>
      </c>
      <c r="F5" s="892">
        <f t="shared" si="1"/>
        <v>161606</v>
      </c>
      <c r="G5" s="892">
        <f t="shared" si="1"/>
        <v>245757</v>
      </c>
      <c r="H5" s="892">
        <f t="shared" si="1"/>
        <v>297058</v>
      </c>
      <c r="I5" s="59"/>
      <c r="J5" s="59"/>
      <c r="K5" s="59"/>
      <c r="L5" s="59"/>
      <c r="M5" s="59"/>
      <c r="N5" s="59"/>
      <c r="O5" s="59"/>
      <c r="P5" s="59"/>
      <c r="Q5" s="59"/>
      <c r="R5" s="59"/>
      <c r="S5" s="59"/>
      <c r="T5" s="59"/>
      <c r="U5" s="59"/>
      <c r="V5" s="59"/>
      <c r="W5" s="59"/>
      <c r="X5" s="59"/>
      <c r="Y5" s="59"/>
    </row>
    <row r="6" spans="1:25" ht="36">
      <c r="A6" s="882" t="s">
        <v>491</v>
      </c>
      <c r="B6" s="886" t="s">
        <v>860</v>
      </c>
      <c r="C6" s="881"/>
      <c r="D6" s="758">
        <f t="shared" ref="D6:H6" si="2">$K$6</f>
        <v>1</v>
      </c>
      <c r="E6" s="758">
        <f t="shared" si="2"/>
        <v>1</v>
      </c>
      <c r="F6" s="758">
        <f t="shared" si="2"/>
        <v>1</v>
      </c>
      <c r="G6" s="758">
        <f t="shared" si="2"/>
        <v>1</v>
      </c>
      <c r="H6" s="758">
        <f t="shared" si="2"/>
        <v>1</v>
      </c>
      <c r="I6" s="396"/>
      <c r="J6" s="898" t="s">
        <v>492</v>
      </c>
      <c r="K6" s="760">
        <v>1</v>
      </c>
      <c r="L6" s="59"/>
      <c r="M6" s="59"/>
      <c r="N6" s="59"/>
      <c r="O6" s="59"/>
      <c r="P6" s="59"/>
      <c r="Q6" s="59"/>
      <c r="R6" s="59"/>
      <c r="S6" s="59"/>
      <c r="T6" s="59"/>
      <c r="U6" s="59"/>
      <c r="V6" s="59"/>
      <c r="W6" s="59"/>
      <c r="X6" s="59"/>
      <c r="Y6" s="59"/>
    </row>
    <row r="7" spans="1:25" ht="36">
      <c r="A7" s="882" t="s">
        <v>493</v>
      </c>
      <c r="B7" s="886" t="s">
        <v>494</v>
      </c>
      <c r="C7" s="881"/>
      <c r="D7" s="880">
        <f t="shared" ref="D7:H7" si="3">$K$7*12</f>
        <v>60</v>
      </c>
      <c r="E7" s="880">
        <f t="shared" si="3"/>
        <v>60</v>
      </c>
      <c r="F7" s="880">
        <f t="shared" si="3"/>
        <v>60</v>
      </c>
      <c r="G7" s="880">
        <f t="shared" si="3"/>
        <v>60</v>
      </c>
      <c r="H7" s="880">
        <f t="shared" si="3"/>
        <v>60</v>
      </c>
      <c r="I7" s="59"/>
      <c r="J7" s="898" t="s">
        <v>495</v>
      </c>
      <c r="K7" s="761">
        <v>5</v>
      </c>
      <c r="L7" s="59"/>
      <c r="M7" s="59"/>
      <c r="N7" s="59"/>
      <c r="O7" s="59"/>
      <c r="P7" s="59"/>
      <c r="Q7" s="59"/>
      <c r="R7" s="59"/>
      <c r="S7" s="59"/>
      <c r="T7" s="59"/>
      <c r="U7" s="59"/>
      <c r="V7" s="59"/>
      <c r="W7" s="59"/>
      <c r="X7" s="59"/>
      <c r="Y7" s="59"/>
    </row>
    <row r="8" spans="1:25" ht="36">
      <c r="A8" s="894" t="s">
        <v>496</v>
      </c>
      <c r="B8" s="894"/>
      <c r="C8" s="894"/>
      <c r="D8" s="895">
        <f t="shared" ref="D8:H8" si="4">D7*D5</f>
        <v>4092720</v>
      </c>
      <c r="E8" s="895">
        <f t="shared" si="4"/>
        <v>5473380</v>
      </c>
      <c r="F8" s="895">
        <f t="shared" si="4"/>
        <v>9696360</v>
      </c>
      <c r="G8" s="895">
        <f t="shared" si="4"/>
        <v>14745420</v>
      </c>
      <c r="H8" s="895">
        <f t="shared" si="4"/>
        <v>17823480</v>
      </c>
      <c r="I8" s="59"/>
      <c r="J8" s="59"/>
      <c r="K8" s="59"/>
      <c r="L8" s="59"/>
      <c r="M8" s="59"/>
      <c r="N8" s="59"/>
      <c r="O8" s="59"/>
      <c r="P8" s="59"/>
      <c r="Q8" s="59"/>
      <c r="R8" s="59"/>
      <c r="S8" s="59"/>
      <c r="T8" s="59"/>
      <c r="U8" s="59"/>
      <c r="V8" s="59"/>
      <c r="W8" s="59"/>
      <c r="X8" s="59"/>
      <c r="Y8" s="59"/>
    </row>
    <row r="9" spans="1:25" ht="18">
      <c r="A9" s="896" t="s">
        <v>68</v>
      </c>
      <c r="B9" s="760"/>
      <c r="C9" s="760"/>
      <c r="D9" s="760"/>
      <c r="E9" s="897">
        <f t="shared" ref="E9:H9" si="5">(E8-D8)/D8</f>
        <v>0.33734533513164838</v>
      </c>
      <c r="F9" s="897">
        <f t="shared" si="5"/>
        <v>0.77154884184909511</v>
      </c>
      <c r="G9" s="897">
        <f t="shared" si="5"/>
        <v>0.52071705258468126</v>
      </c>
      <c r="H9" s="897">
        <f t="shared" si="5"/>
        <v>0.20874685156475706</v>
      </c>
      <c r="I9" s="59"/>
      <c r="K9" s="398"/>
      <c r="P9" s="59"/>
      <c r="Q9" s="59"/>
      <c r="R9" s="59"/>
      <c r="S9" s="59"/>
      <c r="T9" s="59"/>
      <c r="U9" s="59"/>
      <c r="V9" s="59"/>
      <c r="W9" s="59"/>
      <c r="X9" s="59"/>
      <c r="Y9" s="59"/>
    </row>
    <row r="10" spans="1:25" ht="18">
      <c r="A10" s="889"/>
      <c r="B10" s="890"/>
      <c r="C10" s="890"/>
      <c r="D10" s="890"/>
      <c r="E10" s="890"/>
      <c r="F10" s="890"/>
      <c r="G10" s="890"/>
      <c r="H10" s="890"/>
      <c r="I10" s="59"/>
      <c r="J10" s="898" t="s">
        <v>497</v>
      </c>
      <c r="K10" s="898" t="s">
        <v>498</v>
      </c>
      <c r="L10" s="898" t="s">
        <v>499</v>
      </c>
      <c r="M10" s="898" t="s">
        <v>500</v>
      </c>
      <c r="N10" s="898" t="s">
        <v>501</v>
      </c>
      <c r="O10" s="898" t="s">
        <v>502</v>
      </c>
      <c r="P10" s="878"/>
      <c r="R10" s="59"/>
      <c r="S10" s="59"/>
      <c r="T10" s="59"/>
      <c r="U10" s="59"/>
      <c r="V10" s="59"/>
      <c r="W10" s="59"/>
      <c r="X10" s="59"/>
      <c r="Y10" s="59"/>
    </row>
    <row r="11" spans="1:25" ht="36">
      <c r="A11" s="885" t="s">
        <v>503</v>
      </c>
      <c r="B11" s="885" t="s">
        <v>862</v>
      </c>
      <c r="C11" s="885"/>
      <c r="D11" s="885" t="s">
        <v>4</v>
      </c>
      <c r="E11" s="885" t="s">
        <v>61</v>
      </c>
      <c r="F11" s="885" t="s">
        <v>63</v>
      </c>
      <c r="G11" s="885" t="s">
        <v>65</v>
      </c>
      <c r="H11" s="885" t="s">
        <v>67</v>
      </c>
      <c r="I11" s="396"/>
      <c r="J11" s="759">
        <v>2.99</v>
      </c>
      <c r="K11" s="880">
        <f>$J$11*D$5*12</f>
        <v>2447446.56</v>
      </c>
      <c r="L11" s="880">
        <f>$J$11*E$5*12</f>
        <v>3273081.24</v>
      </c>
      <c r="M11" s="880">
        <f>$J$11*F$5*12</f>
        <v>5798423.2800000012</v>
      </c>
      <c r="N11" s="880">
        <f>$J$11*G$5*12</f>
        <v>8817761.1600000001</v>
      </c>
      <c r="O11" s="880">
        <f>$J$11*H$5*12</f>
        <v>10658441.040000001</v>
      </c>
      <c r="P11" s="878"/>
      <c r="R11" s="59"/>
      <c r="S11" s="59"/>
      <c r="T11" s="59"/>
      <c r="U11" s="59"/>
      <c r="V11" s="59"/>
      <c r="W11" s="59"/>
      <c r="X11" s="59"/>
      <c r="Y11" s="59"/>
    </row>
    <row r="12" spans="1:25" ht="36">
      <c r="A12" s="882" t="s">
        <v>504</v>
      </c>
      <c r="B12" s="931"/>
      <c r="C12" s="881"/>
      <c r="D12" s="880">
        <f t="shared" ref="D12:H12" si="6">K$11</f>
        <v>2447446.56</v>
      </c>
      <c r="E12" s="880">
        <f t="shared" si="6"/>
        <v>3273081.24</v>
      </c>
      <c r="F12" s="880">
        <f t="shared" si="6"/>
        <v>5798423.2800000012</v>
      </c>
      <c r="G12" s="880">
        <f t="shared" si="6"/>
        <v>8817761.1600000001</v>
      </c>
      <c r="H12" s="880">
        <f t="shared" si="6"/>
        <v>10658441.040000001</v>
      </c>
      <c r="I12" s="59"/>
      <c r="J12" s="885"/>
      <c r="K12" s="885" t="s">
        <v>505</v>
      </c>
      <c r="L12" s="885" t="s">
        <v>506</v>
      </c>
      <c r="M12" s="885" t="s">
        <v>507</v>
      </c>
      <c r="N12" s="885" t="s">
        <v>508</v>
      </c>
      <c r="O12" s="885" t="s">
        <v>509</v>
      </c>
      <c r="P12" s="885" t="s">
        <v>510</v>
      </c>
      <c r="Q12" s="885" t="s">
        <v>511</v>
      </c>
      <c r="R12" s="59"/>
      <c r="S12" s="59"/>
      <c r="T12" s="59"/>
      <c r="U12" s="59"/>
      <c r="V12" s="59"/>
      <c r="W12" s="59"/>
      <c r="X12" s="59"/>
      <c r="Y12" s="59"/>
    </row>
    <row r="13" spans="1:25" ht="18">
      <c r="A13" s="759" t="s">
        <v>512</v>
      </c>
      <c r="B13" s="932" t="str">
        <f>HYPERLINK("https://aws.amazon.com/ec2/pricing/on-demand/","AWS")</f>
        <v>AWS</v>
      </c>
      <c r="C13" s="881"/>
      <c r="D13" s="880">
        <f t="shared" ref="D13:H13" si="7">$Q$13*$P$13*K14</f>
        <v>3274176</v>
      </c>
      <c r="E13" s="880">
        <f t="shared" si="7"/>
        <v>4378704.0000000009</v>
      </c>
      <c r="F13" s="880">
        <f t="shared" si="7"/>
        <v>7757088</v>
      </c>
      <c r="G13" s="880">
        <f t="shared" si="7"/>
        <v>11796336.000000002</v>
      </c>
      <c r="H13" s="880">
        <f t="shared" si="7"/>
        <v>14258784.000000002</v>
      </c>
      <c r="I13" s="59"/>
      <c r="J13" s="759" t="s">
        <v>513</v>
      </c>
      <c r="K13" s="881" t="s">
        <v>514</v>
      </c>
      <c r="L13" s="881">
        <v>2</v>
      </c>
      <c r="M13" s="881">
        <v>8</v>
      </c>
      <c r="N13" s="881">
        <v>3.75</v>
      </c>
      <c r="O13" s="881" t="s">
        <v>515</v>
      </c>
      <c r="P13" s="883">
        <v>0.1</v>
      </c>
      <c r="Q13" s="884">
        <f>24*365</f>
        <v>8760</v>
      </c>
      <c r="R13" s="59"/>
      <c r="S13" s="59"/>
      <c r="T13" s="59"/>
      <c r="U13" s="59"/>
      <c r="V13" s="59"/>
      <c r="W13" s="59"/>
      <c r="X13" s="59"/>
      <c r="Y13" s="59"/>
    </row>
    <row r="14" spans="1:25" ht="26" customHeight="1">
      <c r="A14" s="885" t="s">
        <v>516</v>
      </c>
      <c r="B14" s="885"/>
      <c r="C14" s="885"/>
      <c r="D14" s="887">
        <f t="shared" ref="D14:H14" si="8">SUM(D12:D13)</f>
        <v>5721622.5600000005</v>
      </c>
      <c r="E14" s="887">
        <f t="shared" si="8"/>
        <v>7651785.2400000012</v>
      </c>
      <c r="F14" s="887">
        <f t="shared" si="8"/>
        <v>13555511.280000001</v>
      </c>
      <c r="G14" s="887">
        <f t="shared" si="8"/>
        <v>20614097.160000004</v>
      </c>
      <c r="H14" s="887">
        <f t="shared" si="8"/>
        <v>24917225.040000003</v>
      </c>
      <c r="I14" s="59"/>
      <c r="J14" s="882" t="s">
        <v>518</v>
      </c>
      <c r="K14" s="758">
        <f>D3/((L13*M13)+(N13*((M13-L13)*P13)))</f>
        <v>3737.6438356164385</v>
      </c>
      <c r="L14" s="758">
        <f>K14*(1+E9)</f>
        <v>4998.5205479452061</v>
      </c>
      <c r="M14" s="758">
        <f>L14*(1+F9)</f>
        <v>8855.1232876712329</v>
      </c>
      <c r="N14" s="758">
        <f>M14*(1+G9)</f>
        <v>13466.136986301372</v>
      </c>
      <c r="O14" s="758">
        <f>N14*(1+H9)</f>
        <v>16277.150684931508</v>
      </c>
      <c r="P14" s="879"/>
      <c r="Q14" s="399"/>
      <c r="R14" s="59"/>
      <c r="S14" s="59"/>
      <c r="T14" s="59"/>
      <c r="U14" s="59"/>
      <c r="V14" s="59"/>
      <c r="W14" s="59"/>
      <c r="X14" s="59"/>
      <c r="Y14" s="59"/>
    </row>
    <row r="15" spans="1:25" s="740" customFormat="1" ht="18">
      <c r="A15" s="401"/>
      <c r="B15" s="402"/>
      <c r="C15" s="396"/>
      <c r="D15" s="396"/>
      <c r="E15" s="396"/>
      <c r="F15" s="396"/>
      <c r="G15" s="396"/>
      <c r="H15" s="396"/>
      <c r="I15" s="396"/>
      <c r="J15" s="403"/>
      <c r="K15" s="408"/>
      <c r="P15" s="396"/>
      <c r="Q15" s="396"/>
      <c r="R15" s="396"/>
      <c r="S15" s="396"/>
      <c r="T15" s="396"/>
      <c r="U15" s="396"/>
      <c r="V15" s="396"/>
      <c r="W15" s="396"/>
      <c r="X15" s="396"/>
      <c r="Y15" s="396"/>
    </row>
    <row r="16" spans="1:25" ht="18">
      <c r="A16" s="401"/>
      <c r="B16" s="402"/>
      <c r="C16" s="59"/>
      <c r="D16" s="59"/>
      <c r="E16" s="59"/>
      <c r="F16" s="59"/>
      <c r="G16" s="59"/>
      <c r="H16" s="59"/>
      <c r="I16" s="59"/>
      <c r="J16" s="403"/>
      <c r="K16" s="404"/>
      <c r="P16" s="396"/>
      <c r="Q16" s="59"/>
      <c r="R16" s="59"/>
      <c r="S16" s="59"/>
      <c r="T16" s="59"/>
      <c r="U16" s="59"/>
      <c r="V16" s="59"/>
      <c r="W16" s="59"/>
      <c r="X16" s="59"/>
      <c r="Y16" s="59"/>
    </row>
    <row r="17" spans="1:25" s="763" customFormat="1" ht="54">
      <c r="A17" s="894" t="s">
        <v>866</v>
      </c>
      <c r="B17" s="885">
        <v>1</v>
      </c>
      <c r="C17" s="885">
        <v>2</v>
      </c>
      <c r="D17" s="885">
        <v>3</v>
      </c>
      <c r="E17" s="885">
        <v>4</v>
      </c>
      <c r="F17" s="885">
        <v>5</v>
      </c>
      <c r="G17" s="402"/>
      <c r="H17" s="402"/>
      <c r="I17" s="402"/>
      <c r="K17" s="764"/>
      <c r="R17" s="402"/>
      <c r="S17" s="402"/>
      <c r="T17" s="402"/>
      <c r="U17" s="402"/>
      <c r="V17" s="402"/>
      <c r="W17" s="402"/>
      <c r="X17" s="402"/>
      <c r="Y17" s="402"/>
    </row>
    <row r="18" spans="1:25" ht="18">
      <c r="A18" s="882" t="s">
        <v>519</v>
      </c>
      <c r="B18" s="899">
        <f t="shared" ref="B18:F18" si="9">D8</f>
        <v>4092720</v>
      </c>
      <c r="C18" s="899">
        <f t="shared" si="9"/>
        <v>5473380</v>
      </c>
      <c r="D18" s="899">
        <f t="shared" si="9"/>
        <v>9696360</v>
      </c>
      <c r="E18" s="899">
        <f t="shared" si="9"/>
        <v>14745420</v>
      </c>
      <c r="F18" s="899">
        <f t="shared" si="9"/>
        <v>17823480</v>
      </c>
      <c r="G18" s="405"/>
      <c r="H18" s="59"/>
      <c r="I18" s="59"/>
      <c r="J18" s="59"/>
      <c r="K18" s="396"/>
      <c r="L18" s="59"/>
      <c r="M18" s="59"/>
      <c r="N18" s="59"/>
      <c r="O18" s="59"/>
      <c r="P18" s="59"/>
      <c r="Q18" s="59"/>
      <c r="R18" s="59"/>
      <c r="S18" s="59"/>
      <c r="T18" s="59"/>
      <c r="U18" s="59"/>
      <c r="V18" s="59"/>
      <c r="W18" s="59"/>
      <c r="X18" s="59"/>
      <c r="Y18" s="59"/>
    </row>
    <row r="19" spans="1:25" ht="18">
      <c r="A19" s="882" t="s">
        <v>520</v>
      </c>
      <c r="B19" s="899">
        <f t="shared" ref="B19:F19" si="10">D14</f>
        <v>5721622.5600000005</v>
      </c>
      <c r="C19" s="899">
        <f t="shared" si="10"/>
        <v>7651785.2400000012</v>
      </c>
      <c r="D19" s="899">
        <f t="shared" si="10"/>
        <v>13555511.280000001</v>
      </c>
      <c r="E19" s="899">
        <f t="shared" si="10"/>
        <v>20614097.160000004</v>
      </c>
      <c r="F19" s="899">
        <f t="shared" si="10"/>
        <v>24917225.040000003</v>
      </c>
      <c r="G19" s="59"/>
      <c r="H19" s="59"/>
      <c r="I19" s="59"/>
      <c r="J19" s="59"/>
      <c r="K19" s="59"/>
      <c r="L19" s="59"/>
      <c r="M19" s="59"/>
      <c r="N19" s="59"/>
      <c r="O19" s="59"/>
      <c r="P19" s="59"/>
      <c r="Q19" s="59"/>
      <c r="R19" s="59"/>
      <c r="S19" s="59"/>
      <c r="T19" s="59"/>
      <c r="U19" s="59"/>
      <c r="V19" s="59"/>
      <c r="W19" s="59"/>
      <c r="X19" s="59"/>
      <c r="Y19" s="59"/>
    </row>
    <row r="20" spans="1:25" ht="18">
      <c r="A20" s="401"/>
      <c r="B20" s="402"/>
      <c r="C20" s="59"/>
      <c r="D20" s="59"/>
      <c r="E20" s="59"/>
      <c r="F20" s="59"/>
      <c r="G20" s="59"/>
      <c r="H20" s="59"/>
      <c r="I20" s="59"/>
      <c r="L20" s="59"/>
      <c r="M20" s="59"/>
      <c r="N20" s="59"/>
      <c r="O20" s="59"/>
      <c r="P20" s="59"/>
      <c r="Q20" s="396"/>
      <c r="R20" s="59"/>
      <c r="S20" s="59"/>
      <c r="T20" s="59"/>
      <c r="U20" s="59"/>
      <c r="V20" s="59"/>
      <c r="W20" s="59"/>
      <c r="X20" s="59"/>
      <c r="Y20" s="59"/>
    </row>
    <row r="21" spans="1:25" ht="36">
      <c r="A21" s="894" t="s">
        <v>867</v>
      </c>
      <c r="B21" s="885">
        <v>1</v>
      </c>
      <c r="C21" s="885">
        <v>2</v>
      </c>
      <c r="D21" s="885">
        <v>3</v>
      </c>
      <c r="E21" s="885">
        <v>4</v>
      </c>
      <c r="F21" s="885">
        <v>5</v>
      </c>
      <c r="G21" s="59"/>
      <c r="H21" s="405"/>
      <c r="I21" s="59"/>
      <c r="R21" s="59"/>
      <c r="S21" s="59"/>
      <c r="T21" s="59"/>
      <c r="U21" s="59"/>
      <c r="V21" s="59"/>
      <c r="W21" s="59"/>
      <c r="X21" s="59"/>
      <c r="Y21" s="59"/>
    </row>
    <row r="22" spans="1:25" ht="18">
      <c r="A22" s="882" t="s">
        <v>519</v>
      </c>
      <c r="B22" s="900">
        <f t="shared" ref="B22:F22" si="11">D8</f>
        <v>4092720</v>
      </c>
      <c r="C22" s="900">
        <f t="shared" si="11"/>
        <v>5473380</v>
      </c>
      <c r="D22" s="900">
        <f t="shared" si="11"/>
        <v>9696360</v>
      </c>
      <c r="E22" s="900">
        <f t="shared" si="11"/>
        <v>14745420</v>
      </c>
      <c r="F22" s="900">
        <f t="shared" si="11"/>
        <v>17823480</v>
      </c>
      <c r="G22" s="59"/>
      <c r="H22" s="59"/>
      <c r="I22" s="59"/>
      <c r="R22" s="59"/>
      <c r="S22" s="59"/>
      <c r="T22" s="59"/>
      <c r="U22" s="59"/>
      <c r="V22" s="59"/>
      <c r="W22" s="59"/>
      <c r="X22" s="59"/>
      <c r="Y22" s="59"/>
    </row>
    <row r="23" spans="1:25" ht="18">
      <c r="A23" s="882" t="s">
        <v>521</v>
      </c>
      <c r="B23" s="899">
        <f>D12</f>
        <v>2447446.56</v>
      </c>
      <c r="C23" s="899">
        <f>E12</f>
        <v>3273081.24</v>
      </c>
      <c r="D23" s="899">
        <f>F12</f>
        <v>5798423.2800000012</v>
      </c>
      <c r="E23" s="899">
        <f>G12</f>
        <v>8817761.1600000001</v>
      </c>
      <c r="F23" s="899">
        <f>H12</f>
        <v>10658441.040000001</v>
      </c>
      <c r="G23" s="59"/>
      <c r="H23" s="59"/>
      <c r="I23" s="59"/>
      <c r="K23" s="396"/>
      <c r="L23" s="396"/>
      <c r="M23" s="396"/>
      <c r="N23" s="396"/>
      <c r="O23" s="396"/>
      <c r="R23" s="59"/>
      <c r="S23" s="59"/>
      <c r="T23" s="59"/>
      <c r="U23" s="59"/>
      <c r="V23" s="59"/>
      <c r="W23" s="59"/>
      <c r="X23" s="59"/>
      <c r="Y23" s="59"/>
    </row>
    <row r="24" spans="1:25" ht="18">
      <c r="A24" s="401"/>
      <c r="B24" s="402"/>
      <c r="C24" s="59"/>
      <c r="D24" s="59"/>
      <c r="E24" s="59"/>
      <c r="F24" s="59"/>
      <c r="G24" s="59"/>
      <c r="H24" s="59"/>
      <c r="I24" s="59"/>
      <c r="P24" s="408"/>
      <c r="Q24" s="59"/>
      <c r="R24" s="59"/>
      <c r="S24" s="59"/>
      <c r="T24" s="59"/>
      <c r="U24" s="59"/>
      <c r="V24" s="59"/>
      <c r="W24" s="59"/>
      <c r="X24" s="59"/>
      <c r="Y24" s="59"/>
    </row>
    <row r="25" spans="1:25" ht="18">
      <c r="A25" s="401"/>
      <c r="B25" s="402"/>
      <c r="C25" s="59"/>
      <c r="D25" s="59"/>
      <c r="E25" s="59"/>
      <c r="F25" s="59"/>
      <c r="G25" s="59"/>
      <c r="H25" s="59"/>
      <c r="I25" s="59"/>
      <c r="R25" s="59"/>
      <c r="S25" s="59"/>
      <c r="T25" s="59"/>
      <c r="U25" s="59"/>
      <c r="V25" s="59"/>
      <c r="W25" s="59"/>
      <c r="X25" s="59"/>
      <c r="Y25" s="59"/>
    </row>
    <row r="26" spans="1:25" ht="18">
      <c r="A26" s="401"/>
      <c r="B26" s="402"/>
      <c r="C26" s="59"/>
      <c r="D26" s="59"/>
      <c r="E26" s="59"/>
      <c r="F26" s="59"/>
      <c r="G26" s="59"/>
      <c r="H26" s="59"/>
      <c r="I26" s="59"/>
      <c r="R26" s="59"/>
      <c r="S26" s="59"/>
      <c r="T26" s="59"/>
      <c r="U26" s="59"/>
      <c r="V26" s="59"/>
      <c r="W26" s="59"/>
      <c r="X26" s="59"/>
      <c r="Y26" s="59"/>
    </row>
    <row r="27" spans="1:25" ht="18">
      <c r="A27" s="401"/>
      <c r="B27" s="402"/>
      <c r="C27" s="59"/>
      <c r="D27" s="59"/>
      <c r="E27" s="59"/>
      <c r="F27" s="59"/>
      <c r="G27" s="59"/>
      <c r="H27" s="59"/>
      <c r="I27" s="59"/>
      <c r="Q27" s="59"/>
      <c r="R27" s="59"/>
      <c r="S27" s="59"/>
      <c r="T27" s="59"/>
      <c r="U27" s="59"/>
      <c r="V27" s="59"/>
      <c r="W27" s="59"/>
      <c r="X27" s="59"/>
      <c r="Y27" s="59"/>
    </row>
    <row r="28" spans="1:25" ht="18">
      <c r="A28" s="401"/>
      <c r="B28" s="402"/>
      <c r="C28" s="59"/>
      <c r="D28" s="59"/>
      <c r="E28" s="59"/>
      <c r="F28" s="59"/>
      <c r="G28" s="59"/>
      <c r="H28" s="59"/>
      <c r="I28" s="59"/>
      <c r="R28" s="59"/>
      <c r="S28" s="59"/>
      <c r="T28" s="59"/>
      <c r="U28" s="59"/>
      <c r="V28" s="59"/>
      <c r="W28" s="59"/>
      <c r="X28" s="59"/>
      <c r="Y28" s="59"/>
    </row>
    <row r="29" spans="1:25" ht="18">
      <c r="A29" s="401"/>
      <c r="B29" s="402"/>
      <c r="C29" s="59"/>
      <c r="D29" s="59"/>
      <c r="E29" s="59"/>
      <c r="F29" s="59"/>
      <c r="G29" s="59"/>
      <c r="H29" s="59"/>
      <c r="I29" s="59"/>
      <c r="R29" s="59"/>
      <c r="S29" s="59"/>
      <c r="T29" s="59"/>
      <c r="U29" s="59"/>
      <c r="V29" s="59"/>
      <c r="W29" s="59"/>
      <c r="X29" s="59"/>
      <c r="Y29" s="59"/>
    </row>
    <row r="30" spans="1:25" ht="18">
      <c r="A30" s="401"/>
      <c r="B30" s="402"/>
      <c r="C30" s="59"/>
      <c r="D30" s="59"/>
      <c r="E30" s="59"/>
      <c r="F30" s="59"/>
      <c r="G30" s="59"/>
      <c r="H30" s="59"/>
      <c r="I30" s="59"/>
      <c r="R30" s="59"/>
      <c r="S30" s="59"/>
      <c r="T30" s="59"/>
      <c r="U30" s="59"/>
      <c r="V30" s="59"/>
      <c r="W30" s="59"/>
      <c r="X30" s="59"/>
      <c r="Y30" s="59"/>
    </row>
    <row r="31" spans="1:25" ht="18">
      <c r="A31" s="401"/>
      <c r="B31" s="402"/>
      <c r="C31" s="59"/>
      <c r="D31" s="59"/>
      <c r="E31" s="59"/>
      <c r="F31" s="59"/>
      <c r="G31" s="59"/>
      <c r="H31" s="59"/>
      <c r="I31" s="59"/>
      <c r="J31" s="59"/>
      <c r="K31" s="59"/>
      <c r="L31" s="59"/>
      <c r="M31" s="59"/>
      <c r="N31" s="59"/>
      <c r="O31" s="59"/>
      <c r="P31" s="59"/>
      <c r="Q31" s="59"/>
      <c r="R31" s="59"/>
      <c r="S31" s="59"/>
      <c r="T31" s="59"/>
      <c r="U31" s="59"/>
      <c r="V31" s="59"/>
      <c r="W31" s="59"/>
      <c r="X31" s="59"/>
      <c r="Y31" s="59"/>
    </row>
    <row r="32" spans="1:25" ht="18">
      <c r="A32" s="401"/>
      <c r="B32" s="402"/>
      <c r="C32" s="59"/>
      <c r="D32" s="59"/>
      <c r="E32" s="59"/>
      <c r="F32" s="59"/>
      <c r="G32" s="59"/>
      <c r="H32" s="59"/>
      <c r="I32" s="59"/>
      <c r="J32" s="59"/>
      <c r="K32" s="59"/>
      <c r="L32" s="59"/>
      <c r="M32" s="59"/>
      <c r="N32" s="59"/>
      <c r="O32" s="59"/>
      <c r="P32" s="59"/>
      <c r="Q32" s="59"/>
      <c r="R32" s="59"/>
      <c r="S32" s="59"/>
      <c r="T32" s="59"/>
      <c r="U32" s="59"/>
      <c r="V32" s="59"/>
      <c r="W32" s="59"/>
      <c r="X32" s="59"/>
      <c r="Y32" s="59"/>
    </row>
    <row r="33" spans="1:25" ht="18">
      <c r="A33" s="401"/>
      <c r="B33" s="402"/>
      <c r="C33" s="59"/>
      <c r="D33" s="59"/>
      <c r="E33" s="59"/>
      <c r="F33" s="59"/>
      <c r="G33" s="59"/>
      <c r="H33" s="59"/>
      <c r="I33" s="59"/>
      <c r="J33" s="59"/>
      <c r="K33" s="59"/>
      <c r="L33" s="59"/>
      <c r="M33" s="59"/>
      <c r="N33" s="59"/>
      <c r="O33" s="59"/>
      <c r="P33" s="59"/>
      <c r="Q33" s="59"/>
      <c r="R33" s="59"/>
      <c r="S33" s="59"/>
      <c r="T33" s="59"/>
      <c r="U33" s="59"/>
      <c r="V33" s="59"/>
      <c r="W33" s="59"/>
      <c r="X33" s="59"/>
      <c r="Y33" s="59"/>
    </row>
    <row r="34" spans="1:25" ht="18">
      <c r="A34" s="401"/>
      <c r="B34" s="402"/>
      <c r="C34" s="59"/>
      <c r="D34" s="59"/>
      <c r="E34" s="59"/>
      <c r="F34" s="59"/>
      <c r="G34" s="59"/>
      <c r="H34" s="59"/>
      <c r="I34" s="59"/>
      <c r="J34" s="59"/>
      <c r="K34" s="59"/>
      <c r="L34" s="59"/>
      <c r="M34" s="59"/>
      <c r="N34" s="59"/>
      <c r="O34" s="59"/>
      <c r="P34" s="59"/>
      <c r="Q34" s="59"/>
      <c r="R34" s="59"/>
      <c r="S34" s="59"/>
      <c r="T34" s="59"/>
      <c r="U34" s="59"/>
      <c r="V34" s="59"/>
      <c r="W34" s="59"/>
      <c r="X34" s="59"/>
      <c r="Y34" s="59"/>
    </row>
    <row r="35" spans="1:25" ht="18">
      <c r="A35" s="401"/>
      <c r="B35" s="402"/>
      <c r="C35" s="59"/>
      <c r="D35" s="59"/>
      <c r="E35" s="59"/>
      <c r="F35" s="59"/>
      <c r="G35" s="59"/>
      <c r="H35" s="59"/>
      <c r="I35" s="59"/>
      <c r="J35" s="59"/>
      <c r="K35" s="59"/>
      <c r="L35" s="59"/>
      <c r="M35" s="59"/>
      <c r="N35" s="59"/>
      <c r="O35" s="59"/>
      <c r="P35" s="59"/>
      <c r="Q35" s="59"/>
      <c r="R35" s="59"/>
      <c r="S35" s="59"/>
      <c r="T35" s="59"/>
      <c r="U35" s="59"/>
      <c r="V35" s="59"/>
      <c r="W35" s="59"/>
      <c r="X35" s="59"/>
      <c r="Y35" s="59"/>
    </row>
    <row r="36" spans="1:25" ht="18">
      <c r="A36" s="401"/>
      <c r="B36" s="402"/>
      <c r="C36" s="59"/>
      <c r="D36" s="59"/>
      <c r="E36" s="59"/>
      <c r="F36" s="59"/>
      <c r="G36" s="59"/>
      <c r="H36" s="59"/>
      <c r="I36" s="59"/>
      <c r="J36" s="59"/>
      <c r="K36" s="59"/>
      <c r="L36" s="59"/>
      <c r="M36" s="59"/>
      <c r="N36" s="59"/>
      <c r="O36" s="59"/>
      <c r="P36" s="59"/>
      <c r="Q36" s="59"/>
      <c r="R36" s="59"/>
      <c r="S36" s="59"/>
      <c r="T36" s="59"/>
      <c r="U36" s="59"/>
      <c r="V36" s="59"/>
      <c r="W36" s="59"/>
      <c r="X36" s="59"/>
      <c r="Y36" s="59"/>
    </row>
    <row r="37" spans="1:25" ht="18">
      <c r="A37" s="401"/>
      <c r="B37" s="402"/>
      <c r="C37" s="59"/>
      <c r="D37" s="59"/>
      <c r="E37" s="59"/>
      <c r="F37" s="59"/>
      <c r="G37" s="59"/>
      <c r="H37" s="59"/>
      <c r="I37" s="59"/>
      <c r="J37" s="59"/>
      <c r="K37" s="59"/>
      <c r="L37" s="59"/>
      <c r="M37" s="59"/>
      <c r="N37" s="59"/>
      <c r="O37" s="59"/>
      <c r="P37" s="59"/>
      <c r="Q37" s="59"/>
      <c r="R37" s="59"/>
      <c r="S37" s="59"/>
      <c r="T37" s="59"/>
      <c r="U37" s="59"/>
      <c r="V37" s="59"/>
      <c r="W37" s="59"/>
      <c r="X37" s="59"/>
      <c r="Y37" s="59"/>
    </row>
    <row r="38" spans="1:25" ht="18">
      <c r="A38" s="401"/>
      <c r="B38" s="402"/>
      <c r="C38" s="59"/>
      <c r="D38" s="59"/>
      <c r="E38" s="59"/>
      <c r="F38" s="59"/>
      <c r="G38" s="59"/>
      <c r="H38" s="59"/>
      <c r="I38" s="59"/>
      <c r="J38" s="59"/>
      <c r="K38" s="59"/>
      <c r="L38" s="59"/>
      <c r="M38" s="59"/>
      <c r="N38" s="59"/>
      <c r="O38" s="59"/>
      <c r="P38" s="59"/>
      <c r="Q38" s="59"/>
      <c r="R38" s="59"/>
      <c r="S38" s="59"/>
      <c r="T38" s="59"/>
      <c r="U38" s="59"/>
      <c r="V38" s="59"/>
      <c r="W38" s="59"/>
      <c r="X38" s="59"/>
      <c r="Y38" s="59"/>
    </row>
    <row r="39" spans="1:25" ht="18">
      <c r="A39" s="401"/>
      <c r="B39" s="402"/>
      <c r="C39" s="59"/>
      <c r="D39" s="59"/>
      <c r="E39" s="59"/>
      <c r="F39" s="59"/>
      <c r="G39" s="59"/>
      <c r="H39" s="59"/>
      <c r="I39" s="59"/>
      <c r="J39" s="59"/>
      <c r="K39" s="59"/>
      <c r="L39" s="59"/>
      <c r="M39" s="59"/>
      <c r="N39" s="59"/>
      <c r="O39" s="59"/>
      <c r="P39" s="59"/>
      <c r="Q39" s="59"/>
      <c r="R39" s="59"/>
      <c r="S39" s="59"/>
      <c r="T39" s="59"/>
      <c r="U39" s="59"/>
      <c r="V39" s="59"/>
      <c r="W39" s="59"/>
      <c r="X39" s="59"/>
      <c r="Y39" s="59"/>
    </row>
    <row r="40" spans="1:25" ht="18">
      <c r="A40" s="401"/>
      <c r="B40" s="402"/>
      <c r="C40" s="59"/>
      <c r="D40" s="59"/>
      <c r="E40" s="59"/>
      <c r="F40" s="59"/>
      <c r="G40" s="59"/>
      <c r="H40" s="59"/>
      <c r="I40" s="59"/>
      <c r="J40" s="59"/>
      <c r="K40" s="59"/>
      <c r="L40" s="59"/>
      <c r="M40" s="59"/>
      <c r="N40" s="59"/>
      <c r="O40" s="59"/>
      <c r="P40" s="59"/>
      <c r="Q40" s="59"/>
      <c r="R40" s="59"/>
      <c r="S40" s="59"/>
      <c r="T40" s="59"/>
      <c r="U40" s="59"/>
      <c r="V40" s="59"/>
      <c r="W40" s="59"/>
      <c r="X40" s="59"/>
      <c r="Y40" s="59"/>
    </row>
    <row r="41" spans="1:25" ht="18">
      <c r="A41" s="401"/>
      <c r="B41" s="402"/>
      <c r="C41" s="59"/>
      <c r="D41" s="59"/>
      <c r="E41" s="59"/>
      <c r="F41" s="59"/>
      <c r="G41" s="59"/>
      <c r="H41" s="59"/>
      <c r="I41" s="59"/>
      <c r="J41" s="59"/>
      <c r="K41" s="59"/>
      <c r="L41" s="59"/>
      <c r="M41" s="59"/>
      <c r="N41" s="59"/>
      <c r="O41" s="59"/>
      <c r="P41" s="59"/>
      <c r="Q41" s="59"/>
      <c r="R41" s="59"/>
      <c r="S41" s="59"/>
      <c r="T41" s="59"/>
      <c r="U41" s="59"/>
      <c r="V41" s="59"/>
      <c r="W41" s="59"/>
      <c r="X41" s="59"/>
      <c r="Y41" s="59"/>
    </row>
    <row r="42" spans="1:25" ht="18">
      <c r="A42" s="401"/>
      <c r="B42" s="402"/>
      <c r="C42" s="59"/>
      <c r="D42" s="59"/>
      <c r="E42" s="59"/>
      <c r="F42" s="59"/>
      <c r="G42" s="59"/>
      <c r="H42" s="59"/>
      <c r="I42" s="59"/>
      <c r="J42" s="59"/>
      <c r="K42" s="59"/>
      <c r="L42" s="59"/>
      <c r="M42" s="59"/>
      <c r="N42" s="59"/>
      <c r="O42" s="59"/>
      <c r="P42" s="59"/>
      <c r="Q42" s="59"/>
      <c r="R42" s="59"/>
      <c r="S42" s="59"/>
      <c r="T42" s="59"/>
      <c r="U42" s="59"/>
      <c r="V42" s="59"/>
      <c r="W42" s="59"/>
      <c r="X42" s="59"/>
      <c r="Y42" s="59"/>
    </row>
    <row r="43" spans="1:25" ht="18">
      <c r="A43" s="401"/>
      <c r="B43" s="402"/>
      <c r="C43" s="59"/>
      <c r="D43" s="59"/>
      <c r="E43" s="59"/>
      <c r="F43" s="59"/>
      <c r="G43" s="59"/>
      <c r="H43" s="59"/>
      <c r="I43" s="59"/>
      <c r="J43" s="59"/>
      <c r="K43" s="59"/>
      <c r="L43" s="59"/>
      <c r="M43" s="59"/>
      <c r="N43" s="59"/>
      <c r="O43" s="59"/>
      <c r="P43" s="59"/>
      <c r="Q43" s="59"/>
      <c r="R43" s="59"/>
      <c r="S43" s="59"/>
      <c r="T43" s="59"/>
      <c r="U43" s="59"/>
      <c r="V43" s="59"/>
      <c r="W43" s="59"/>
      <c r="X43" s="59"/>
      <c r="Y43" s="59"/>
    </row>
    <row r="44" spans="1:25" ht="18">
      <c r="A44" s="401"/>
      <c r="B44" s="402"/>
      <c r="C44" s="59"/>
      <c r="D44" s="59"/>
      <c r="E44" s="59"/>
      <c r="F44" s="59"/>
      <c r="G44" s="59"/>
      <c r="H44" s="59"/>
      <c r="I44" s="59"/>
      <c r="J44" s="59"/>
      <c r="K44" s="59"/>
      <c r="L44" s="59"/>
      <c r="M44" s="59"/>
      <c r="N44" s="59"/>
      <c r="O44" s="59"/>
      <c r="P44" s="59"/>
      <c r="Q44" s="59"/>
      <c r="R44" s="59"/>
      <c r="S44" s="59"/>
      <c r="T44" s="59"/>
      <c r="U44" s="59"/>
      <c r="V44" s="59"/>
      <c r="W44" s="59"/>
      <c r="X44" s="59"/>
      <c r="Y44" s="59"/>
    </row>
    <row r="45" spans="1:25" ht="18">
      <c r="A45" s="76"/>
      <c r="B45" s="59"/>
      <c r="C45" s="59"/>
      <c r="D45" s="59"/>
      <c r="E45" s="59"/>
      <c r="F45" s="59"/>
      <c r="G45" s="59"/>
      <c r="H45" s="59"/>
      <c r="I45" s="59"/>
      <c r="J45" s="59"/>
      <c r="K45" s="59"/>
      <c r="L45" s="59"/>
      <c r="M45" s="59"/>
      <c r="N45" s="59"/>
      <c r="O45" s="59"/>
      <c r="P45" s="59"/>
      <c r="Q45" s="59"/>
      <c r="R45" s="59"/>
      <c r="S45" s="59"/>
      <c r="T45" s="59"/>
      <c r="U45" s="59"/>
      <c r="V45" s="59"/>
      <c r="W45" s="59"/>
      <c r="X45" s="59"/>
      <c r="Y45" s="59"/>
    </row>
    <row r="46" spans="1:25" ht="18">
      <c r="A46" s="76"/>
      <c r="B46" s="59"/>
      <c r="C46" s="59"/>
      <c r="D46" s="59"/>
      <c r="E46" s="59"/>
      <c r="F46" s="59"/>
      <c r="G46" s="59"/>
      <c r="H46" s="59"/>
      <c r="I46" s="59"/>
      <c r="J46" s="59"/>
      <c r="K46" s="59"/>
      <c r="L46" s="59"/>
      <c r="M46" s="59"/>
      <c r="N46" s="59"/>
      <c r="O46" s="59"/>
      <c r="P46" s="59"/>
      <c r="Q46" s="59"/>
      <c r="R46" s="59"/>
      <c r="S46" s="59"/>
      <c r="T46" s="59"/>
      <c r="U46" s="59"/>
      <c r="V46" s="59"/>
      <c r="W46" s="59"/>
      <c r="X46" s="59"/>
      <c r="Y46" s="59"/>
    </row>
    <row r="47" spans="1:25" ht="18">
      <c r="A47" s="76"/>
      <c r="B47" s="59"/>
      <c r="C47" s="59"/>
      <c r="D47" s="59"/>
      <c r="E47" s="59"/>
      <c r="F47" s="59"/>
      <c r="G47" s="59"/>
      <c r="H47" s="59"/>
      <c r="I47" s="59"/>
      <c r="J47" s="59"/>
      <c r="K47" s="59"/>
      <c r="L47" s="59"/>
      <c r="M47" s="59"/>
      <c r="N47" s="59"/>
      <c r="O47" s="59"/>
      <c r="P47" s="59"/>
      <c r="Q47" s="59"/>
      <c r="R47" s="59"/>
      <c r="S47" s="59"/>
      <c r="T47" s="59"/>
      <c r="U47" s="59"/>
      <c r="V47" s="59"/>
      <c r="W47" s="59"/>
      <c r="X47" s="59"/>
      <c r="Y47" s="59"/>
    </row>
    <row r="48" spans="1:25" ht="18">
      <c r="A48" s="76"/>
      <c r="B48" s="59"/>
      <c r="C48" s="59"/>
      <c r="D48" s="59"/>
      <c r="E48" s="59"/>
      <c r="F48" s="59"/>
      <c r="G48" s="59"/>
      <c r="H48" s="59"/>
      <c r="I48" s="59"/>
      <c r="J48" s="59"/>
      <c r="K48" s="59"/>
      <c r="L48" s="59"/>
      <c r="M48" s="59"/>
      <c r="N48" s="59"/>
      <c r="O48" s="59"/>
      <c r="P48" s="59"/>
      <c r="Q48" s="59"/>
      <c r="R48" s="59"/>
      <c r="S48" s="59"/>
      <c r="T48" s="59"/>
      <c r="U48" s="59"/>
      <c r="V48" s="59"/>
      <c r="W48" s="59"/>
      <c r="X48" s="59"/>
      <c r="Y48" s="59"/>
    </row>
    <row r="49" spans="1:25" ht="18">
      <c r="A49" s="76"/>
      <c r="B49" s="59"/>
      <c r="C49" s="59"/>
      <c r="D49" s="59"/>
      <c r="E49" s="59"/>
      <c r="F49" s="59"/>
      <c r="G49" s="59"/>
      <c r="H49" s="59"/>
      <c r="I49" s="59"/>
      <c r="J49" s="59"/>
      <c r="K49" s="59"/>
      <c r="L49" s="59"/>
      <c r="M49" s="59"/>
      <c r="N49" s="59"/>
      <c r="O49" s="59"/>
      <c r="P49" s="59"/>
      <c r="Q49" s="59"/>
      <c r="R49" s="59"/>
      <c r="S49" s="59"/>
      <c r="T49" s="59"/>
      <c r="U49" s="59"/>
      <c r="V49" s="59"/>
      <c r="W49" s="59"/>
      <c r="X49" s="59"/>
      <c r="Y49" s="59"/>
    </row>
    <row r="50" spans="1:25" ht="18">
      <c r="A50" s="76"/>
      <c r="B50" s="59"/>
      <c r="C50" s="59"/>
      <c r="D50" s="59"/>
      <c r="E50" s="59"/>
      <c r="F50" s="59"/>
      <c r="G50" s="59"/>
      <c r="H50" s="59"/>
      <c r="I50" s="59"/>
      <c r="J50" s="59"/>
      <c r="K50" s="59"/>
      <c r="L50" s="59"/>
      <c r="M50" s="59"/>
      <c r="N50" s="59"/>
      <c r="O50" s="59"/>
      <c r="P50" s="59"/>
      <c r="Q50" s="59"/>
      <c r="R50" s="59"/>
      <c r="S50" s="59"/>
      <c r="T50" s="59"/>
      <c r="U50" s="59"/>
      <c r="V50" s="59"/>
      <c r="W50" s="59"/>
      <c r="X50" s="59"/>
      <c r="Y50" s="59"/>
    </row>
    <row r="51" spans="1:25" ht="18">
      <c r="A51" s="76"/>
      <c r="B51" s="59"/>
      <c r="C51" s="59"/>
      <c r="D51" s="59"/>
      <c r="E51" s="59"/>
      <c r="F51" s="59"/>
      <c r="G51" s="59"/>
      <c r="H51" s="59"/>
      <c r="I51" s="59"/>
      <c r="J51" s="59"/>
      <c r="K51" s="59"/>
      <c r="L51" s="59"/>
      <c r="M51" s="59"/>
      <c r="N51" s="59"/>
      <c r="O51" s="59"/>
      <c r="P51" s="59"/>
      <c r="Q51" s="59"/>
      <c r="R51" s="59"/>
      <c r="S51" s="59"/>
      <c r="T51" s="59"/>
      <c r="U51" s="59"/>
      <c r="V51" s="59"/>
      <c r="W51" s="59"/>
      <c r="X51" s="59"/>
      <c r="Y51" s="59"/>
    </row>
    <row r="52" spans="1:25" ht="18">
      <c r="A52" s="76"/>
      <c r="B52" s="59"/>
      <c r="C52" s="59"/>
      <c r="D52" s="59"/>
      <c r="E52" s="59"/>
      <c r="F52" s="59"/>
      <c r="G52" s="59"/>
      <c r="H52" s="59"/>
      <c r="I52" s="59"/>
      <c r="J52" s="59"/>
      <c r="K52" s="59"/>
      <c r="L52" s="59"/>
      <c r="M52" s="59"/>
      <c r="N52" s="59"/>
      <c r="O52" s="59"/>
      <c r="P52" s="59"/>
      <c r="Q52" s="59"/>
      <c r="R52" s="59"/>
      <c r="S52" s="59"/>
      <c r="T52" s="59"/>
      <c r="U52" s="59"/>
      <c r="V52" s="59"/>
      <c r="W52" s="59"/>
      <c r="X52" s="59"/>
      <c r="Y52" s="59"/>
    </row>
    <row r="53" spans="1:25" ht="18">
      <c r="A53" s="76"/>
      <c r="B53" s="59"/>
      <c r="C53" s="59"/>
      <c r="D53" s="59"/>
      <c r="E53" s="59"/>
      <c r="F53" s="59"/>
      <c r="G53" s="59"/>
      <c r="H53" s="59"/>
      <c r="I53" s="59"/>
      <c r="J53" s="59"/>
      <c r="K53" s="59"/>
      <c r="L53" s="59"/>
      <c r="M53" s="59"/>
      <c r="N53" s="59"/>
      <c r="O53" s="59"/>
      <c r="P53" s="59"/>
      <c r="Q53" s="59"/>
      <c r="R53" s="59"/>
      <c r="S53" s="59"/>
      <c r="T53" s="59"/>
      <c r="U53" s="59"/>
      <c r="V53" s="59"/>
      <c r="W53" s="59"/>
      <c r="X53" s="59"/>
      <c r="Y53" s="59"/>
    </row>
    <row r="54" spans="1:25" ht="18">
      <c r="A54" s="76"/>
      <c r="B54" s="59"/>
      <c r="C54" s="59"/>
      <c r="D54" s="59"/>
      <c r="E54" s="59"/>
      <c r="F54" s="59"/>
      <c r="G54" s="59"/>
      <c r="H54" s="59"/>
      <c r="I54" s="59"/>
      <c r="J54" s="59"/>
      <c r="K54" s="59"/>
      <c r="L54" s="59"/>
      <c r="M54" s="59"/>
      <c r="N54" s="59"/>
      <c r="O54" s="59"/>
      <c r="P54" s="59"/>
      <c r="Q54" s="59"/>
      <c r="R54" s="59"/>
      <c r="S54" s="59"/>
      <c r="T54" s="59"/>
      <c r="U54" s="59"/>
      <c r="V54" s="59"/>
      <c r="W54" s="59"/>
      <c r="X54" s="59"/>
      <c r="Y54" s="59"/>
    </row>
    <row r="55" spans="1:25" ht="18">
      <c r="A55" s="76"/>
      <c r="B55" s="59"/>
      <c r="C55" s="59"/>
      <c r="D55" s="59"/>
      <c r="E55" s="59"/>
      <c r="F55" s="59"/>
      <c r="G55" s="59"/>
      <c r="H55" s="59"/>
      <c r="I55" s="59"/>
      <c r="J55" s="59"/>
      <c r="K55" s="59"/>
      <c r="L55" s="59"/>
      <c r="M55" s="59"/>
      <c r="N55" s="59"/>
      <c r="O55" s="59"/>
      <c r="P55" s="59"/>
      <c r="Q55" s="59"/>
      <c r="R55" s="59"/>
      <c r="S55" s="59"/>
      <c r="T55" s="59"/>
      <c r="U55" s="59"/>
      <c r="V55" s="59"/>
      <c r="W55" s="59"/>
      <c r="X55" s="59"/>
      <c r="Y55" s="59"/>
    </row>
    <row r="56" spans="1:25" ht="18">
      <c r="A56" s="76"/>
      <c r="B56" s="59"/>
      <c r="C56" s="59"/>
      <c r="D56" s="59"/>
      <c r="E56" s="59"/>
      <c r="F56" s="59"/>
      <c r="G56" s="59"/>
      <c r="H56" s="59"/>
      <c r="I56" s="59"/>
      <c r="J56" s="59"/>
      <c r="K56" s="59"/>
      <c r="L56" s="59"/>
      <c r="M56" s="59"/>
      <c r="N56" s="59"/>
      <c r="O56" s="59"/>
      <c r="P56" s="59"/>
      <c r="Q56" s="59"/>
      <c r="R56" s="59"/>
      <c r="S56" s="59"/>
      <c r="T56" s="59"/>
      <c r="U56" s="59"/>
      <c r="V56" s="59"/>
      <c r="W56" s="59"/>
      <c r="X56" s="59"/>
      <c r="Y56" s="59"/>
    </row>
    <row r="57" spans="1:25" ht="18">
      <c r="A57" s="76"/>
      <c r="B57" s="59"/>
      <c r="C57" s="59"/>
      <c r="D57" s="59"/>
      <c r="E57" s="59"/>
      <c r="F57" s="59"/>
      <c r="G57" s="59"/>
      <c r="H57" s="59"/>
      <c r="I57" s="59"/>
      <c r="J57" s="59"/>
      <c r="K57" s="59"/>
      <c r="L57" s="59"/>
      <c r="M57" s="59"/>
      <c r="N57" s="59"/>
      <c r="O57" s="59"/>
      <c r="P57" s="59"/>
      <c r="Q57" s="59"/>
      <c r="R57" s="59"/>
      <c r="S57" s="59"/>
      <c r="T57" s="59"/>
      <c r="U57" s="59"/>
      <c r="V57" s="59"/>
      <c r="W57" s="59"/>
      <c r="X57" s="59"/>
      <c r="Y57" s="59"/>
    </row>
    <row r="58" spans="1:25" ht="18">
      <c r="A58" s="76"/>
      <c r="B58" s="59"/>
      <c r="C58" s="59"/>
      <c r="D58" s="59"/>
      <c r="E58" s="59"/>
      <c r="F58" s="59"/>
      <c r="G58" s="59"/>
      <c r="H58" s="59"/>
      <c r="I58" s="59"/>
      <c r="J58" s="59"/>
      <c r="K58" s="59"/>
      <c r="L58" s="59"/>
      <c r="M58" s="59"/>
      <c r="N58" s="59"/>
      <c r="O58" s="59"/>
      <c r="P58" s="59"/>
      <c r="Q58" s="59"/>
      <c r="R58" s="59"/>
      <c r="S58" s="59"/>
      <c r="T58" s="59"/>
      <c r="U58" s="59"/>
      <c r="V58" s="59"/>
      <c r="W58" s="59"/>
      <c r="X58" s="59"/>
      <c r="Y58" s="59"/>
    </row>
    <row r="59" spans="1:25" ht="18">
      <c r="A59" s="76"/>
      <c r="B59" s="59"/>
      <c r="C59" s="59"/>
      <c r="D59" s="59"/>
      <c r="E59" s="59"/>
      <c r="F59" s="59"/>
      <c r="G59" s="59"/>
      <c r="H59" s="59"/>
      <c r="I59" s="59"/>
      <c r="J59" s="59"/>
      <c r="K59" s="59"/>
      <c r="L59" s="59"/>
      <c r="M59" s="59"/>
      <c r="N59" s="59"/>
      <c r="O59" s="59"/>
      <c r="P59" s="59"/>
      <c r="Q59" s="59"/>
      <c r="R59" s="59"/>
      <c r="S59" s="59"/>
      <c r="T59" s="59"/>
      <c r="U59" s="59"/>
      <c r="V59" s="59"/>
      <c r="W59" s="59"/>
      <c r="X59" s="59"/>
      <c r="Y59" s="59"/>
    </row>
    <row r="60" spans="1:25" ht="18">
      <c r="A60" s="76"/>
      <c r="B60" s="59"/>
      <c r="C60" s="59"/>
      <c r="D60" s="59"/>
      <c r="E60" s="59"/>
      <c r="F60" s="59"/>
      <c r="G60" s="59"/>
      <c r="H60" s="59"/>
      <c r="I60" s="59"/>
      <c r="J60" s="59"/>
      <c r="K60" s="59"/>
      <c r="L60" s="59"/>
      <c r="M60" s="59"/>
      <c r="N60" s="59"/>
      <c r="O60" s="59"/>
      <c r="P60" s="59"/>
      <c r="Q60" s="59"/>
      <c r="R60" s="59"/>
      <c r="S60" s="59"/>
      <c r="T60" s="59"/>
      <c r="U60" s="59"/>
      <c r="V60" s="59"/>
      <c r="W60" s="59"/>
      <c r="X60" s="59"/>
      <c r="Y60" s="59"/>
    </row>
    <row r="61" spans="1:25" ht="18">
      <c r="A61" s="76"/>
      <c r="B61" s="59"/>
      <c r="C61" s="59"/>
      <c r="D61" s="59"/>
      <c r="E61" s="59"/>
      <c r="F61" s="59"/>
      <c r="G61" s="59"/>
      <c r="H61" s="59"/>
      <c r="I61" s="59"/>
      <c r="J61" s="59"/>
      <c r="K61" s="59"/>
      <c r="L61" s="59"/>
      <c r="M61" s="59"/>
      <c r="N61" s="59"/>
      <c r="O61" s="59"/>
      <c r="P61" s="59"/>
      <c r="Q61" s="59"/>
      <c r="R61" s="59"/>
      <c r="S61" s="59"/>
      <c r="T61" s="59"/>
      <c r="U61" s="59"/>
      <c r="V61" s="59"/>
      <c r="W61" s="59"/>
      <c r="X61" s="59"/>
      <c r="Y61" s="59"/>
    </row>
    <row r="62" spans="1:25" ht="18">
      <c r="A62" s="76"/>
      <c r="B62" s="59"/>
      <c r="C62" s="59"/>
      <c r="D62" s="59"/>
      <c r="E62" s="59"/>
      <c r="F62" s="59"/>
      <c r="G62" s="59"/>
      <c r="H62" s="59"/>
      <c r="I62" s="59"/>
      <c r="J62" s="59"/>
      <c r="K62" s="59"/>
      <c r="L62" s="59"/>
      <c r="M62" s="59"/>
      <c r="N62" s="59"/>
      <c r="O62" s="59"/>
      <c r="P62" s="59"/>
      <c r="Q62" s="59"/>
      <c r="R62" s="59"/>
      <c r="S62" s="59"/>
      <c r="T62" s="59"/>
      <c r="U62" s="59"/>
      <c r="V62" s="59"/>
      <c r="W62" s="59"/>
      <c r="X62" s="59"/>
      <c r="Y62" s="59"/>
    </row>
    <row r="63" spans="1:25" ht="18">
      <c r="A63" s="76"/>
      <c r="B63" s="59"/>
      <c r="C63" s="59"/>
      <c r="D63" s="59"/>
      <c r="E63" s="59"/>
      <c r="F63" s="59"/>
      <c r="G63" s="59"/>
      <c r="H63" s="59"/>
      <c r="I63" s="59"/>
      <c r="J63" s="59"/>
      <c r="K63" s="59"/>
      <c r="L63" s="59"/>
      <c r="M63" s="59"/>
      <c r="N63" s="59"/>
      <c r="O63" s="59"/>
      <c r="P63" s="59"/>
      <c r="Q63" s="59"/>
      <c r="R63" s="59"/>
      <c r="S63" s="59"/>
      <c r="T63" s="59"/>
      <c r="U63" s="59"/>
      <c r="V63" s="59"/>
      <c r="W63" s="59"/>
      <c r="X63" s="59"/>
      <c r="Y63" s="59"/>
    </row>
    <row r="64" spans="1:25" ht="18">
      <c r="A64" s="76"/>
      <c r="B64" s="59"/>
      <c r="C64" s="59"/>
      <c r="D64" s="59"/>
      <c r="E64" s="59"/>
      <c r="F64" s="59"/>
      <c r="G64" s="59"/>
      <c r="H64" s="59"/>
      <c r="I64" s="59"/>
      <c r="J64" s="59"/>
      <c r="K64" s="59"/>
      <c r="L64" s="59"/>
      <c r="M64" s="59"/>
      <c r="N64" s="59"/>
      <c r="O64" s="59"/>
      <c r="P64" s="59"/>
      <c r="Q64" s="59"/>
      <c r="R64" s="59"/>
      <c r="S64" s="59"/>
      <c r="T64" s="59"/>
      <c r="U64" s="59"/>
      <c r="V64" s="59"/>
      <c r="W64" s="59"/>
      <c r="X64" s="59"/>
      <c r="Y64" s="59"/>
    </row>
    <row r="65" spans="1:25" ht="18">
      <c r="A65" s="76"/>
      <c r="B65" s="59"/>
      <c r="C65" s="59"/>
      <c r="D65" s="59"/>
      <c r="E65" s="59"/>
      <c r="F65" s="59"/>
      <c r="G65" s="59"/>
      <c r="H65" s="59"/>
      <c r="I65" s="59"/>
      <c r="J65" s="59"/>
      <c r="K65" s="59"/>
      <c r="L65" s="59"/>
      <c r="M65" s="59"/>
      <c r="N65" s="59"/>
      <c r="O65" s="59"/>
      <c r="P65" s="59"/>
      <c r="Q65" s="59"/>
      <c r="R65" s="59"/>
      <c r="S65" s="59"/>
      <c r="T65" s="59"/>
      <c r="U65" s="59"/>
      <c r="V65" s="59"/>
      <c r="W65" s="59"/>
      <c r="X65" s="59"/>
      <c r="Y65" s="59"/>
    </row>
    <row r="66" spans="1:25" ht="18">
      <c r="A66" s="76"/>
      <c r="B66" s="59"/>
      <c r="C66" s="59"/>
      <c r="D66" s="59"/>
      <c r="E66" s="59"/>
      <c r="F66" s="59"/>
      <c r="G66" s="59"/>
      <c r="H66" s="59"/>
      <c r="I66" s="59"/>
      <c r="J66" s="59"/>
      <c r="K66" s="59"/>
      <c r="L66" s="59"/>
      <c r="M66" s="59"/>
      <c r="N66" s="59"/>
      <c r="O66" s="59"/>
      <c r="P66" s="59"/>
      <c r="Q66" s="59"/>
      <c r="R66" s="59"/>
      <c r="S66" s="59"/>
      <c r="T66" s="59"/>
      <c r="U66" s="59"/>
      <c r="V66" s="59"/>
      <c r="W66" s="59"/>
      <c r="X66" s="59"/>
      <c r="Y66" s="59"/>
    </row>
    <row r="67" spans="1:25" ht="18">
      <c r="A67" s="76"/>
      <c r="B67" s="59"/>
      <c r="C67" s="59"/>
      <c r="D67" s="59"/>
      <c r="E67" s="59"/>
      <c r="F67" s="59"/>
      <c r="G67" s="59"/>
      <c r="H67" s="59"/>
      <c r="I67" s="59"/>
      <c r="J67" s="59"/>
      <c r="K67" s="59"/>
      <c r="L67" s="59"/>
      <c r="M67" s="59"/>
      <c r="N67" s="59"/>
      <c r="O67" s="59"/>
      <c r="P67" s="59"/>
      <c r="Q67" s="59"/>
      <c r="R67" s="59"/>
      <c r="S67" s="59"/>
      <c r="T67" s="59"/>
      <c r="U67" s="59"/>
      <c r="V67" s="59"/>
      <c r="W67" s="59"/>
      <c r="X67" s="59"/>
      <c r="Y67" s="59"/>
    </row>
    <row r="68" spans="1:25" ht="18">
      <c r="A68" s="76"/>
      <c r="B68" s="59"/>
      <c r="C68" s="59"/>
      <c r="D68" s="59"/>
      <c r="E68" s="59"/>
      <c r="F68" s="59"/>
      <c r="G68" s="59"/>
      <c r="H68" s="59"/>
      <c r="I68" s="59"/>
      <c r="J68" s="59"/>
      <c r="K68" s="59"/>
      <c r="L68" s="59"/>
      <c r="M68" s="59"/>
      <c r="N68" s="59"/>
      <c r="O68" s="59"/>
      <c r="P68" s="59"/>
      <c r="Q68" s="59"/>
      <c r="R68" s="59"/>
      <c r="S68" s="59"/>
      <c r="T68" s="59"/>
      <c r="U68" s="59"/>
      <c r="V68" s="59"/>
      <c r="W68" s="59"/>
      <c r="X68" s="59"/>
      <c r="Y68" s="59"/>
    </row>
    <row r="69" spans="1:25" ht="18">
      <c r="A69" s="76"/>
      <c r="B69" s="59"/>
      <c r="C69" s="59"/>
      <c r="D69" s="59"/>
      <c r="E69" s="59"/>
      <c r="F69" s="59"/>
      <c r="G69" s="59"/>
      <c r="H69" s="59"/>
      <c r="I69" s="59"/>
      <c r="J69" s="59"/>
      <c r="K69" s="59"/>
      <c r="L69" s="59"/>
      <c r="M69" s="59"/>
      <c r="N69" s="59"/>
      <c r="O69" s="59"/>
      <c r="P69" s="59"/>
      <c r="Q69" s="59"/>
      <c r="R69" s="59"/>
      <c r="S69" s="59"/>
      <c r="T69" s="59"/>
      <c r="U69" s="59"/>
      <c r="V69" s="59"/>
      <c r="W69" s="59"/>
      <c r="X69" s="59"/>
      <c r="Y69" s="59"/>
    </row>
    <row r="70" spans="1:25" ht="18">
      <c r="A70" s="76"/>
      <c r="B70" s="59"/>
      <c r="C70" s="59"/>
      <c r="D70" s="59"/>
      <c r="E70" s="59"/>
      <c r="F70" s="59"/>
      <c r="G70" s="59"/>
      <c r="H70" s="59"/>
      <c r="I70" s="59"/>
      <c r="J70" s="59"/>
      <c r="K70" s="59"/>
      <c r="L70" s="59"/>
      <c r="M70" s="59"/>
      <c r="N70" s="59"/>
      <c r="O70" s="59"/>
      <c r="P70" s="59"/>
      <c r="Q70" s="59"/>
      <c r="R70" s="59"/>
      <c r="S70" s="59"/>
      <c r="T70" s="59"/>
      <c r="U70" s="59"/>
      <c r="V70" s="59"/>
      <c r="W70" s="59"/>
      <c r="X70" s="59"/>
      <c r="Y70" s="59"/>
    </row>
    <row r="71" spans="1:25" ht="18">
      <c r="A71" s="76"/>
      <c r="B71" s="59"/>
      <c r="C71" s="59"/>
      <c r="D71" s="59"/>
      <c r="E71" s="59"/>
      <c r="F71" s="59"/>
      <c r="G71" s="59"/>
      <c r="H71" s="59"/>
      <c r="I71" s="59"/>
      <c r="J71" s="59"/>
      <c r="K71" s="59"/>
      <c r="L71" s="59"/>
      <c r="M71" s="59"/>
      <c r="N71" s="59"/>
      <c r="O71" s="59"/>
      <c r="P71" s="59"/>
      <c r="Q71" s="59"/>
      <c r="R71" s="59"/>
      <c r="S71" s="59"/>
      <c r="T71" s="59"/>
      <c r="U71" s="59"/>
      <c r="V71" s="59"/>
      <c r="W71" s="59"/>
      <c r="X71" s="59"/>
      <c r="Y71" s="59"/>
    </row>
    <row r="72" spans="1:25" ht="18">
      <c r="A72" s="76"/>
      <c r="B72" s="59"/>
      <c r="C72" s="59"/>
      <c r="D72" s="59"/>
      <c r="E72" s="59"/>
      <c r="F72" s="59"/>
      <c r="G72" s="59"/>
      <c r="H72" s="59"/>
      <c r="I72" s="59"/>
      <c r="J72" s="59"/>
      <c r="K72" s="59"/>
      <c r="L72" s="59"/>
      <c r="M72" s="59"/>
      <c r="N72" s="59"/>
      <c r="O72" s="59"/>
      <c r="P72" s="59"/>
      <c r="Q72" s="59"/>
      <c r="R72" s="59"/>
      <c r="S72" s="59"/>
      <c r="T72" s="59"/>
      <c r="U72" s="59"/>
      <c r="V72" s="59"/>
      <c r="W72" s="59"/>
      <c r="X72" s="59"/>
      <c r="Y72" s="59"/>
    </row>
    <row r="73" spans="1:25" ht="18">
      <c r="A73" s="76"/>
      <c r="B73" s="59"/>
      <c r="C73" s="59"/>
      <c r="D73" s="59"/>
      <c r="E73" s="59"/>
      <c r="F73" s="59"/>
      <c r="G73" s="59"/>
      <c r="H73" s="59"/>
      <c r="I73" s="59"/>
      <c r="J73" s="59"/>
      <c r="K73" s="59"/>
      <c r="L73" s="59"/>
      <c r="M73" s="59"/>
      <c r="N73" s="59"/>
      <c r="O73" s="59"/>
      <c r="P73" s="59"/>
      <c r="Q73" s="59"/>
      <c r="R73" s="59"/>
      <c r="S73" s="59"/>
      <c r="T73" s="59"/>
      <c r="U73" s="59"/>
      <c r="V73" s="59"/>
      <c r="W73" s="59"/>
      <c r="X73" s="59"/>
      <c r="Y73" s="59"/>
    </row>
    <row r="74" spans="1:25" ht="18">
      <c r="A74" s="76"/>
      <c r="B74" s="59"/>
      <c r="C74" s="59"/>
      <c r="D74" s="59"/>
      <c r="E74" s="59"/>
      <c r="F74" s="59"/>
      <c r="G74" s="59"/>
      <c r="H74" s="59"/>
      <c r="I74" s="59"/>
      <c r="J74" s="59"/>
      <c r="K74" s="59"/>
      <c r="L74" s="59"/>
      <c r="M74" s="59"/>
      <c r="N74" s="59"/>
      <c r="O74" s="59"/>
      <c r="P74" s="59"/>
      <c r="Q74" s="59"/>
      <c r="R74" s="59"/>
      <c r="S74" s="59"/>
      <c r="T74" s="59"/>
      <c r="U74" s="59"/>
      <c r="V74" s="59"/>
      <c r="W74" s="59"/>
      <c r="X74" s="59"/>
      <c r="Y74" s="59"/>
    </row>
    <row r="75" spans="1:25" ht="18">
      <c r="A75" s="76"/>
      <c r="B75" s="59"/>
      <c r="C75" s="59"/>
      <c r="D75" s="59"/>
      <c r="E75" s="59"/>
      <c r="F75" s="59"/>
      <c r="G75" s="59"/>
      <c r="H75" s="59"/>
      <c r="I75" s="59"/>
      <c r="J75" s="59"/>
      <c r="K75" s="59"/>
      <c r="L75" s="59"/>
      <c r="M75" s="59"/>
      <c r="N75" s="59"/>
      <c r="O75" s="59"/>
      <c r="P75" s="59"/>
      <c r="Q75" s="59"/>
      <c r="R75" s="59"/>
      <c r="S75" s="59"/>
      <c r="T75" s="59"/>
      <c r="U75" s="59"/>
      <c r="V75" s="59"/>
      <c r="W75" s="59"/>
      <c r="X75" s="59"/>
      <c r="Y75" s="59"/>
    </row>
    <row r="76" spans="1:25" ht="18">
      <c r="A76" s="76"/>
      <c r="B76" s="59"/>
      <c r="C76" s="59"/>
      <c r="D76" s="59"/>
      <c r="E76" s="59"/>
      <c r="F76" s="59"/>
      <c r="G76" s="59"/>
      <c r="H76" s="59"/>
      <c r="I76" s="59"/>
      <c r="J76" s="59"/>
      <c r="K76" s="59"/>
      <c r="L76" s="59"/>
      <c r="M76" s="59"/>
      <c r="N76" s="59"/>
      <c r="O76" s="59"/>
      <c r="P76" s="59"/>
      <c r="Q76" s="59"/>
      <c r="R76" s="59"/>
      <c r="S76" s="59"/>
      <c r="T76" s="59"/>
      <c r="U76" s="59"/>
      <c r="V76" s="59"/>
      <c r="W76" s="59"/>
      <c r="X76" s="59"/>
      <c r="Y76" s="59"/>
    </row>
    <row r="77" spans="1:25" ht="18">
      <c r="A77" s="76"/>
      <c r="B77" s="59"/>
      <c r="C77" s="59"/>
      <c r="D77" s="59"/>
      <c r="E77" s="59"/>
      <c r="F77" s="59"/>
      <c r="G77" s="59"/>
      <c r="H77" s="59"/>
      <c r="I77" s="59"/>
      <c r="J77" s="59"/>
      <c r="K77" s="59"/>
      <c r="L77" s="59"/>
      <c r="M77" s="59"/>
      <c r="N77" s="59"/>
      <c r="O77" s="59"/>
      <c r="P77" s="59"/>
      <c r="Q77" s="59"/>
      <c r="R77" s="59"/>
      <c r="S77" s="59"/>
      <c r="T77" s="59"/>
      <c r="U77" s="59"/>
      <c r="V77" s="59"/>
      <c r="W77" s="59"/>
      <c r="X77" s="59"/>
      <c r="Y77" s="59"/>
    </row>
    <row r="78" spans="1:25" ht="18">
      <c r="A78" s="76"/>
      <c r="B78" s="59"/>
      <c r="C78" s="59"/>
      <c r="D78" s="59"/>
      <c r="E78" s="59"/>
      <c r="F78" s="59"/>
      <c r="G78" s="59"/>
      <c r="H78" s="59"/>
      <c r="I78" s="59"/>
      <c r="J78" s="59"/>
      <c r="K78" s="59"/>
      <c r="L78" s="59"/>
      <c r="M78" s="59"/>
      <c r="N78" s="59"/>
      <c r="O78" s="59"/>
      <c r="P78" s="59"/>
      <c r="Q78" s="59"/>
      <c r="R78" s="59"/>
      <c r="S78" s="59"/>
      <c r="T78" s="59"/>
      <c r="U78" s="59"/>
      <c r="V78" s="59"/>
      <c r="W78" s="59"/>
      <c r="X78" s="59"/>
      <c r="Y78" s="59"/>
    </row>
    <row r="79" spans="1:25" ht="18">
      <c r="A79" s="76"/>
      <c r="B79" s="59"/>
      <c r="C79" s="59"/>
      <c r="D79" s="59"/>
      <c r="E79" s="59"/>
      <c r="F79" s="59"/>
      <c r="G79" s="59"/>
      <c r="H79" s="59"/>
      <c r="I79" s="59"/>
      <c r="J79" s="59"/>
      <c r="K79" s="59"/>
      <c r="L79" s="59"/>
      <c r="M79" s="59"/>
      <c r="N79" s="59"/>
      <c r="O79" s="59"/>
      <c r="P79" s="59"/>
      <c r="Q79" s="59"/>
      <c r="R79" s="59"/>
      <c r="S79" s="59"/>
      <c r="T79" s="59"/>
      <c r="U79" s="59"/>
      <c r="V79" s="59"/>
      <c r="W79" s="59"/>
      <c r="X79" s="59"/>
      <c r="Y79" s="59"/>
    </row>
    <row r="80" spans="1:25" ht="18">
      <c r="A80" s="76"/>
      <c r="B80" s="59"/>
      <c r="C80" s="59"/>
      <c r="D80" s="59"/>
      <c r="E80" s="59"/>
      <c r="F80" s="59"/>
      <c r="G80" s="59"/>
      <c r="H80" s="59"/>
      <c r="I80" s="59"/>
      <c r="J80" s="59"/>
      <c r="K80" s="59"/>
      <c r="L80" s="59"/>
      <c r="M80" s="59"/>
      <c r="N80" s="59"/>
      <c r="O80" s="59"/>
      <c r="P80" s="59"/>
      <c r="Q80" s="59"/>
      <c r="R80" s="59"/>
      <c r="S80" s="59"/>
      <c r="T80" s="59"/>
      <c r="U80" s="59"/>
      <c r="V80" s="59"/>
      <c r="W80" s="59"/>
      <c r="X80" s="59"/>
      <c r="Y80" s="59"/>
    </row>
    <row r="81" spans="1:25" ht="18">
      <c r="A81" s="76"/>
      <c r="B81" s="59"/>
      <c r="C81" s="59"/>
      <c r="D81" s="59"/>
      <c r="E81" s="59"/>
      <c r="F81" s="59"/>
      <c r="G81" s="59"/>
      <c r="H81" s="59"/>
      <c r="I81" s="59"/>
      <c r="J81" s="59"/>
      <c r="K81" s="59"/>
      <c r="L81" s="59"/>
      <c r="M81" s="59"/>
      <c r="N81" s="59"/>
      <c r="O81" s="59"/>
      <c r="P81" s="59"/>
      <c r="Q81" s="59"/>
      <c r="R81" s="59"/>
      <c r="S81" s="59"/>
      <c r="T81" s="59"/>
      <c r="U81" s="59"/>
      <c r="V81" s="59"/>
      <c r="W81" s="59"/>
      <c r="X81" s="59"/>
      <c r="Y81" s="59"/>
    </row>
    <row r="82" spans="1:25" ht="18">
      <c r="A82" s="76"/>
      <c r="B82" s="59"/>
      <c r="C82" s="59"/>
      <c r="D82" s="59"/>
      <c r="E82" s="59"/>
      <c r="F82" s="59"/>
      <c r="G82" s="59"/>
      <c r="H82" s="59"/>
      <c r="I82" s="59"/>
      <c r="J82" s="59"/>
      <c r="K82" s="59"/>
      <c r="L82" s="59"/>
      <c r="M82" s="59"/>
      <c r="N82" s="59"/>
      <c r="O82" s="59"/>
      <c r="P82" s="59"/>
      <c r="Q82" s="59"/>
      <c r="R82" s="59"/>
      <c r="S82" s="59"/>
      <c r="T82" s="59"/>
      <c r="U82" s="59"/>
      <c r="V82" s="59"/>
      <c r="W82" s="59"/>
      <c r="X82" s="59"/>
      <c r="Y82" s="59"/>
    </row>
    <row r="83" spans="1:25" ht="18">
      <c r="A83" s="76"/>
      <c r="B83" s="59"/>
      <c r="C83" s="59"/>
      <c r="D83" s="59"/>
      <c r="E83" s="59"/>
      <c r="F83" s="59"/>
      <c r="G83" s="59"/>
      <c r="H83" s="59"/>
      <c r="I83" s="59"/>
      <c r="J83" s="59"/>
      <c r="K83" s="59"/>
      <c r="L83" s="59"/>
      <c r="M83" s="59"/>
      <c r="N83" s="59"/>
      <c r="O83" s="59"/>
      <c r="P83" s="59"/>
      <c r="Q83" s="59"/>
      <c r="R83" s="59"/>
      <c r="S83" s="59"/>
      <c r="T83" s="59"/>
      <c r="U83" s="59"/>
      <c r="V83" s="59"/>
      <c r="W83" s="59"/>
      <c r="X83" s="59"/>
      <c r="Y83" s="59"/>
    </row>
    <row r="84" spans="1:25" ht="18">
      <c r="A84" s="76"/>
      <c r="B84" s="59"/>
      <c r="C84" s="59"/>
      <c r="D84" s="59"/>
      <c r="E84" s="59"/>
      <c r="F84" s="59"/>
      <c r="G84" s="59"/>
      <c r="H84" s="59"/>
      <c r="I84" s="59"/>
      <c r="J84" s="59"/>
      <c r="K84" s="59"/>
      <c r="L84" s="59"/>
      <c r="M84" s="59"/>
      <c r="N84" s="59"/>
      <c r="O84" s="59"/>
      <c r="P84" s="59"/>
      <c r="Q84" s="59"/>
      <c r="R84" s="59"/>
      <c r="S84" s="59"/>
      <c r="T84" s="59"/>
      <c r="U84" s="59"/>
      <c r="V84" s="59"/>
      <c r="W84" s="59"/>
      <c r="X84" s="59"/>
      <c r="Y84" s="59"/>
    </row>
    <row r="85" spans="1:25" ht="18">
      <c r="A85" s="76"/>
      <c r="B85" s="59"/>
      <c r="C85" s="59"/>
      <c r="D85" s="59"/>
      <c r="E85" s="59"/>
      <c r="F85" s="59"/>
      <c r="G85" s="59"/>
      <c r="H85" s="59"/>
      <c r="I85" s="59"/>
      <c r="J85" s="59"/>
      <c r="K85" s="59"/>
      <c r="L85" s="59"/>
      <c r="M85" s="59"/>
      <c r="N85" s="59"/>
      <c r="O85" s="59"/>
      <c r="P85" s="59"/>
      <c r="Q85" s="59"/>
      <c r="R85" s="59"/>
      <c r="S85" s="59"/>
      <c r="T85" s="59"/>
      <c r="U85" s="59"/>
      <c r="V85" s="59"/>
      <c r="W85" s="59"/>
      <c r="X85" s="59"/>
      <c r="Y85" s="59"/>
    </row>
    <row r="86" spans="1:25" ht="18">
      <c r="A86" s="76"/>
      <c r="B86" s="59"/>
      <c r="C86" s="59"/>
      <c r="D86" s="59"/>
      <c r="E86" s="59"/>
      <c r="F86" s="59"/>
      <c r="G86" s="59"/>
      <c r="H86" s="59"/>
      <c r="I86" s="59"/>
      <c r="J86" s="59"/>
      <c r="K86" s="59"/>
      <c r="L86" s="59"/>
      <c r="M86" s="59"/>
      <c r="N86" s="59"/>
      <c r="O86" s="59"/>
      <c r="P86" s="59"/>
      <c r="Q86" s="59"/>
      <c r="R86" s="59"/>
      <c r="S86" s="59"/>
      <c r="T86" s="59"/>
      <c r="U86" s="59"/>
      <c r="V86" s="59"/>
      <c r="W86" s="59"/>
      <c r="X86" s="59"/>
      <c r="Y86" s="59"/>
    </row>
    <row r="87" spans="1:25" ht="18">
      <c r="A87" s="76"/>
      <c r="B87" s="59"/>
      <c r="C87" s="59"/>
      <c r="D87" s="59"/>
      <c r="E87" s="59"/>
      <c r="F87" s="59"/>
      <c r="G87" s="59"/>
      <c r="H87" s="59"/>
      <c r="I87" s="59"/>
      <c r="J87" s="59"/>
      <c r="K87" s="59"/>
      <c r="L87" s="59"/>
      <c r="M87" s="59"/>
      <c r="N87" s="59"/>
      <c r="O87" s="59"/>
      <c r="P87" s="59"/>
      <c r="Q87" s="59"/>
      <c r="R87" s="59"/>
      <c r="S87" s="59"/>
      <c r="T87" s="59"/>
      <c r="U87" s="59"/>
      <c r="V87" s="59"/>
      <c r="W87" s="59"/>
      <c r="X87" s="59"/>
      <c r="Y87" s="59"/>
    </row>
    <row r="88" spans="1:25" ht="18">
      <c r="A88" s="76"/>
      <c r="B88" s="59"/>
      <c r="C88" s="59"/>
      <c r="D88" s="59"/>
      <c r="E88" s="59"/>
      <c r="F88" s="59"/>
      <c r="G88" s="59"/>
      <c r="H88" s="59"/>
      <c r="I88" s="59"/>
      <c r="J88" s="59"/>
      <c r="K88" s="59"/>
      <c r="L88" s="59"/>
      <c r="M88" s="59"/>
      <c r="N88" s="59"/>
      <c r="O88" s="59"/>
      <c r="P88" s="59"/>
      <c r="Q88" s="59"/>
      <c r="R88" s="59"/>
      <c r="S88" s="59"/>
      <c r="T88" s="59"/>
      <c r="U88" s="59"/>
      <c r="V88" s="59"/>
      <c r="W88" s="59"/>
      <c r="X88" s="59"/>
      <c r="Y88" s="59"/>
    </row>
    <row r="89" spans="1:25" ht="18">
      <c r="A89" s="76"/>
      <c r="B89" s="59"/>
      <c r="C89" s="59"/>
      <c r="D89" s="59"/>
      <c r="E89" s="59"/>
      <c r="F89" s="59"/>
      <c r="G89" s="59"/>
      <c r="H89" s="59"/>
      <c r="I89" s="59"/>
      <c r="J89" s="59"/>
      <c r="K89" s="59"/>
      <c r="L89" s="59"/>
      <c r="M89" s="59"/>
      <c r="N89" s="59"/>
      <c r="O89" s="59"/>
      <c r="P89" s="59"/>
      <c r="Q89" s="59"/>
      <c r="R89" s="59"/>
      <c r="S89" s="59"/>
      <c r="T89" s="59"/>
      <c r="U89" s="59"/>
      <c r="V89" s="59"/>
      <c r="W89" s="59"/>
      <c r="X89" s="59"/>
      <c r="Y89" s="59"/>
    </row>
    <row r="90" spans="1:25" ht="18">
      <c r="A90" s="76"/>
      <c r="B90" s="59"/>
      <c r="C90" s="59"/>
      <c r="D90" s="59"/>
      <c r="E90" s="59"/>
      <c r="F90" s="59"/>
      <c r="G90" s="59"/>
      <c r="H90" s="59"/>
      <c r="I90" s="59"/>
      <c r="J90" s="59"/>
      <c r="K90" s="59"/>
      <c r="L90" s="59"/>
      <c r="M90" s="59"/>
      <c r="N90" s="59"/>
      <c r="O90" s="59"/>
      <c r="P90" s="59"/>
      <c r="Q90" s="59"/>
      <c r="R90" s="59"/>
      <c r="S90" s="59"/>
      <c r="T90" s="59"/>
      <c r="U90" s="59"/>
      <c r="V90" s="59"/>
      <c r="W90" s="59"/>
      <c r="X90" s="59"/>
      <c r="Y90" s="59"/>
    </row>
    <row r="91" spans="1:25" ht="18">
      <c r="A91" s="76"/>
      <c r="B91" s="59"/>
      <c r="C91" s="59"/>
      <c r="D91" s="59"/>
      <c r="E91" s="59"/>
      <c r="F91" s="59"/>
      <c r="G91" s="59"/>
      <c r="H91" s="59"/>
      <c r="I91" s="59"/>
      <c r="J91" s="59"/>
      <c r="K91" s="59"/>
      <c r="L91" s="59"/>
      <c r="M91" s="59"/>
      <c r="N91" s="59"/>
      <c r="O91" s="59"/>
      <c r="P91" s="59"/>
      <c r="Q91" s="59"/>
      <c r="R91" s="59"/>
      <c r="S91" s="59"/>
      <c r="T91" s="59"/>
      <c r="U91" s="59"/>
      <c r="V91" s="59"/>
      <c r="W91" s="59"/>
      <c r="X91" s="59"/>
      <c r="Y91" s="59"/>
    </row>
    <row r="92" spans="1:25" ht="18">
      <c r="A92" s="76"/>
      <c r="B92" s="59"/>
      <c r="C92" s="59"/>
      <c r="D92" s="59"/>
      <c r="E92" s="59"/>
      <c r="F92" s="59"/>
      <c r="G92" s="59"/>
      <c r="H92" s="59"/>
      <c r="I92" s="59"/>
      <c r="J92" s="59"/>
      <c r="K92" s="59"/>
      <c r="L92" s="59"/>
      <c r="M92" s="59"/>
      <c r="N92" s="59"/>
      <c r="O92" s="59"/>
      <c r="P92" s="59"/>
      <c r="Q92" s="59"/>
      <c r="R92" s="59"/>
      <c r="S92" s="59"/>
      <c r="T92" s="59"/>
      <c r="U92" s="59"/>
      <c r="V92" s="59"/>
      <c r="W92" s="59"/>
      <c r="X92" s="59"/>
      <c r="Y92" s="59"/>
    </row>
    <row r="93" spans="1:25" ht="18">
      <c r="A93" s="76"/>
      <c r="B93" s="59"/>
      <c r="C93" s="59"/>
      <c r="D93" s="59"/>
      <c r="E93" s="59"/>
      <c r="F93" s="59"/>
      <c r="G93" s="59"/>
      <c r="H93" s="59"/>
      <c r="I93" s="59"/>
      <c r="J93" s="59"/>
      <c r="K93" s="59"/>
      <c r="L93" s="59"/>
      <c r="M93" s="59"/>
      <c r="N93" s="59"/>
      <c r="O93" s="59"/>
      <c r="P93" s="59"/>
      <c r="Q93" s="59"/>
      <c r="R93" s="59"/>
      <c r="S93" s="59"/>
      <c r="T93" s="59"/>
      <c r="U93" s="59"/>
      <c r="V93" s="59"/>
      <c r="W93" s="59"/>
      <c r="X93" s="59"/>
      <c r="Y93" s="59"/>
    </row>
    <row r="94" spans="1:25" ht="18">
      <c r="A94" s="76"/>
      <c r="B94" s="59"/>
      <c r="C94" s="59"/>
      <c r="D94" s="59"/>
      <c r="E94" s="59"/>
      <c r="F94" s="59"/>
      <c r="G94" s="59"/>
      <c r="H94" s="59"/>
      <c r="I94" s="59"/>
      <c r="J94" s="59"/>
      <c r="K94" s="59"/>
      <c r="L94" s="59"/>
      <c r="M94" s="59"/>
      <c r="N94" s="59"/>
      <c r="O94" s="59"/>
      <c r="P94" s="59"/>
      <c r="Q94" s="59"/>
      <c r="R94" s="59"/>
      <c r="S94" s="59"/>
      <c r="T94" s="59"/>
      <c r="U94" s="59"/>
      <c r="V94" s="59"/>
      <c r="W94" s="59"/>
      <c r="X94" s="59"/>
      <c r="Y94" s="59"/>
    </row>
    <row r="95" spans="1:25" ht="18">
      <c r="A95" s="76"/>
      <c r="B95" s="59"/>
      <c r="C95" s="59"/>
      <c r="D95" s="59"/>
      <c r="E95" s="59"/>
      <c r="F95" s="59"/>
      <c r="G95" s="59"/>
      <c r="H95" s="59"/>
      <c r="I95" s="59"/>
      <c r="J95" s="59"/>
      <c r="K95" s="59"/>
      <c r="L95" s="59"/>
      <c r="M95" s="59"/>
      <c r="N95" s="59"/>
      <c r="O95" s="59"/>
      <c r="P95" s="59"/>
      <c r="Q95" s="59"/>
      <c r="R95" s="59"/>
      <c r="S95" s="59"/>
      <c r="T95" s="59"/>
      <c r="U95" s="59"/>
      <c r="V95" s="59"/>
      <c r="W95" s="59"/>
      <c r="X95" s="59"/>
      <c r="Y95" s="59"/>
    </row>
    <row r="96" spans="1:25" ht="18">
      <c r="A96" s="76"/>
      <c r="B96" s="59"/>
      <c r="C96" s="59"/>
      <c r="D96" s="59"/>
      <c r="E96" s="59"/>
      <c r="F96" s="59"/>
      <c r="G96" s="59"/>
      <c r="H96" s="59"/>
      <c r="I96" s="59"/>
      <c r="J96" s="59"/>
      <c r="K96" s="59"/>
      <c r="L96" s="59"/>
      <c r="M96" s="59"/>
      <c r="N96" s="59"/>
      <c r="O96" s="59"/>
      <c r="P96" s="59"/>
      <c r="Q96" s="59"/>
      <c r="R96" s="59"/>
      <c r="S96" s="59"/>
      <c r="T96" s="59"/>
      <c r="U96" s="59"/>
      <c r="V96" s="59"/>
      <c r="W96" s="59"/>
      <c r="X96" s="59"/>
      <c r="Y96" s="59"/>
    </row>
    <row r="97" spans="1:25" ht="18">
      <c r="A97" s="76"/>
      <c r="B97" s="59"/>
      <c r="C97" s="59"/>
      <c r="D97" s="59"/>
      <c r="E97" s="59"/>
      <c r="F97" s="59"/>
      <c r="G97" s="59"/>
      <c r="H97" s="59"/>
      <c r="I97" s="59"/>
      <c r="J97" s="59"/>
      <c r="K97" s="59"/>
      <c r="L97" s="59"/>
      <c r="M97" s="59"/>
      <c r="N97" s="59"/>
      <c r="O97" s="59"/>
      <c r="P97" s="59"/>
      <c r="Q97" s="59"/>
      <c r="R97" s="59"/>
      <c r="S97" s="59"/>
      <c r="T97" s="59"/>
      <c r="U97" s="59"/>
      <c r="V97" s="59"/>
      <c r="W97" s="59"/>
      <c r="X97" s="59"/>
      <c r="Y97" s="59"/>
    </row>
    <row r="98" spans="1:25" ht="18">
      <c r="A98" s="76"/>
      <c r="B98" s="59"/>
      <c r="C98" s="59"/>
      <c r="D98" s="59"/>
      <c r="E98" s="59"/>
      <c r="F98" s="59"/>
      <c r="G98" s="59"/>
      <c r="H98" s="59"/>
      <c r="I98" s="59"/>
      <c r="J98" s="59"/>
      <c r="K98" s="59"/>
      <c r="L98" s="59"/>
      <c r="M98" s="59"/>
      <c r="N98" s="59"/>
      <c r="O98" s="59"/>
      <c r="P98" s="59"/>
      <c r="Q98" s="59"/>
      <c r="R98" s="59"/>
      <c r="S98" s="59"/>
      <c r="T98" s="59"/>
      <c r="U98" s="59"/>
      <c r="V98" s="59"/>
      <c r="W98" s="59"/>
      <c r="X98" s="59"/>
      <c r="Y98" s="59"/>
    </row>
    <row r="99" spans="1:25" ht="18">
      <c r="A99" s="76"/>
      <c r="B99" s="59"/>
      <c r="C99" s="59"/>
      <c r="D99" s="59"/>
      <c r="E99" s="59"/>
      <c r="F99" s="59"/>
      <c r="G99" s="59"/>
      <c r="H99" s="59"/>
      <c r="I99" s="59"/>
      <c r="J99" s="59"/>
      <c r="K99" s="59"/>
      <c r="L99" s="59"/>
      <c r="M99" s="59"/>
      <c r="N99" s="59"/>
      <c r="O99" s="59"/>
      <c r="P99" s="59"/>
      <c r="Q99" s="59"/>
      <c r="R99" s="59"/>
      <c r="S99" s="59"/>
      <c r="T99" s="59"/>
      <c r="U99" s="59"/>
      <c r="V99" s="59"/>
      <c r="W99" s="59"/>
      <c r="X99" s="59"/>
      <c r="Y99" s="59"/>
    </row>
    <row r="100" spans="1:25" ht="18">
      <c r="A100" s="76"/>
      <c r="B100" s="59"/>
      <c r="C100" s="59"/>
      <c r="D100" s="59"/>
      <c r="E100" s="59"/>
      <c r="F100" s="59"/>
      <c r="G100" s="59"/>
      <c r="H100" s="59"/>
      <c r="I100" s="59"/>
      <c r="J100" s="59"/>
      <c r="K100" s="59"/>
      <c r="L100" s="59"/>
      <c r="M100" s="59"/>
      <c r="N100" s="59"/>
      <c r="O100" s="59"/>
      <c r="P100" s="59"/>
      <c r="Q100" s="59"/>
      <c r="R100" s="59"/>
      <c r="S100" s="59"/>
      <c r="T100" s="59"/>
      <c r="U100" s="59"/>
      <c r="V100" s="59"/>
      <c r="W100" s="59"/>
      <c r="X100" s="59"/>
      <c r="Y100" s="59"/>
    </row>
    <row r="101" spans="1:25" ht="18">
      <c r="A101" s="76"/>
      <c r="B101" s="59"/>
      <c r="C101" s="59"/>
      <c r="D101" s="59"/>
      <c r="E101" s="59"/>
      <c r="F101" s="59"/>
      <c r="G101" s="59"/>
      <c r="H101" s="59"/>
      <c r="I101" s="59"/>
      <c r="J101" s="59"/>
      <c r="K101" s="59"/>
      <c r="L101" s="59"/>
      <c r="M101" s="59"/>
      <c r="N101" s="59"/>
      <c r="O101" s="59"/>
      <c r="P101" s="59"/>
      <c r="Q101" s="59"/>
      <c r="R101" s="59"/>
      <c r="S101" s="59"/>
      <c r="T101" s="59"/>
      <c r="U101" s="59"/>
      <c r="V101" s="59"/>
      <c r="W101" s="59"/>
      <c r="X101" s="59"/>
      <c r="Y101" s="59"/>
    </row>
    <row r="102" spans="1:25" ht="18">
      <c r="A102" s="76"/>
      <c r="B102" s="59"/>
      <c r="C102" s="59"/>
      <c r="D102" s="59"/>
      <c r="E102" s="59"/>
      <c r="F102" s="59"/>
      <c r="G102" s="59"/>
      <c r="H102" s="59"/>
      <c r="I102" s="59"/>
      <c r="J102" s="59"/>
      <c r="K102" s="59"/>
      <c r="L102" s="59"/>
      <c r="M102" s="59"/>
      <c r="N102" s="59"/>
      <c r="O102" s="59"/>
      <c r="P102" s="59"/>
      <c r="Q102" s="59"/>
      <c r="R102" s="59"/>
      <c r="S102" s="59"/>
      <c r="T102" s="59"/>
      <c r="U102" s="59"/>
      <c r="V102" s="59"/>
      <c r="W102" s="59"/>
      <c r="X102" s="59"/>
      <c r="Y102" s="59"/>
    </row>
    <row r="103" spans="1:25" ht="18">
      <c r="A103" s="76"/>
      <c r="B103" s="59"/>
      <c r="C103" s="59"/>
      <c r="D103" s="59"/>
      <c r="E103" s="59"/>
      <c r="F103" s="59"/>
      <c r="G103" s="59"/>
      <c r="H103" s="59"/>
      <c r="I103" s="59"/>
      <c r="J103" s="59"/>
      <c r="K103" s="59"/>
      <c r="L103" s="59"/>
      <c r="M103" s="59"/>
      <c r="N103" s="59"/>
      <c r="O103" s="59"/>
      <c r="P103" s="59"/>
      <c r="Q103" s="59"/>
      <c r="R103" s="59"/>
      <c r="S103" s="59"/>
      <c r="T103" s="59"/>
      <c r="U103" s="59"/>
      <c r="V103" s="59"/>
      <c r="W103" s="59"/>
      <c r="X103" s="59"/>
      <c r="Y103" s="59"/>
    </row>
    <row r="104" spans="1:25" ht="18">
      <c r="A104" s="76"/>
      <c r="B104" s="59"/>
      <c r="C104" s="59"/>
      <c r="D104" s="59"/>
      <c r="E104" s="59"/>
      <c r="F104" s="59"/>
      <c r="G104" s="59"/>
      <c r="H104" s="59"/>
      <c r="I104" s="59"/>
      <c r="J104" s="59"/>
      <c r="K104" s="59"/>
      <c r="L104" s="59"/>
      <c r="M104" s="59"/>
      <c r="N104" s="59"/>
      <c r="O104" s="59"/>
      <c r="P104" s="59"/>
      <c r="Q104" s="59"/>
      <c r="R104" s="59"/>
      <c r="S104" s="59"/>
      <c r="T104" s="59"/>
      <c r="U104" s="59"/>
      <c r="V104" s="59"/>
      <c r="W104" s="59"/>
      <c r="X104" s="59"/>
      <c r="Y104" s="59"/>
    </row>
    <row r="105" spans="1:25" ht="18">
      <c r="A105" s="76"/>
      <c r="B105" s="59"/>
      <c r="C105" s="59"/>
      <c r="D105" s="59"/>
      <c r="E105" s="59"/>
      <c r="F105" s="59"/>
      <c r="G105" s="59"/>
      <c r="H105" s="59"/>
      <c r="I105" s="59"/>
      <c r="J105" s="59"/>
      <c r="K105" s="59"/>
      <c r="L105" s="59"/>
      <c r="M105" s="59"/>
      <c r="N105" s="59"/>
      <c r="O105" s="59"/>
      <c r="P105" s="59"/>
      <c r="Q105" s="59"/>
      <c r="R105" s="59"/>
      <c r="S105" s="59"/>
      <c r="T105" s="59"/>
      <c r="U105" s="59"/>
      <c r="V105" s="59"/>
      <c r="W105" s="59"/>
      <c r="X105" s="59"/>
      <c r="Y105" s="59"/>
    </row>
    <row r="106" spans="1:25" ht="18">
      <c r="A106" s="76"/>
      <c r="B106" s="59"/>
      <c r="C106" s="59"/>
      <c r="D106" s="59"/>
      <c r="E106" s="59"/>
      <c r="F106" s="59"/>
      <c r="G106" s="59"/>
      <c r="H106" s="59"/>
      <c r="I106" s="59"/>
      <c r="J106" s="59"/>
      <c r="K106" s="59"/>
      <c r="L106" s="59"/>
      <c r="M106" s="59"/>
      <c r="N106" s="59"/>
      <c r="O106" s="59"/>
      <c r="P106" s="59"/>
      <c r="Q106" s="59"/>
      <c r="R106" s="59"/>
      <c r="S106" s="59"/>
      <c r="T106" s="59"/>
      <c r="U106" s="59"/>
      <c r="V106" s="59"/>
      <c r="W106" s="59"/>
      <c r="X106" s="59"/>
      <c r="Y106" s="59"/>
    </row>
    <row r="107" spans="1:25" ht="18">
      <c r="A107" s="76"/>
      <c r="B107" s="59"/>
      <c r="C107" s="59"/>
      <c r="D107" s="59"/>
      <c r="E107" s="59"/>
      <c r="F107" s="59"/>
      <c r="G107" s="59"/>
      <c r="H107" s="59"/>
      <c r="I107" s="59"/>
      <c r="J107" s="59"/>
      <c r="K107" s="59"/>
      <c r="L107" s="59"/>
      <c r="M107" s="59"/>
      <c r="N107" s="59"/>
      <c r="O107" s="59"/>
      <c r="P107" s="59"/>
      <c r="Q107" s="59"/>
      <c r="R107" s="59"/>
      <c r="S107" s="59"/>
      <c r="T107" s="59"/>
      <c r="U107" s="59"/>
      <c r="V107" s="59"/>
      <c r="W107" s="59"/>
      <c r="X107" s="59"/>
      <c r="Y107" s="59"/>
    </row>
    <row r="108" spans="1:25" ht="18">
      <c r="A108" s="76"/>
      <c r="B108" s="59"/>
      <c r="C108" s="59"/>
      <c r="D108" s="59"/>
      <c r="E108" s="59"/>
      <c r="F108" s="59"/>
      <c r="G108" s="59"/>
      <c r="H108" s="59"/>
      <c r="I108" s="59"/>
      <c r="J108" s="59"/>
      <c r="K108" s="59"/>
      <c r="L108" s="59"/>
      <c r="M108" s="59"/>
      <c r="N108" s="59"/>
      <c r="O108" s="59"/>
      <c r="P108" s="59"/>
      <c r="Q108" s="59"/>
      <c r="R108" s="59"/>
      <c r="S108" s="59"/>
      <c r="T108" s="59"/>
      <c r="U108" s="59"/>
      <c r="V108" s="59"/>
      <c r="W108" s="59"/>
      <c r="X108" s="59"/>
      <c r="Y108" s="59"/>
    </row>
    <row r="109" spans="1:25" ht="18">
      <c r="A109" s="76"/>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row>
    <row r="110" spans="1:25" ht="18">
      <c r="A110" s="76"/>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row>
    <row r="111" spans="1:25" ht="18">
      <c r="A111" s="76"/>
      <c r="B111" s="59"/>
      <c r="C111" s="59"/>
      <c r="D111" s="59"/>
      <c r="E111" s="59"/>
      <c r="F111" s="59"/>
      <c r="G111" s="59"/>
      <c r="H111" s="59"/>
      <c r="I111" s="59"/>
      <c r="J111" s="59"/>
      <c r="K111" s="59"/>
      <c r="L111" s="59"/>
      <c r="M111" s="59"/>
      <c r="N111" s="59"/>
      <c r="O111" s="59"/>
      <c r="P111" s="59"/>
      <c r="Q111" s="59"/>
      <c r="R111" s="59"/>
      <c r="S111" s="59"/>
      <c r="T111" s="59"/>
      <c r="U111" s="59"/>
      <c r="V111" s="59"/>
      <c r="W111" s="59"/>
      <c r="X111" s="59"/>
      <c r="Y111" s="59"/>
    </row>
    <row r="112" spans="1:25" ht="18">
      <c r="A112" s="76"/>
      <c r="B112" s="59"/>
      <c r="C112" s="59"/>
      <c r="D112" s="59"/>
      <c r="E112" s="59"/>
      <c r="F112" s="59"/>
      <c r="G112" s="59"/>
      <c r="H112" s="59"/>
      <c r="I112" s="59"/>
      <c r="J112" s="59"/>
      <c r="K112" s="59"/>
      <c r="L112" s="59"/>
      <c r="M112" s="59"/>
      <c r="N112" s="59"/>
      <c r="O112" s="59"/>
      <c r="P112" s="59"/>
      <c r="Q112" s="59"/>
      <c r="R112" s="59"/>
      <c r="S112" s="59"/>
      <c r="T112" s="59"/>
      <c r="U112" s="59"/>
      <c r="V112" s="59"/>
      <c r="W112" s="59"/>
      <c r="X112" s="59"/>
      <c r="Y112" s="59"/>
    </row>
    <row r="113" spans="1:25" ht="18">
      <c r="A113" s="76"/>
      <c r="B113" s="59"/>
      <c r="C113" s="59"/>
      <c r="D113" s="59"/>
      <c r="E113" s="59"/>
      <c r="F113" s="59"/>
      <c r="G113" s="59"/>
      <c r="H113" s="59"/>
      <c r="I113" s="59"/>
      <c r="J113" s="59"/>
      <c r="K113" s="59"/>
      <c r="L113" s="59"/>
      <c r="M113" s="59"/>
      <c r="N113" s="59"/>
      <c r="O113" s="59"/>
      <c r="P113" s="59"/>
      <c r="Q113" s="59"/>
      <c r="R113" s="59"/>
      <c r="S113" s="59"/>
      <c r="T113" s="59"/>
      <c r="U113" s="59"/>
      <c r="V113" s="59"/>
      <c r="W113" s="59"/>
      <c r="X113" s="59"/>
      <c r="Y113" s="59"/>
    </row>
    <row r="114" spans="1:25" ht="18">
      <c r="A114" s="76"/>
      <c r="B114" s="59"/>
      <c r="C114" s="59"/>
      <c r="D114" s="59"/>
      <c r="E114" s="59"/>
      <c r="F114" s="59"/>
      <c r="G114" s="59"/>
      <c r="H114" s="59"/>
      <c r="I114" s="59"/>
      <c r="J114" s="59"/>
      <c r="K114" s="59"/>
      <c r="L114" s="59"/>
      <c r="M114" s="59"/>
      <c r="N114" s="59"/>
      <c r="O114" s="59"/>
      <c r="P114" s="59"/>
      <c r="Q114" s="59"/>
      <c r="R114" s="59"/>
      <c r="S114" s="59"/>
      <c r="T114" s="59"/>
      <c r="U114" s="59"/>
      <c r="V114" s="59"/>
      <c r="W114" s="59"/>
      <c r="X114" s="59"/>
      <c r="Y114" s="59"/>
    </row>
    <row r="115" spans="1:25" ht="18">
      <c r="A115" s="76"/>
      <c r="B115" s="59"/>
      <c r="C115" s="59"/>
      <c r="D115" s="59"/>
      <c r="E115" s="59"/>
      <c r="F115" s="59"/>
      <c r="G115" s="59"/>
      <c r="H115" s="59"/>
      <c r="I115" s="59"/>
      <c r="J115" s="59"/>
      <c r="K115" s="59"/>
      <c r="L115" s="59"/>
      <c r="M115" s="59"/>
      <c r="N115" s="59"/>
      <c r="O115" s="59"/>
      <c r="P115" s="59"/>
      <c r="Q115" s="59"/>
      <c r="R115" s="59"/>
      <c r="S115" s="59"/>
      <c r="T115" s="59"/>
      <c r="U115" s="59"/>
      <c r="V115" s="59"/>
      <c r="W115" s="59"/>
      <c r="X115" s="59"/>
      <c r="Y115" s="59"/>
    </row>
    <row r="116" spans="1:25" ht="18">
      <c r="A116" s="76"/>
      <c r="B116" s="59"/>
      <c r="C116" s="59"/>
      <c r="D116" s="59"/>
      <c r="E116" s="59"/>
      <c r="F116" s="59"/>
      <c r="G116" s="59"/>
      <c r="H116" s="59"/>
      <c r="I116" s="59"/>
      <c r="J116" s="59"/>
      <c r="K116" s="59"/>
      <c r="L116" s="59"/>
      <c r="M116" s="59"/>
      <c r="N116" s="59"/>
      <c r="O116" s="59"/>
      <c r="P116" s="59"/>
      <c r="Q116" s="59"/>
      <c r="R116" s="59"/>
      <c r="S116" s="59"/>
      <c r="T116" s="59"/>
      <c r="U116" s="59"/>
      <c r="V116" s="59"/>
      <c r="W116" s="59"/>
      <c r="X116" s="59"/>
      <c r="Y116" s="59"/>
    </row>
    <row r="117" spans="1:25" ht="18">
      <c r="A117" s="76"/>
      <c r="B117" s="59"/>
      <c r="C117" s="59"/>
      <c r="D117" s="59"/>
      <c r="E117" s="59"/>
      <c r="F117" s="59"/>
      <c r="G117" s="59"/>
      <c r="H117" s="59"/>
      <c r="I117" s="59"/>
      <c r="J117" s="59"/>
      <c r="K117" s="59"/>
      <c r="L117" s="59"/>
      <c r="M117" s="59"/>
      <c r="N117" s="59"/>
      <c r="O117" s="59"/>
      <c r="P117" s="59"/>
      <c r="Q117" s="59"/>
      <c r="R117" s="59"/>
      <c r="S117" s="59"/>
      <c r="T117" s="59"/>
      <c r="U117" s="59"/>
      <c r="V117" s="59"/>
      <c r="W117" s="59"/>
      <c r="X117" s="59"/>
      <c r="Y117" s="59"/>
    </row>
    <row r="118" spans="1:25" ht="18">
      <c r="A118" s="76"/>
      <c r="B118" s="59"/>
      <c r="C118" s="59"/>
      <c r="D118" s="59"/>
      <c r="E118" s="59"/>
      <c r="F118" s="59"/>
      <c r="G118" s="59"/>
      <c r="H118" s="59"/>
      <c r="I118" s="59"/>
      <c r="J118" s="59"/>
      <c r="K118" s="59"/>
      <c r="L118" s="59"/>
      <c r="M118" s="59"/>
      <c r="N118" s="59"/>
      <c r="O118" s="59"/>
      <c r="P118" s="59"/>
      <c r="Q118" s="59"/>
      <c r="R118" s="59"/>
      <c r="S118" s="59"/>
      <c r="T118" s="59"/>
      <c r="U118" s="59"/>
      <c r="V118" s="59"/>
      <c r="W118" s="59"/>
      <c r="X118" s="59"/>
      <c r="Y118" s="59"/>
    </row>
    <row r="119" spans="1:25" ht="18">
      <c r="A119" s="76"/>
      <c r="B119" s="59"/>
      <c r="C119" s="59"/>
      <c r="D119" s="59"/>
      <c r="E119" s="59"/>
      <c r="F119" s="59"/>
      <c r="G119" s="59"/>
      <c r="H119" s="59"/>
      <c r="I119" s="59"/>
      <c r="J119" s="59"/>
      <c r="K119" s="59"/>
      <c r="L119" s="59"/>
      <c r="M119" s="59"/>
      <c r="N119" s="59"/>
      <c r="O119" s="59"/>
      <c r="P119" s="59"/>
      <c r="Q119" s="59"/>
      <c r="R119" s="59"/>
      <c r="S119" s="59"/>
      <c r="T119" s="59"/>
      <c r="U119" s="59"/>
      <c r="V119" s="59"/>
      <c r="W119" s="59"/>
      <c r="X119" s="59"/>
      <c r="Y119" s="59"/>
    </row>
    <row r="120" spans="1:25" ht="18">
      <c r="A120" s="76"/>
      <c r="B120" s="59"/>
      <c r="C120" s="59"/>
      <c r="D120" s="59"/>
      <c r="E120" s="59"/>
      <c r="F120" s="59"/>
      <c r="G120" s="59"/>
      <c r="H120" s="59"/>
      <c r="I120" s="59"/>
      <c r="J120" s="59"/>
      <c r="K120" s="59"/>
      <c r="L120" s="59"/>
      <c r="M120" s="59"/>
      <c r="N120" s="59"/>
      <c r="O120" s="59"/>
      <c r="P120" s="59"/>
      <c r="Q120" s="59"/>
      <c r="R120" s="59"/>
      <c r="S120" s="59"/>
      <c r="T120" s="59"/>
      <c r="U120" s="59"/>
      <c r="V120" s="59"/>
      <c r="W120" s="59"/>
      <c r="X120" s="59"/>
      <c r="Y120" s="59"/>
    </row>
    <row r="121" spans="1:25" ht="18">
      <c r="A121" s="76"/>
      <c r="B121" s="59"/>
      <c r="C121" s="59"/>
      <c r="D121" s="59"/>
      <c r="E121" s="59"/>
      <c r="F121" s="59"/>
      <c r="G121" s="59"/>
      <c r="H121" s="59"/>
      <c r="I121" s="59"/>
      <c r="J121" s="59"/>
      <c r="K121" s="59"/>
      <c r="L121" s="59"/>
      <c r="M121" s="59"/>
      <c r="N121" s="59"/>
      <c r="O121" s="59"/>
      <c r="P121" s="59"/>
      <c r="Q121" s="59"/>
      <c r="R121" s="59"/>
      <c r="S121" s="59"/>
      <c r="T121" s="59"/>
      <c r="U121" s="59"/>
      <c r="V121" s="59"/>
      <c r="W121" s="59"/>
      <c r="X121" s="59"/>
      <c r="Y121" s="59"/>
    </row>
    <row r="122" spans="1:25" ht="18">
      <c r="A122" s="76"/>
      <c r="B122" s="59"/>
      <c r="C122" s="59"/>
      <c r="D122" s="59"/>
      <c r="E122" s="59"/>
      <c r="F122" s="59"/>
      <c r="G122" s="59"/>
      <c r="H122" s="59"/>
      <c r="I122" s="59"/>
      <c r="J122" s="59"/>
      <c r="K122" s="59"/>
      <c r="L122" s="59"/>
      <c r="M122" s="59"/>
      <c r="N122" s="59"/>
      <c r="O122" s="59"/>
      <c r="P122" s="59"/>
      <c r="Q122" s="59"/>
      <c r="R122" s="59"/>
      <c r="S122" s="59"/>
      <c r="T122" s="59"/>
      <c r="U122" s="59"/>
      <c r="V122" s="59"/>
      <c r="W122" s="59"/>
      <c r="X122" s="59"/>
      <c r="Y122" s="59"/>
    </row>
    <row r="123" spans="1:25" ht="18">
      <c r="A123" s="76"/>
      <c r="B123" s="59"/>
      <c r="C123" s="59"/>
      <c r="D123" s="59"/>
      <c r="E123" s="59"/>
      <c r="F123" s="59"/>
      <c r="G123" s="59"/>
      <c r="H123" s="59"/>
      <c r="I123" s="59"/>
      <c r="J123" s="59"/>
      <c r="K123" s="59"/>
      <c r="L123" s="59"/>
      <c r="M123" s="59"/>
      <c r="N123" s="59"/>
      <c r="O123" s="59"/>
      <c r="P123" s="59"/>
      <c r="Q123" s="59"/>
      <c r="R123" s="59"/>
      <c r="S123" s="59"/>
      <c r="T123" s="59"/>
      <c r="U123" s="59"/>
      <c r="V123" s="59"/>
      <c r="W123" s="59"/>
      <c r="X123" s="59"/>
      <c r="Y123" s="59"/>
    </row>
    <row r="124" spans="1:25" ht="18">
      <c r="A124" s="76"/>
      <c r="B124" s="59"/>
      <c r="C124" s="59"/>
      <c r="D124" s="59"/>
      <c r="E124" s="59"/>
      <c r="F124" s="59"/>
      <c r="G124" s="59"/>
      <c r="H124" s="59"/>
      <c r="I124" s="59"/>
      <c r="J124" s="59"/>
      <c r="K124" s="59"/>
      <c r="L124" s="59"/>
      <c r="M124" s="59"/>
      <c r="N124" s="59"/>
      <c r="O124" s="59"/>
      <c r="P124" s="59"/>
      <c r="Q124" s="59"/>
      <c r="R124" s="59"/>
      <c r="S124" s="59"/>
      <c r="T124" s="59"/>
      <c r="U124" s="59"/>
      <c r="V124" s="59"/>
      <c r="W124" s="59"/>
      <c r="X124" s="59"/>
      <c r="Y124" s="59"/>
    </row>
    <row r="125" spans="1:25" ht="18">
      <c r="A125" s="76"/>
      <c r="B125" s="59"/>
      <c r="C125" s="59"/>
      <c r="D125" s="59"/>
      <c r="E125" s="59"/>
      <c r="F125" s="59"/>
      <c r="G125" s="59"/>
      <c r="H125" s="59"/>
      <c r="I125" s="59"/>
      <c r="J125" s="59"/>
      <c r="K125" s="59"/>
      <c r="L125" s="59"/>
      <c r="M125" s="59"/>
      <c r="N125" s="59"/>
      <c r="O125" s="59"/>
      <c r="P125" s="59"/>
      <c r="Q125" s="59"/>
      <c r="R125" s="59"/>
      <c r="S125" s="59"/>
      <c r="T125" s="59"/>
      <c r="U125" s="59"/>
      <c r="V125" s="59"/>
      <c r="W125" s="59"/>
      <c r="X125" s="59"/>
      <c r="Y125" s="59"/>
    </row>
    <row r="126" spans="1:25" ht="18">
      <c r="A126" s="76"/>
      <c r="B126" s="59"/>
      <c r="C126" s="59"/>
      <c r="D126" s="59"/>
      <c r="E126" s="59"/>
      <c r="F126" s="59"/>
      <c r="G126" s="59"/>
      <c r="H126" s="59"/>
      <c r="I126" s="59"/>
      <c r="J126" s="59"/>
      <c r="K126" s="59"/>
      <c r="L126" s="59"/>
      <c r="M126" s="59"/>
      <c r="N126" s="59"/>
      <c r="O126" s="59"/>
      <c r="P126" s="59"/>
      <c r="Q126" s="59"/>
      <c r="R126" s="59"/>
      <c r="S126" s="59"/>
      <c r="T126" s="59"/>
      <c r="U126" s="59"/>
      <c r="V126" s="59"/>
      <c r="W126" s="59"/>
      <c r="X126" s="59"/>
      <c r="Y126" s="59"/>
    </row>
    <row r="127" spans="1:25" ht="18">
      <c r="A127" s="76"/>
      <c r="B127" s="59"/>
      <c r="C127" s="59"/>
      <c r="D127" s="59"/>
      <c r="E127" s="59"/>
      <c r="F127" s="59"/>
      <c r="G127" s="59"/>
      <c r="H127" s="59"/>
      <c r="I127" s="59"/>
      <c r="J127" s="59"/>
      <c r="K127" s="59"/>
      <c r="L127" s="59"/>
      <c r="M127" s="59"/>
      <c r="N127" s="59"/>
      <c r="O127" s="59"/>
      <c r="P127" s="59"/>
      <c r="Q127" s="59"/>
      <c r="R127" s="59"/>
      <c r="S127" s="59"/>
      <c r="T127" s="59"/>
      <c r="U127" s="59"/>
      <c r="V127" s="59"/>
      <c r="W127" s="59"/>
      <c r="X127" s="59"/>
      <c r="Y127" s="59"/>
    </row>
    <row r="128" spans="1:25" ht="18">
      <c r="A128" s="76"/>
      <c r="B128" s="59"/>
      <c r="C128" s="59"/>
      <c r="D128" s="59"/>
      <c r="E128" s="59"/>
      <c r="F128" s="59"/>
      <c r="G128" s="59"/>
      <c r="H128" s="59"/>
      <c r="I128" s="59"/>
      <c r="J128" s="59"/>
      <c r="K128" s="59"/>
      <c r="L128" s="59"/>
      <c r="M128" s="59"/>
      <c r="N128" s="59"/>
      <c r="O128" s="59"/>
      <c r="P128" s="59"/>
      <c r="Q128" s="59"/>
      <c r="R128" s="59"/>
      <c r="S128" s="59"/>
      <c r="T128" s="59"/>
      <c r="U128" s="59"/>
      <c r="V128" s="59"/>
      <c r="W128" s="59"/>
      <c r="X128" s="59"/>
      <c r="Y128" s="59"/>
    </row>
    <row r="129" spans="1:25" ht="18">
      <c r="A129" s="76"/>
      <c r="B129" s="59"/>
      <c r="C129" s="59"/>
      <c r="D129" s="59"/>
      <c r="E129" s="59"/>
      <c r="F129" s="59"/>
      <c r="G129" s="59"/>
      <c r="H129" s="59"/>
      <c r="I129" s="59"/>
      <c r="J129" s="59"/>
      <c r="K129" s="59"/>
      <c r="L129" s="59"/>
      <c r="M129" s="59"/>
      <c r="N129" s="59"/>
      <c r="O129" s="59"/>
      <c r="P129" s="59"/>
      <c r="Q129" s="59"/>
      <c r="R129" s="59"/>
      <c r="S129" s="59"/>
      <c r="T129" s="59"/>
      <c r="U129" s="59"/>
      <c r="V129" s="59"/>
      <c r="W129" s="59"/>
      <c r="X129" s="59"/>
      <c r="Y129" s="59"/>
    </row>
    <row r="130" spans="1:25" ht="18">
      <c r="A130" s="76"/>
      <c r="B130" s="59"/>
      <c r="C130" s="59"/>
      <c r="D130" s="59"/>
      <c r="E130" s="59"/>
      <c r="F130" s="59"/>
      <c r="G130" s="59"/>
      <c r="H130" s="59"/>
      <c r="I130" s="59"/>
      <c r="J130" s="59"/>
      <c r="K130" s="59"/>
      <c r="L130" s="59"/>
      <c r="M130" s="59"/>
      <c r="N130" s="59"/>
      <c r="O130" s="59"/>
      <c r="P130" s="59"/>
      <c r="Q130" s="59"/>
      <c r="R130" s="59"/>
      <c r="S130" s="59"/>
      <c r="T130" s="59"/>
      <c r="U130" s="59"/>
      <c r="V130" s="59"/>
      <c r="W130" s="59"/>
      <c r="X130" s="59"/>
      <c r="Y130" s="59"/>
    </row>
    <row r="131" spans="1:25" ht="18">
      <c r="A131" s="76"/>
      <c r="B131" s="59"/>
      <c r="C131" s="59"/>
      <c r="D131" s="59"/>
      <c r="E131" s="59"/>
      <c r="F131" s="59"/>
      <c r="G131" s="59"/>
      <c r="H131" s="59"/>
      <c r="I131" s="59"/>
      <c r="J131" s="59"/>
      <c r="K131" s="59"/>
      <c r="L131" s="59"/>
      <c r="M131" s="59"/>
      <c r="N131" s="59"/>
      <c r="O131" s="59"/>
      <c r="P131" s="59"/>
      <c r="Q131" s="59"/>
      <c r="R131" s="59"/>
      <c r="S131" s="59"/>
      <c r="T131" s="59"/>
      <c r="U131" s="59"/>
      <c r="V131" s="59"/>
      <c r="W131" s="59"/>
      <c r="X131" s="59"/>
      <c r="Y131" s="59"/>
    </row>
    <row r="132" spans="1:25" ht="18">
      <c r="A132" s="76"/>
      <c r="B132" s="59"/>
      <c r="C132" s="59"/>
      <c r="D132" s="59"/>
      <c r="E132" s="59"/>
      <c r="F132" s="59"/>
      <c r="G132" s="59"/>
      <c r="H132" s="59"/>
      <c r="I132" s="59"/>
      <c r="J132" s="59"/>
      <c r="K132" s="59"/>
      <c r="L132" s="59"/>
      <c r="M132" s="59"/>
      <c r="N132" s="59"/>
      <c r="O132" s="59"/>
      <c r="P132" s="59"/>
      <c r="Q132" s="59"/>
      <c r="R132" s="59"/>
      <c r="S132" s="59"/>
      <c r="T132" s="59"/>
      <c r="U132" s="59"/>
      <c r="V132" s="59"/>
      <c r="W132" s="59"/>
      <c r="X132" s="59"/>
      <c r="Y132" s="59"/>
    </row>
    <row r="133" spans="1:25" ht="18">
      <c r="A133" s="76"/>
      <c r="B133" s="59"/>
      <c r="C133" s="59"/>
      <c r="D133" s="59"/>
      <c r="E133" s="59"/>
      <c r="F133" s="59"/>
      <c r="G133" s="59"/>
      <c r="H133" s="59"/>
      <c r="I133" s="59"/>
      <c r="J133" s="59"/>
      <c r="K133" s="59"/>
      <c r="L133" s="59"/>
      <c r="M133" s="59"/>
      <c r="N133" s="59"/>
      <c r="O133" s="59"/>
      <c r="P133" s="59"/>
      <c r="Q133" s="59"/>
      <c r="R133" s="59"/>
      <c r="S133" s="59"/>
      <c r="T133" s="59"/>
      <c r="U133" s="59"/>
      <c r="V133" s="59"/>
      <c r="W133" s="59"/>
      <c r="X133" s="59"/>
      <c r="Y133" s="59"/>
    </row>
    <row r="134" spans="1:25" ht="18">
      <c r="A134" s="76"/>
      <c r="B134" s="59"/>
      <c r="C134" s="59"/>
      <c r="D134" s="59"/>
      <c r="E134" s="59"/>
      <c r="F134" s="59"/>
      <c r="G134" s="59"/>
      <c r="H134" s="59"/>
      <c r="I134" s="59"/>
      <c r="J134" s="59"/>
      <c r="K134" s="59"/>
      <c r="L134" s="59"/>
      <c r="M134" s="59"/>
      <c r="N134" s="59"/>
      <c r="O134" s="59"/>
      <c r="P134" s="59"/>
      <c r="Q134" s="59"/>
      <c r="R134" s="59"/>
      <c r="S134" s="59"/>
      <c r="T134" s="59"/>
      <c r="U134" s="59"/>
      <c r="V134" s="59"/>
      <c r="W134" s="59"/>
      <c r="X134" s="59"/>
      <c r="Y134" s="59"/>
    </row>
    <row r="135" spans="1:25" ht="18">
      <c r="A135" s="76"/>
      <c r="B135" s="59"/>
      <c r="C135" s="59"/>
      <c r="D135" s="59"/>
      <c r="E135" s="59"/>
      <c r="F135" s="59"/>
      <c r="G135" s="59"/>
      <c r="H135" s="59"/>
      <c r="I135" s="59"/>
      <c r="J135" s="59"/>
      <c r="K135" s="59"/>
      <c r="L135" s="59"/>
      <c r="M135" s="59"/>
      <c r="N135" s="59"/>
      <c r="O135" s="59"/>
      <c r="P135" s="59"/>
      <c r="Q135" s="59"/>
      <c r="R135" s="59"/>
      <c r="S135" s="59"/>
      <c r="T135" s="59"/>
      <c r="U135" s="59"/>
      <c r="V135" s="59"/>
      <c r="W135" s="59"/>
      <c r="X135" s="59"/>
      <c r="Y135" s="59"/>
    </row>
    <row r="136" spans="1:25" ht="18">
      <c r="A136" s="76"/>
      <c r="B136" s="59"/>
      <c r="C136" s="59"/>
      <c r="D136" s="59"/>
      <c r="E136" s="59"/>
      <c r="F136" s="59"/>
      <c r="G136" s="59"/>
      <c r="H136" s="59"/>
      <c r="I136" s="59"/>
      <c r="J136" s="59"/>
      <c r="K136" s="59"/>
      <c r="L136" s="59"/>
      <c r="M136" s="59"/>
      <c r="N136" s="59"/>
      <c r="O136" s="59"/>
      <c r="P136" s="59"/>
      <c r="Q136" s="59"/>
      <c r="R136" s="59"/>
      <c r="S136" s="59"/>
      <c r="T136" s="59"/>
      <c r="U136" s="59"/>
      <c r="V136" s="59"/>
      <c r="W136" s="59"/>
      <c r="X136" s="59"/>
      <c r="Y136" s="59"/>
    </row>
    <row r="137" spans="1:25" ht="18">
      <c r="A137" s="76"/>
      <c r="B137" s="59"/>
      <c r="C137" s="59"/>
      <c r="D137" s="59"/>
      <c r="E137" s="59"/>
      <c r="F137" s="59"/>
      <c r="G137" s="59"/>
      <c r="H137" s="59"/>
      <c r="I137" s="59"/>
      <c r="J137" s="59"/>
      <c r="K137" s="59"/>
      <c r="L137" s="59"/>
      <c r="M137" s="59"/>
      <c r="N137" s="59"/>
      <c r="O137" s="59"/>
      <c r="P137" s="59"/>
      <c r="Q137" s="59"/>
      <c r="R137" s="59"/>
      <c r="S137" s="59"/>
      <c r="T137" s="59"/>
      <c r="U137" s="59"/>
      <c r="V137" s="59"/>
      <c r="W137" s="59"/>
      <c r="X137" s="59"/>
      <c r="Y137" s="59"/>
    </row>
    <row r="138" spans="1:25" ht="18">
      <c r="A138" s="76"/>
      <c r="B138" s="59"/>
      <c r="C138" s="59"/>
      <c r="D138" s="59"/>
      <c r="E138" s="59"/>
      <c r="F138" s="59"/>
      <c r="G138" s="59"/>
      <c r="H138" s="59"/>
      <c r="I138" s="59"/>
      <c r="J138" s="59"/>
      <c r="K138" s="59"/>
      <c r="L138" s="59"/>
      <c r="M138" s="59"/>
      <c r="N138" s="59"/>
      <c r="O138" s="59"/>
      <c r="P138" s="59"/>
      <c r="Q138" s="59"/>
      <c r="R138" s="59"/>
      <c r="S138" s="59"/>
      <c r="T138" s="59"/>
      <c r="U138" s="59"/>
      <c r="V138" s="59"/>
      <c r="W138" s="59"/>
      <c r="X138" s="59"/>
      <c r="Y138" s="59"/>
    </row>
    <row r="139" spans="1:25" ht="18">
      <c r="A139" s="76"/>
      <c r="B139" s="59"/>
      <c r="C139" s="59"/>
      <c r="D139" s="59"/>
      <c r="E139" s="59"/>
      <c r="F139" s="59"/>
      <c r="G139" s="59"/>
      <c r="H139" s="59"/>
      <c r="I139" s="59"/>
      <c r="J139" s="59"/>
      <c r="K139" s="59"/>
      <c r="L139" s="59"/>
      <c r="M139" s="59"/>
      <c r="N139" s="59"/>
      <c r="O139" s="59"/>
      <c r="P139" s="59"/>
      <c r="Q139" s="59"/>
      <c r="R139" s="59"/>
      <c r="S139" s="59"/>
      <c r="T139" s="59"/>
      <c r="U139" s="59"/>
      <c r="V139" s="59"/>
      <c r="W139" s="59"/>
      <c r="X139" s="59"/>
      <c r="Y139" s="59"/>
    </row>
    <row r="140" spans="1:25" ht="18">
      <c r="A140" s="76"/>
      <c r="B140" s="59"/>
      <c r="C140" s="59"/>
      <c r="D140" s="59"/>
      <c r="E140" s="59"/>
      <c r="F140" s="59"/>
      <c r="G140" s="59"/>
      <c r="H140" s="59"/>
      <c r="I140" s="59"/>
      <c r="J140" s="59"/>
      <c r="K140" s="59"/>
      <c r="L140" s="59"/>
      <c r="M140" s="59"/>
      <c r="N140" s="59"/>
      <c r="O140" s="59"/>
      <c r="P140" s="59"/>
      <c r="Q140" s="59"/>
      <c r="R140" s="59"/>
      <c r="S140" s="59"/>
      <c r="T140" s="59"/>
      <c r="U140" s="59"/>
      <c r="V140" s="59"/>
      <c r="W140" s="59"/>
      <c r="X140" s="59"/>
      <c r="Y140" s="59"/>
    </row>
    <row r="141" spans="1:25" ht="18">
      <c r="A141" s="76"/>
      <c r="B141" s="59"/>
      <c r="C141" s="59"/>
      <c r="D141" s="59"/>
      <c r="E141" s="59"/>
      <c r="F141" s="59"/>
      <c r="G141" s="59"/>
      <c r="H141" s="59"/>
      <c r="I141" s="59"/>
      <c r="J141" s="59"/>
      <c r="K141" s="59"/>
      <c r="L141" s="59"/>
      <c r="M141" s="59"/>
      <c r="N141" s="59"/>
      <c r="O141" s="59"/>
      <c r="P141" s="59"/>
      <c r="Q141" s="59"/>
      <c r="R141" s="59"/>
      <c r="S141" s="59"/>
      <c r="T141" s="59"/>
      <c r="U141" s="59"/>
      <c r="V141" s="59"/>
      <c r="W141" s="59"/>
      <c r="X141" s="59"/>
      <c r="Y141" s="59"/>
    </row>
    <row r="142" spans="1:25" ht="18">
      <c r="A142" s="76"/>
      <c r="B142" s="59"/>
      <c r="C142" s="59"/>
      <c r="D142" s="59"/>
      <c r="E142" s="59"/>
      <c r="F142" s="59"/>
      <c r="G142" s="59"/>
      <c r="H142" s="59"/>
      <c r="I142" s="59"/>
      <c r="J142" s="59"/>
      <c r="K142" s="59"/>
      <c r="L142" s="59"/>
      <c r="M142" s="59"/>
      <c r="N142" s="59"/>
      <c r="O142" s="59"/>
      <c r="P142" s="59"/>
      <c r="Q142" s="59"/>
      <c r="R142" s="59"/>
      <c r="S142" s="59"/>
      <c r="T142" s="59"/>
      <c r="U142" s="59"/>
      <c r="V142" s="59"/>
      <c r="W142" s="59"/>
      <c r="X142" s="59"/>
      <c r="Y142" s="59"/>
    </row>
    <row r="143" spans="1:25" ht="18">
      <c r="A143" s="76"/>
      <c r="B143" s="59"/>
      <c r="C143" s="59"/>
      <c r="D143" s="59"/>
      <c r="E143" s="59"/>
      <c r="F143" s="59"/>
      <c r="G143" s="59"/>
      <c r="H143" s="59"/>
      <c r="I143" s="59"/>
      <c r="J143" s="59"/>
      <c r="K143" s="59"/>
      <c r="L143" s="59"/>
      <c r="M143" s="59"/>
      <c r="N143" s="59"/>
      <c r="O143" s="59"/>
      <c r="P143" s="59"/>
      <c r="Q143" s="59"/>
      <c r="R143" s="59"/>
      <c r="S143" s="59"/>
      <c r="T143" s="59"/>
      <c r="U143" s="59"/>
      <c r="V143" s="59"/>
      <c r="W143" s="59"/>
      <c r="X143" s="59"/>
      <c r="Y143" s="59"/>
    </row>
    <row r="144" spans="1:25" ht="18">
      <c r="A144" s="76"/>
      <c r="B144" s="59"/>
      <c r="C144" s="59"/>
      <c r="D144" s="59"/>
      <c r="E144" s="59"/>
      <c r="F144" s="59"/>
      <c r="G144" s="59"/>
      <c r="H144" s="59"/>
      <c r="I144" s="59"/>
      <c r="J144" s="59"/>
      <c r="K144" s="59"/>
      <c r="L144" s="59"/>
      <c r="M144" s="59"/>
      <c r="N144" s="59"/>
      <c r="O144" s="59"/>
      <c r="P144" s="59"/>
      <c r="Q144" s="59"/>
      <c r="R144" s="59"/>
      <c r="S144" s="59"/>
      <c r="T144" s="59"/>
      <c r="U144" s="59"/>
      <c r="V144" s="59"/>
      <c r="W144" s="59"/>
      <c r="X144" s="59"/>
      <c r="Y144" s="59"/>
    </row>
    <row r="145" spans="1:25" ht="18">
      <c r="A145" s="76"/>
      <c r="B145" s="59"/>
      <c r="C145" s="59"/>
      <c r="D145" s="59"/>
      <c r="E145" s="59"/>
      <c r="F145" s="59"/>
      <c r="G145" s="59"/>
      <c r="H145" s="59"/>
      <c r="I145" s="59"/>
      <c r="J145" s="59"/>
      <c r="K145" s="59"/>
      <c r="L145" s="59"/>
      <c r="M145" s="59"/>
      <c r="N145" s="59"/>
      <c r="O145" s="59"/>
      <c r="P145" s="59"/>
      <c r="Q145" s="59"/>
      <c r="R145" s="59"/>
      <c r="S145" s="59"/>
      <c r="T145" s="59"/>
      <c r="U145" s="59"/>
      <c r="V145" s="59"/>
      <c r="W145" s="59"/>
      <c r="X145" s="59"/>
      <c r="Y145" s="59"/>
    </row>
    <row r="146" spans="1:25" ht="18">
      <c r="A146" s="76"/>
      <c r="B146" s="59"/>
      <c r="C146" s="59"/>
      <c r="D146" s="59"/>
      <c r="E146" s="59"/>
      <c r="F146" s="59"/>
      <c r="G146" s="59"/>
      <c r="H146" s="59"/>
      <c r="I146" s="59"/>
      <c r="J146" s="59"/>
      <c r="K146" s="59"/>
      <c r="L146" s="59"/>
      <c r="M146" s="59"/>
      <c r="N146" s="59"/>
      <c r="O146" s="59"/>
      <c r="P146" s="59"/>
      <c r="Q146" s="59"/>
      <c r="R146" s="59"/>
      <c r="S146" s="59"/>
      <c r="T146" s="59"/>
      <c r="U146" s="59"/>
      <c r="V146" s="59"/>
      <c r="W146" s="59"/>
      <c r="X146" s="59"/>
      <c r="Y146" s="59"/>
    </row>
    <row r="147" spans="1:25" ht="18">
      <c r="A147" s="76"/>
      <c r="B147" s="59"/>
      <c r="C147" s="59"/>
      <c r="D147" s="59"/>
      <c r="E147" s="59"/>
      <c r="F147" s="59"/>
      <c r="G147" s="59"/>
      <c r="H147" s="59"/>
      <c r="I147" s="59"/>
      <c r="J147" s="59"/>
      <c r="K147" s="59"/>
      <c r="L147" s="59"/>
      <c r="M147" s="59"/>
      <c r="N147" s="59"/>
      <c r="O147" s="59"/>
      <c r="P147" s="59"/>
      <c r="Q147" s="59"/>
      <c r="R147" s="59"/>
      <c r="S147" s="59"/>
      <c r="T147" s="59"/>
      <c r="U147" s="59"/>
      <c r="V147" s="59"/>
      <c r="W147" s="59"/>
      <c r="X147" s="59"/>
      <c r="Y147" s="59"/>
    </row>
    <row r="148" spans="1:25" ht="18">
      <c r="A148" s="76"/>
      <c r="B148" s="59"/>
      <c r="C148" s="59"/>
      <c r="D148" s="59"/>
      <c r="E148" s="59"/>
      <c r="F148" s="59"/>
      <c r="G148" s="59"/>
      <c r="H148" s="59"/>
      <c r="I148" s="59"/>
      <c r="J148" s="59"/>
      <c r="K148" s="59"/>
      <c r="L148" s="59"/>
      <c r="M148" s="59"/>
      <c r="N148" s="59"/>
      <c r="O148" s="59"/>
      <c r="P148" s="59"/>
      <c r="Q148" s="59"/>
      <c r="R148" s="59"/>
      <c r="S148" s="59"/>
      <c r="T148" s="59"/>
      <c r="U148" s="59"/>
      <c r="V148" s="59"/>
      <c r="W148" s="59"/>
      <c r="X148" s="59"/>
      <c r="Y148" s="59"/>
    </row>
    <row r="149" spans="1:25" ht="18">
      <c r="A149" s="76"/>
      <c r="B149" s="59"/>
      <c r="C149" s="59"/>
      <c r="D149" s="59"/>
      <c r="E149" s="59"/>
      <c r="F149" s="59"/>
      <c r="G149" s="59"/>
      <c r="H149" s="59"/>
      <c r="I149" s="59"/>
      <c r="J149" s="59"/>
      <c r="K149" s="59"/>
      <c r="L149" s="59"/>
      <c r="M149" s="59"/>
      <c r="N149" s="59"/>
      <c r="O149" s="59"/>
      <c r="P149" s="59"/>
      <c r="Q149" s="59"/>
      <c r="R149" s="59"/>
      <c r="S149" s="59"/>
      <c r="T149" s="59"/>
      <c r="U149" s="59"/>
      <c r="V149" s="59"/>
      <c r="W149" s="59"/>
      <c r="X149" s="59"/>
      <c r="Y149" s="59"/>
    </row>
    <row r="150" spans="1:25" ht="18">
      <c r="A150" s="76"/>
      <c r="B150" s="59"/>
      <c r="C150" s="59"/>
      <c r="D150" s="59"/>
      <c r="E150" s="59"/>
      <c r="F150" s="59"/>
      <c r="G150" s="59"/>
      <c r="H150" s="59"/>
      <c r="I150" s="59"/>
      <c r="J150" s="59"/>
      <c r="K150" s="59"/>
      <c r="L150" s="59"/>
      <c r="M150" s="59"/>
      <c r="N150" s="59"/>
      <c r="O150" s="59"/>
      <c r="P150" s="59"/>
      <c r="Q150" s="59"/>
      <c r="R150" s="59"/>
      <c r="S150" s="59"/>
      <c r="T150" s="59"/>
      <c r="U150" s="59"/>
      <c r="V150" s="59"/>
      <c r="W150" s="59"/>
      <c r="X150" s="59"/>
      <c r="Y150" s="59"/>
    </row>
    <row r="151" spans="1:25" ht="18">
      <c r="A151" s="76"/>
      <c r="B151" s="59"/>
      <c r="C151" s="59"/>
      <c r="D151" s="59"/>
      <c r="E151" s="59"/>
      <c r="F151" s="59"/>
      <c r="G151" s="59"/>
      <c r="H151" s="59"/>
      <c r="I151" s="59"/>
      <c r="J151" s="59"/>
      <c r="K151" s="59"/>
      <c r="L151" s="59"/>
      <c r="M151" s="59"/>
      <c r="N151" s="59"/>
      <c r="O151" s="59"/>
      <c r="P151" s="59"/>
      <c r="Q151" s="59"/>
      <c r="R151" s="59"/>
      <c r="S151" s="59"/>
      <c r="T151" s="59"/>
      <c r="U151" s="59"/>
      <c r="V151" s="59"/>
      <c r="W151" s="59"/>
      <c r="X151" s="59"/>
      <c r="Y151" s="59"/>
    </row>
    <row r="152" spans="1:25" ht="18">
      <c r="A152" s="76"/>
      <c r="B152" s="59"/>
      <c r="C152" s="59"/>
      <c r="D152" s="59"/>
      <c r="E152" s="59"/>
      <c r="F152" s="59"/>
      <c r="G152" s="59"/>
      <c r="H152" s="59"/>
      <c r="I152" s="59"/>
      <c r="J152" s="59"/>
      <c r="K152" s="59"/>
      <c r="L152" s="59"/>
      <c r="M152" s="59"/>
      <c r="N152" s="59"/>
      <c r="O152" s="59"/>
      <c r="P152" s="59"/>
      <c r="Q152" s="59"/>
      <c r="R152" s="59"/>
      <c r="S152" s="59"/>
      <c r="T152" s="59"/>
      <c r="U152" s="59"/>
      <c r="V152" s="59"/>
      <c r="W152" s="59"/>
      <c r="X152" s="59"/>
      <c r="Y152" s="59"/>
    </row>
    <row r="153" spans="1:25" ht="18">
      <c r="A153" s="76"/>
      <c r="B153" s="59"/>
      <c r="C153" s="59"/>
      <c r="D153" s="59"/>
      <c r="E153" s="59"/>
      <c r="F153" s="59"/>
      <c r="G153" s="59"/>
      <c r="H153" s="59"/>
      <c r="I153" s="59"/>
      <c r="J153" s="59"/>
      <c r="K153" s="59"/>
      <c r="L153" s="59"/>
      <c r="M153" s="59"/>
      <c r="N153" s="59"/>
      <c r="O153" s="59"/>
      <c r="P153" s="59"/>
      <c r="Q153" s="59"/>
      <c r="R153" s="59"/>
      <c r="S153" s="59"/>
      <c r="T153" s="59"/>
      <c r="U153" s="59"/>
      <c r="V153" s="59"/>
      <c r="W153" s="59"/>
      <c r="X153" s="59"/>
      <c r="Y153" s="59"/>
    </row>
    <row r="154" spans="1:25" ht="18">
      <c r="A154" s="76"/>
      <c r="B154" s="59"/>
      <c r="C154" s="59"/>
      <c r="D154" s="59"/>
      <c r="E154" s="59"/>
      <c r="F154" s="59"/>
      <c r="G154" s="59"/>
      <c r="H154" s="59"/>
      <c r="I154" s="59"/>
      <c r="J154" s="59"/>
      <c r="K154" s="59"/>
      <c r="L154" s="59"/>
      <c r="M154" s="59"/>
      <c r="N154" s="59"/>
      <c r="O154" s="59"/>
      <c r="P154" s="59"/>
      <c r="Q154" s="59"/>
      <c r="R154" s="59"/>
      <c r="S154" s="59"/>
      <c r="T154" s="59"/>
      <c r="U154" s="59"/>
      <c r="V154" s="59"/>
      <c r="W154" s="59"/>
      <c r="X154" s="59"/>
      <c r="Y154" s="59"/>
    </row>
    <row r="155" spans="1:25" ht="18">
      <c r="A155" s="76"/>
      <c r="B155" s="59"/>
      <c r="C155" s="59"/>
      <c r="D155" s="59"/>
      <c r="E155" s="59"/>
      <c r="F155" s="59"/>
      <c r="G155" s="59"/>
      <c r="H155" s="59"/>
      <c r="I155" s="59"/>
      <c r="J155" s="59"/>
      <c r="K155" s="59"/>
      <c r="L155" s="59"/>
      <c r="M155" s="59"/>
      <c r="N155" s="59"/>
      <c r="O155" s="59"/>
      <c r="P155" s="59"/>
      <c r="Q155" s="59"/>
      <c r="R155" s="59"/>
      <c r="S155" s="59"/>
      <c r="T155" s="59"/>
      <c r="U155" s="59"/>
      <c r="V155" s="59"/>
      <c r="W155" s="59"/>
      <c r="X155" s="59"/>
      <c r="Y155" s="59"/>
    </row>
    <row r="156" spans="1:25" ht="18">
      <c r="A156" s="76"/>
      <c r="B156" s="59"/>
      <c r="C156" s="59"/>
      <c r="D156" s="59"/>
      <c r="E156" s="59"/>
      <c r="F156" s="59"/>
      <c r="G156" s="59"/>
      <c r="H156" s="59"/>
      <c r="I156" s="59"/>
      <c r="J156" s="59"/>
      <c r="K156" s="59"/>
      <c r="L156" s="59"/>
      <c r="M156" s="59"/>
      <c r="N156" s="59"/>
      <c r="O156" s="59"/>
      <c r="P156" s="59"/>
      <c r="Q156" s="59"/>
      <c r="R156" s="59"/>
      <c r="S156" s="59"/>
      <c r="T156" s="59"/>
      <c r="U156" s="59"/>
      <c r="V156" s="59"/>
      <c r="W156" s="59"/>
      <c r="X156" s="59"/>
      <c r="Y156" s="59"/>
    </row>
    <row r="157" spans="1:25" ht="18">
      <c r="A157" s="76"/>
      <c r="B157" s="59"/>
      <c r="C157" s="59"/>
      <c r="D157" s="59"/>
      <c r="E157" s="59"/>
      <c r="F157" s="59"/>
      <c r="G157" s="59"/>
      <c r="H157" s="59"/>
      <c r="I157" s="59"/>
      <c r="J157" s="59"/>
      <c r="K157" s="59"/>
      <c r="L157" s="59"/>
      <c r="M157" s="59"/>
      <c r="N157" s="59"/>
      <c r="O157" s="59"/>
      <c r="P157" s="59"/>
      <c r="Q157" s="59"/>
      <c r="R157" s="59"/>
      <c r="S157" s="59"/>
      <c r="T157" s="59"/>
      <c r="U157" s="59"/>
      <c r="V157" s="59"/>
      <c r="W157" s="59"/>
      <c r="X157" s="59"/>
      <c r="Y157" s="59"/>
    </row>
    <row r="158" spans="1:25" ht="18">
      <c r="A158" s="76"/>
      <c r="B158" s="59"/>
      <c r="C158" s="59"/>
      <c r="D158" s="59"/>
      <c r="E158" s="59"/>
      <c r="F158" s="59"/>
      <c r="G158" s="59"/>
      <c r="H158" s="59"/>
      <c r="I158" s="59"/>
      <c r="J158" s="59"/>
      <c r="K158" s="59"/>
      <c r="L158" s="59"/>
      <c r="M158" s="59"/>
      <c r="N158" s="59"/>
      <c r="O158" s="59"/>
      <c r="P158" s="59"/>
      <c r="Q158" s="59"/>
      <c r="R158" s="59"/>
      <c r="S158" s="59"/>
      <c r="T158" s="59"/>
      <c r="U158" s="59"/>
      <c r="V158" s="59"/>
      <c r="W158" s="59"/>
      <c r="X158" s="59"/>
      <c r="Y158" s="59"/>
    </row>
    <row r="159" spans="1:25" ht="18">
      <c r="A159" s="76"/>
      <c r="B159" s="59"/>
      <c r="C159" s="59"/>
      <c r="D159" s="59"/>
      <c r="E159" s="59"/>
      <c r="F159" s="59"/>
      <c r="G159" s="59"/>
      <c r="H159" s="59"/>
      <c r="I159" s="59"/>
      <c r="J159" s="59"/>
      <c r="K159" s="59"/>
      <c r="L159" s="59"/>
      <c r="M159" s="59"/>
      <c r="N159" s="59"/>
      <c r="O159" s="59"/>
      <c r="P159" s="59"/>
      <c r="Q159" s="59"/>
      <c r="R159" s="59"/>
      <c r="S159" s="59"/>
      <c r="T159" s="59"/>
      <c r="U159" s="59"/>
      <c r="V159" s="59"/>
      <c r="W159" s="59"/>
      <c r="X159" s="59"/>
      <c r="Y159" s="59"/>
    </row>
    <row r="160" spans="1:25" ht="18">
      <c r="A160" s="76"/>
      <c r="B160" s="59"/>
      <c r="C160" s="59"/>
      <c r="D160" s="59"/>
      <c r="E160" s="59"/>
      <c r="F160" s="59"/>
      <c r="G160" s="59"/>
      <c r="H160" s="59"/>
      <c r="I160" s="59"/>
      <c r="J160" s="59"/>
      <c r="K160" s="59"/>
      <c r="L160" s="59"/>
      <c r="M160" s="59"/>
      <c r="N160" s="59"/>
      <c r="O160" s="59"/>
      <c r="P160" s="59"/>
      <c r="Q160" s="59"/>
      <c r="R160" s="59"/>
      <c r="S160" s="59"/>
      <c r="T160" s="59"/>
      <c r="U160" s="59"/>
      <c r="V160" s="59"/>
      <c r="W160" s="59"/>
      <c r="X160" s="59"/>
      <c r="Y160" s="59"/>
    </row>
    <row r="161" spans="1:25" ht="18">
      <c r="A161" s="76"/>
      <c r="B161" s="59"/>
      <c r="C161" s="59"/>
      <c r="D161" s="59"/>
      <c r="E161" s="59"/>
      <c r="F161" s="59"/>
      <c r="G161" s="59"/>
      <c r="H161" s="59"/>
      <c r="I161" s="59"/>
      <c r="J161" s="59"/>
      <c r="K161" s="59"/>
      <c r="L161" s="59"/>
      <c r="M161" s="59"/>
      <c r="N161" s="59"/>
      <c r="O161" s="59"/>
      <c r="P161" s="59"/>
      <c r="Q161" s="59"/>
      <c r="R161" s="59"/>
      <c r="S161" s="59"/>
      <c r="T161" s="59"/>
      <c r="U161" s="59"/>
      <c r="V161" s="59"/>
      <c r="W161" s="59"/>
      <c r="X161" s="59"/>
      <c r="Y161" s="59"/>
    </row>
    <row r="162" spans="1:25" ht="18">
      <c r="A162" s="76"/>
      <c r="B162" s="59"/>
      <c r="C162" s="59"/>
      <c r="D162" s="59"/>
      <c r="E162" s="59"/>
      <c r="F162" s="59"/>
      <c r="G162" s="59"/>
      <c r="H162" s="59"/>
      <c r="I162" s="59"/>
      <c r="J162" s="59"/>
      <c r="K162" s="59"/>
      <c r="L162" s="59"/>
      <c r="M162" s="59"/>
      <c r="N162" s="59"/>
      <c r="O162" s="59"/>
      <c r="P162" s="59"/>
      <c r="Q162" s="59"/>
      <c r="R162" s="59"/>
      <c r="S162" s="59"/>
      <c r="T162" s="59"/>
      <c r="U162" s="59"/>
      <c r="V162" s="59"/>
      <c r="W162" s="59"/>
      <c r="X162" s="59"/>
      <c r="Y162" s="59"/>
    </row>
    <row r="163" spans="1:25" ht="18">
      <c r="A163" s="76"/>
      <c r="B163" s="59"/>
      <c r="C163" s="59"/>
      <c r="D163" s="59"/>
      <c r="E163" s="59"/>
      <c r="F163" s="59"/>
      <c r="G163" s="59"/>
      <c r="H163" s="59"/>
      <c r="I163" s="59"/>
      <c r="J163" s="59"/>
      <c r="K163" s="59"/>
      <c r="L163" s="59"/>
      <c r="M163" s="59"/>
      <c r="N163" s="59"/>
      <c r="O163" s="59"/>
      <c r="P163" s="59"/>
      <c r="Q163" s="59"/>
      <c r="R163" s="59"/>
      <c r="S163" s="59"/>
      <c r="T163" s="59"/>
      <c r="U163" s="59"/>
      <c r="V163" s="59"/>
      <c r="W163" s="59"/>
      <c r="X163" s="59"/>
      <c r="Y163" s="59"/>
    </row>
    <row r="164" spans="1:25" ht="18">
      <c r="A164" s="76"/>
      <c r="B164" s="59"/>
      <c r="C164" s="59"/>
      <c r="D164" s="59"/>
      <c r="E164" s="59"/>
      <c r="F164" s="59"/>
      <c r="G164" s="59"/>
      <c r="H164" s="59"/>
      <c r="I164" s="59"/>
      <c r="J164" s="59"/>
      <c r="K164" s="59"/>
      <c r="L164" s="59"/>
      <c r="M164" s="59"/>
      <c r="N164" s="59"/>
      <c r="O164" s="59"/>
      <c r="P164" s="59"/>
      <c r="Q164" s="59"/>
      <c r="R164" s="59"/>
      <c r="S164" s="59"/>
      <c r="T164" s="59"/>
      <c r="U164" s="59"/>
      <c r="V164" s="59"/>
      <c r="W164" s="59"/>
      <c r="X164" s="59"/>
      <c r="Y164" s="59"/>
    </row>
    <row r="165" spans="1:25" ht="18">
      <c r="A165" s="76"/>
      <c r="B165" s="59"/>
      <c r="C165" s="59"/>
      <c r="D165" s="59"/>
      <c r="E165" s="59"/>
      <c r="F165" s="59"/>
      <c r="G165" s="59"/>
      <c r="H165" s="59"/>
      <c r="I165" s="59"/>
      <c r="J165" s="59"/>
      <c r="K165" s="59"/>
      <c r="L165" s="59"/>
      <c r="M165" s="59"/>
      <c r="N165" s="59"/>
      <c r="O165" s="59"/>
      <c r="P165" s="59"/>
      <c r="Q165" s="59"/>
      <c r="R165" s="59"/>
      <c r="S165" s="59"/>
      <c r="T165" s="59"/>
      <c r="U165" s="59"/>
      <c r="V165" s="59"/>
      <c r="W165" s="59"/>
      <c r="X165" s="59"/>
      <c r="Y165" s="59"/>
    </row>
    <row r="166" spans="1:25" ht="18">
      <c r="A166" s="76"/>
      <c r="B166" s="59"/>
      <c r="C166" s="59"/>
      <c r="D166" s="59"/>
      <c r="E166" s="59"/>
      <c r="F166" s="59"/>
      <c r="G166" s="59"/>
      <c r="H166" s="59"/>
      <c r="I166" s="59"/>
      <c r="J166" s="59"/>
      <c r="K166" s="59"/>
      <c r="L166" s="59"/>
      <c r="M166" s="59"/>
      <c r="N166" s="59"/>
      <c r="O166" s="59"/>
      <c r="P166" s="59"/>
      <c r="Q166" s="59"/>
      <c r="R166" s="59"/>
      <c r="S166" s="59"/>
      <c r="T166" s="59"/>
      <c r="U166" s="59"/>
      <c r="V166" s="59"/>
      <c r="W166" s="59"/>
      <c r="X166" s="59"/>
      <c r="Y166" s="59"/>
    </row>
    <row r="167" spans="1:25" ht="18">
      <c r="A167" s="76"/>
      <c r="B167" s="59"/>
      <c r="C167" s="59"/>
      <c r="D167" s="59"/>
      <c r="E167" s="59"/>
      <c r="F167" s="59"/>
      <c r="G167" s="59"/>
      <c r="H167" s="59"/>
      <c r="I167" s="59"/>
      <c r="J167" s="59"/>
      <c r="K167" s="59"/>
      <c r="L167" s="59"/>
      <c r="M167" s="59"/>
      <c r="N167" s="59"/>
      <c r="O167" s="59"/>
      <c r="P167" s="59"/>
      <c r="Q167" s="59"/>
      <c r="R167" s="59"/>
      <c r="S167" s="59"/>
      <c r="T167" s="59"/>
      <c r="U167" s="59"/>
      <c r="V167" s="59"/>
      <c r="W167" s="59"/>
      <c r="X167" s="59"/>
      <c r="Y167" s="59"/>
    </row>
    <row r="168" spans="1:25" ht="18">
      <c r="A168" s="76"/>
      <c r="B168" s="59"/>
      <c r="C168" s="59"/>
      <c r="D168" s="59"/>
      <c r="E168" s="59"/>
      <c r="F168" s="59"/>
      <c r="G168" s="59"/>
      <c r="H168" s="59"/>
      <c r="I168" s="59"/>
      <c r="J168" s="59"/>
      <c r="K168" s="59"/>
      <c r="L168" s="59"/>
      <c r="M168" s="59"/>
      <c r="N168" s="59"/>
      <c r="O168" s="59"/>
      <c r="P168" s="59"/>
      <c r="Q168" s="59"/>
      <c r="R168" s="59"/>
      <c r="S168" s="59"/>
      <c r="T168" s="59"/>
      <c r="U168" s="59"/>
      <c r="V168" s="59"/>
      <c r="W168" s="59"/>
      <c r="X168" s="59"/>
      <c r="Y168" s="59"/>
    </row>
    <row r="169" spans="1:25" ht="18">
      <c r="A169" s="76"/>
      <c r="B169" s="59"/>
      <c r="C169" s="59"/>
      <c r="D169" s="59"/>
      <c r="E169" s="59"/>
      <c r="F169" s="59"/>
      <c r="G169" s="59"/>
      <c r="H169" s="59"/>
      <c r="I169" s="59"/>
      <c r="J169" s="59"/>
      <c r="K169" s="59"/>
      <c r="L169" s="59"/>
      <c r="M169" s="59"/>
      <c r="N169" s="59"/>
      <c r="O169" s="59"/>
      <c r="P169" s="59"/>
      <c r="Q169" s="59"/>
      <c r="R169" s="59"/>
      <c r="S169" s="59"/>
      <c r="T169" s="59"/>
      <c r="U169" s="59"/>
      <c r="V169" s="59"/>
      <c r="W169" s="59"/>
      <c r="X169" s="59"/>
      <c r="Y169" s="59"/>
    </row>
    <row r="170" spans="1:25" ht="18">
      <c r="A170" s="76"/>
      <c r="B170" s="59"/>
      <c r="C170" s="59"/>
      <c r="D170" s="59"/>
      <c r="E170" s="59"/>
      <c r="F170" s="59"/>
      <c r="G170" s="59"/>
      <c r="H170" s="59"/>
      <c r="I170" s="59"/>
      <c r="J170" s="59"/>
      <c r="K170" s="59"/>
      <c r="L170" s="59"/>
      <c r="M170" s="59"/>
      <c r="N170" s="59"/>
      <c r="O170" s="59"/>
      <c r="P170" s="59"/>
      <c r="Q170" s="59"/>
      <c r="R170" s="59"/>
      <c r="S170" s="59"/>
      <c r="T170" s="59"/>
      <c r="U170" s="59"/>
      <c r="V170" s="59"/>
      <c r="W170" s="59"/>
      <c r="X170" s="59"/>
      <c r="Y170" s="59"/>
    </row>
    <row r="171" spans="1:25" ht="18">
      <c r="A171" s="76"/>
      <c r="B171" s="59"/>
      <c r="C171" s="59"/>
      <c r="D171" s="59"/>
      <c r="E171" s="59"/>
      <c r="F171" s="59"/>
      <c r="G171" s="59"/>
      <c r="H171" s="59"/>
      <c r="I171" s="59"/>
      <c r="J171" s="59"/>
      <c r="K171" s="59"/>
      <c r="L171" s="59"/>
      <c r="M171" s="59"/>
      <c r="N171" s="59"/>
      <c r="O171" s="59"/>
      <c r="P171" s="59"/>
      <c r="Q171" s="59"/>
      <c r="R171" s="59"/>
      <c r="S171" s="59"/>
      <c r="T171" s="59"/>
      <c r="U171" s="59"/>
      <c r="V171" s="59"/>
      <c r="W171" s="59"/>
      <c r="X171" s="59"/>
      <c r="Y171" s="59"/>
    </row>
    <row r="172" spans="1:25" ht="18">
      <c r="A172" s="76"/>
      <c r="B172" s="59"/>
      <c r="C172" s="59"/>
      <c r="D172" s="59"/>
      <c r="E172" s="59"/>
      <c r="F172" s="59"/>
      <c r="G172" s="59"/>
      <c r="H172" s="59"/>
      <c r="I172" s="59"/>
      <c r="J172" s="59"/>
      <c r="K172" s="59"/>
      <c r="L172" s="59"/>
      <c r="M172" s="59"/>
      <c r="N172" s="59"/>
      <c r="O172" s="59"/>
      <c r="P172" s="59"/>
      <c r="Q172" s="59"/>
      <c r="R172" s="59"/>
      <c r="S172" s="59"/>
      <c r="T172" s="59"/>
      <c r="U172" s="59"/>
      <c r="V172" s="59"/>
      <c r="W172" s="59"/>
      <c r="X172" s="59"/>
      <c r="Y172" s="59"/>
    </row>
    <row r="173" spans="1:25" ht="18">
      <c r="A173" s="76"/>
      <c r="B173" s="59"/>
      <c r="C173" s="59"/>
      <c r="D173" s="59"/>
      <c r="E173" s="59"/>
      <c r="F173" s="59"/>
      <c r="G173" s="59"/>
      <c r="H173" s="59"/>
      <c r="I173" s="59"/>
      <c r="J173" s="59"/>
      <c r="K173" s="59"/>
      <c r="L173" s="59"/>
      <c r="M173" s="59"/>
      <c r="N173" s="59"/>
      <c r="O173" s="59"/>
      <c r="P173" s="59"/>
      <c r="Q173" s="59"/>
      <c r="R173" s="59"/>
      <c r="S173" s="59"/>
      <c r="T173" s="59"/>
      <c r="U173" s="59"/>
      <c r="V173" s="59"/>
      <c r="W173" s="59"/>
      <c r="X173" s="59"/>
      <c r="Y173" s="59"/>
    </row>
    <row r="174" spans="1:25" ht="18">
      <c r="A174" s="76"/>
      <c r="B174" s="59"/>
      <c r="C174" s="59"/>
      <c r="D174" s="59"/>
      <c r="E174" s="59"/>
      <c r="F174" s="59"/>
      <c r="G174" s="59"/>
      <c r="H174" s="59"/>
      <c r="I174" s="59"/>
      <c r="J174" s="59"/>
      <c r="K174" s="59"/>
      <c r="L174" s="59"/>
      <c r="M174" s="59"/>
      <c r="N174" s="59"/>
      <c r="O174" s="59"/>
      <c r="P174" s="59"/>
      <c r="Q174" s="59"/>
      <c r="R174" s="59"/>
      <c r="S174" s="59"/>
      <c r="T174" s="59"/>
      <c r="U174" s="59"/>
      <c r="V174" s="59"/>
      <c r="W174" s="59"/>
      <c r="X174" s="59"/>
      <c r="Y174" s="59"/>
    </row>
    <row r="175" spans="1:25" ht="18">
      <c r="A175" s="76"/>
      <c r="B175" s="59"/>
      <c r="C175" s="59"/>
      <c r="D175" s="59"/>
      <c r="E175" s="59"/>
      <c r="F175" s="59"/>
      <c r="G175" s="59"/>
      <c r="H175" s="59"/>
      <c r="I175" s="59"/>
      <c r="J175" s="59"/>
      <c r="K175" s="59"/>
      <c r="L175" s="59"/>
      <c r="M175" s="59"/>
      <c r="N175" s="59"/>
      <c r="O175" s="59"/>
      <c r="P175" s="59"/>
      <c r="Q175" s="59"/>
      <c r="R175" s="59"/>
      <c r="S175" s="59"/>
      <c r="T175" s="59"/>
      <c r="U175" s="59"/>
      <c r="V175" s="59"/>
      <c r="W175" s="59"/>
      <c r="X175" s="59"/>
      <c r="Y175" s="59"/>
    </row>
    <row r="176" spans="1:25" ht="18">
      <c r="A176" s="76"/>
      <c r="B176" s="59"/>
      <c r="C176" s="59"/>
      <c r="D176" s="59"/>
      <c r="E176" s="59"/>
      <c r="F176" s="59"/>
      <c r="G176" s="59"/>
      <c r="H176" s="59"/>
      <c r="I176" s="59"/>
      <c r="J176" s="59"/>
      <c r="K176" s="59"/>
      <c r="L176" s="59"/>
      <c r="M176" s="59"/>
      <c r="N176" s="59"/>
      <c r="O176" s="59"/>
      <c r="P176" s="59"/>
      <c r="Q176" s="59"/>
      <c r="R176" s="59"/>
      <c r="S176" s="59"/>
      <c r="T176" s="59"/>
      <c r="U176" s="59"/>
      <c r="V176" s="59"/>
      <c r="W176" s="59"/>
      <c r="X176" s="59"/>
      <c r="Y176" s="59"/>
    </row>
    <row r="177" spans="1:25" ht="18">
      <c r="A177" s="76"/>
      <c r="B177" s="59"/>
      <c r="C177" s="59"/>
      <c r="D177" s="59"/>
      <c r="E177" s="59"/>
      <c r="F177" s="59"/>
      <c r="G177" s="59"/>
      <c r="H177" s="59"/>
      <c r="I177" s="59"/>
      <c r="J177" s="59"/>
      <c r="K177" s="59"/>
      <c r="L177" s="59"/>
      <c r="M177" s="59"/>
      <c r="N177" s="59"/>
      <c r="O177" s="59"/>
      <c r="P177" s="59"/>
      <c r="Q177" s="59"/>
      <c r="R177" s="59"/>
      <c r="S177" s="59"/>
      <c r="T177" s="59"/>
      <c r="U177" s="59"/>
      <c r="V177" s="59"/>
      <c r="W177" s="59"/>
      <c r="X177" s="59"/>
      <c r="Y177" s="59"/>
    </row>
    <row r="178" spans="1:25" ht="18">
      <c r="A178" s="76"/>
      <c r="B178" s="59"/>
      <c r="C178" s="59"/>
      <c r="D178" s="59"/>
      <c r="E178" s="59"/>
      <c r="F178" s="59"/>
      <c r="G178" s="59"/>
      <c r="H178" s="59"/>
      <c r="I178" s="59"/>
      <c r="J178" s="59"/>
      <c r="K178" s="59"/>
      <c r="L178" s="59"/>
      <c r="M178" s="59"/>
      <c r="N178" s="59"/>
      <c r="O178" s="59"/>
      <c r="P178" s="59"/>
      <c r="Q178" s="59"/>
      <c r="R178" s="59"/>
      <c r="S178" s="59"/>
      <c r="T178" s="59"/>
      <c r="U178" s="59"/>
      <c r="V178" s="59"/>
      <c r="W178" s="59"/>
      <c r="X178" s="59"/>
      <c r="Y178" s="59"/>
    </row>
    <row r="179" spans="1:25" ht="18">
      <c r="A179" s="76"/>
      <c r="B179" s="59"/>
      <c r="C179" s="59"/>
      <c r="D179" s="59"/>
      <c r="E179" s="59"/>
      <c r="F179" s="59"/>
      <c r="G179" s="59"/>
      <c r="H179" s="59"/>
      <c r="I179" s="59"/>
      <c r="J179" s="59"/>
      <c r="K179" s="59"/>
      <c r="L179" s="59"/>
      <c r="M179" s="59"/>
      <c r="N179" s="59"/>
      <c r="O179" s="59"/>
      <c r="P179" s="59"/>
      <c r="Q179" s="59"/>
      <c r="R179" s="59"/>
      <c r="S179" s="59"/>
      <c r="T179" s="59"/>
      <c r="U179" s="59"/>
      <c r="V179" s="59"/>
      <c r="W179" s="59"/>
      <c r="X179" s="59"/>
      <c r="Y179" s="59"/>
    </row>
    <row r="180" spans="1:25" ht="18">
      <c r="A180" s="76"/>
      <c r="B180" s="59"/>
      <c r="C180" s="59"/>
      <c r="D180" s="59"/>
      <c r="E180" s="59"/>
      <c r="F180" s="59"/>
      <c r="G180" s="59"/>
      <c r="H180" s="59"/>
      <c r="I180" s="59"/>
      <c r="J180" s="59"/>
      <c r="K180" s="59"/>
      <c r="L180" s="59"/>
      <c r="M180" s="59"/>
      <c r="N180" s="59"/>
      <c r="O180" s="59"/>
      <c r="P180" s="59"/>
      <c r="Q180" s="59"/>
      <c r="R180" s="59"/>
      <c r="S180" s="59"/>
      <c r="T180" s="59"/>
      <c r="U180" s="59"/>
      <c r="V180" s="59"/>
      <c r="W180" s="59"/>
      <c r="X180" s="59"/>
      <c r="Y180" s="59"/>
    </row>
    <row r="181" spans="1:25" ht="18">
      <c r="A181" s="76"/>
      <c r="B181" s="59"/>
      <c r="C181" s="59"/>
      <c r="D181" s="59"/>
      <c r="E181" s="59"/>
      <c r="F181" s="59"/>
      <c r="G181" s="59"/>
      <c r="H181" s="59"/>
      <c r="I181" s="59"/>
      <c r="J181" s="59"/>
      <c r="K181" s="59"/>
      <c r="L181" s="59"/>
      <c r="M181" s="59"/>
      <c r="N181" s="59"/>
      <c r="O181" s="59"/>
      <c r="P181" s="59"/>
      <c r="Q181" s="59"/>
      <c r="R181" s="59"/>
      <c r="S181" s="59"/>
      <c r="T181" s="59"/>
      <c r="U181" s="59"/>
      <c r="V181" s="59"/>
      <c r="W181" s="59"/>
      <c r="X181" s="59"/>
      <c r="Y181" s="59"/>
    </row>
    <row r="182" spans="1:25" ht="18">
      <c r="A182" s="76"/>
      <c r="B182" s="59"/>
      <c r="C182" s="59"/>
      <c r="D182" s="59"/>
      <c r="E182" s="59"/>
      <c r="F182" s="59"/>
      <c r="G182" s="59"/>
      <c r="H182" s="59"/>
      <c r="I182" s="59"/>
      <c r="J182" s="59"/>
      <c r="K182" s="59"/>
      <c r="L182" s="59"/>
      <c r="M182" s="59"/>
      <c r="N182" s="59"/>
      <c r="O182" s="59"/>
      <c r="P182" s="59"/>
      <c r="Q182" s="59"/>
      <c r="R182" s="59"/>
      <c r="S182" s="59"/>
      <c r="T182" s="59"/>
      <c r="U182" s="59"/>
      <c r="V182" s="59"/>
      <c r="W182" s="59"/>
      <c r="X182" s="59"/>
      <c r="Y182" s="59"/>
    </row>
    <row r="183" spans="1:25" ht="18">
      <c r="A183" s="76"/>
      <c r="B183" s="59"/>
      <c r="C183" s="59"/>
      <c r="D183" s="59"/>
      <c r="E183" s="59"/>
      <c r="F183" s="59"/>
      <c r="G183" s="59"/>
      <c r="H183" s="59"/>
      <c r="I183" s="59"/>
      <c r="J183" s="59"/>
      <c r="K183" s="59"/>
      <c r="L183" s="59"/>
      <c r="M183" s="59"/>
      <c r="N183" s="59"/>
      <c r="O183" s="59"/>
      <c r="P183" s="59"/>
      <c r="Q183" s="59"/>
      <c r="R183" s="59"/>
      <c r="S183" s="59"/>
      <c r="T183" s="59"/>
      <c r="U183" s="59"/>
      <c r="V183" s="59"/>
      <c r="W183" s="59"/>
      <c r="X183" s="59"/>
      <c r="Y183" s="59"/>
    </row>
    <row r="184" spans="1:25" ht="18">
      <c r="A184" s="76"/>
      <c r="B184" s="59"/>
      <c r="C184" s="59"/>
      <c r="D184" s="59"/>
      <c r="E184" s="59"/>
      <c r="F184" s="59"/>
      <c r="G184" s="59"/>
      <c r="H184" s="59"/>
      <c r="I184" s="59"/>
      <c r="J184" s="59"/>
      <c r="K184" s="59"/>
      <c r="L184" s="59"/>
      <c r="M184" s="59"/>
      <c r="N184" s="59"/>
      <c r="O184" s="59"/>
      <c r="P184" s="59"/>
      <c r="Q184" s="59"/>
      <c r="R184" s="59"/>
      <c r="S184" s="59"/>
      <c r="T184" s="59"/>
      <c r="U184" s="59"/>
      <c r="V184" s="59"/>
      <c r="W184" s="59"/>
      <c r="X184" s="59"/>
      <c r="Y184" s="59"/>
    </row>
    <row r="185" spans="1:25" ht="18">
      <c r="A185" s="76"/>
      <c r="B185" s="59"/>
      <c r="C185" s="59"/>
      <c r="D185" s="59"/>
      <c r="E185" s="59"/>
      <c r="F185" s="59"/>
      <c r="G185" s="59"/>
      <c r="H185" s="59"/>
      <c r="I185" s="59"/>
      <c r="J185" s="59"/>
      <c r="K185" s="59"/>
      <c r="L185" s="59"/>
      <c r="M185" s="59"/>
      <c r="N185" s="59"/>
      <c r="O185" s="59"/>
      <c r="P185" s="59"/>
      <c r="Q185" s="59"/>
      <c r="R185" s="59"/>
      <c r="S185" s="59"/>
      <c r="T185" s="59"/>
      <c r="U185" s="59"/>
      <c r="V185" s="59"/>
      <c r="W185" s="59"/>
      <c r="X185" s="59"/>
      <c r="Y185" s="59"/>
    </row>
    <row r="186" spans="1:25" ht="18">
      <c r="A186" s="76"/>
      <c r="B186" s="59"/>
      <c r="C186" s="59"/>
      <c r="D186" s="59"/>
      <c r="E186" s="59"/>
      <c r="F186" s="59"/>
      <c r="G186" s="59"/>
      <c r="H186" s="59"/>
      <c r="I186" s="59"/>
      <c r="J186" s="59"/>
      <c r="K186" s="59"/>
      <c r="L186" s="59"/>
      <c r="M186" s="59"/>
      <c r="N186" s="59"/>
      <c r="O186" s="59"/>
      <c r="P186" s="59"/>
      <c r="Q186" s="59"/>
      <c r="R186" s="59"/>
      <c r="S186" s="59"/>
      <c r="T186" s="59"/>
      <c r="U186" s="59"/>
      <c r="V186" s="59"/>
      <c r="W186" s="59"/>
      <c r="X186" s="59"/>
      <c r="Y186" s="59"/>
    </row>
    <row r="187" spans="1:25" ht="18">
      <c r="A187" s="76"/>
      <c r="B187" s="59"/>
      <c r="C187" s="59"/>
      <c r="D187" s="59"/>
      <c r="E187" s="59"/>
      <c r="F187" s="59"/>
      <c r="G187" s="59"/>
      <c r="H187" s="59"/>
      <c r="I187" s="59"/>
      <c r="J187" s="59"/>
      <c r="K187" s="59"/>
      <c r="L187" s="59"/>
      <c r="M187" s="59"/>
      <c r="N187" s="59"/>
      <c r="O187" s="59"/>
      <c r="P187" s="59"/>
      <c r="Q187" s="59"/>
      <c r="R187" s="59"/>
      <c r="S187" s="59"/>
      <c r="T187" s="59"/>
      <c r="U187" s="59"/>
      <c r="V187" s="59"/>
      <c r="W187" s="59"/>
      <c r="X187" s="59"/>
      <c r="Y187" s="59"/>
    </row>
    <row r="188" spans="1:25" ht="18">
      <c r="A188" s="76"/>
      <c r="B188" s="59"/>
      <c r="C188" s="59"/>
      <c r="D188" s="59"/>
      <c r="E188" s="59"/>
      <c r="F188" s="59"/>
      <c r="G188" s="59"/>
      <c r="H188" s="59"/>
      <c r="I188" s="59"/>
      <c r="J188" s="59"/>
      <c r="K188" s="59"/>
      <c r="L188" s="59"/>
      <c r="M188" s="59"/>
      <c r="N188" s="59"/>
      <c r="O188" s="59"/>
      <c r="P188" s="59"/>
      <c r="Q188" s="59"/>
      <c r="R188" s="59"/>
      <c r="S188" s="59"/>
      <c r="T188" s="59"/>
      <c r="U188" s="59"/>
      <c r="V188" s="59"/>
      <c r="W188" s="59"/>
      <c r="X188" s="59"/>
      <c r="Y188" s="59"/>
    </row>
    <row r="189" spans="1:25" ht="18">
      <c r="A189" s="76"/>
      <c r="B189" s="59"/>
      <c r="C189" s="59"/>
      <c r="D189" s="59"/>
      <c r="E189" s="59"/>
      <c r="F189" s="59"/>
      <c r="G189" s="59"/>
      <c r="H189" s="59"/>
      <c r="I189" s="59"/>
      <c r="J189" s="59"/>
      <c r="K189" s="59"/>
      <c r="L189" s="59"/>
      <c r="M189" s="59"/>
      <c r="N189" s="59"/>
      <c r="O189" s="59"/>
      <c r="P189" s="59"/>
      <c r="Q189" s="59"/>
      <c r="R189" s="59"/>
      <c r="S189" s="59"/>
      <c r="T189" s="59"/>
      <c r="U189" s="59"/>
      <c r="V189" s="59"/>
      <c r="W189" s="59"/>
      <c r="X189" s="59"/>
      <c r="Y189" s="59"/>
    </row>
    <row r="190" spans="1:25" ht="18">
      <c r="A190" s="76"/>
      <c r="B190" s="59"/>
      <c r="C190" s="59"/>
      <c r="D190" s="59"/>
      <c r="E190" s="59"/>
      <c r="F190" s="59"/>
      <c r="G190" s="59"/>
      <c r="H190" s="59"/>
      <c r="I190" s="59"/>
      <c r="J190" s="59"/>
      <c r="K190" s="59"/>
      <c r="L190" s="59"/>
      <c r="M190" s="59"/>
      <c r="N190" s="59"/>
      <c r="O190" s="59"/>
      <c r="P190" s="59"/>
      <c r="Q190" s="59"/>
      <c r="R190" s="59"/>
      <c r="S190" s="59"/>
      <c r="T190" s="59"/>
      <c r="U190" s="59"/>
      <c r="V190" s="59"/>
      <c r="W190" s="59"/>
      <c r="X190" s="59"/>
      <c r="Y190" s="59"/>
    </row>
    <row r="191" spans="1:25" ht="18">
      <c r="A191" s="76"/>
      <c r="B191" s="59"/>
      <c r="C191" s="59"/>
      <c r="D191" s="59"/>
      <c r="E191" s="59"/>
      <c r="F191" s="59"/>
      <c r="G191" s="59"/>
      <c r="H191" s="59"/>
      <c r="I191" s="59"/>
      <c r="J191" s="59"/>
      <c r="K191" s="59"/>
      <c r="L191" s="59"/>
      <c r="M191" s="59"/>
      <c r="N191" s="59"/>
      <c r="O191" s="59"/>
      <c r="P191" s="59"/>
      <c r="Q191" s="59"/>
      <c r="R191" s="59"/>
      <c r="S191" s="59"/>
      <c r="T191" s="59"/>
      <c r="U191" s="59"/>
      <c r="V191" s="59"/>
      <c r="W191" s="59"/>
      <c r="X191" s="59"/>
      <c r="Y191" s="59"/>
    </row>
    <row r="192" spans="1:25" ht="18">
      <c r="A192" s="76"/>
      <c r="B192" s="59"/>
      <c r="C192" s="59"/>
      <c r="D192" s="59"/>
      <c r="E192" s="59"/>
      <c r="F192" s="59"/>
      <c r="G192" s="59"/>
      <c r="H192" s="59"/>
      <c r="I192" s="59"/>
      <c r="J192" s="59"/>
      <c r="K192" s="59"/>
      <c r="L192" s="59"/>
      <c r="M192" s="59"/>
      <c r="N192" s="59"/>
      <c r="O192" s="59"/>
      <c r="P192" s="59"/>
      <c r="Q192" s="59"/>
      <c r="R192" s="59"/>
      <c r="S192" s="59"/>
      <c r="T192" s="59"/>
      <c r="U192" s="59"/>
      <c r="V192" s="59"/>
      <c r="W192" s="59"/>
      <c r="X192" s="59"/>
      <c r="Y192" s="59"/>
    </row>
    <row r="193" spans="1:25" ht="18">
      <c r="A193" s="76"/>
      <c r="B193" s="59"/>
      <c r="C193" s="59"/>
      <c r="D193" s="59"/>
      <c r="E193" s="59"/>
      <c r="F193" s="59"/>
      <c r="G193" s="59"/>
      <c r="H193" s="59"/>
      <c r="I193" s="59"/>
      <c r="J193" s="59"/>
      <c r="K193" s="59"/>
      <c r="L193" s="59"/>
      <c r="M193" s="59"/>
      <c r="N193" s="59"/>
      <c r="O193" s="59"/>
      <c r="P193" s="59"/>
      <c r="Q193" s="59"/>
      <c r="R193" s="59"/>
      <c r="S193" s="59"/>
      <c r="T193" s="59"/>
      <c r="U193" s="59"/>
      <c r="V193" s="59"/>
      <c r="W193" s="59"/>
      <c r="X193" s="59"/>
      <c r="Y193" s="59"/>
    </row>
    <row r="194" spans="1:25" ht="18">
      <c r="A194" s="76"/>
      <c r="B194" s="59"/>
      <c r="C194" s="59"/>
      <c r="D194" s="59"/>
      <c r="E194" s="59"/>
      <c r="F194" s="59"/>
      <c r="G194" s="59"/>
      <c r="H194" s="59"/>
      <c r="I194" s="59"/>
      <c r="J194" s="59"/>
      <c r="K194" s="59"/>
      <c r="L194" s="59"/>
      <c r="M194" s="59"/>
      <c r="N194" s="59"/>
      <c r="O194" s="59"/>
      <c r="P194" s="59"/>
      <c r="Q194" s="59"/>
      <c r="R194" s="59"/>
      <c r="S194" s="59"/>
      <c r="T194" s="59"/>
      <c r="U194" s="59"/>
      <c r="V194" s="59"/>
      <c r="W194" s="59"/>
      <c r="X194" s="59"/>
      <c r="Y194" s="59"/>
    </row>
    <row r="195" spans="1:25" ht="18">
      <c r="A195" s="76"/>
      <c r="B195" s="59"/>
      <c r="C195" s="59"/>
      <c r="D195" s="59"/>
      <c r="E195" s="59"/>
      <c r="F195" s="59"/>
      <c r="G195" s="59"/>
      <c r="H195" s="59"/>
      <c r="I195" s="59"/>
      <c r="J195" s="59"/>
      <c r="K195" s="59"/>
      <c r="L195" s="59"/>
      <c r="M195" s="59"/>
      <c r="N195" s="59"/>
      <c r="O195" s="59"/>
      <c r="P195" s="59"/>
      <c r="Q195" s="59"/>
      <c r="R195" s="59"/>
      <c r="S195" s="59"/>
      <c r="T195" s="59"/>
      <c r="U195" s="59"/>
      <c r="V195" s="59"/>
      <c r="W195" s="59"/>
      <c r="X195" s="59"/>
      <c r="Y195" s="59"/>
    </row>
    <row r="196" spans="1:25" ht="18">
      <c r="A196" s="76"/>
      <c r="B196" s="59"/>
      <c r="C196" s="59"/>
      <c r="D196" s="59"/>
      <c r="E196" s="59"/>
      <c r="F196" s="59"/>
      <c r="G196" s="59"/>
      <c r="H196" s="59"/>
      <c r="I196" s="59"/>
      <c r="J196" s="59"/>
      <c r="K196" s="59"/>
      <c r="L196" s="59"/>
      <c r="M196" s="59"/>
      <c r="N196" s="59"/>
      <c r="O196" s="59"/>
      <c r="P196" s="59"/>
      <c r="Q196" s="59"/>
      <c r="R196" s="59"/>
      <c r="S196" s="59"/>
      <c r="T196" s="59"/>
      <c r="U196" s="59"/>
      <c r="V196" s="59"/>
      <c r="W196" s="59"/>
      <c r="X196" s="59"/>
      <c r="Y196" s="59"/>
    </row>
    <row r="197" spans="1:25" ht="18">
      <c r="A197" s="76"/>
      <c r="B197" s="59"/>
      <c r="C197" s="59"/>
      <c r="D197" s="59"/>
      <c r="E197" s="59"/>
      <c r="F197" s="59"/>
      <c r="G197" s="59"/>
      <c r="H197" s="59"/>
      <c r="I197" s="59"/>
      <c r="J197" s="59"/>
      <c r="K197" s="59"/>
      <c r="L197" s="59"/>
      <c r="M197" s="59"/>
      <c r="N197" s="59"/>
      <c r="O197" s="59"/>
      <c r="P197" s="59"/>
      <c r="Q197" s="59"/>
      <c r="R197" s="59"/>
      <c r="S197" s="59"/>
      <c r="T197" s="59"/>
      <c r="U197" s="59"/>
      <c r="V197" s="59"/>
      <c r="W197" s="59"/>
      <c r="X197" s="59"/>
      <c r="Y197" s="59"/>
    </row>
    <row r="198" spans="1:25" ht="18">
      <c r="A198" s="76"/>
      <c r="B198" s="59"/>
      <c r="C198" s="59"/>
      <c r="D198" s="59"/>
      <c r="E198" s="59"/>
      <c r="F198" s="59"/>
      <c r="G198" s="59"/>
      <c r="H198" s="59"/>
      <c r="I198" s="59"/>
      <c r="J198" s="59"/>
      <c r="K198" s="59"/>
      <c r="L198" s="59"/>
      <c r="M198" s="59"/>
      <c r="N198" s="59"/>
      <c r="O198" s="59"/>
      <c r="P198" s="59"/>
      <c r="Q198" s="59"/>
      <c r="R198" s="59"/>
      <c r="S198" s="59"/>
      <c r="T198" s="59"/>
      <c r="U198" s="59"/>
      <c r="V198" s="59"/>
      <c r="W198" s="59"/>
      <c r="X198" s="59"/>
      <c r="Y198" s="59"/>
    </row>
    <row r="199" spans="1:25" ht="18">
      <c r="A199" s="76"/>
      <c r="B199" s="59"/>
      <c r="C199" s="59"/>
      <c r="D199" s="59"/>
      <c r="E199" s="59"/>
      <c r="F199" s="59"/>
      <c r="G199" s="59"/>
      <c r="H199" s="59"/>
      <c r="I199" s="59"/>
      <c r="J199" s="59"/>
      <c r="K199" s="59"/>
      <c r="L199" s="59"/>
      <c r="M199" s="59"/>
      <c r="N199" s="59"/>
      <c r="O199" s="59"/>
      <c r="P199" s="59"/>
      <c r="Q199" s="59"/>
      <c r="R199" s="59"/>
      <c r="S199" s="59"/>
      <c r="T199" s="59"/>
      <c r="U199" s="59"/>
      <c r="V199" s="59"/>
      <c r="W199" s="59"/>
      <c r="X199" s="59"/>
      <c r="Y199" s="59"/>
    </row>
    <row r="200" spans="1:25" ht="18">
      <c r="A200" s="76"/>
      <c r="B200" s="59"/>
      <c r="C200" s="59"/>
      <c r="D200" s="59"/>
      <c r="E200" s="59"/>
      <c r="F200" s="59"/>
      <c r="G200" s="59"/>
      <c r="H200" s="59"/>
      <c r="I200" s="59"/>
      <c r="J200" s="59"/>
      <c r="K200" s="59"/>
      <c r="L200" s="59"/>
      <c r="M200" s="59"/>
      <c r="N200" s="59"/>
      <c r="O200" s="59"/>
      <c r="P200" s="59"/>
      <c r="Q200" s="59"/>
      <c r="R200" s="59"/>
      <c r="S200" s="59"/>
      <c r="T200" s="59"/>
      <c r="U200" s="59"/>
      <c r="V200" s="59"/>
      <c r="W200" s="59"/>
      <c r="X200" s="59"/>
      <c r="Y200" s="59"/>
    </row>
    <row r="201" spans="1:25" ht="18">
      <c r="A201" s="76"/>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row>
    <row r="202" spans="1:25" ht="18">
      <c r="A202" s="76"/>
      <c r="B202" s="59"/>
      <c r="C202" s="59"/>
      <c r="D202" s="59"/>
      <c r="E202" s="59"/>
      <c r="F202" s="59"/>
      <c r="G202" s="59"/>
      <c r="H202" s="59"/>
      <c r="I202" s="59"/>
      <c r="J202" s="59"/>
      <c r="K202" s="59"/>
      <c r="L202" s="59"/>
      <c r="M202" s="59"/>
      <c r="N202" s="59"/>
      <c r="O202" s="59"/>
      <c r="P202" s="59"/>
      <c r="Q202" s="59"/>
      <c r="R202" s="59"/>
      <c r="S202" s="59"/>
      <c r="T202" s="59"/>
      <c r="U202" s="59"/>
      <c r="V202" s="59"/>
      <c r="W202" s="59"/>
      <c r="X202" s="59"/>
      <c r="Y202" s="59"/>
    </row>
    <row r="203" spans="1:25" ht="18">
      <c r="A203" s="76"/>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row>
    <row r="204" spans="1:25" ht="18">
      <c r="A204" s="76"/>
      <c r="B204" s="59"/>
      <c r="C204" s="59"/>
      <c r="D204" s="59"/>
      <c r="E204" s="59"/>
      <c r="F204" s="59"/>
      <c r="G204" s="59"/>
      <c r="H204" s="59"/>
      <c r="I204" s="59"/>
      <c r="J204" s="59"/>
      <c r="K204" s="59"/>
      <c r="L204" s="59"/>
      <c r="M204" s="59"/>
      <c r="N204" s="59"/>
      <c r="O204" s="59"/>
      <c r="P204" s="59"/>
      <c r="Q204" s="59"/>
      <c r="R204" s="59"/>
      <c r="S204" s="59"/>
      <c r="T204" s="59"/>
      <c r="U204" s="59"/>
      <c r="V204" s="59"/>
      <c r="W204" s="59"/>
      <c r="X204" s="59"/>
      <c r="Y204" s="59"/>
    </row>
    <row r="205" spans="1:25" ht="18">
      <c r="A205" s="76"/>
      <c r="B205" s="59"/>
      <c r="C205" s="59"/>
      <c r="D205" s="59"/>
      <c r="E205" s="59"/>
      <c r="F205" s="59"/>
      <c r="G205" s="59"/>
      <c r="H205" s="59"/>
      <c r="I205" s="59"/>
      <c r="J205" s="59"/>
      <c r="K205" s="59"/>
      <c r="L205" s="59"/>
      <c r="M205" s="59"/>
      <c r="N205" s="59"/>
      <c r="O205" s="59"/>
      <c r="P205" s="59"/>
      <c r="Q205" s="59"/>
      <c r="R205" s="59"/>
      <c r="S205" s="59"/>
      <c r="T205" s="59"/>
      <c r="U205" s="59"/>
      <c r="V205" s="59"/>
      <c r="W205" s="59"/>
      <c r="X205" s="59"/>
      <c r="Y205" s="59"/>
    </row>
    <row r="206" spans="1:25" ht="18">
      <c r="A206" s="76"/>
      <c r="B206" s="59"/>
      <c r="C206" s="59"/>
      <c r="D206" s="59"/>
      <c r="E206" s="59"/>
      <c r="F206" s="59"/>
      <c r="G206" s="59"/>
      <c r="H206" s="59"/>
      <c r="I206" s="59"/>
      <c r="J206" s="59"/>
      <c r="K206" s="59"/>
      <c r="L206" s="59"/>
      <c r="M206" s="59"/>
      <c r="N206" s="59"/>
      <c r="O206" s="59"/>
      <c r="P206" s="59"/>
      <c r="Q206" s="59"/>
      <c r="R206" s="59"/>
      <c r="S206" s="59"/>
      <c r="T206" s="59"/>
      <c r="U206" s="59"/>
      <c r="V206" s="59"/>
      <c r="W206" s="59"/>
      <c r="X206" s="59"/>
      <c r="Y206" s="59"/>
    </row>
    <row r="207" spans="1:25" ht="18">
      <c r="A207" s="76"/>
      <c r="B207" s="59"/>
      <c r="C207" s="59"/>
      <c r="D207" s="59"/>
      <c r="E207" s="59"/>
      <c r="F207" s="59"/>
      <c r="G207" s="59"/>
      <c r="H207" s="59"/>
      <c r="I207" s="59"/>
      <c r="J207" s="59"/>
      <c r="K207" s="59"/>
      <c r="L207" s="59"/>
      <c r="M207" s="59"/>
      <c r="N207" s="59"/>
      <c r="O207" s="59"/>
      <c r="P207" s="59"/>
      <c r="Q207" s="59"/>
      <c r="R207" s="59"/>
      <c r="S207" s="59"/>
      <c r="T207" s="59"/>
      <c r="U207" s="59"/>
      <c r="V207" s="59"/>
      <c r="W207" s="59"/>
      <c r="X207" s="59"/>
      <c r="Y207" s="59"/>
    </row>
    <row r="208" spans="1:25" ht="18">
      <c r="A208" s="76"/>
      <c r="B208" s="59"/>
      <c r="C208" s="59"/>
      <c r="D208" s="59"/>
      <c r="E208" s="59"/>
      <c r="F208" s="59"/>
      <c r="G208" s="59"/>
      <c r="H208" s="59"/>
      <c r="I208" s="59"/>
      <c r="J208" s="59"/>
      <c r="K208" s="59"/>
      <c r="L208" s="59"/>
      <c r="M208" s="59"/>
      <c r="N208" s="59"/>
      <c r="O208" s="59"/>
      <c r="P208" s="59"/>
      <c r="Q208" s="59"/>
      <c r="R208" s="59"/>
      <c r="S208" s="59"/>
      <c r="T208" s="59"/>
      <c r="U208" s="59"/>
      <c r="V208" s="59"/>
      <c r="W208" s="59"/>
      <c r="X208" s="59"/>
      <c r="Y208" s="59"/>
    </row>
    <row r="209" spans="1:25" ht="18">
      <c r="A209" s="76"/>
      <c r="B209" s="59"/>
      <c r="C209" s="59"/>
      <c r="D209" s="59"/>
      <c r="E209" s="59"/>
      <c r="F209" s="59"/>
      <c r="G209" s="59"/>
      <c r="H209" s="59"/>
      <c r="I209" s="59"/>
      <c r="J209" s="59"/>
      <c r="K209" s="59"/>
      <c r="L209" s="59"/>
      <c r="M209" s="59"/>
      <c r="N209" s="59"/>
      <c r="O209" s="59"/>
      <c r="P209" s="59"/>
      <c r="Q209" s="59"/>
      <c r="R209" s="59"/>
      <c r="S209" s="59"/>
      <c r="T209" s="59"/>
      <c r="U209" s="59"/>
      <c r="V209" s="59"/>
      <c r="W209" s="59"/>
      <c r="X209" s="59"/>
      <c r="Y209" s="59"/>
    </row>
    <row r="210" spans="1:25" ht="18">
      <c r="A210" s="76"/>
      <c r="B210" s="59"/>
      <c r="C210" s="59"/>
      <c r="D210" s="59"/>
      <c r="E210" s="59"/>
      <c r="F210" s="59"/>
      <c r="G210" s="59"/>
      <c r="H210" s="59"/>
      <c r="I210" s="59"/>
      <c r="J210" s="59"/>
      <c r="K210" s="59"/>
      <c r="L210" s="59"/>
      <c r="M210" s="59"/>
      <c r="N210" s="59"/>
      <c r="O210" s="59"/>
      <c r="P210" s="59"/>
      <c r="Q210" s="59"/>
      <c r="R210" s="59"/>
      <c r="S210" s="59"/>
      <c r="T210" s="59"/>
      <c r="U210" s="59"/>
      <c r="V210" s="59"/>
      <c r="W210" s="59"/>
      <c r="X210" s="59"/>
      <c r="Y210" s="59"/>
    </row>
    <row r="211" spans="1:25" ht="18">
      <c r="A211" s="76"/>
      <c r="B211" s="59"/>
      <c r="C211" s="59"/>
      <c r="D211" s="59"/>
      <c r="E211" s="59"/>
      <c r="F211" s="59"/>
      <c r="G211" s="59"/>
      <c r="H211" s="59"/>
      <c r="I211" s="59"/>
      <c r="J211" s="59"/>
      <c r="K211" s="59"/>
      <c r="L211" s="59"/>
      <c r="M211" s="59"/>
      <c r="N211" s="59"/>
      <c r="O211" s="59"/>
      <c r="P211" s="59"/>
      <c r="Q211" s="59"/>
      <c r="R211" s="59"/>
      <c r="S211" s="59"/>
      <c r="T211" s="59"/>
      <c r="U211" s="59"/>
      <c r="V211" s="59"/>
      <c r="W211" s="59"/>
      <c r="X211" s="59"/>
      <c r="Y211" s="59"/>
    </row>
    <row r="212" spans="1:25" ht="18">
      <c r="A212" s="76"/>
      <c r="B212" s="59"/>
      <c r="C212" s="59"/>
      <c r="D212" s="59"/>
      <c r="E212" s="59"/>
      <c r="F212" s="59"/>
      <c r="G212" s="59"/>
      <c r="H212" s="59"/>
      <c r="I212" s="59"/>
      <c r="J212" s="59"/>
      <c r="K212" s="59"/>
      <c r="L212" s="59"/>
      <c r="M212" s="59"/>
      <c r="N212" s="59"/>
      <c r="O212" s="59"/>
      <c r="P212" s="59"/>
      <c r="Q212" s="59"/>
      <c r="R212" s="59"/>
      <c r="S212" s="59"/>
      <c r="T212" s="59"/>
      <c r="U212" s="59"/>
      <c r="V212" s="59"/>
      <c r="W212" s="59"/>
      <c r="X212" s="59"/>
      <c r="Y212" s="59"/>
    </row>
    <row r="213" spans="1:25" ht="18">
      <c r="A213" s="76"/>
      <c r="B213" s="59"/>
      <c r="C213" s="59"/>
      <c r="D213" s="59"/>
      <c r="E213" s="59"/>
      <c r="F213" s="59"/>
      <c r="G213" s="59"/>
      <c r="H213" s="59"/>
      <c r="I213" s="59"/>
      <c r="J213" s="59"/>
      <c r="K213" s="59"/>
      <c r="L213" s="59"/>
      <c r="M213" s="59"/>
      <c r="N213" s="59"/>
      <c r="O213" s="59"/>
      <c r="P213" s="59"/>
      <c r="Q213" s="59"/>
      <c r="R213" s="59"/>
      <c r="S213" s="59"/>
      <c r="T213" s="59"/>
      <c r="U213" s="59"/>
      <c r="V213" s="59"/>
      <c r="W213" s="59"/>
      <c r="X213" s="59"/>
      <c r="Y213" s="59"/>
    </row>
    <row r="214" spans="1:25" ht="18">
      <c r="A214" s="76"/>
      <c r="B214" s="59"/>
      <c r="C214" s="59"/>
      <c r="D214" s="59"/>
      <c r="E214" s="59"/>
      <c r="F214" s="59"/>
      <c r="G214" s="59"/>
      <c r="H214" s="59"/>
      <c r="I214" s="59"/>
      <c r="J214" s="59"/>
      <c r="K214" s="59"/>
      <c r="L214" s="59"/>
      <c r="M214" s="59"/>
      <c r="N214" s="59"/>
      <c r="O214" s="59"/>
      <c r="P214" s="59"/>
      <c r="Q214" s="59"/>
      <c r="R214" s="59"/>
      <c r="S214" s="59"/>
      <c r="T214" s="59"/>
      <c r="U214" s="59"/>
      <c r="V214" s="59"/>
      <c r="W214" s="59"/>
      <c r="X214" s="59"/>
      <c r="Y214" s="59"/>
    </row>
    <row r="215" spans="1:25" ht="18">
      <c r="A215" s="76"/>
      <c r="B215" s="59"/>
      <c r="C215" s="59"/>
      <c r="D215" s="59"/>
      <c r="E215" s="59"/>
      <c r="F215" s="59"/>
      <c r="G215" s="59"/>
      <c r="H215" s="59"/>
      <c r="I215" s="59"/>
      <c r="J215" s="59"/>
      <c r="K215" s="59"/>
      <c r="L215" s="59"/>
      <c r="M215" s="59"/>
      <c r="N215" s="59"/>
      <c r="O215" s="59"/>
      <c r="P215" s="59"/>
      <c r="Q215" s="59"/>
      <c r="R215" s="59"/>
      <c r="S215" s="59"/>
      <c r="T215" s="59"/>
      <c r="U215" s="59"/>
      <c r="V215" s="59"/>
      <c r="W215" s="59"/>
      <c r="X215" s="59"/>
      <c r="Y215" s="59"/>
    </row>
    <row r="216" spans="1:25" ht="18">
      <c r="A216" s="76"/>
      <c r="B216" s="59"/>
      <c r="C216" s="59"/>
      <c r="D216" s="59"/>
      <c r="E216" s="59"/>
      <c r="F216" s="59"/>
      <c r="G216" s="59"/>
      <c r="H216" s="59"/>
      <c r="I216" s="59"/>
      <c r="J216" s="59"/>
      <c r="K216" s="59"/>
      <c r="L216" s="59"/>
      <c r="M216" s="59"/>
      <c r="N216" s="59"/>
      <c r="O216" s="59"/>
      <c r="P216" s="59"/>
      <c r="Q216" s="59"/>
      <c r="R216" s="59"/>
      <c r="S216" s="59"/>
      <c r="T216" s="59"/>
      <c r="U216" s="59"/>
      <c r="V216" s="59"/>
      <c r="W216" s="59"/>
      <c r="X216" s="59"/>
      <c r="Y216" s="59"/>
    </row>
    <row r="217" spans="1:25" ht="18">
      <c r="A217" s="76"/>
      <c r="B217" s="59"/>
      <c r="C217" s="59"/>
      <c r="D217" s="59"/>
      <c r="E217" s="59"/>
      <c r="F217" s="59"/>
      <c r="G217" s="59"/>
      <c r="H217" s="59"/>
      <c r="I217" s="59"/>
      <c r="J217" s="59"/>
      <c r="K217" s="59"/>
      <c r="L217" s="59"/>
      <c r="M217" s="59"/>
      <c r="N217" s="59"/>
      <c r="O217" s="59"/>
      <c r="P217" s="59"/>
      <c r="Q217" s="59"/>
      <c r="R217" s="59"/>
      <c r="S217" s="59"/>
      <c r="T217" s="59"/>
      <c r="U217" s="59"/>
      <c r="V217" s="59"/>
      <c r="W217" s="59"/>
      <c r="X217" s="59"/>
      <c r="Y217" s="59"/>
    </row>
    <row r="218" spans="1:25" ht="18">
      <c r="A218" s="76"/>
      <c r="B218" s="59"/>
      <c r="C218" s="59"/>
      <c r="D218" s="59"/>
      <c r="E218" s="59"/>
      <c r="F218" s="59"/>
      <c r="G218" s="59"/>
      <c r="H218" s="59"/>
      <c r="I218" s="59"/>
      <c r="J218" s="59"/>
      <c r="K218" s="59"/>
      <c r="L218" s="59"/>
      <c r="M218" s="59"/>
      <c r="N218" s="59"/>
      <c r="O218" s="59"/>
      <c r="P218" s="59"/>
      <c r="Q218" s="59"/>
      <c r="R218" s="59"/>
      <c r="S218" s="59"/>
      <c r="T218" s="59"/>
      <c r="U218" s="59"/>
      <c r="V218" s="59"/>
      <c r="W218" s="59"/>
      <c r="X218" s="59"/>
      <c r="Y218" s="59"/>
    </row>
    <row r="219" spans="1:25" ht="18">
      <c r="A219" s="76"/>
      <c r="B219" s="59"/>
      <c r="C219" s="59"/>
      <c r="D219" s="59"/>
      <c r="E219" s="59"/>
      <c r="F219" s="59"/>
      <c r="G219" s="59"/>
      <c r="H219" s="59"/>
      <c r="I219" s="59"/>
      <c r="J219" s="59"/>
      <c r="K219" s="59"/>
      <c r="L219" s="59"/>
      <c r="M219" s="59"/>
      <c r="N219" s="59"/>
      <c r="O219" s="59"/>
      <c r="P219" s="59"/>
      <c r="Q219" s="59"/>
      <c r="R219" s="59"/>
      <c r="S219" s="59"/>
      <c r="T219" s="59"/>
      <c r="U219" s="59"/>
      <c r="V219" s="59"/>
      <c r="W219" s="59"/>
      <c r="X219" s="59"/>
      <c r="Y219" s="59"/>
    </row>
    <row r="220" spans="1:25" ht="18">
      <c r="A220" s="76"/>
      <c r="B220" s="59"/>
      <c r="C220" s="59"/>
      <c r="D220" s="59"/>
      <c r="E220" s="59"/>
      <c r="F220" s="59"/>
      <c r="G220" s="59"/>
      <c r="H220" s="59"/>
      <c r="I220" s="59"/>
      <c r="J220" s="59"/>
      <c r="K220" s="59"/>
      <c r="L220" s="59"/>
      <c r="M220" s="59"/>
      <c r="N220" s="59"/>
      <c r="O220" s="59"/>
      <c r="P220" s="59"/>
      <c r="Q220" s="59"/>
      <c r="R220" s="59"/>
      <c r="S220" s="59"/>
      <c r="T220" s="59"/>
      <c r="U220" s="59"/>
      <c r="V220" s="59"/>
      <c r="W220" s="59"/>
      <c r="X220" s="59"/>
      <c r="Y220" s="59"/>
    </row>
    <row r="221" spans="1:25" ht="18">
      <c r="A221" s="76"/>
      <c r="B221" s="59"/>
      <c r="C221" s="59"/>
      <c r="D221" s="59"/>
      <c r="E221" s="59"/>
      <c r="F221" s="59"/>
      <c r="G221" s="59"/>
      <c r="H221" s="59"/>
      <c r="I221" s="59"/>
      <c r="J221" s="59"/>
      <c r="K221" s="59"/>
      <c r="L221" s="59"/>
      <c r="M221" s="59"/>
      <c r="N221" s="59"/>
      <c r="O221" s="59"/>
      <c r="P221" s="59"/>
      <c r="Q221" s="59"/>
      <c r="R221" s="59"/>
      <c r="S221" s="59"/>
      <c r="T221" s="59"/>
      <c r="U221" s="59"/>
      <c r="V221" s="59"/>
      <c r="W221" s="59"/>
      <c r="X221" s="59"/>
      <c r="Y221" s="59"/>
    </row>
    <row r="222" spans="1:25" ht="18">
      <c r="A222" s="76"/>
      <c r="B222" s="59"/>
      <c r="C222" s="59"/>
      <c r="D222" s="59"/>
      <c r="E222" s="59"/>
      <c r="F222" s="59"/>
      <c r="G222" s="59"/>
      <c r="H222" s="59"/>
      <c r="I222" s="59"/>
      <c r="J222" s="59"/>
      <c r="K222" s="59"/>
      <c r="L222" s="59"/>
      <c r="M222" s="59"/>
      <c r="N222" s="59"/>
      <c r="O222" s="59"/>
      <c r="P222" s="59"/>
      <c r="Q222" s="59"/>
      <c r="R222" s="59"/>
      <c r="S222" s="59"/>
      <c r="T222" s="59"/>
      <c r="U222" s="59"/>
      <c r="V222" s="59"/>
      <c r="W222" s="59"/>
      <c r="X222" s="59"/>
      <c r="Y222" s="59"/>
    </row>
    <row r="223" spans="1:25" ht="18">
      <c r="A223" s="76"/>
      <c r="B223" s="59"/>
      <c r="C223" s="59"/>
      <c r="D223" s="59"/>
      <c r="E223" s="59"/>
      <c r="F223" s="59"/>
      <c r="G223" s="59"/>
      <c r="H223" s="59"/>
      <c r="I223" s="59"/>
      <c r="J223" s="59"/>
      <c r="K223" s="59"/>
      <c r="L223" s="59"/>
      <c r="M223" s="59"/>
      <c r="N223" s="59"/>
      <c r="O223" s="59"/>
      <c r="P223" s="59"/>
      <c r="Q223" s="59"/>
      <c r="R223" s="59"/>
      <c r="S223" s="59"/>
      <c r="T223" s="59"/>
      <c r="U223" s="59"/>
      <c r="V223" s="59"/>
      <c r="W223" s="59"/>
      <c r="X223" s="59"/>
      <c r="Y223" s="59"/>
    </row>
    <row r="224" spans="1:25" ht="18">
      <c r="A224" s="76"/>
      <c r="B224" s="59"/>
      <c r="C224" s="59"/>
      <c r="D224" s="59"/>
      <c r="E224" s="59"/>
      <c r="F224" s="59"/>
      <c r="G224" s="59"/>
      <c r="H224" s="59"/>
      <c r="I224" s="59"/>
      <c r="J224" s="59"/>
      <c r="K224" s="59"/>
      <c r="L224" s="59"/>
      <c r="M224" s="59"/>
      <c r="N224" s="59"/>
      <c r="O224" s="59"/>
      <c r="P224" s="59"/>
      <c r="Q224" s="59"/>
      <c r="R224" s="59"/>
      <c r="S224" s="59"/>
      <c r="T224" s="59"/>
      <c r="U224" s="59"/>
      <c r="V224" s="59"/>
      <c r="W224" s="59"/>
      <c r="X224" s="59"/>
      <c r="Y224" s="59"/>
    </row>
    <row r="225" spans="1:25" ht="18">
      <c r="A225" s="76"/>
      <c r="B225" s="59"/>
      <c r="C225" s="59"/>
      <c r="D225" s="59"/>
      <c r="E225" s="59"/>
      <c r="F225" s="59"/>
      <c r="G225" s="59"/>
      <c r="H225" s="59"/>
      <c r="I225" s="59"/>
      <c r="J225" s="59"/>
      <c r="K225" s="59"/>
      <c r="L225" s="59"/>
      <c r="M225" s="59"/>
      <c r="N225" s="59"/>
      <c r="O225" s="59"/>
      <c r="P225" s="59"/>
      <c r="Q225" s="59"/>
      <c r="R225" s="59"/>
      <c r="S225" s="59"/>
      <c r="T225" s="59"/>
      <c r="U225" s="59"/>
      <c r="V225" s="59"/>
      <c r="W225" s="59"/>
      <c r="X225" s="59"/>
      <c r="Y225" s="59"/>
    </row>
    <row r="226" spans="1:25" ht="18">
      <c r="A226" s="76"/>
      <c r="B226" s="59"/>
      <c r="C226" s="59"/>
      <c r="D226" s="59"/>
      <c r="E226" s="59"/>
      <c r="F226" s="59"/>
      <c r="G226" s="59"/>
      <c r="H226" s="59"/>
      <c r="I226" s="59"/>
      <c r="J226" s="59"/>
      <c r="K226" s="59"/>
      <c r="L226" s="59"/>
      <c r="M226" s="59"/>
      <c r="N226" s="59"/>
      <c r="O226" s="59"/>
      <c r="P226" s="59"/>
      <c r="Q226" s="59"/>
      <c r="R226" s="59"/>
      <c r="S226" s="59"/>
      <c r="T226" s="59"/>
      <c r="U226" s="59"/>
      <c r="V226" s="59"/>
      <c r="W226" s="59"/>
      <c r="X226" s="59"/>
      <c r="Y226" s="59"/>
    </row>
    <row r="227" spans="1:25" ht="18">
      <c r="A227" s="76"/>
      <c r="B227" s="59"/>
      <c r="C227" s="59"/>
      <c r="D227" s="59"/>
      <c r="E227" s="59"/>
      <c r="F227" s="59"/>
      <c r="G227" s="59"/>
      <c r="H227" s="59"/>
      <c r="I227" s="59"/>
      <c r="J227" s="59"/>
      <c r="K227" s="59"/>
      <c r="L227" s="59"/>
      <c r="M227" s="59"/>
      <c r="N227" s="59"/>
      <c r="O227" s="59"/>
      <c r="P227" s="59"/>
      <c r="Q227" s="59"/>
      <c r="R227" s="59"/>
      <c r="S227" s="59"/>
      <c r="T227" s="59"/>
      <c r="U227" s="59"/>
      <c r="V227" s="59"/>
      <c r="W227" s="59"/>
      <c r="X227" s="59"/>
      <c r="Y227" s="59"/>
    </row>
    <row r="228" spans="1:25" ht="18">
      <c r="A228" s="76"/>
      <c r="B228" s="59"/>
      <c r="C228" s="59"/>
      <c r="D228" s="59"/>
      <c r="E228" s="59"/>
      <c r="F228" s="59"/>
      <c r="G228" s="59"/>
      <c r="H228" s="59"/>
      <c r="I228" s="59"/>
      <c r="J228" s="59"/>
      <c r="K228" s="59"/>
      <c r="L228" s="59"/>
      <c r="M228" s="59"/>
      <c r="N228" s="59"/>
      <c r="O228" s="59"/>
      <c r="P228" s="59"/>
      <c r="Q228" s="59"/>
      <c r="R228" s="59"/>
      <c r="S228" s="59"/>
      <c r="T228" s="59"/>
      <c r="U228" s="59"/>
      <c r="V228" s="59"/>
      <c r="W228" s="59"/>
      <c r="X228" s="59"/>
      <c r="Y228" s="59"/>
    </row>
    <row r="229" spans="1:25" ht="18">
      <c r="A229" s="76"/>
      <c r="B229" s="59"/>
      <c r="C229" s="59"/>
      <c r="D229" s="59"/>
      <c r="E229" s="59"/>
      <c r="F229" s="59"/>
      <c r="G229" s="59"/>
      <c r="H229" s="59"/>
      <c r="I229" s="59"/>
      <c r="J229" s="59"/>
      <c r="K229" s="59"/>
      <c r="L229" s="59"/>
      <c r="M229" s="59"/>
      <c r="N229" s="59"/>
      <c r="O229" s="59"/>
      <c r="P229" s="59"/>
      <c r="Q229" s="59"/>
      <c r="R229" s="59"/>
      <c r="S229" s="59"/>
      <c r="T229" s="59"/>
      <c r="U229" s="59"/>
      <c r="V229" s="59"/>
      <c r="W229" s="59"/>
      <c r="X229" s="59"/>
      <c r="Y229" s="59"/>
    </row>
    <row r="230" spans="1:25" ht="18">
      <c r="A230" s="76"/>
      <c r="B230" s="59"/>
      <c r="C230" s="59"/>
      <c r="D230" s="59"/>
      <c r="E230" s="59"/>
      <c r="F230" s="59"/>
      <c r="G230" s="59"/>
      <c r="H230" s="59"/>
      <c r="I230" s="59"/>
      <c r="J230" s="59"/>
      <c r="K230" s="59"/>
      <c r="L230" s="59"/>
      <c r="M230" s="59"/>
      <c r="N230" s="59"/>
      <c r="O230" s="59"/>
      <c r="P230" s="59"/>
      <c r="Q230" s="59"/>
      <c r="R230" s="59"/>
      <c r="S230" s="59"/>
      <c r="T230" s="59"/>
      <c r="U230" s="59"/>
      <c r="V230" s="59"/>
      <c r="W230" s="59"/>
      <c r="X230" s="59"/>
      <c r="Y230" s="59"/>
    </row>
    <row r="231" spans="1:25" ht="18">
      <c r="A231" s="76"/>
      <c r="B231" s="59"/>
      <c r="C231" s="59"/>
      <c r="D231" s="59"/>
      <c r="E231" s="59"/>
      <c r="F231" s="59"/>
      <c r="G231" s="59"/>
      <c r="H231" s="59"/>
      <c r="I231" s="59"/>
      <c r="J231" s="59"/>
      <c r="K231" s="59"/>
      <c r="L231" s="59"/>
      <c r="M231" s="59"/>
      <c r="N231" s="59"/>
      <c r="O231" s="59"/>
      <c r="P231" s="59"/>
      <c r="Q231" s="59"/>
      <c r="R231" s="59"/>
      <c r="S231" s="59"/>
      <c r="T231" s="59"/>
      <c r="U231" s="59"/>
      <c r="V231" s="59"/>
      <c r="W231" s="59"/>
      <c r="X231" s="59"/>
      <c r="Y231" s="59"/>
    </row>
    <row r="232" spans="1:25" ht="18">
      <c r="A232" s="76"/>
      <c r="B232" s="59"/>
      <c r="C232" s="59"/>
      <c r="D232" s="59"/>
      <c r="E232" s="59"/>
      <c r="F232" s="59"/>
      <c r="G232" s="59"/>
      <c r="H232" s="59"/>
      <c r="I232" s="59"/>
      <c r="J232" s="59"/>
      <c r="K232" s="59"/>
      <c r="L232" s="59"/>
      <c r="M232" s="59"/>
      <c r="N232" s="59"/>
      <c r="O232" s="59"/>
      <c r="P232" s="59"/>
      <c r="Q232" s="59"/>
      <c r="R232" s="59"/>
      <c r="S232" s="59"/>
      <c r="T232" s="59"/>
      <c r="U232" s="59"/>
      <c r="V232" s="59"/>
      <c r="W232" s="59"/>
      <c r="X232" s="59"/>
      <c r="Y232" s="59"/>
    </row>
    <row r="233" spans="1:25" ht="18">
      <c r="A233" s="76"/>
      <c r="B233" s="59"/>
      <c r="C233" s="59"/>
      <c r="D233" s="59"/>
      <c r="E233" s="59"/>
      <c r="F233" s="59"/>
      <c r="G233" s="59"/>
      <c r="H233" s="59"/>
      <c r="I233" s="59"/>
      <c r="J233" s="59"/>
      <c r="K233" s="59"/>
      <c r="L233" s="59"/>
      <c r="M233" s="59"/>
      <c r="N233" s="59"/>
      <c r="O233" s="59"/>
      <c r="P233" s="59"/>
      <c r="Q233" s="59"/>
      <c r="R233" s="59"/>
      <c r="S233" s="59"/>
      <c r="T233" s="59"/>
      <c r="U233" s="59"/>
      <c r="V233" s="59"/>
      <c r="W233" s="59"/>
      <c r="X233" s="59"/>
      <c r="Y233" s="59"/>
    </row>
    <row r="234" spans="1:25" ht="18">
      <c r="A234" s="76"/>
      <c r="B234" s="59"/>
      <c r="C234" s="59"/>
      <c r="D234" s="59"/>
      <c r="E234" s="59"/>
      <c r="F234" s="59"/>
      <c r="G234" s="59"/>
      <c r="H234" s="59"/>
      <c r="I234" s="59"/>
      <c r="J234" s="59"/>
      <c r="K234" s="59"/>
      <c r="L234" s="59"/>
      <c r="M234" s="59"/>
      <c r="N234" s="59"/>
      <c r="O234" s="59"/>
      <c r="P234" s="59"/>
      <c r="Q234" s="59"/>
      <c r="R234" s="59"/>
      <c r="S234" s="59"/>
      <c r="T234" s="59"/>
      <c r="U234" s="59"/>
      <c r="V234" s="59"/>
      <c r="W234" s="59"/>
      <c r="X234" s="59"/>
      <c r="Y234" s="59"/>
    </row>
    <row r="235" spans="1:25" ht="18">
      <c r="A235" s="76"/>
      <c r="B235" s="59"/>
      <c r="C235" s="59"/>
      <c r="D235" s="59"/>
      <c r="E235" s="59"/>
      <c r="F235" s="59"/>
      <c r="G235" s="59"/>
      <c r="H235" s="59"/>
      <c r="I235" s="59"/>
      <c r="J235" s="59"/>
      <c r="K235" s="59"/>
      <c r="L235" s="59"/>
      <c r="M235" s="59"/>
      <c r="N235" s="59"/>
      <c r="O235" s="59"/>
      <c r="P235" s="59"/>
      <c r="Q235" s="59"/>
      <c r="R235" s="59"/>
      <c r="S235" s="59"/>
      <c r="T235" s="59"/>
      <c r="U235" s="59"/>
      <c r="V235" s="59"/>
      <c r="W235" s="59"/>
      <c r="X235" s="59"/>
      <c r="Y235" s="59"/>
    </row>
    <row r="236" spans="1:25" ht="18">
      <c r="A236" s="76"/>
      <c r="B236" s="59"/>
      <c r="C236" s="59"/>
      <c r="D236" s="59"/>
      <c r="E236" s="59"/>
      <c r="F236" s="59"/>
      <c r="G236" s="59"/>
      <c r="H236" s="59"/>
      <c r="I236" s="59"/>
      <c r="J236" s="59"/>
      <c r="K236" s="59"/>
      <c r="L236" s="59"/>
      <c r="M236" s="59"/>
      <c r="N236" s="59"/>
      <c r="O236" s="59"/>
      <c r="P236" s="59"/>
      <c r="Q236" s="59"/>
      <c r="R236" s="59"/>
      <c r="S236" s="59"/>
      <c r="T236" s="59"/>
      <c r="U236" s="59"/>
      <c r="V236" s="59"/>
      <c r="W236" s="59"/>
      <c r="X236" s="59"/>
      <c r="Y236" s="59"/>
    </row>
    <row r="237" spans="1:25" ht="18">
      <c r="A237" s="76"/>
      <c r="B237" s="59"/>
      <c r="C237" s="59"/>
      <c r="D237" s="59"/>
      <c r="E237" s="59"/>
      <c r="F237" s="59"/>
      <c r="G237" s="59"/>
      <c r="H237" s="59"/>
      <c r="I237" s="59"/>
      <c r="J237" s="59"/>
      <c r="K237" s="59"/>
      <c r="L237" s="59"/>
      <c r="M237" s="59"/>
      <c r="N237" s="59"/>
      <c r="O237" s="59"/>
      <c r="P237" s="59"/>
      <c r="Q237" s="59"/>
      <c r="R237" s="59"/>
      <c r="S237" s="59"/>
      <c r="T237" s="59"/>
      <c r="U237" s="59"/>
      <c r="V237" s="59"/>
      <c r="W237" s="59"/>
      <c r="X237" s="59"/>
      <c r="Y237" s="59"/>
    </row>
    <row r="238" spans="1:25" ht="18">
      <c r="A238" s="76"/>
      <c r="B238" s="59"/>
      <c r="C238" s="59"/>
      <c r="D238" s="59"/>
      <c r="E238" s="59"/>
      <c r="F238" s="59"/>
      <c r="G238" s="59"/>
      <c r="H238" s="59"/>
      <c r="I238" s="59"/>
      <c r="J238" s="59"/>
      <c r="K238" s="59"/>
      <c r="L238" s="59"/>
      <c r="M238" s="59"/>
      <c r="N238" s="59"/>
      <c r="O238" s="59"/>
      <c r="P238" s="59"/>
      <c r="Q238" s="59"/>
      <c r="R238" s="59"/>
      <c r="S238" s="59"/>
      <c r="T238" s="59"/>
      <c r="U238" s="59"/>
      <c r="V238" s="59"/>
      <c r="W238" s="59"/>
      <c r="X238" s="59"/>
      <c r="Y238" s="59"/>
    </row>
    <row r="239" spans="1:25" ht="18">
      <c r="A239" s="76"/>
      <c r="B239" s="59"/>
      <c r="C239" s="59"/>
      <c r="D239" s="59"/>
      <c r="E239" s="59"/>
      <c r="F239" s="59"/>
      <c r="G239" s="59"/>
      <c r="H239" s="59"/>
      <c r="I239" s="59"/>
      <c r="J239" s="59"/>
      <c r="K239" s="59"/>
      <c r="L239" s="59"/>
      <c r="M239" s="59"/>
      <c r="N239" s="59"/>
      <c r="O239" s="59"/>
      <c r="P239" s="59"/>
      <c r="Q239" s="59"/>
      <c r="R239" s="59"/>
      <c r="S239" s="59"/>
      <c r="T239" s="59"/>
      <c r="U239" s="59"/>
      <c r="V239" s="59"/>
      <c r="W239" s="59"/>
      <c r="X239" s="59"/>
      <c r="Y239" s="59"/>
    </row>
    <row r="240" spans="1:25" ht="18">
      <c r="A240" s="76"/>
      <c r="B240" s="59"/>
      <c r="C240" s="59"/>
      <c r="D240" s="59"/>
      <c r="E240" s="59"/>
      <c r="F240" s="59"/>
      <c r="G240" s="59"/>
      <c r="H240" s="59"/>
      <c r="I240" s="59"/>
      <c r="J240" s="59"/>
      <c r="K240" s="59"/>
      <c r="L240" s="59"/>
      <c r="M240" s="59"/>
      <c r="N240" s="59"/>
      <c r="O240" s="59"/>
      <c r="P240" s="59"/>
      <c r="Q240" s="59"/>
      <c r="R240" s="59"/>
      <c r="S240" s="59"/>
      <c r="T240" s="59"/>
      <c r="U240" s="59"/>
      <c r="V240" s="59"/>
      <c r="W240" s="59"/>
      <c r="X240" s="59"/>
      <c r="Y240" s="59"/>
    </row>
    <row r="241" spans="1:25" ht="18">
      <c r="A241" s="76"/>
      <c r="B241" s="59"/>
      <c r="C241" s="59"/>
      <c r="D241" s="59"/>
      <c r="E241" s="59"/>
      <c r="F241" s="59"/>
      <c r="G241" s="59"/>
      <c r="H241" s="59"/>
      <c r="I241" s="59"/>
      <c r="J241" s="59"/>
      <c r="K241" s="59"/>
      <c r="L241" s="59"/>
      <c r="M241" s="59"/>
      <c r="N241" s="59"/>
      <c r="O241" s="59"/>
      <c r="P241" s="59"/>
      <c r="Q241" s="59"/>
      <c r="R241" s="59"/>
      <c r="S241" s="59"/>
      <c r="T241" s="59"/>
      <c r="U241" s="59"/>
      <c r="V241" s="59"/>
      <c r="W241" s="59"/>
      <c r="X241" s="59"/>
      <c r="Y241" s="59"/>
    </row>
    <row r="242" spans="1:25" ht="18">
      <c r="A242" s="76"/>
      <c r="B242" s="59"/>
      <c r="C242" s="59"/>
      <c r="D242" s="59"/>
      <c r="E242" s="59"/>
      <c r="F242" s="59"/>
      <c r="G242" s="59"/>
      <c r="H242" s="59"/>
      <c r="I242" s="59"/>
      <c r="J242" s="59"/>
      <c r="K242" s="59"/>
      <c r="L242" s="59"/>
      <c r="M242" s="59"/>
      <c r="N242" s="59"/>
      <c r="O242" s="59"/>
      <c r="P242" s="59"/>
      <c r="Q242" s="59"/>
      <c r="R242" s="59"/>
      <c r="S242" s="59"/>
      <c r="T242" s="59"/>
      <c r="U242" s="59"/>
      <c r="V242" s="59"/>
      <c r="W242" s="59"/>
      <c r="X242" s="59"/>
      <c r="Y242" s="59"/>
    </row>
    <row r="243" spans="1:25" ht="18">
      <c r="A243" s="76"/>
      <c r="B243" s="59"/>
      <c r="C243" s="59"/>
      <c r="D243" s="59"/>
      <c r="E243" s="59"/>
      <c r="F243" s="59"/>
      <c r="G243" s="59"/>
      <c r="H243" s="59"/>
      <c r="I243" s="59"/>
      <c r="J243" s="59"/>
      <c r="K243" s="59"/>
      <c r="L243" s="59"/>
      <c r="M243" s="59"/>
      <c r="N243" s="59"/>
      <c r="O243" s="59"/>
      <c r="P243" s="59"/>
      <c r="Q243" s="59"/>
      <c r="R243" s="59"/>
      <c r="S243" s="59"/>
      <c r="T243" s="59"/>
      <c r="U243" s="59"/>
      <c r="V243" s="59"/>
      <c r="W243" s="59"/>
      <c r="X243" s="59"/>
      <c r="Y243" s="59"/>
    </row>
    <row r="244" spans="1:25" ht="18">
      <c r="A244" s="76"/>
      <c r="B244" s="59"/>
      <c r="C244" s="59"/>
      <c r="D244" s="59"/>
      <c r="E244" s="59"/>
      <c r="F244" s="59"/>
      <c r="G244" s="59"/>
      <c r="H244" s="59"/>
      <c r="I244" s="59"/>
      <c r="J244" s="59"/>
      <c r="K244" s="59"/>
      <c r="L244" s="59"/>
      <c r="M244" s="59"/>
      <c r="N244" s="59"/>
      <c r="O244" s="59"/>
      <c r="P244" s="59"/>
      <c r="Q244" s="59"/>
      <c r="R244" s="59"/>
      <c r="S244" s="59"/>
      <c r="T244" s="59"/>
      <c r="U244" s="59"/>
      <c r="V244" s="59"/>
      <c r="W244" s="59"/>
      <c r="X244" s="59"/>
      <c r="Y244" s="59"/>
    </row>
    <row r="245" spans="1:25" ht="18">
      <c r="A245" s="76"/>
      <c r="B245" s="59"/>
      <c r="C245" s="59"/>
      <c r="D245" s="59"/>
      <c r="E245" s="59"/>
      <c r="F245" s="59"/>
      <c r="G245" s="59"/>
      <c r="H245" s="59"/>
      <c r="I245" s="59"/>
      <c r="J245" s="59"/>
      <c r="K245" s="59"/>
      <c r="L245" s="59"/>
      <c r="M245" s="59"/>
      <c r="N245" s="59"/>
      <c r="O245" s="59"/>
      <c r="P245" s="59"/>
      <c r="Q245" s="59"/>
      <c r="R245" s="59"/>
      <c r="S245" s="59"/>
      <c r="T245" s="59"/>
      <c r="U245" s="59"/>
      <c r="V245" s="59"/>
      <c r="W245" s="59"/>
      <c r="X245" s="59"/>
      <c r="Y245" s="59"/>
    </row>
    <row r="246" spans="1:25" ht="18">
      <c r="A246" s="76"/>
      <c r="B246" s="59"/>
      <c r="C246" s="59"/>
      <c r="D246" s="59"/>
      <c r="E246" s="59"/>
      <c r="F246" s="59"/>
      <c r="G246" s="59"/>
      <c r="H246" s="59"/>
      <c r="I246" s="59"/>
      <c r="J246" s="59"/>
      <c r="K246" s="59"/>
      <c r="L246" s="59"/>
      <c r="M246" s="59"/>
      <c r="N246" s="59"/>
      <c r="O246" s="59"/>
      <c r="P246" s="59"/>
      <c r="Q246" s="59"/>
      <c r="R246" s="59"/>
      <c r="S246" s="59"/>
      <c r="T246" s="59"/>
      <c r="U246" s="59"/>
      <c r="V246" s="59"/>
      <c r="W246" s="59"/>
      <c r="X246" s="59"/>
      <c r="Y246" s="59"/>
    </row>
    <row r="247" spans="1:25" ht="18">
      <c r="A247" s="76"/>
      <c r="B247" s="59"/>
      <c r="C247" s="59"/>
      <c r="D247" s="59"/>
      <c r="E247" s="59"/>
      <c r="F247" s="59"/>
      <c r="G247" s="59"/>
      <c r="H247" s="59"/>
      <c r="I247" s="59"/>
      <c r="J247" s="59"/>
      <c r="K247" s="59"/>
      <c r="L247" s="59"/>
      <c r="M247" s="59"/>
      <c r="N247" s="59"/>
      <c r="O247" s="59"/>
      <c r="P247" s="59"/>
      <c r="Q247" s="59"/>
      <c r="R247" s="59"/>
      <c r="S247" s="59"/>
      <c r="T247" s="59"/>
      <c r="U247" s="59"/>
      <c r="V247" s="59"/>
      <c r="W247" s="59"/>
      <c r="X247" s="59"/>
      <c r="Y247" s="59"/>
    </row>
    <row r="248" spans="1:25" ht="18">
      <c r="A248" s="76"/>
      <c r="B248" s="59"/>
      <c r="C248" s="59"/>
      <c r="D248" s="59"/>
      <c r="E248" s="59"/>
      <c r="F248" s="59"/>
      <c r="G248" s="59"/>
      <c r="H248" s="59"/>
      <c r="I248" s="59"/>
      <c r="J248" s="59"/>
      <c r="K248" s="59"/>
      <c r="L248" s="59"/>
      <c r="M248" s="59"/>
      <c r="N248" s="59"/>
      <c r="O248" s="59"/>
      <c r="P248" s="59"/>
      <c r="Q248" s="59"/>
      <c r="R248" s="59"/>
      <c r="S248" s="59"/>
      <c r="T248" s="59"/>
      <c r="U248" s="59"/>
      <c r="V248" s="59"/>
      <c r="W248" s="59"/>
      <c r="X248" s="59"/>
      <c r="Y248" s="59"/>
    </row>
    <row r="249" spans="1:25" ht="18">
      <c r="A249" s="76"/>
      <c r="B249" s="59"/>
      <c r="C249" s="59"/>
      <c r="D249" s="59"/>
      <c r="E249" s="59"/>
      <c r="F249" s="59"/>
      <c r="G249" s="59"/>
      <c r="H249" s="59"/>
      <c r="I249" s="59"/>
      <c r="J249" s="59"/>
      <c r="K249" s="59"/>
      <c r="L249" s="59"/>
      <c r="M249" s="59"/>
      <c r="N249" s="59"/>
      <c r="O249" s="59"/>
      <c r="P249" s="59"/>
      <c r="Q249" s="59"/>
      <c r="R249" s="59"/>
      <c r="S249" s="59"/>
      <c r="T249" s="59"/>
      <c r="U249" s="59"/>
      <c r="V249" s="59"/>
      <c r="W249" s="59"/>
      <c r="X249" s="59"/>
      <c r="Y249" s="59"/>
    </row>
    <row r="250" spans="1:25" ht="18">
      <c r="A250" s="76"/>
      <c r="B250" s="59"/>
      <c r="C250" s="59"/>
      <c r="D250" s="59"/>
      <c r="E250" s="59"/>
      <c r="F250" s="59"/>
      <c r="G250" s="59"/>
      <c r="H250" s="59"/>
      <c r="I250" s="59"/>
      <c r="J250" s="59"/>
      <c r="K250" s="59"/>
      <c r="L250" s="59"/>
      <c r="M250" s="59"/>
      <c r="N250" s="59"/>
      <c r="O250" s="59"/>
      <c r="P250" s="59"/>
      <c r="Q250" s="59"/>
      <c r="R250" s="59"/>
      <c r="S250" s="59"/>
      <c r="T250" s="59"/>
      <c r="U250" s="59"/>
      <c r="V250" s="59"/>
      <c r="W250" s="59"/>
      <c r="X250" s="59"/>
      <c r="Y250" s="59"/>
    </row>
    <row r="251" spans="1:25" ht="18">
      <c r="A251" s="76"/>
      <c r="B251" s="59"/>
      <c r="C251" s="59"/>
      <c r="D251" s="59"/>
      <c r="E251" s="59"/>
      <c r="F251" s="59"/>
      <c r="G251" s="59"/>
      <c r="H251" s="59"/>
      <c r="I251" s="59"/>
      <c r="J251" s="59"/>
      <c r="K251" s="59"/>
      <c r="L251" s="59"/>
      <c r="M251" s="59"/>
      <c r="N251" s="59"/>
      <c r="O251" s="59"/>
      <c r="P251" s="59"/>
      <c r="Q251" s="59"/>
      <c r="R251" s="59"/>
      <c r="S251" s="59"/>
      <c r="T251" s="59"/>
      <c r="U251" s="59"/>
      <c r="V251" s="59"/>
      <c r="W251" s="59"/>
      <c r="X251" s="59"/>
      <c r="Y251" s="59"/>
    </row>
    <row r="252" spans="1:25" ht="18">
      <c r="A252" s="76"/>
      <c r="B252" s="59"/>
      <c r="C252" s="59"/>
      <c r="D252" s="59"/>
      <c r="E252" s="59"/>
      <c r="F252" s="59"/>
      <c r="G252" s="59"/>
      <c r="H252" s="59"/>
      <c r="I252" s="59"/>
      <c r="J252" s="59"/>
      <c r="K252" s="59"/>
      <c r="L252" s="59"/>
      <c r="M252" s="59"/>
      <c r="N252" s="59"/>
      <c r="O252" s="59"/>
      <c r="P252" s="59"/>
      <c r="Q252" s="59"/>
      <c r="R252" s="59"/>
      <c r="S252" s="59"/>
      <c r="T252" s="59"/>
      <c r="U252" s="59"/>
      <c r="V252" s="59"/>
      <c r="W252" s="59"/>
      <c r="X252" s="59"/>
      <c r="Y252" s="59"/>
    </row>
    <row r="253" spans="1:25" ht="18">
      <c r="A253" s="76"/>
      <c r="B253" s="59"/>
      <c r="C253" s="59"/>
      <c r="D253" s="59"/>
      <c r="E253" s="59"/>
      <c r="F253" s="59"/>
      <c r="G253" s="59"/>
      <c r="H253" s="59"/>
      <c r="I253" s="59"/>
      <c r="J253" s="59"/>
      <c r="K253" s="59"/>
      <c r="L253" s="59"/>
      <c r="M253" s="59"/>
      <c r="N253" s="59"/>
      <c r="O253" s="59"/>
      <c r="P253" s="59"/>
      <c r="Q253" s="59"/>
      <c r="R253" s="59"/>
      <c r="S253" s="59"/>
      <c r="T253" s="59"/>
      <c r="U253" s="59"/>
      <c r="V253" s="59"/>
      <c r="W253" s="59"/>
      <c r="X253" s="59"/>
      <c r="Y253" s="59"/>
    </row>
    <row r="254" spans="1:25" ht="18">
      <c r="A254" s="76"/>
      <c r="B254" s="59"/>
      <c r="C254" s="59"/>
      <c r="D254" s="59"/>
      <c r="E254" s="59"/>
      <c r="F254" s="59"/>
      <c r="G254" s="59"/>
      <c r="H254" s="59"/>
      <c r="I254" s="59"/>
      <c r="J254" s="59"/>
      <c r="K254" s="59"/>
      <c r="L254" s="59"/>
      <c r="M254" s="59"/>
      <c r="N254" s="59"/>
      <c r="O254" s="59"/>
      <c r="P254" s="59"/>
      <c r="Q254" s="59"/>
      <c r="R254" s="59"/>
      <c r="S254" s="59"/>
      <c r="T254" s="59"/>
      <c r="U254" s="59"/>
      <c r="V254" s="59"/>
      <c r="W254" s="59"/>
      <c r="X254" s="59"/>
      <c r="Y254" s="59"/>
    </row>
    <row r="255" spans="1:25" ht="18">
      <c r="A255" s="76"/>
      <c r="B255" s="59"/>
      <c r="C255" s="59"/>
      <c r="D255" s="59"/>
      <c r="E255" s="59"/>
      <c r="F255" s="59"/>
      <c r="G255" s="59"/>
      <c r="H255" s="59"/>
      <c r="I255" s="59"/>
      <c r="J255" s="59"/>
      <c r="K255" s="59"/>
      <c r="L255" s="59"/>
      <c r="M255" s="59"/>
      <c r="N255" s="59"/>
      <c r="O255" s="59"/>
      <c r="P255" s="59"/>
      <c r="Q255" s="59"/>
      <c r="R255" s="59"/>
      <c r="S255" s="59"/>
      <c r="T255" s="59"/>
      <c r="U255" s="59"/>
      <c r="V255" s="59"/>
      <c r="W255" s="59"/>
      <c r="X255" s="59"/>
      <c r="Y255" s="59"/>
    </row>
    <row r="256" spans="1:25" ht="18">
      <c r="A256" s="76"/>
      <c r="B256" s="59"/>
      <c r="C256" s="59"/>
      <c r="D256" s="59"/>
      <c r="E256" s="59"/>
      <c r="F256" s="59"/>
      <c r="G256" s="59"/>
      <c r="H256" s="59"/>
      <c r="I256" s="59"/>
      <c r="J256" s="59"/>
      <c r="K256" s="59"/>
      <c r="L256" s="59"/>
      <c r="M256" s="59"/>
      <c r="N256" s="59"/>
      <c r="O256" s="59"/>
      <c r="P256" s="59"/>
      <c r="Q256" s="59"/>
      <c r="R256" s="59"/>
      <c r="S256" s="59"/>
      <c r="T256" s="59"/>
      <c r="U256" s="59"/>
      <c r="V256" s="59"/>
      <c r="W256" s="59"/>
      <c r="X256" s="59"/>
      <c r="Y256" s="59"/>
    </row>
    <row r="257" spans="1:25" ht="18">
      <c r="A257" s="76"/>
      <c r="B257" s="59"/>
      <c r="C257" s="59"/>
      <c r="D257" s="59"/>
      <c r="E257" s="59"/>
      <c r="F257" s="59"/>
      <c r="G257" s="59"/>
      <c r="H257" s="59"/>
      <c r="I257" s="59"/>
      <c r="J257" s="59"/>
      <c r="K257" s="59"/>
      <c r="L257" s="59"/>
      <c r="M257" s="59"/>
      <c r="N257" s="59"/>
      <c r="O257" s="59"/>
      <c r="P257" s="59"/>
      <c r="Q257" s="59"/>
      <c r="R257" s="59"/>
      <c r="S257" s="59"/>
      <c r="T257" s="59"/>
      <c r="U257" s="59"/>
      <c r="V257" s="59"/>
      <c r="W257" s="59"/>
      <c r="X257" s="59"/>
      <c r="Y257" s="59"/>
    </row>
    <row r="258" spans="1:25" ht="18">
      <c r="A258" s="76"/>
      <c r="B258" s="59"/>
      <c r="C258" s="59"/>
      <c r="D258" s="59"/>
      <c r="E258" s="59"/>
      <c r="F258" s="59"/>
      <c r="G258" s="59"/>
      <c r="H258" s="59"/>
      <c r="I258" s="59"/>
      <c r="J258" s="59"/>
      <c r="K258" s="59"/>
      <c r="L258" s="59"/>
      <c r="M258" s="59"/>
      <c r="N258" s="59"/>
      <c r="O258" s="59"/>
      <c r="P258" s="59"/>
      <c r="Q258" s="59"/>
      <c r="R258" s="59"/>
      <c r="S258" s="59"/>
      <c r="T258" s="59"/>
      <c r="U258" s="59"/>
      <c r="V258" s="59"/>
      <c r="W258" s="59"/>
      <c r="X258" s="59"/>
      <c r="Y258" s="59"/>
    </row>
    <row r="259" spans="1:25" ht="18">
      <c r="A259" s="76"/>
      <c r="B259" s="59"/>
      <c r="C259" s="59"/>
      <c r="D259" s="59"/>
      <c r="E259" s="59"/>
      <c r="F259" s="59"/>
      <c r="G259" s="59"/>
      <c r="H259" s="59"/>
      <c r="I259" s="59"/>
      <c r="J259" s="59"/>
      <c r="K259" s="59"/>
      <c r="L259" s="59"/>
      <c r="M259" s="59"/>
      <c r="N259" s="59"/>
      <c r="O259" s="59"/>
      <c r="P259" s="59"/>
      <c r="Q259" s="59"/>
      <c r="R259" s="59"/>
      <c r="S259" s="59"/>
      <c r="T259" s="59"/>
      <c r="U259" s="59"/>
      <c r="V259" s="59"/>
      <c r="W259" s="59"/>
      <c r="X259" s="59"/>
      <c r="Y259" s="59"/>
    </row>
    <row r="260" spans="1:25" ht="18">
      <c r="A260" s="76"/>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row>
    <row r="261" spans="1:25" ht="18">
      <c r="A261" s="76"/>
      <c r="B261" s="59"/>
      <c r="C261" s="59"/>
      <c r="D261" s="59"/>
      <c r="E261" s="59"/>
      <c r="F261" s="59"/>
      <c r="G261" s="59"/>
      <c r="H261" s="59"/>
      <c r="I261" s="59"/>
      <c r="J261" s="59"/>
      <c r="K261" s="59"/>
      <c r="L261" s="59"/>
      <c r="M261" s="59"/>
      <c r="N261" s="59"/>
      <c r="O261" s="59"/>
      <c r="P261" s="59"/>
      <c r="Q261" s="59"/>
      <c r="R261" s="59"/>
      <c r="S261" s="59"/>
      <c r="T261" s="59"/>
      <c r="U261" s="59"/>
      <c r="V261" s="59"/>
      <c r="W261" s="59"/>
      <c r="X261" s="59"/>
      <c r="Y261" s="59"/>
    </row>
    <row r="262" spans="1:25" ht="18">
      <c r="A262" s="76"/>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row>
    <row r="263" spans="1:25" ht="18">
      <c r="A263" s="76"/>
      <c r="B263" s="59"/>
      <c r="C263" s="59"/>
      <c r="D263" s="59"/>
      <c r="E263" s="59"/>
      <c r="F263" s="59"/>
      <c r="G263" s="59"/>
      <c r="H263" s="59"/>
      <c r="I263" s="59"/>
      <c r="J263" s="59"/>
      <c r="K263" s="59"/>
      <c r="L263" s="59"/>
      <c r="M263" s="59"/>
      <c r="N263" s="59"/>
      <c r="O263" s="59"/>
      <c r="P263" s="59"/>
      <c r="Q263" s="59"/>
      <c r="R263" s="59"/>
      <c r="S263" s="59"/>
      <c r="T263" s="59"/>
      <c r="U263" s="59"/>
      <c r="V263" s="59"/>
      <c r="W263" s="59"/>
      <c r="X263" s="59"/>
      <c r="Y263" s="59"/>
    </row>
    <row r="264" spans="1:25" ht="18">
      <c r="A264" s="76"/>
      <c r="B264" s="59"/>
      <c r="C264" s="59"/>
      <c r="D264" s="59"/>
      <c r="E264" s="59"/>
      <c r="F264" s="59"/>
      <c r="G264" s="59"/>
      <c r="H264" s="59"/>
      <c r="I264" s="59"/>
      <c r="J264" s="59"/>
      <c r="K264" s="59"/>
      <c r="L264" s="59"/>
      <c r="M264" s="59"/>
      <c r="N264" s="59"/>
      <c r="O264" s="59"/>
      <c r="P264" s="59"/>
      <c r="Q264" s="59"/>
      <c r="R264" s="59"/>
      <c r="S264" s="59"/>
      <c r="T264" s="59"/>
      <c r="U264" s="59"/>
      <c r="V264" s="59"/>
      <c r="W264" s="59"/>
      <c r="X264" s="59"/>
      <c r="Y264" s="59"/>
    </row>
    <row r="265" spans="1:25" ht="18">
      <c r="A265" s="76"/>
      <c r="B265" s="59"/>
      <c r="C265" s="59"/>
      <c r="D265" s="59"/>
      <c r="E265" s="59"/>
      <c r="F265" s="59"/>
      <c r="G265" s="59"/>
      <c r="H265" s="59"/>
      <c r="I265" s="59"/>
      <c r="J265" s="59"/>
      <c r="K265" s="59"/>
      <c r="L265" s="59"/>
      <c r="M265" s="59"/>
      <c r="N265" s="59"/>
      <c r="O265" s="59"/>
      <c r="P265" s="59"/>
      <c r="Q265" s="59"/>
      <c r="R265" s="59"/>
      <c r="S265" s="59"/>
      <c r="T265" s="59"/>
      <c r="U265" s="59"/>
      <c r="V265" s="59"/>
      <c r="W265" s="59"/>
      <c r="X265" s="59"/>
      <c r="Y265" s="59"/>
    </row>
    <row r="266" spans="1:25" ht="18">
      <c r="A266" s="76"/>
      <c r="B266" s="59"/>
      <c r="C266" s="59"/>
      <c r="D266" s="59"/>
      <c r="E266" s="59"/>
      <c r="F266" s="59"/>
      <c r="G266" s="59"/>
      <c r="H266" s="59"/>
      <c r="I266" s="59"/>
      <c r="J266" s="59"/>
      <c r="K266" s="59"/>
      <c r="L266" s="59"/>
      <c r="M266" s="59"/>
      <c r="N266" s="59"/>
      <c r="O266" s="59"/>
      <c r="P266" s="59"/>
      <c r="Q266" s="59"/>
      <c r="R266" s="59"/>
      <c r="S266" s="59"/>
      <c r="T266" s="59"/>
      <c r="U266" s="59"/>
      <c r="V266" s="59"/>
      <c r="W266" s="59"/>
      <c r="X266" s="59"/>
      <c r="Y266" s="59"/>
    </row>
    <row r="267" spans="1:25" ht="18">
      <c r="A267" s="76"/>
      <c r="B267" s="59"/>
      <c r="C267" s="59"/>
      <c r="D267" s="59"/>
      <c r="E267" s="59"/>
      <c r="F267" s="59"/>
      <c r="G267" s="59"/>
      <c r="H267" s="59"/>
      <c r="I267" s="59"/>
      <c r="J267" s="59"/>
      <c r="K267" s="59"/>
      <c r="L267" s="59"/>
      <c r="M267" s="59"/>
      <c r="N267" s="59"/>
      <c r="O267" s="59"/>
      <c r="P267" s="59"/>
      <c r="Q267" s="59"/>
      <c r="R267" s="59"/>
      <c r="S267" s="59"/>
      <c r="T267" s="59"/>
      <c r="U267" s="59"/>
      <c r="V267" s="59"/>
      <c r="W267" s="59"/>
      <c r="X267" s="59"/>
      <c r="Y267" s="59"/>
    </row>
    <row r="268" spans="1:25" ht="18">
      <c r="A268" s="76"/>
      <c r="B268" s="59"/>
      <c r="C268" s="59"/>
      <c r="D268" s="59"/>
      <c r="E268" s="59"/>
      <c r="F268" s="59"/>
      <c r="G268" s="59"/>
      <c r="H268" s="59"/>
      <c r="I268" s="59"/>
      <c r="J268" s="59"/>
      <c r="K268" s="59"/>
      <c r="L268" s="59"/>
      <c r="M268" s="59"/>
      <c r="N268" s="59"/>
      <c r="O268" s="59"/>
      <c r="P268" s="59"/>
      <c r="Q268" s="59"/>
      <c r="R268" s="59"/>
      <c r="S268" s="59"/>
      <c r="T268" s="59"/>
      <c r="U268" s="59"/>
      <c r="V268" s="59"/>
      <c r="W268" s="59"/>
      <c r="X268" s="59"/>
      <c r="Y268" s="59"/>
    </row>
    <row r="269" spans="1:25" ht="18">
      <c r="A269" s="76"/>
      <c r="B269" s="59"/>
      <c r="C269" s="59"/>
      <c r="D269" s="59"/>
      <c r="E269" s="59"/>
      <c r="F269" s="59"/>
      <c r="G269" s="59"/>
      <c r="H269" s="59"/>
      <c r="I269" s="59"/>
      <c r="J269" s="59"/>
      <c r="K269" s="59"/>
      <c r="L269" s="59"/>
      <c r="M269" s="59"/>
      <c r="N269" s="59"/>
      <c r="O269" s="59"/>
      <c r="P269" s="59"/>
      <c r="Q269" s="59"/>
      <c r="R269" s="59"/>
      <c r="S269" s="59"/>
      <c r="T269" s="59"/>
      <c r="U269" s="59"/>
      <c r="V269" s="59"/>
      <c r="W269" s="59"/>
      <c r="X269" s="59"/>
      <c r="Y269" s="59"/>
    </row>
    <row r="270" spans="1:25" ht="18">
      <c r="A270" s="76"/>
      <c r="B270" s="59"/>
      <c r="C270" s="59"/>
      <c r="D270" s="59"/>
      <c r="E270" s="59"/>
      <c r="F270" s="59"/>
      <c r="G270" s="59"/>
      <c r="H270" s="59"/>
      <c r="I270" s="59"/>
      <c r="J270" s="59"/>
      <c r="K270" s="59"/>
      <c r="L270" s="59"/>
      <c r="M270" s="59"/>
      <c r="N270" s="59"/>
      <c r="O270" s="59"/>
      <c r="P270" s="59"/>
      <c r="Q270" s="59"/>
      <c r="R270" s="59"/>
      <c r="S270" s="59"/>
      <c r="T270" s="59"/>
      <c r="U270" s="59"/>
      <c r="V270" s="59"/>
      <c r="W270" s="59"/>
      <c r="X270" s="59"/>
      <c r="Y270" s="59"/>
    </row>
    <row r="271" spans="1:25" ht="18">
      <c r="A271" s="76"/>
      <c r="B271" s="59"/>
      <c r="C271" s="59"/>
      <c r="D271" s="59"/>
      <c r="E271" s="59"/>
      <c r="F271" s="59"/>
      <c r="G271" s="59"/>
      <c r="H271" s="59"/>
      <c r="I271" s="59"/>
      <c r="J271" s="59"/>
      <c r="K271" s="59"/>
      <c r="L271" s="59"/>
      <c r="M271" s="59"/>
      <c r="N271" s="59"/>
      <c r="O271" s="59"/>
      <c r="P271" s="59"/>
      <c r="Q271" s="59"/>
      <c r="R271" s="59"/>
      <c r="S271" s="59"/>
      <c r="T271" s="59"/>
      <c r="U271" s="59"/>
      <c r="V271" s="59"/>
      <c r="W271" s="59"/>
      <c r="X271" s="59"/>
      <c r="Y271" s="59"/>
    </row>
    <row r="272" spans="1:25" ht="18">
      <c r="A272" s="76"/>
      <c r="B272" s="59"/>
      <c r="C272" s="59"/>
      <c r="D272" s="59"/>
      <c r="E272" s="59"/>
      <c r="F272" s="59"/>
      <c r="G272" s="59"/>
      <c r="H272" s="59"/>
      <c r="I272" s="59"/>
      <c r="J272" s="59"/>
      <c r="K272" s="59"/>
      <c r="L272" s="59"/>
      <c r="M272" s="59"/>
      <c r="N272" s="59"/>
      <c r="O272" s="59"/>
      <c r="P272" s="59"/>
      <c r="Q272" s="59"/>
      <c r="R272" s="59"/>
      <c r="S272" s="59"/>
      <c r="T272" s="59"/>
      <c r="U272" s="59"/>
      <c r="V272" s="59"/>
      <c r="W272" s="59"/>
      <c r="X272" s="59"/>
      <c r="Y272" s="59"/>
    </row>
    <row r="273" spans="1:25" ht="18">
      <c r="A273" s="76"/>
      <c r="B273" s="59"/>
      <c r="C273" s="59"/>
      <c r="D273" s="59"/>
      <c r="E273" s="59"/>
      <c r="F273" s="59"/>
      <c r="G273" s="59"/>
      <c r="H273" s="59"/>
      <c r="I273" s="59"/>
      <c r="J273" s="59"/>
      <c r="K273" s="59"/>
      <c r="L273" s="59"/>
      <c r="M273" s="59"/>
      <c r="N273" s="59"/>
      <c r="O273" s="59"/>
      <c r="P273" s="59"/>
      <c r="Q273" s="59"/>
      <c r="R273" s="59"/>
      <c r="S273" s="59"/>
      <c r="T273" s="59"/>
      <c r="U273" s="59"/>
      <c r="V273" s="59"/>
      <c r="W273" s="59"/>
      <c r="X273" s="59"/>
      <c r="Y273" s="59"/>
    </row>
    <row r="274" spans="1:25" ht="18">
      <c r="A274" s="76"/>
      <c r="B274" s="59"/>
      <c r="C274" s="59"/>
      <c r="D274" s="59"/>
      <c r="E274" s="59"/>
      <c r="F274" s="59"/>
      <c r="G274" s="59"/>
      <c r="H274" s="59"/>
      <c r="I274" s="59"/>
      <c r="J274" s="59"/>
      <c r="K274" s="59"/>
      <c r="L274" s="59"/>
      <c r="M274" s="59"/>
      <c r="N274" s="59"/>
      <c r="O274" s="59"/>
      <c r="P274" s="59"/>
      <c r="Q274" s="59"/>
      <c r="R274" s="59"/>
      <c r="S274" s="59"/>
      <c r="T274" s="59"/>
      <c r="U274" s="59"/>
      <c r="V274" s="59"/>
      <c r="W274" s="59"/>
      <c r="X274" s="59"/>
      <c r="Y274" s="59"/>
    </row>
    <row r="275" spans="1:25" ht="18">
      <c r="A275" s="76"/>
      <c r="B275" s="59"/>
      <c r="C275" s="59"/>
      <c r="D275" s="59"/>
      <c r="E275" s="59"/>
      <c r="F275" s="59"/>
      <c r="G275" s="59"/>
      <c r="H275" s="59"/>
      <c r="I275" s="59"/>
      <c r="J275" s="59"/>
      <c r="K275" s="59"/>
      <c r="L275" s="59"/>
      <c r="M275" s="59"/>
      <c r="N275" s="59"/>
      <c r="O275" s="59"/>
      <c r="P275" s="59"/>
      <c r="Q275" s="59"/>
      <c r="R275" s="59"/>
      <c r="S275" s="59"/>
      <c r="T275" s="59"/>
      <c r="U275" s="59"/>
      <c r="V275" s="59"/>
      <c r="W275" s="59"/>
      <c r="X275" s="59"/>
      <c r="Y275" s="59"/>
    </row>
    <row r="276" spans="1:25" ht="18">
      <c r="A276" s="76"/>
      <c r="B276" s="59"/>
      <c r="C276" s="59"/>
      <c r="D276" s="59"/>
      <c r="E276" s="59"/>
      <c r="F276" s="59"/>
      <c r="G276" s="59"/>
      <c r="H276" s="59"/>
      <c r="I276" s="59"/>
      <c r="J276" s="59"/>
      <c r="K276" s="59"/>
      <c r="L276" s="59"/>
      <c r="M276" s="59"/>
      <c r="N276" s="59"/>
      <c r="O276" s="59"/>
      <c r="P276" s="59"/>
      <c r="Q276" s="59"/>
      <c r="R276" s="59"/>
      <c r="S276" s="59"/>
      <c r="T276" s="59"/>
      <c r="U276" s="59"/>
      <c r="V276" s="59"/>
      <c r="W276" s="59"/>
      <c r="X276" s="59"/>
      <c r="Y276" s="59"/>
    </row>
    <row r="277" spans="1:25" ht="18">
      <c r="A277" s="76"/>
      <c r="B277" s="59"/>
      <c r="C277" s="59"/>
      <c r="D277" s="59"/>
      <c r="E277" s="59"/>
      <c r="F277" s="59"/>
      <c r="G277" s="59"/>
      <c r="H277" s="59"/>
      <c r="I277" s="59"/>
      <c r="J277" s="59"/>
      <c r="K277" s="59"/>
      <c r="L277" s="59"/>
      <c r="M277" s="59"/>
      <c r="N277" s="59"/>
      <c r="O277" s="59"/>
      <c r="P277" s="59"/>
      <c r="Q277" s="59"/>
      <c r="R277" s="59"/>
      <c r="S277" s="59"/>
      <c r="T277" s="59"/>
      <c r="U277" s="59"/>
      <c r="V277" s="59"/>
      <c r="W277" s="59"/>
      <c r="X277" s="59"/>
      <c r="Y277" s="59"/>
    </row>
    <row r="278" spans="1:25" ht="18">
      <c r="A278" s="76"/>
      <c r="B278" s="59"/>
      <c r="C278" s="59"/>
      <c r="D278" s="59"/>
      <c r="E278" s="59"/>
      <c r="F278" s="59"/>
      <c r="G278" s="59"/>
      <c r="H278" s="59"/>
      <c r="I278" s="59"/>
      <c r="J278" s="59"/>
      <c r="K278" s="59"/>
      <c r="L278" s="59"/>
      <c r="M278" s="59"/>
      <c r="N278" s="59"/>
      <c r="O278" s="59"/>
      <c r="P278" s="59"/>
      <c r="Q278" s="59"/>
      <c r="R278" s="59"/>
      <c r="S278" s="59"/>
      <c r="T278" s="59"/>
      <c r="U278" s="59"/>
      <c r="V278" s="59"/>
      <c r="W278" s="59"/>
      <c r="X278" s="59"/>
      <c r="Y278" s="59"/>
    </row>
    <row r="279" spans="1:25" ht="18">
      <c r="A279" s="76"/>
      <c r="B279" s="59"/>
      <c r="C279" s="59"/>
      <c r="D279" s="59"/>
      <c r="E279" s="59"/>
      <c r="F279" s="59"/>
      <c r="G279" s="59"/>
      <c r="H279" s="59"/>
      <c r="I279" s="59"/>
      <c r="J279" s="59"/>
      <c r="K279" s="59"/>
      <c r="L279" s="59"/>
      <c r="M279" s="59"/>
      <c r="N279" s="59"/>
      <c r="O279" s="59"/>
      <c r="P279" s="59"/>
      <c r="Q279" s="59"/>
      <c r="R279" s="59"/>
      <c r="S279" s="59"/>
      <c r="T279" s="59"/>
      <c r="U279" s="59"/>
      <c r="V279" s="59"/>
      <c r="W279" s="59"/>
      <c r="X279" s="59"/>
      <c r="Y279" s="59"/>
    </row>
    <row r="280" spans="1:25" ht="18">
      <c r="A280" s="76"/>
      <c r="B280" s="59"/>
      <c r="C280" s="59"/>
      <c r="D280" s="59"/>
      <c r="E280" s="59"/>
      <c r="F280" s="59"/>
      <c r="G280" s="59"/>
      <c r="H280" s="59"/>
      <c r="I280" s="59"/>
      <c r="J280" s="59"/>
      <c r="K280" s="59"/>
      <c r="L280" s="59"/>
      <c r="M280" s="59"/>
      <c r="N280" s="59"/>
      <c r="O280" s="59"/>
      <c r="P280" s="59"/>
      <c r="Q280" s="59"/>
      <c r="R280" s="59"/>
      <c r="S280" s="59"/>
      <c r="T280" s="59"/>
      <c r="U280" s="59"/>
      <c r="V280" s="59"/>
      <c r="W280" s="59"/>
      <c r="X280" s="59"/>
      <c r="Y280" s="59"/>
    </row>
    <row r="281" spans="1:25" ht="18">
      <c r="A281" s="76"/>
      <c r="B281" s="59"/>
      <c r="C281" s="59"/>
      <c r="D281" s="59"/>
      <c r="E281" s="59"/>
      <c r="F281" s="59"/>
      <c r="G281" s="59"/>
      <c r="H281" s="59"/>
      <c r="I281" s="59"/>
      <c r="J281" s="59"/>
      <c r="K281" s="59"/>
      <c r="L281" s="59"/>
      <c r="M281" s="59"/>
      <c r="N281" s="59"/>
      <c r="O281" s="59"/>
      <c r="P281" s="59"/>
      <c r="Q281" s="59"/>
      <c r="R281" s="59"/>
      <c r="S281" s="59"/>
      <c r="T281" s="59"/>
      <c r="U281" s="59"/>
      <c r="V281" s="59"/>
      <c r="W281" s="59"/>
      <c r="X281" s="59"/>
      <c r="Y281" s="59"/>
    </row>
    <row r="282" spans="1:25" ht="18">
      <c r="A282" s="76"/>
      <c r="B282" s="59"/>
      <c r="C282" s="59"/>
      <c r="D282" s="59"/>
      <c r="E282" s="59"/>
      <c r="F282" s="59"/>
      <c r="G282" s="59"/>
      <c r="H282" s="59"/>
      <c r="I282" s="59"/>
      <c r="J282" s="59"/>
      <c r="K282" s="59"/>
      <c r="L282" s="59"/>
      <c r="M282" s="59"/>
      <c r="N282" s="59"/>
      <c r="O282" s="59"/>
      <c r="P282" s="59"/>
      <c r="Q282" s="59"/>
      <c r="R282" s="59"/>
      <c r="S282" s="59"/>
      <c r="T282" s="59"/>
      <c r="U282" s="59"/>
      <c r="V282" s="59"/>
      <c r="W282" s="59"/>
      <c r="X282" s="59"/>
      <c r="Y282" s="59"/>
    </row>
    <row r="283" spans="1:25" ht="18">
      <c r="A283" s="76"/>
      <c r="B283" s="59"/>
      <c r="C283" s="59"/>
      <c r="D283" s="59"/>
      <c r="E283" s="59"/>
      <c r="F283" s="59"/>
      <c r="G283" s="59"/>
      <c r="H283" s="59"/>
      <c r="I283" s="59"/>
      <c r="J283" s="59"/>
      <c r="K283" s="59"/>
      <c r="L283" s="59"/>
      <c r="M283" s="59"/>
      <c r="N283" s="59"/>
      <c r="O283" s="59"/>
      <c r="P283" s="59"/>
      <c r="Q283" s="59"/>
      <c r="R283" s="59"/>
      <c r="S283" s="59"/>
      <c r="T283" s="59"/>
      <c r="U283" s="59"/>
      <c r="V283" s="59"/>
      <c r="W283" s="59"/>
      <c r="X283" s="59"/>
      <c r="Y283" s="59"/>
    </row>
    <row r="284" spans="1:25" ht="18">
      <c r="A284" s="76"/>
      <c r="B284" s="59"/>
      <c r="C284" s="59"/>
      <c r="D284" s="59"/>
      <c r="E284" s="59"/>
      <c r="F284" s="59"/>
      <c r="G284" s="59"/>
      <c r="H284" s="59"/>
      <c r="I284" s="59"/>
      <c r="J284" s="59"/>
      <c r="K284" s="59"/>
      <c r="L284" s="59"/>
      <c r="M284" s="59"/>
      <c r="N284" s="59"/>
      <c r="O284" s="59"/>
      <c r="P284" s="59"/>
      <c r="Q284" s="59"/>
      <c r="R284" s="59"/>
      <c r="S284" s="59"/>
      <c r="T284" s="59"/>
      <c r="U284" s="59"/>
      <c r="V284" s="59"/>
      <c r="W284" s="59"/>
      <c r="X284" s="59"/>
      <c r="Y284" s="59"/>
    </row>
    <row r="285" spans="1:25" ht="18">
      <c r="A285" s="76"/>
      <c r="B285" s="59"/>
      <c r="C285" s="59"/>
      <c r="D285" s="59"/>
      <c r="E285" s="59"/>
      <c r="F285" s="59"/>
      <c r="G285" s="59"/>
      <c r="H285" s="59"/>
      <c r="I285" s="59"/>
      <c r="J285" s="59"/>
      <c r="K285" s="59"/>
      <c r="L285" s="59"/>
      <c r="M285" s="59"/>
      <c r="N285" s="59"/>
      <c r="O285" s="59"/>
      <c r="P285" s="59"/>
      <c r="Q285" s="59"/>
      <c r="R285" s="59"/>
      <c r="S285" s="59"/>
      <c r="T285" s="59"/>
      <c r="U285" s="59"/>
      <c r="V285" s="59"/>
      <c r="W285" s="59"/>
      <c r="X285" s="59"/>
      <c r="Y285" s="59"/>
    </row>
    <row r="286" spans="1:25" ht="18">
      <c r="A286" s="76"/>
      <c r="B286" s="59"/>
      <c r="C286" s="59"/>
      <c r="D286" s="59"/>
      <c r="E286" s="59"/>
      <c r="F286" s="59"/>
      <c r="G286" s="59"/>
      <c r="H286" s="59"/>
      <c r="I286" s="59"/>
      <c r="J286" s="59"/>
      <c r="K286" s="59"/>
      <c r="L286" s="59"/>
      <c r="M286" s="59"/>
      <c r="N286" s="59"/>
      <c r="O286" s="59"/>
      <c r="P286" s="59"/>
      <c r="Q286" s="59"/>
      <c r="R286" s="59"/>
      <c r="S286" s="59"/>
      <c r="T286" s="59"/>
      <c r="U286" s="59"/>
      <c r="V286" s="59"/>
      <c r="W286" s="59"/>
      <c r="X286" s="59"/>
      <c r="Y286" s="59"/>
    </row>
    <row r="287" spans="1:25" ht="18">
      <c r="A287" s="76"/>
      <c r="B287" s="59"/>
      <c r="C287" s="59"/>
      <c r="D287" s="59"/>
      <c r="E287" s="59"/>
      <c r="F287" s="59"/>
      <c r="G287" s="59"/>
      <c r="H287" s="59"/>
      <c r="I287" s="59"/>
      <c r="J287" s="59"/>
      <c r="K287" s="59"/>
      <c r="L287" s="59"/>
      <c r="M287" s="59"/>
      <c r="N287" s="59"/>
      <c r="O287" s="59"/>
      <c r="P287" s="59"/>
      <c r="Q287" s="59"/>
      <c r="R287" s="59"/>
      <c r="S287" s="59"/>
      <c r="T287" s="59"/>
      <c r="U287" s="59"/>
      <c r="V287" s="59"/>
      <c r="W287" s="59"/>
      <c r="X287" s="59"/>
      <c r="Y287" s="59"/>
    </row>
    <row r="288" spans="1:25" ht="18">
      <c r="A288" s="76"/>
      <c r="B288" s="59"/>
      <c r="C288" s="59"/>
      <c r="D288" s="59"/>
      <c r="E288" s="59"/>
      <c r="F288" s="59"/>
      <c r="G288" s="59"/>
      <c r="H288" s="59"/>
      <c r="I288" s="59"/>
      <c r="J288" s="59"/>
      <c r="K288" s="59"/>
      <c r="L288" s="59"/>
      <c r="M288" s="59"/>
      <c r="N288" s="59"/>
      <c r="O288" s="59"/>
      <c r="P288" s="59"/>
      <c r="Q288" s="59"/>
      <c r="R288" s="59"/>
      <c r="S288" s="59"/>
      <c r="T288" s="59"/>
      <c r="U288" s="59"/>
      <c r="V288" s="59"/>
      <c r="W288" s="59"/>
      <c r="X288" s="59"/>
      <c r="Y288" s="59"/>
    </row>
    <row r="289" spans="1:25" ht="18">
      <c r="A289" s="76"/>
      <c r="B289" s="59"/>
      <c r="C289" s="59"/>
      <c r="D289" s="59"/>
      <c r="E289" s="59"/>
      <c r="F289" s="59"/>
      <c r="G289" s="59"/>
      <c r="H289" s="59"/>
      <c r="I289" s="59"/>
      <c r="J289" s="59"/>
      <c r="K289" s="59"/>
      <c r="L289" s="59"/>
      <c r="M289" s="59"/>
      <c r="N289" s="59"/>
      <c r="O289" s="59"/>
      <c r="P289" s="59"/>
      <c r="Q289" s="59"/>
      <c r="R289" s="59"/>
      <c r="S289" s="59"/>
      <c r="T289" s="59"/>
      <c r="U289" s="59"/>
      <c r="V289" s="59"/>
      <c r="W289" s="59"/>
      <c r="X289" s="59"/>
      <c r="Y289" s="59"/>
    </row>
    <row r="290" spans="1:25" ht="18">
      <c r="A290" s="76"/>
      <c r="B290" s="59"/>
      <c r="C290" s="59"/>
      <c r="D290" s="59"/>
      <c r="E290" s="59"/>
      <c r="F290" s="59"/>
      <c r="G290" s="59"/>
      <c r="H290" s="59"/>
      <c r="I290" s="59"/>
      <c r="J290" s="59"/>
      <c r="K290" s="59"/>
      <c r="L290" s="59"/>
      <c r="M290" s="59"/>
      <c r="N290" s="59"/>
      <c r="O290" s="59"/>
      <c r="P290" s="59"/>
      <c r="Q290" s="59"/>
      <c r="R290" s="59"/>
      <c r="S290" s="59"/>
      <c r="T290" s="59"/>
      <c r="U290" s="59"/>
      <c r="V290" s="59"/>
      <c r="W290" s="59"/>
      <c r="X290" s="59"/>
      <c r="Y290" s="59"/>
    </row>
    <row r="291" spans="1:25" ht="18">
      <c r="A291" s="76"/>
      <c r="B291" s="59"/>
      <c r="C291" s="59"/>
      <c r="D291" s="59"/>
      <c r="E291" s="59"/>
      <c r="F291" s="59"/>
      <c r="G291" s="59"/>
      <c r="H291" s="59"/>
      <c r="I291" s="59"/>
      <c r="J291" s="59"/>
      <c r="K291" s="59"/>
      <c r="L291" s="59"/>
      <c r="M291" s="59"/>
      <c r="N291" s="59"/>
      <c r="O291" s="59"/>
      <c r="P291" s="59"/>
      <c r="Q291" s="59"/>
      <c r="R291" s="59"/>
      <c r="S291" s="59"/>
      <c r="T291" s="59"/>
      <c r="U291" s="59"/>
      <c r="V291" s="59"/>
      <c r="W291" s="59"/>
      <c r="X291" s="59"/>
      <c r="Y291" s="59"/>
    </row>
    <row r="292" spans="1:25" ht="18">
      <c r="A292" s="76"/>
      <c r="B292" s="59"/>
      <c r="C292" s="59"/>
      <c r="D292" s="59"/>
      <c r="E292" s="59"/>
      <c r="F292" s="59"/>
      <c r="G292" s="59"/>
      <c r="H292" s="59"/>
      <c r="I292" s="59"/>
      <c r="J292" s="59"/>
      <c r="K292" s="59"/>
      <c r="L292" s="59"/>
      <c r="M292" s="59"/>
      <c r="N292" s="59"/>
      <c r="O292" s="59"/>
      <c r="P292" s="59"/>
      <c r="Q292" s="59"/>
      <c r="R292" s="59"/>
      <c r="S292" s="59"/>
      <c r="T292" s="59"/>
      <c r="U292" s="59"/>
      <c r="V292" s="59"/>
      <c r="W292" s="59"/>
      <c r="X292" s="59"/>
      <c r="Y292" s="59"/>
    </row>
    <row r="293" spans="1:25" ht="18">
      <c r="A293" s="76"/>
      <c r="B293" s="59"/>
      <c r="C293" s="59"/>
      <c r="D293" s="59"/>
      <c r="E293" s="59"/>
      <c r="F293" s="59"/>
      <c r="G293" s="59"/>
      <c r="H293" s="59"/>
      <c r="I293" s="59"/>
      <c r="J293" s="59"/>
      <c r="K293" s="59"/>
      <c r="L293" s="59"/>
      <c r="M293" s="59"/>
      <c r="N293" s="59"/>
      <c r="O293" s="59"/>
      <c r="P293" s="59"/>
      <c r="Q293" s="59"/>
      <c r="R293" s="59"/>
      <c r="S293" s="59"/>
      <c r="T293" s="59"/>
      <c r="U293" s="59"/>
      <c r="V293" s="59"/>
      <c r="W293" s="59"/>
      <c r="X293" s="59"/>
      <c r="Y293" s="59"/>
    </row>
    <row r="294" spans="1:25" ht="18">
      <c r="A294" s="76"/>
      <c r="B294" s="59"/>
      <c r="C294" s="59"/>
      <c r="D294" s="59"/>
      <c r="E294" s="59"/>
      <c r="F294" s="59"/>
      <c r="G294" s="59"/>
      <c r="H294" s="59"/>
      <c r="I294" s="59"/>
      <c r="J294" s="59"/>
      <c r="K294" s="59"/>
      <c r="L294" s="59"/>
      <c r="M294" s="59"/>
      <c r="N294" s="59"/>
      <c r="O294" s="59"/>
      <c r="P294" s="59"/>
      <c r="Q294" s="59"/>
      <c r="R294" s="59"/>
      <c r="S294" s="59"/>
      <c r="T294" s="59"/>
      <c r="U294" s="59"/>
      <c r="V294" s="59"/>
      <c r="W294" s="59"/>
      <c r="X294" s="59"/>
      <c r="Y294" s="59"/>
    </row>
    <row r="295" spans="1:25" ht="18">
      <c r="A295" s="76"/>
      <c r="B295" s="59"/>
      <c r="C295" s="59"/>
      <c r="D295" s="59"/>
      <c r="E295" s="59"/>
      <c r="F295" s="59"/>
      <c r="G295" s="59"/>
      <c r="H295" s="59"/>
      <c r="I295" s="59"/>
      <c r="J295" s="59"/>
      <c r="K295" s="59"/>
      <c r="L295" s="59"/>
      <c r="M295" s="59"/>
      <c r="N295" s="59"/>
      <c r="O295" s="59"/>
      <c r="P295" s="59"/>
      <c r="Q295" s="59"/>
      <c r="R295" s="59"/>
      <c r="S295" s="59"/>
      <c r="T295" s="59"/>
      <c r="U295" s="59"/>
      <c r="V295" s="59"/>
      <c r="W295" s="59"/>
      <c r="X295" s="59"/>
      <c r="Y295" s="59"/>
    </row>
    <row r="296" spans="1:25" ht="18">
      <c r="A296" s="76"/>
      <c r="B296" s="59"/>
      <c r="C296" s="59"/>
      <c r="D296" s="59"/>
      <c r="E296" s="59"/>
      <c r="F296" s="59"/>
      <c r="G296" s="59"/>
      <c r="H296" s="59"/>
      <c r="I296" s="59"/>
      <c r="J296" s="59"/>
      <c r="K296" s="59"/>
      <c r="L296" s="59"/>
      <c r="M296" s="59"/>
      <c r="N296" s="59"/>
      <c r="O296" s="59"/>
      <c r="P296" s="59"/>
      <c r="Q296" s="59"/>
      <c r="R296" s="59"/>
      <c r="S296" s="59"/>
      <c r="T296" s="59"/>
      <c r="U296" s="59"/>
      <c r="V296" s="59"/>
      <c r="W296" s="59"/>
      <c r="X296" s="59"/>
      <c r="Y296" s="59"/>
    </row>
    <row r="297" spans="1:25" ht="18">
      <c r="A297" s="76"/>
      <c r="B297" s="59"/>
      <c r="C297" s="59"/>
      <c r="D297" s="59"/>
      <c r="E297" s="59"/>
      <c r="F297" s="59"/>
      <c r="G297" s="59"/>
      <c r="H297" s="59"/>
      <c r="I297" s="59"/>
      <c r="J297" s="59"/>
      <c r="K297" s="59"/>
      <c r="L297" s="59"/>
      <c r="M297" s="59"/>
      <c r="N297" s="59"/>
      <c r="O297" s="59"/>
      <c r="P297" s="59"/>
      <c r="Q297" s="59"/>
      <c r="R297" s="59"/>
      <c r="S297" s="59"/>
      <c r="T297" s="59"/>
      <c r="U297" s="59"/>
      <c r="V297" s="59"/>
      <c r="W297" s="59"/>
      <c r="X297" s="59"/>
      <c r="Y297" s="59"/>
    </row>
    <row r="298" spans="1:25" ht="18">
      <c r="A298" s="76"/>
      <c r="B298" s="59"/>
      <c r="C298" s="59"/>
      <c r="D298" s="59"/>
      <c r="E298" s="59"/>
      <c r="F298" s="59"/>
      <c r="G298" s="59"/>
      <c r="H298" s="59"/>
      <c r="I298" s="59"/>
      <c r="J298" s="59"/>
      <c r="K298" s="59"/>
      <c r="L298" s="59"/>
      <c r="M298" s="59"/>
      <c r="N298" s="59"/>
      <c r="O298" s="59"/>
      <c r="P298" s="59"/>
      <c r="Q298" s="59"/>
      <c r="R298" s="59"/>
      <c r="S298" s="59"/>
      <c r="T298" s="59"/>
      <c r="U298" s="59"/>
      <c r="V298" s="59"/>
      <c r="W298" s="59"/>
      <c r="X298" s="59"/>
      <c r="Y298" s="59"/>
    </row>
    <row r="299" spans="1:25" ht="18">
      <c r="A299" s="76"/>
      <c r="B299" s="59"/>
      <c r="C299" s="59"/>
      <c r="D299" s="59"/>
      <c r="E299" s="59"/>
      <c r="F299" s="59"/>
      <c r="G299" s="59"/>
      <c r="H299" s="59"/>
      <c r="I299" s="59"/>
      <c r="J299" s="59"/>
      <c r="K299" s="59"/>
      <c r="L299" s="59"/>
      <c r="M299" s="59"/>
      <c r="N299" s="59"/>
      <c r="O299" s="59"/>
      <c r="P299" s="59"/>
      <c r="Q299" s="59"/>
      <c r="R299" s="59"/>
      <c r="S299" s="59"/>
      <c r="T299" s="59"/>
      <c r="U299" s="59"/>
      <c r="V299" s="59"/>
      <c r="W299" s="59"/>
      <c r="X299" s="59"/>
      <c r="Y299" s="59"/>
    </row>
    <row r="300" spans="1:25" ht="18">
      <c r="A300" s="76"/>
      <c r="B300" s="59"/>
      <c r="C300" s="59"/>
      <c r="D300" s="59"/>
      <c r="E300" s="59"/>
      <c r="F300" s="59"/>
      <c r="G300" s="59"/>
      <c r="H300" s="59"/>
      <c r="I300" s="59"/>
      <c r="J300" s="59"/>
      <c r="K300" s="59"/>
      <c r="L300" s="59"/>
      <c r="M300" s="59"/>
      <c r="N300" s="59"/>
      <c r="O300" s="59"/>
      <c r="P300" s="59"/>
      <c r="Q300" s="59"/>
      <c r="R300" s="59"/>
      <c r="S300" s="59"/>
      <c r="T300" s="59"/>
      <c r="U300" s="59"/>
      <c r="V300" s="59"/>
      <c r="W300" s="59"/>
      <c r="X300" s="59"/>
      <c r="Y300" s="59"/>
    </row>
    <row r="301" spans="1:25" ht="18">
      <c r="A301" s="76"/>
      <c r="B301" s="59"/>
      <c r="C301" s="59"/>
      <c r="D301" s="59"/>
      <c r="E301" s="59"/>
      <c r="F301" s="59"/>
      <c r="G301" s="59"/>
      <c r="H301" s="59"/>
      <c r="I301" s="59"/>
      <c r="J301" s="59"/>
      <c r="K301" s="59"/>
      <c r="L301" s="59"/>
      <c r="M301" s="59"/>
      <c r="N301" s="59"/>
      <c r="O301" s="59"/>
      <c r="P301" s="59"/>
      <c r="Q301" s="59"/>
      <c r="R301" s="59"/>
      <c r="S301" s="59"/>
      <c r="T301" s="59"/>
      <c r="U301" s="59"/>
      <c r="V301" s="59"/>
      <c r="W301" s="59"/>
      <c r="X301" s="59"/>
      <c r="Y301" s="59"/>
    </row>
    <row r="302" spans="1:25" ht="18">
      <c r="A302" s="76"/>
      <c r="B302" s="59"/>
      <c r="C302" s="59"/>
      <c r="D302" s="59"/>
      <c r="E302" s="59"/>
      <c r="F302" s="59"/>
      <c r="G302" s="59"/>
      <c r="H302" s="59"/>
      <c r="I302" s="59"/>
      <c r="J302" s="59"/>
      <c r="K302" s="59"/>
      <c r="L302" s="59"/>
      <c r="M302" s="59"/>
      <c r="N302" s="59"/>
      <c r="O302" s="59"/>
      <c r="P302" s="59"/>
      <c r="Q302" s="59"/>
      <c r="R302" s="59"/>
      <c r="S302" s="59"/>
      <c r="T302" s="59"/>
      <c r="U302" s="59"/>
      <c r="V302" s="59"/>
      <c r="W302" s="59"/>
      <c r="X302" s="59"/>
      <c r="Y302" s="59"/>
    </row>
    <row r="303" spans="1:25" ht="18">
      <c r="A303" s="76"/>
      <c r="B303" s="59"/>
      <c r="C303" s="59"/>
      <c r="D303" s="59"/>
      <c r="E303" s="59"/>
      <c r="F303" s="59"/>
      <c r="G303" s="59"/>
      <c r="H303" s="59"/>
      <c r="I303" s="59"/>
      <c r="J303" s="59"/>
      <c r="K303" s="59"/>
      <c r="L303" s="59"/>
      <c r="M303" s="59"/>
      <c r="N303" s="59"/>
      <c r="O303" s="59"/>
      <c r="P303" s="59"/>
      <c r="Q303" s="59"/>
      <c r="R303" s="59"/>
      <c r="S303" s="59"/>
      <c r="T303" s="59"/>
      <c r="U303" s="59"/>
      <c r="V303" s="59"/>
      <c r="W303" s="59"/>
      <c r="X303" s="59"/>
      <c r="Y303" s="59"/>
    </row>
    <row r="304" spans="1:25" ht="18">
      <c r="A304" s="76"/>
      <c r="B304" s="59"/>
      <c r="C304" s="59"/>
      <c r="D304" s="59"/>
      <c r="E304" s="59"/>
      <c r="F304" s="59"/>
      <c r="G304" s="59"/>
      <c r="H304" s="59"/>
      <c r="I304" s="59"/>
      <c r="J304" s="59"/>
      <c r="K304" s="59"/>
      <c r="L304" s="59"/>
      <c r="M304" s="59"/>
      <c r="N304" s="59"/>
      <c r="O304" s="59"/>
      <c r="P304" s="59"/>
      <c r="Q304" s="59"/>
      <c r="R304" s="59"/>
      <c r="S304" s="59"/>
      <c r="T304" s="59"/>
      <c r="U304" s="59"/>
      <c r="V304" s="59"/>
      <c r="W304" s="59"/>
      <c r="X304" s="59"/>
      <c r="Y304" s="59"/>
    </row>
    <row r="305" spans="1:25" ht="18">
      <c r="A305" s="76"/>
      <c r="B305" s="59"/>
      <c r="C305" s="59"/>
      <c r="D305" s="59"/>
      <c r="E305" s="59"/>
      <c r="F305" s="59"/>
      <c r="G305" s="59"/>
      <c r="H305" s="59"/>
      <c r="I305" s="59"/>
      <c r="J305" s="59"/>
      <c r="K305" s="59"/>
      <c r="L305" s="59"/>
      <c r="M305" s="59"/>
      <c r="N305" s="59"/>
      <c r="O305" s="59"/>
      <c r="P305" s="59"/>
      <c r="Q305" s="59"/>
      <c r="R305" s="59"/>
      <c r="S305" s="59"/>
      <c r="T305" s="59"/>
      <c r="U305" s="59"/>
      <c r="V305" s="59"/>
      <c r="W305" s="59"/>
      <c r="X305" s="59"/>
      <c r="Y305" s="59"/>
    </row>
    <row r="306" spans="1:25" ht="18">
      <c r="A306" s="76"/>
      <c r="B306" s="59"/>
      <c r="C306" s="59"/>
      <c r="D306" s="59"/>
      <c r="E306" s="59"/>
      <c r="F306" s="59"/>
      <c r="G306" s="59"/>
      <c r="H306" s="59"/>
      <c r="I306" s="59"/>
      <c r="J306" s="59"/>
      <c r="K306" s="59"/>
      <c r="L306" s="59"/>
      <c r="M306" s="59"/>
      <c r="N306" s="59"/>
      <c r="O306" s="59"/>
      <c r="P306" s="59"/>
      <c r="Q306" s="59"/>
      <c r="R306" s="59"/>
      <c r="S306" s="59"/>
      <c r="T306" s="59"/>
      <c r="U306" s="59"/>
      <c r="V306" s="59"/>
      <c r="W306" s="59"/>
      <c r="X306" s="59"/>
      <c r="Y306" s="59"/>
    </row>
    <row r="307" spans="1:25" ht="18">
      <c r="A307" s="76"/>
      <c r="B307" s="59"/>
      <c r="C307" s="59"/>
      <c r="D307" s="59"/>
      <c r="E307" s="59"/>
      <c r="F307" s="59"/>
      <c r="G307" s="59"/>
      <c r="H307" s="59"/>
      <c r="I307" s="59"/>
      <c r="J307" s="59"/>
      <c r="K307" s="59"/>
      <c r="L307" s="59"/>
      <c r="M307" s="59"/>
      <c r="N307" s="59"/>
      <c r="O307" s="59"/>
      <c r="P307" s="59"/>
      <c r="Q307" s="59"/>
      <c r="R307" s="59"/>
      <c r="S307" s="59"/>
      <c r="T307" s="59"/>
      <c r="U307" s="59"/>
      <c r="V307" s="59"/>
      <c r="W307" s="59"/>
      <c r="X307" s="59"/>
      <c r="Y307" s="59"/>
    </row>
    <row r="308" spans="1:25" ht="18">
      <c r="A308" s="76"/>
      <c r="B308" s="59"/>
      <c r="C308" s="59"/>
      <c r="D308" s="59"/>
      <c r="E308" s="59"/>
      <c r="F308" s="59"/>
      <c r="G308" s="59"/>
      <c r="H308" s="59"/>
      <c r="I308" s="59"/>
      <c r="J308" s="59"/>
      <c r="K308" s="59"/>
      <c r="L308" s="59"/>
      <c r="M308" s="59"/>
      <c r="N308" s="59"/>
      <c r="O308" s="59"/>
      <c r="P308" s="59"/>
      <c r="Q308" s="59"/>
      <c r="R308" s="59"/>
      <c r="S308" s="59"/>
      <c r="T308" s="59"/>
      <c r="U308" s="59"/>
      <c r="V308" s="59"/>
      <c r="W308" s="59"/>
      <c r="X308" s="59"/>
      <c r="Y308" s="59"/>
    </row>
    <row r="309" spans="1:25" ht="18">
      <c r="A309" s="76"/>
      <c r="B309" s="59"/>
      <c r="C309" s="59"/>
      <c r="D309" s="59"/>
      <c r="E309" s="59"/>
      <c r="F309" s="59"/>
      <c r="G309" s="59"/>
      <c r="H309" s="59"/>
      <c r="I309" s="59"/>
      <c r="J309" s="59"/>
      <c r="K309" s="59"/>
      <c r="L309" s="59"/>
      <c r="M309" s="59"/>
      <c r="N309" s="59"/>
      <c r="O309" s="59"/>
      <c r="P309" s="59"/>
      <c r="Q309" s="59"/>
      <c r="R309" s="59"/>
      <c r="S309" s="59"/>
      <c r="T309" s="59"/>
      <c r="U309" s="59"/>
      <c r="V309" s="59"/>
      <c r="W309" s="59"/>
      <c r="X309" s="59"/>
      <c r="Y309" s="59"/>
    </row>
    <row r="310" spans="1:25" ht="18">
      <c r="A310" s="76"/>
      <c r="B310" s="59"/>
      <c r="C310" s="59"/>
      <c r="D310" s="59"/>
      <c r="E310" s="59"/>
      <c r="F310" s="59"/>
      <c r="G310" s="59"/>
      <c r="H310" s="59"/>
      <c r="I310" s="59"/>
      <c r="J310" s="59"/>
      <c r="K310" s="59"/>
      <c r="L310" s="59"/>
      <c r="M310" s="59"/>
      <c r="N310" s="59"/>
      <c r="O310" s="59"/>
      <c r="P310" s="59"/>
      <c r="Q310" s="59"/>
      <c r="R310" s="59"/>
      <c r="S310" s="59"/>
      <c r="T310" s="59"/>
      <c r="U310" s="59"/>
      <c r="V310" s="59"/>
      <c r="W310" s="59"/>
      <c r="X310" s="59"/>
      <c r="Y310" s="59"/>
    </row>
    <row r="311" spans="1:25" ht="18">
      <c r="A311" s="76"/>
      <c r="B311" s="59"/>
      <c r="C311" s="59"/>
      <c r="D311" s="59"/>
      <c r="E311" s="59"/>
      <c r="F311" s="59"/>
      <c r="G311" s="59"/>
      <c r="H311" s="59"/>
      <c r="I311" s="59"/>
      <c r="J311" s="59"/>
      <c r="K311" s="59"/>
      <c r="L311" s="59"/>
      <c r="M311" s="59"/>
      <c r="N311" s="59"/>
      <c r="O311" s="59"/>
      <c r="P311" s="59"/>
      <c r="Q311" s="59"/>
      <c r="R311" s="59"/>
      <c r="S311" s="59"/>
      <c r="T311" s="59"/>
      <c r="U311" s="59"/>
      <c r="V311" s="59"/>
      <c r="W311" s="59"/>
      <c r="X311" s="59"/>
      <c r="Y311" s="59"/>
    </row>
    <row r="312" spans="1:25" ht="18">
      <c r="A312" s="76"/>
      <c r="B312" s="59"/>
      <c r="C312" s="59"/>
      <c r="D312" s="59"/>
      <c r="E312" s="59"/>
      <c r="F312" s="59"/>
      <c r="G312" s="59"/>
      <c r="H312" s="59"/>
      <c r="I312" s="59"/>
      <c r="J312" s="59"/>
      <c r="K312" s="59"/>
      <c r="L312" s="59"/>
      <c r="M312" s="59"/>
      <c r="N312" s="59"/>
      <c r="O312" s="59"/>
      <c r="P312" s="59"/>
      <c r="Q312" s="59"/>
      <c r="R312" s="59"/>
      <c r="S312" s="59"/>
      <c r="T312" s="59"/>
      <c r="U312" s="59"/>
      <c r="V312" s="59"/>
      <c r="W312" s="59"/>
      <c r="X312" s="59"/>
      <c r="Y312" s="59"/>
    </row>
    <row r="313" spans="1:25" ht="18">
      <c r="A313" s="76"/>
      <c r="B313" s="59"/>
      <c r="C313" s="59"/>
      <c r="D313" s="59"/>
      <c r="E313" s="59"/>
      <c r="F313" s="59"/>
      <c r="G313" s="59"/>
      <c r="H313" s="59"/>
      <c r="I313" s="59"/>
      <c r="J313" s="59"/>
      <c r="K313" s="59"/>
      <c r="L313" s="59"/>
      <c r="M313" s="59"/>
      <c r="N313" s="59"/>
      <c r="O313" s="59"/>
      <c r="P313" s="59"/>
      <c r="Q313" s="59"/>
      <c r="R313" s="59"/>
      <c r="S313" s="59"/>
      <c r="T313" s="59"/>
      <c r="U313" s="59"/>
      <c r="V313" s="59"/>
      <c r="W313" s="59"/>
      <c r="X313" s="59"/>
      <c r="Y313" s="59"/>
    </row>
    <row r="314" spans="1:25" ht="18">
      <c r="A314" s="76"/>
      <c r="B314" s="59"/>
      <c r="C314" s="59"/>
      <c r="D314" s="59"/>
      <c r="E314" s="59"/>
      <c r="F314" s="59"/>
      <c r="G314" s="59"/>
      <c r="H314" s="59"/>
      <c r="I314" s="59"/>
      <c r="J314" s="59"/>
      <c r="K314" s="59"/>
      <c r="L314" s="59"/>
      <c r="M314" s="59"/>
      <c r="N314" s="59"/>
      <c r="O314" s="59"/>
      <c r="P314" s="59"/>
      <c r="Q314" s="59"/>
      <c r="R314" s="59"/>
      <c r="S314" s="59"/>
      <c r="T314" s="59"/>
      <c r="U314" s="59"/>
      <c r="V314" s="59"/>
      <c r="W314" s="59"/>
      <c r="X314" s="59"/>
      <c r="Y314" s="59"/>
    </row>
    <row r="315" spans="1:25" ht="18">
      <c r="A315" s="76"/>
      <c r="B315" s="59"/>
      <c r="C315" s="59"/>
      <c r="D315" s="59"/>
      <c r="E315" s="59"/>
      <c r="F315" s="59"/>
      <c r="G315" s="59"/>
      <c r="H315" s="59"/>
      <c r="I315" s="59"/>
      <c r="J315" s="59"/>
      <c r="K315" s="59"/>
      <c r="L315" s="59"/>
      <c r="M315" s="59"/>
      <c r="N315" s="59"/>
      <c r="O315" s="59"/>
      <c r="P315" s="59"/>
      <c r="Q315" s="59"/>
      <c r="R315" s="59"/>
      <c r="S315" s="59"/>
      <c r="T315" s="59"/>
      <c r="U315" s="59"/>
      <c r="V315" s="59"/>
      <c r="W315" s="59"/>
      <c r="X315" s="59"/>
      <c r="Y315" s="59"/>
    </row>
    <row r="316" spans="1:25" ht="18">
      <c r="A316" s="76"/>
      <c r="B316" s="59"/>
      <c r="C316" s="59"/>
      <c r="D316" s="59"/>
      <c r="E316" s="59"/>
      <c r="F316" s="59"/>
      <c r="G316" s="59"/>
      <c r="H316" s="59"/>
      <c r="I316" s="59"/>
      <c r="J316" s="59"/>
      <c r="K316" s="59"/>
      <c r="L316" s="59"/>
      <c r="M316" s="59"/>
      <c r="N316" s="59"/>
      <c r="O316" s="59"/>
      <c r="P316" s="59"/>
      <c r="Q316" s="59"/>
      <c r="R316" s="59"/>
      <c r="S316" s="59"/>
      <c r="T316" s="59"/>
      <c r="U316" s="59"/>
      <c r="V316" s="59"/>
      <c r="W316" s="59"/>
      <c r="X316" s="59"/>
      <c r="Y316" s="59"/>
    </row>
    <row r="317" spans="1:25" ht="18">
      <c r="A317" s="76"/>
      <c r="B317" s="59"/>
      <c r="C317" s="59"/>
      <c r="D317" s="59"/>
      <c r="E317" s="59"/>
      <c r="F317" s="59"/>
      <c r="G317" s="59"/>
      <c r="H317" s="59"/>
      <c r="I317" s="59"/>
      <c r="J317" s="59"/>
      <c r="K317" s="59"/>
      <c r="L317" s="59"/>
      <c r="M317" s="59"/>
      <c r="N317" s="59"/>
      <c r="O317" s="59"/>
      <c r="P317" s="59"/>
      <c r="Q317" s="59"/>
      <c r="R317" s="59"/>
      <c r="S317" s="59"/>
      <c r="T317" s="59"/>
      <c r="U317" s="59"/>
      <c r="V317" s="59"/>
      <c r="W317" s="59"/>
      <c r="X317" s="59"/>
      <c r="Y317" s="59"/>
    </row>
    <row r="318" spans="1:25" ht="18">
      <c r="A318" s="76"/>
      <c r="B318" s="59"/>
      <c r="C318" s="59"/>
      <c r="D318" s="59"/>
      <c r="E318" s="59"/>
      <c r="F318" s="59"/>
      <c r="G318" s="59"/>
      <c r="H318" s="59"/>
      <c r="I318" s="59"/>
      <c r="J318" s="59"/>
      <c r="K318" s="59"/>
      <c r="L318" s="59"/>
      <c r="M318" s="59"/>
      <c r="N318" s="59"/>
      <c r="O318" s="59"/>
      <c r="P318" s="59"/>
      <c r="Q318" s="59"/>
      <c r="R318" s="59"/>
      <c r="S318" s="59"/>
      <c r="T318" s="59"/>
      <c r="U318" s="59"/>
      <c r="V318" s="59"/>
      <c r="W318" s="59"/>
      <c r="X318" s="59"/>
      <c r="Y318" s="59"/>
    </row>
    <row r="319" spans="1:25" ht="18">
      <c r="A319" s="76"/>
      <c r="B319" s="59"/>
      <c r="C319" s="59"/>
      <c r="D319" s="59"/>
      <c r="E319" s="59"/>
      <c r="F319" s="59"/>
      <c r="G319" s="59"/>
      <c r="H319" s="59"/>
      <c r="I319" s="59"/>
      <c r="J319" s="59"/>
      <c r="K319" s="59"/>
      <c r="L319" s="59"/>
      <c r="M319" s="59"/>
      <c r="N319" s="59"/>
      <c r="O319" s="59"/>
      <c r="P319" s="59"/>
      <c r="Q319" s="59"/>
      <c r="R319" s="59"/>
      <c r="S319" s="59"/>
      <c r="T319" s="59"/>
      <c r="U319" s="59"/>
      <c r="V319" s="59"/>
      <c r="W319" s="59"/>
      <c r="X319" s="59"/>
      <c r="Y319" s="59"/>
    </row>
    <row r="320" spans="1:25" ht="18">
      <c r="A320" s="76"/>
      <c r="B320" s="59"/>
      <c r="C320" s="59"/>
      <c r="D320" s="59"/>
      <c r="E320" s="59"/>
      <c r="F320" s="59"/>
      <c r="G320" s="59"/>
      <c r="H320" s="59"/>
      <c r="I320" s="59"/>
      <c r="J320" s="59"/>
      <c r="K320" s="59"/>
      <c r="L320" s="59"/>
      <c r="M320" s="59"/>
      <c r="N320" s="59"/>
      <c r="O320" s="59"/>
      <c r="P320" s="59"/>
      <c r="Q320" s="59"/>
      <c r="R320" s="59"/>
      <c r="S320" s="59"/>
      <c r="T320" s="59"/>
      <c r="U320" s="59"/>
      <c r="V320" s="59"/>
      <c r="W320" s="59"/>
      <c r="X320" s="59"/>
      <c r="Y320" s="59"/>
    </row>
    <row r="321" spans="1:25" ht="18">
      <c r="A321" s="76"/>
      <c r="B321" s="59"/>
      <c r="C321" s="59"/>
      <c r="D321" s="59"/>
      <c r="E321" s="59"/>
      <c r="F321" s="59"/>
      <c r="G321" s="59"/>
      <c r="H321" s="59"/>
      <c r="I321" s="59"/>
      <c r="J321" s="59"/>
      <c r="K321" s="59"/>
      <c r="L321" s="59"/>
      <c r="M321" s="59"/>
      <c r="N321" s="59"/>
      <c r="O321" s="59"/>
      <c r="P321" s="59"/>
      <c r="Q321" s="59"/>
      <c r="R321" s="59"/>
      <c r="S321" s="59"/>
      <c r="T321" s="59"/>
      <c r="U321" s="59"/>
      <c r="V321" s="59"/>
      <c r="W321" s="59"/>
      <c r="X321" s="59"/>
      <c r="Y321" s="59"/>
    </row>
    <row r="322" spans="1:25" ht="18">
      <c r="A322" s="76"/>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row>
    <row r="323" spans="1:25" ht="18">
      <c r="A323" s="76"/>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row>
    <row r="324" spans="1:25" ht="18">
      <c r="A324" s="76"/>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row>
    <row r="325" spans="1:25" ht="18">
      <c r="A325" s="76"/>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row>
    <row r="326" spans="1:25" ht="18">
      <c r="A326" s="76"/>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row>
    <row r="327" spans="1:25" ht="18">
      <c r="A327" s="76"/>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row>
    <row r="328" spans="1:25" ht="18">
      <c r="A328" s="76"/>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row>
    <row r="329" spans="1:25" ht="18">
      <c r="A329" s="76"/>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row>
    <row r="330" spans="1:25" ht="18">
      <c r="A330" s="76"/>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row>
    <row r="331" spans="1:25" ht="18">
      <c r="A331" s="76"/>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row>
    <row r="332" spans="1:25" ht="18">
      <c r="A332" s="76"/>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row>
    <row r="333" spans="1:25" ht="18">
      <c r="A333" s="76"/>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row>
    <row r="334" spans="1:25" ht="18">
      <c r="A334" s="76"/>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row>
    <row r="335" spans="1:25" ht="18">
      <c r="A335" s="76"/>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row>
    <row r="336" spans="1:25" ht="18">
      <c r="A336" s="76"/>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row>
    <row r="337" spans="1:25" ht="18">
      <c r="A337" s="76"/>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row>
    <row r="338" spans="1:25" ht="18">
      <c r="A338" s="76"/>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row>
    <row r="339" spans="1:25" ht="18">
      <c r="A339" s="76"/>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row>
    <row r="340" spans="1:25" ht="18">
      <c r="A340" s="76"/>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row>
    <row r="341" spans="1:25" ht="18">
      <c r="A341" s="76"/>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row>
    <row r="342" spans="1:25" ht="18">
      <c r="A342" s="76"/>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row>
    <row r="343" spans="1:25" ht="18">
      <c r="A343" s="76"/>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row>
    <row r="344" spans="1:25" ht="18">
      <c r="A344" s="76"/>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row>
    <row r="345" spans="1:25" ht="18">
      <c r="A345" s="76"/>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row>
    <row r="346" spans="1:25" ht="18">
      <c r="A346" s="76"/>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row>
    <row r="347" spans="1:25" ht="18">
      <c r="A347" s="76"/>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row>
    <row r="348" spans="1:25" ht="18">
      <c r="A348" s="76"/>
      <c r="B348" s="59"/>
      <c r="C348" s="59"/>
      <c r="D348" s="59"/>
      <c r="E348" s="59"/>
      <c r="F348" s="59"/>
      <c r="G348" s="59"/>
      <c r="H348" s="59"/>
      <c r="I348" s="59"/>
      <c r="J348" s="59"/>
      <c r="K348" s="59"/>
      <c r="L348" s="59"/>
      <c r="M348" s="59"/>
      <c r="N348" s="59"/>
      <c r="O348" s="59"/>
      <c r="P348" s="59"/>
      <c r="Q348" s="59"/>
      <c r="R348" s="59"/>
      <c r="S348" s="59"/>
      <c r="T348" s="59"/>
      <c r="U348" s="59"/>
      <c r="V348" s="59"/>
      <c r="W348" s="59"/>
      <c r="X348" s="59"/>
      <c r="Y348" s="59"/>
    </row>
    <row r="349" spans="1:25" ht="18">
      <c r="A349" s="76"/>
      <c r="B349" s="59"/>
      <c r="C349" s="59"/>
      <c r="D349" s="59"/>
      <c r="E349" s="59"/>
      <c r="F349" s="59"/>
      <c r="G349" s="59"/>
      <c r="H349" s="59"/>
      <c r="I349" s="59"/>
      <c r="J349" s="59"/>
      <c r="K349" s="59"/>
      <c r="L349" s="59"/>
      <c r="M349" s="59"/>
      <c r="N349" s="59"/>
      <c r="O349" s="59"/>
      <c r="P349" s="59"/>
      <c r="Q349" s="59"/>
      <c r="R349" s="59"/>
      <c r="S349" s="59"/>
      <c r="T349" s="59"/>
      <c r="U349" s="59"/>
      <c r="V349" s="59"/>
      <c r="W349" s="59"/>
      <c r="X349" s="59"/>
      <c r="Y349" s="59"/>
    </row>
    <row r="350" spans="1:25" ht="18">
      <c r="A350" s="76"/>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row>
    <row r="351" spans="1:25" ht="18">
      <c r="A351" s="76"/>
      <c r="B351" s="59"/>
      <c r="C351" s="59"/>
      <c r="D351" s="59"/>
      <c r="E351" s="59"/>
      <c r="F351" s="59"/>
      <c r="G351" s="59"/>
      <c r="H351" s="59"/>
      <c r="I351" s="59"/>
      <c r="J351" s="59"/>
      <c r="K351" s="59"/>
      <c r="L351" s="59"/>
      <c r="M351" s="59"/>
      <c r="N351" s="59"/>
      <c r="O351" s="59"/>
      <c r="P351" s="59"/>
      <c r="Q351" s="59"/>
      <c r="R351" s="59"/>
      <c r="S351" s="59"/>
      <c r="T351" s="59"/>
      <c r="U351" s="59"/>
      <c r="V351" s="59"/>
      <c r="W351" s="59"/>
      <c r="X351" s="59"/>
      <c r="Y351" s="59"/>
    </row>
    <row r="352" spans="1:25" ht="18">
      <c r="A352" s="76"/>
      <c r="B352" s="59"/>
      <c r="C352" s="59"/>
      <c r="D352" s="59"/>
      <c r="E352" s="59"/>
      <c r="F352" s="59"/>
      <c r="G352" s="59"/>
      <c r="H352" s="59"/>
      <c r="I352" s="59"/>
      <c r="J352" s="59"/>
      <c r="K352" s="59"/>
      <c r="L352" s="59"/>
      <c r="M352" s="59"/>
      <c r="N352" s="59"/>
      <c r="O352" s="59"/>
      <c r="P352" s="59"/>
      <c r="Q352" s="59"/>
      <c r="R352" s="59"/>
      <c r="S352" s="59"/>
      <c r="T352" s="59"/>
      <c r="U352" s="59"/>
      <c r="V352" s="59"/>
      <c r="W352" s="59"/>
      <c r="X352" s="59"/>
      <c r="Y352" s="59"/>
    </row>
    <row r="353" spans="1:25" ht="18">
      <c r="A353" s="76"/>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row>
    <row r="354" spans="1:25" ht="18">
      <c r="A354" s="76"/>
      <c r="B354" s="59"/>
      <c r="C354" s="59"/>
      <c r="D354" s="59"/>
      <c r="E354" s="59"/>
      <c r="F354" s="59"/>
      <c r="G354" s="59"/>
      <c r="H354" s="59"/>
      <c r="I354" s="59"/>
      <c r="J354" s="59"/>
      <c r="K354" s="59"/>
      <c r="L354" s="59"/>
      <c r="M354" s="59"/>
      <c r="N354" s="59"/>
      <c r="O354" s="59"/>
      <c r="P354" s="59"/>
      <c r="Q354" s="59"/>
      <c r="R354" s="59"/>
      <c r="S354" s="59"/>
      <c r="T354" s="59"/>
      <c r="U354" s="59"/>
      <c r="V354" s="59"/>
      <c r="W354" s="59"/>
      <c r="X354" s="59"/>
      <c r="Y354" s="59"/>
    </row>
    <row r="355" spans="1:25" ht="18">
      <c r="A355" s="76"/>
      <c r="B355" s="59"/>
      <c r="C355" s="59"/>
      <c r="D355" s="59"/>
      <c r="E355" s="59"/>
      <c r="F355" s="59"/>
      <c r="G355" s="59"/>
      <c r="H355" s="59"/>
      <c r="I355" s="59"/>
      <c r="J355" s="59"/>
      <c r="K355" s="59"/>
      <c r="L355" s="59"/>
      <c r="M355" s="59"/>
      <c r="N355" s="59"/>
      <c r="O355" s="59"/>
      <c r="P355" s="59"/>
      <c r="Q355" s="59"/>
      <c r="R355" s="59"/>
      <c r="S355" s="59"/>
      <c r="T355" s="59"/>
      <c r="U355" s="59"/>
      <c r="V355" s="59"/>
      <c r="W355" s="59"/>
      <c r="X355" s="59"/>
      <c r="Y355" s="59"/>
    </row>
    <row r="356" spans="1:25" ht="18">
      <c r="A356" s="76"/>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row>
    <row r="357" spans="1:25" ht="18">
      <c r="A357" s="76"/>
      <c r="B357" s="59"/>
      <c r="C357" s="59"/>
      <c r="D357" s="59"/>
      <c r="E357" s="59"/>
      <c r="F357" s="59"/>
      <c r="G357" s="59"/>
      <c r="H357" s="59"/>
      <c r="I357" s="59"/>
      <c r="J357" s="59"/>
      <c r="K357" s="59"/>
      <c r="L357" s="59"/>
      <c r="M357" s="59"/>
      <c r="N357" s="59"/>
      <c r="O357" s="59"/>
      <c r="P357" s="59"/>
      <c r="Q357" s="59"/>
      <c r="R357" s="59"/>
      <c r="S357" s="59"/>
      <c r="T357" s="59"/>
      <c r="U357" s="59"/>
      <c r="V357" s="59"/>
      <c r="W357" s="59"/>
      <c r="X357" s="59"/>
      <c r="Y357" s="59"/>
    </row>
    <row r="358" spans="1:25" ht="18">
      <c r="A358" s="76"/>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row>
    <row r="359" spans="1:25" ht="18">
      <c r="A359" s="76"/>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row>
    <row r="360" spans="1:25" ht="18">
      <c r="A360" s="76"/>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row>
    <row r="361" spans="1:25" ht="18">
      <c r="A361" s="76"/>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row>
    <row r="362" spans="1:25" ht="18">
      <c r="A362" s="76"/>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row>
    <row r="363" spans="1:25" ht="18">
      <c r="A363" s="76"/>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row>
    <row r="364" spans="1:25" ht="18">
      <c r="A364" s="76"/>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row>
    <row r="365" spans="1:25" ht="18">
      <c r="A365" s="76"/>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row>
    <row r="366" spans="1:25" ht="18">
      <c r="A366" s="76"/>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row>
    <row r="367" spans="1:25" ht="18">
      <c r="A367" s="76"/>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row>
    <row r="368" spans="1:25" ht="18">
      <c r="A368" s="76"/>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row>
    <row r="369" spans="1:25" ht="18">
      <c r="A369" s="76"/>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row>
    <row r="370" spans="1:25" ht="18">
      <c r="A370" s="76"/>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row>
    <row r="371" spans="1:25" ht="18">
      <c r="A371" s="76"/>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row>
    <row r="372" spans="1:25" ht="18">
      <c r="A372" s="76"/>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row>
    <row r="373" spans="1:25" ht="18">
      <c r="A373" s="76"/>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row>
    <row r="374" spans="1:25" ht="18">
      <c r="A374" s="76"/>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row>
    <row r="375" spans="1:25" ht="18">
      <c r="A375" s="76"/>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row>
    <row r="376" spans="1:25" ht="18">
      <c r="A376" s="76"/>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row>
    <row r="377" spans="1:25" ht="18">
      <c r="A377" s="76"/>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row>
    <row r="378" spans="1:25" ht="18">
      <c r="A378" s="76"/>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row>
    <row r="379" spans="1:25" ht="18">
      <c r="A379" s="76"/>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row>
    <row r="380" spans="1:25" ht="18">
      <c r="A380" s="76"/>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row>
    <row r="381" spans="1:25" ht="18">
      <c r="A381" s="76"/>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row>
    <row r="382" spans="1:25" ht="18">
      <c r="A382" s="76"/>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row>
    <row r="383" spans="1:25" ht="18">
      <c r="A383" s="76"/>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row>
    <row r="384" spans="1:25" ht="18">
      <c r="A384" s="76"/>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row>
    <row r="385" spans="1:25" ht="18">
      <c r="A385" s="76"/>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row>
    <row r="386" spans="1:25" ht="18">
      <c r="A386" s="76"/>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row>
    <row r="387" spans="1:25" ht="18">
      <c r="A387" s="76"/>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row>
    <row r="388" spans="1:25" ht="18">
      <c r="A388" s="76"/>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row>
    <row r="389" spans="1:25" ht="18">
      <c r="A389" s="76"/>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row>
    <row r="390" spans="1:25" ht="18">
      <c r="A390" s="76"/>
      <c r="B390" s="59"/>
      <c r="C390" s="59"/>
      <c r="D390" s="59"/>
      <c r="E390" s="59"/>
      <c r="F390" s="59"/>
      <c r="G390" s="59"/>
      <c r="H390" s="59"/>
      <c r="I390" s="59"/>
      <c r="J390" s="59"/>
      <c r="K390" s="59"/>
      <c r="L390" s="59"/>
      <c r="M390" s="59"/>
      <c r="N390" s="59"/>
      <c r="O390" s="59"/>
      <c r="P390" s="59"/>
      <c r="Q390" s="59"/>
      <c r="R390" s="59"/>
      <c r="S390" s="59"/>
      <c r="T390" s="59"/>
      <c r="U390" s="59"/>
      <c r="V390" s="59"/>
      <c r="W390" s="59"/>
      <c r="X390" s="59"/>
      <c r="Y390" s="59"/>
    </row>
    <row r="391" spans="1:25" ht="18">
      <c r="A391" s="76"/>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row>
    <row r="392" spans="1:25" ht="18">
      <c r="A392" s="76"/>
      <c r="B392" s="59"/>
      <c r="C392" s="59"/>
      <c r="D392" s="59"/>
      <c r="E392" s="59"/>
      <c r="F392" s="59"/>
      <c r="G392" s="59"/>
      <c r="H392" s="59"/>
      <c r="I392" s="59"/>
      <c r="J392" s="59"/>
      <c r="K392" s="59"/>
      <c r="L392" s="59"/>
      <c r="M392" s="59"/>
      <c r="N392" s="59"/>
      <c r="O392" s="59"/>
      <c r="P392" s="59"/>
      <c r="Q392" s="59"/>
      <c r="R392" s="59"/>
      <c r="S392" s="59"/>
      <c r="T392" s="59"/>
      <c r="U392" s="59"/>
      <c r="V392" s="59"/>
      <c r="W392" s="59"/>
      <c r="X392" s="59"/>
      <c r="Y392" s="59"/>
    </row>
    <row r="393" spans="1:25" ht="18">
      <c r="A393" s="76"/>
      <c r="B393" s="59"/>
      <c r="C393" s="59"/>
      <c r="D393" s="59"/>
      <c r="E393" s="59"/>
      <c r="F393" s="59"/>
      <c r="G393" s="59"/>
      <c r="H393" s="59"/>
      <c r="I393" s="59"/>
      <c r="J393" s="59"/>
      <c r="K393" s="59"/>
      <c r="L393" s="59"/>
      <c r="M393" s="59"/>
      <c r="N393" s="59"/>
      <c r="O393" s="59"/>
      <c r="P393" s="59"/>
      <c r="Q393" s="59"/>
      <c r="R393" s="59"/>
      <c r="S393" s="59"/>
      <c r="T393" s="59"/>
      <c r="U393" s="59"/>
      <c r="V393" s="59"/>
      <c r="W393" s="59"/>
      <c r="X393" s="59"/>
      <c r="Y393" s="59"/>
    </row>
    <row r="394" spans="1:25" ht="18">
      <c r="A394" s="76"/>
      <c r="B394" s="59"/>
      <c r="C394" s="59"/>
      <c r="D394" s="59"/>
      <c r="E394" s="59"/>
      <c r="F394" s="59"/>
      <c r="G394" s="59"/>
      <c r="H394" s="59"/>
      <c r="I394" s="59"/>
      <c r="J394" s="59"/>
      <c r="K394" s="59"/>
      <c r="L394" s="59"/>
      <c r="M394" s="59"/>
      <c r="N394" s="59"/>
      <c r="O394" s="59"/>
      <c r="P394" s="59"/>
      <c r="Q394" s="59"/>
      <c r="R394" s="59"/>
      <c r="S394" s="59"/>
      <c r="T394" s="59"/>
      <c r="U394" s="59"/>
      <c r="V394" s="59"/>
      <c r="W394" s="59"/>
      <c r="X394" s="59"/>
      <c r="Y394" s="59"/>
    </row>
    <row r="395" spans="1:25" ht="18">
      <c r="A395" s="76"/>
      <c r="B395" s="59"/>
      <c r="C395" s="59"/>
      <c r="D395" s="59"/>
      <c r="E395" s="59"/>
      <c r="F395" s="59"/>
      <c r="G395" s="59"/>
      <c r="H395" s="59"/>
      <c r="I395" s="59"/>
      <c r="J395" s="59"/>
      <c r="K395" s="59"/>
      <c r="L395" s="59"/>
      <c r="M395" s="59"/>
      <c r="N395" s="59"/>
      <c r="O395" s="59"/>
      <c r="P395" s="59"/>
      <c r="Q395" s="59"/>
      <c r="R395" s="59"/>
      <c r="S395" s="59"/>
      <c r="T395" s="59"/>
      <c r="U395" s="59"/>
      <c r="V395" s="59"/>
      <c r="W395" s="59"/>
      <c r="X395" s="59"/>
      <c r="Y395" s="59"/>
    </row>
    <row r="396" spans="1:25" ht="18">
      <c r="A396" s="76"/>
      <c r="B396" s="59"/>
      <c r="C396" s="59"/>
      <c r="D396" s="59"/>
      <c r="E396" s="59"/>
      <c r="F396" s="59"/>
      <c r="G396" s="59"/>
      <c r="H396" s="59"/>
      <c r="I396" s="59"/>
      <c r="J396" s="59"/>
      <c r="K396" s="59"/>
      <c r="L396" s="59"/>
      <c r="M396" s="59"/>
      <c r="N396" s="59"/>
      <c r="O396" s="59"/>
      <c r="P396" s="59"/>
      <c r="Q396" s="59"/>
      <c r="R396" s="59"/>
      <c r="S396" s="59"/>
      <c r="T396" s="59"/>
      <c r="U396" s="59"/>
      <c r="V396" s="59"/>
      <c r="W396" s="59"/>
      <c r="X396" s="59"/>
      <c r="Y396" s="59"/>
    </row>
    <row r="397" spans="1:25" ht="18">
      <c r="A397" s="76"/>
      <c r="B397" s="59"/>
      <c r="C397" s="59"/>
      <c r="D397" s="59"/>
      <c r="E397" s="59"/>
      <c r="F397" s="59"/>
      <c r="G397" s="59"/>
      <c r="H397" s="59"/>
      <c r="I397" s="59"/>
      <c r="J397" s="59"/>
      <c r="K397" s="59"/>
      <c r="L397" s="59"/>
      <c r="M397" s="59"/>
      <c r="N397" s="59"/>
      <c r="O397" s="59"/>
      <c r="P397" s="59"/>
      <c r="Q397" s="59"/>
      <c r="R397" s="59"/>
      <c r="S397" s="59"/>
      <c r="T397" s="59"/>
      <c r="U397" s="59"/>
      <c r="V397" s="59"/>
      <c r="W397" s="59"/>
      <c r="X397" s="59"/>
      <c r="Y397" s="59"/>
    </row>
    <row r="398" spans="1:25" ht="18">
      <c r="A398" s="76"/>
      <c r="B398" s="59"/>
      <c r="C398" s="59"/>
      <c r="D398" s="59"/>
      <c r="E398" s="59"/>
      <c r="F398" s="59"/>
      <c r="G398" s="59"/>
      <c r="H398" s="59"/>
      <c r="I398" s="59"/>
      <c r="J398" s="59"/>
      <c r="K398" s="59"/>
      <c r="L398" s="59"/>
      <c r="M398" s="59"/>
      <c r="N398" s="59"/>
      <c r="O398" s="59"/>
      <c r="P398" s="59"/>
      <c r="Q398" s="59"/>
      <c r="R398" s="59"/>
      <c r="S398" s="59"/>
      <c r="T398" s="59"/>
      <c r="U398" s="59"/>
      <c r="V398" s="59"/>
      <c r="W398" s="59"/>
      <c r="X398" s="59"/>
      <c r="Y398" s="59"/>
    </row>
    <row r="399" spans="1:25" ht="18">
      <c r="A399" s="76"/>
      <c r="B399" s="59"/>
      <c r="C399" s="59"/>
      <c r="D399" s="59"/>
      <c r="E399" s="59"/>
      <c r="F399" s="59"/>
      <c r="G399" s="59"/>
      <c r="H399" s="59"/>
      <c r="I399" s="59"/>
      <c r="J399" s="59"/>
      <c r="K399" s="59"/>
      <c r="L399" s="59"/>
      <c r="M399" s="59"/>
      <c r="N399" s="59"/>
      <c r="O399" s="59"/>
      <c r="P399" s="59"/>
      <c r="Q399" s="59"/>
      <c r="R399" s="59"/>
      <c r="S399" s="59"/>
      <c r="T399" s="59"/>
      <c r="U399" s="59"/>
      <c r="V399" s="59"/>
      <c r="W399" s="59"/>
      <c r="X399" s="59"/>
      <c r="Y399" s="59"/>
    </row>
    <row r="400" spans="1:25" ht="18">
      <c r="A400" s="76"/>
      <c r="B400" s="59"/>
      <c r="C400" s="59"/>
      <c r="D400" s="59"/>
      <c r="E400" s="59"/>
      <c r="F400" s="59"/>
      <c r="G400" s="59"/>
      <c r="H400" s="59"/>
      <c r="I400" s="59"/>
      <c r="J400" s="59"/>
      <c r="K400" s="59"/>
      <c r="L400" s="59"/>
      <c r="M400" s="59"/>
      <c r="N400" s="59"/>
      <c r="O400" s="59"/>
      <c r="P400" s="59"/>
      <c r="Q400" s="59"/>
      <c r="R400" s="59"/>
      <c r="S400" s="59"/>
      <c r="T400" s="59"/>
      <c r="U400" s="59"/>
      <c r="V400" s="59"/>
      <c r="W400" s="59"/>
      <c r="X400" s="59"/>
      <c r="Y400" s="59"/>
    </row>
    <row r="401" spans="1:25" ht="18">
      <c r="A401" s="76"/>
      <c r="B401" s="59"/>
      <c r="C401" s="59"/>
      <c r="D401" s="59"/>
      <c r="E401" s="59"/>
      <c r="F401" s="59"/>
      <c r="G401" s="59"/>
      <c r="H401" s="59"/>
      <c r="I401" s="59"/>
      <c r="J401" s="59"/>
      <c r="K401" s="59"/>
      <c r="L401" s="59"/>
      <c r="M401" s="59"/>
      <c r="N401" s="59"/>
      <c r="O401" s="59"/>
      <c r="P401" s="59"/>
      <c r="Q401" s="59"/>
      <c r="R401" s="59"/>
      <c r="S401" s="59"/>
      <c r="T401" s="59"/>
      <c r="U401" s="59"/>
      <c r="V401" s="59"/>
      <c r="W401" s="59"/>
      <c r="X401" s="59"/>
      <c r="Y401" s="59"/>
    </row>
    <row r="402" spans="1:25" ht="18">
      <c r="A402" s="76"/>
      <c r="B402" s="59"/>
      <c r="C402" s="59"/>
      <c r="D402" s="59"/>
      <c r="E402" s="59"/>
      <c r="F402" s="59"/>
      <c r="G402" s="59"/>
      <c r="H402" s="59"/>
      <c r="I402" s="59"/>
      <c r="J402" s="59"/>
      <c r="K402" s="59"/>
      <c r="L402" s="59"/>
      <c r="M402" s="59"/>
      <c r="N402" s="59"/>
      <c r="O402" s="59"/>
      <c r="P402" s="59"/>
      <c r="Q402" s="59"/>
      <c r="R402" s="59"/>
      <c r="S402" s="59"/>
      <c r="T402" s="59"/>
      <c r="U402" s="59"/>
      <c r="V402" s="59"/>
      <c r="W402" s="59"/>
      <c r="X402" s="59"/>
      <c r="Y402" s="59"/>
    </row>
    <row r="403" spans="1:25" ht="18">
      <c r="A403" s="76"/>
      <c r="B403" s="59"/>
      <c r="C403" s="59"/>
      <c r="D403" s="59"/>
      <c r="E403" s="59"/>
      <c r="F403" s="59"/>
      <c r="G403" s="59"/>
      <c r="H403" s="59"/>
      <c r="I403" s="59"/>
      <c r="J403" s="59"/>
      <c r="K403" s="59"/>
      <c r="L403" s="59"/>
      <c r="M403" s="59"/>
      <c r="N403" s="59"/>
      <c r="O403" s="59"/>
      <c r="P403" s="59"/>
      <c r="Q403" s="59"/>
      <c r="R403" s="59"/>
      <c r="S403" s="59"/>
      <c r="T403" s="59"/>
      <c r="U403" s="59"/>
      <c r="V403" s="59"/>
      <c r="W403" s="59"/>
      <c r="X403" s="59"/>
      <c r="Y403" s="59"/>
    </row>
    <row r="404" spans="1:25" ht="18">
      <c r="A404" s="76"/>
      <c r="B404" s="59"/>
      <c r="C404" s="59"/>
      <c r="D404" s="59"/>
      <c r="E404" s="59"/>
      <c r="F404" s="59"/>
      <c r="G404" s="59"/>
      <c r="H404" s="59"/>
      <c r="I404" s="59"/>
      <c r="J404" s="59"/>
      <c r="K404" s="59"/>
      <c r="L404" s="59"/>
      <c r="M404" s="59"/>
      <c r="N404" s="59"/>
      <c r="O404" s="59"/>
      <c r="P404" s="59"/>
      <c r="Q404" s="59"/>
      <c r="R404" s="59"/>
      <c r="S404" s="59"/>
      <c r="T404" s="59"/>
      <c r="U404" s="59"/>
      <c r="V404" s="59"/>
      <c r="W404" s="59"/>
      <c r="X404" s="59"/>
      <c r="Y404" s="59"/>
    </row>
    <row r="405" spans="1:25" ht="18">
      <c r="A405" s="76"/>
      <c r="B405" s="59"/>
      <c r="C405" s="59"/>
      <c r="D405" s="59"/>
      <c r="E405" s="59"/>
      <c r="F405" s="59"/>
      <c r="G405" s="59"/>
      <c r="H405" s="59"/>
      <c r="I405" s="59"/>
      <c r="J405" s="59"/>
      <c r="K405" s="59"/>
      <c r="L405" s="59"/>
      <c r="M405" s="59"/>
      <c r="N405" s="59"/>
      <c r="O405" s="59"/>
      <c r="P405" s="59"/>
      <c r="Q405" s="59"/>
      <c r="R405" s="59"/>
      <c r="S405" s="59"/>
      <c r="T405" s="59"/>
      <c r="U405" s="59"/>
      <c r="V405" s="59"/>
      <c r="W405" s="59"/>
      <c r="X405" s="59"/>
      <c r="Y405" s="59"/>
    </row>
    <row r="406" spans="1:25" ht="18">
      <c r="A406" s="76"/>
      <c r="B406" s="59"/>
      <c r="C406" s="59"/>
      <c r="D406" s="59"/>
      <c r="E406" s="59"/>
      <c r="F406" s="59"/>
      <c r="G406" s="59"/>
      <c r="H406" s="59"/>
      <c r="I406" s="59"/>
      <c r="J406" s="59"/>
      <c r="K406" s="59"/>
      <c r="L406" s="59"/>
      <c r="M406" s="59"/>
      <c r="N406" s="59"/>
      <c r="O406" s="59"/>
      <c r="P406" s="59"/>
      <c r="Q406" s="59"/>
      <c r="R406" s="59"/>
      <c r="S406" s="59"/>
      <c r="T406" s="59"/>
      <c r="U406" s="59"/>
      <c r="V406" s="59"/>
      <c r="W406" s="59"/>
      <c r="X406" s="59"/>
      <c r="Y406" s="59"/>
    </row>
    <row r="407" spans="1:25" ht="18">
      <c r="A407" s="76"/>
      <c r="B407" s="59"/>
      <c r="C407" s="59"/>
      <c r="D407" s="59"/>
      <c r="E407" s="59"/>
      <c r="F407" s="59"/>
      <c r="G407" s="59"/>
      <c r="H407" s="59"/>
      <c r="I407" s="59"/>
      <c r="J407" s="59"/>
      <c r="K407" s="59"/>
      <c r="L407" s="59"/>
      <c r="M407" s="59"/>
      <c r="N407" s="59"/>
      <c r="O407" s="59"/>
      <c r="P407" s="59"/>
      <c r="Q407" s="59"/>
      <c r="R407" s="59"/>
      <c r="S407" s="59"/>
      <c r="T407" s="59"/>
      <c r="U407" s="59"/>
      <c r="V407" s="59"/>
      <c r="W407" s="59"/>
      <c r="X407" s="59"/>
      <c r="Y407" s="59"/>
    </row>
    <row r="408" spans="1:25" ht="18">
      <c r="A408" s="76"/>
      <c r="B408" s="59"/>
      <c r="C408" s="59"/>
      <c r="D408" s="59"/>
      <c r="E408" s="59"/>
      <c r="F408" s="59"/>
      <c r="G408" s="59"/>
      <c r="H408" s="59"/>
      <c r="I408" s="59"/>
      <c r="J408" s="59"/>
      <c r="K408" s="59"/>
      <c r="L408" s="59"/>
      <c r="M408" s="59"/>
      <c r="N408" s="59"/>
      <c r="O408" s="59"/>
      <c r="P408" s="59"/>
      <c r="Q408" s="59"/>
      <c r="R408" s="59"/>
      <c r="S408" s="59"/>
      <c r="T408" s="59"/>
      <c r="U408" s="59"/>
      <c r="V408" s="59"/>
      <c r="W408" s="59"/>
      <c r="X408" s="59"/>
      <c r="Y408" s="59"/>
    </row>
    <row r="409" spans="1:25" ht="18">
      <c r="A409" s="76"/>
      <c r="B409" s="59"/>
      <c r="C409" s="59"/>
      <c r="D409" s="59"/>
      <c r="E409" s="59"/>
      <c r="F409" s="59"/>
      <c r="G409" s="59"/>
      <c r="H409" s="59"/>
      <c r="I409" s="59"/>
      <c r="J409" s="59"/>
      <c r="K409" s="59"/>
      <c r="L409" s="59"/>
      <c r="M409" s="59"/>
      <c r="N409" s="59"/>
      <c r="O409" s="59"/>
      <c r="P409" s="59"/>
      <c r="Q409" s="59"/>
      <c r="R409" s="59"/>
      <c r="S409" s="59"/>
      <c r="T409" s="59"/>
      <c r="U409" s="59"/>
      <c r="V409" s="59"/>
      <c r="W409" s="59"/>
      <c r="X409" s="59"/>
      <c r="Y409" s="59"/>
    </row>
    <row r="410" spans="1:25" ht="18">
      <c r="A410" s="76"/>
      <c r="B410" s="59"/>
      <c r="C410" s="59"/>
      <c r="D410" s="59"/>
      <c r="E410" s="59"/>
      <c r="F410" s="59"/>
      <c r="G410" s="59"/>
      <c r="H410" s="59"/>
      <c r="I410" s="59"/>
      <c r="J410" s="59"/>
      <c r="K410" s="59"/>
      <c r="L410" s="59"/>
      <c r="M410" s="59"/>
      <c r="N410" s="59"/>
      <c r="O410" s="59"/>
      <c r="P410" s="59"/>
      <c r="Q410" s="59"/>
      <c r="R410" s="59"/>
      <c r="S410" s="59"/>
      <c r="T410" s="59"/>
      <c r="U410" s="59"/>
      <c r="V410" s="59"/>
      <c r="W410" s="59"/>
      <c r="X410" s="59"/>
      <c r="Y410" s="59"/>
    </row>
    <row r="411" spans="1:25" ht="18">
      <c r="A411" s="76"/>
      <c r="B411" s="59"/>
      <c r="C411" s="59"/>
      <c r="D411" s="59"/>
      <c r="E411" s="59"/>
      <c r="F411" s="59"/>
      <c r="G411" s="59"/>
      <c r="H411" s="59"/>
      <c r="I411" s="59"/>
      <c r="J411" s="59"/>
      <c r="K411" s="59"/>
      <c r="L411" s="59"/>
      <c r="M411" s="59"/>
      <c r="N411" s="59"/>
      <c r="O411" s="59"/>
      <c r="P411" s="59"/>
      <c r="Q411" s="59"/>
      <c r="R411" s="59"/>
      <c r="S411" s="59"/>
      <c r="T411" s="59"/>
      <c r="U411" s="59"/>
      <c r="V411" s="59"/>
      <c r="W411" s="59"/>
      <c r="X411" s="59"/>
      <c r="Y411" s="59"/>
    </row>
    <row r="412" spans="1:25" ht="18">
      <c r="A412" s="76"/>
      <c r="B412" s="59"/>
      <c r="C412" s="59"/>
      <c r="D412" s="59"/>
      <c r="E412" s="59"/>
      <c r="F412" s="59"/>
      <c r="G412" s="59"/>
      <c r="H412" s="59"/>
      <c r="I412" s="59"/>
      <c r="J412" s="59"/>
      <c r="K412" s="59"/>
      <c r="L412" s="59"/>
      <c r="M412" s="59"/>
      <c r="N412" s="59"/>
      <c r="O412" s="59"/>
      <c r="P412" s="59"/>
      <c r="Q412" s="59"/>
      <c r="R412" s="59"/>
      <c r="S412" s="59"/>
      <c r="T412" s="59"/>
      <c r="U412" s="59"/>
      <c r="V412" s="59"/>
      <c r="W412" s="59"/>
      <c r="X412" s="59"/>
      <c r="Y412" s="59"/>
    </row>
    <row r="413" spans="1:25" ht="18">
      <c r="A413" s="76"/>
      <c r="B413" s="59"/>
      <c r="C413" s="59"/>
      <c r="D413" s="59"/>
      <c r="E413" s="59"/>
      <c r="F413" s="59"/>
      <c r="G413" s="59"/>
      <c r="H413" s="59"/>
      <c r="I413" s="59"/>
      <c r="J413" s="59"/>
      <c r="K413" s="59"/>
      <c r="L413" s="59"/>
      <c r="M413" s="59"/>
      <c r="N413" s="59"/>
      <c r="O413" s="59"/>
      <c r="P413" s="59"/>
      <c r="Q413" s="59"/>
      <c r="R413" s="59"/>
      <c r="S413" s="59"/>
      <c r="T413" s="59"/>
      <c r="U413" s="59"/>
      <c r="V413" s="59"/>
      <c r="W413" s="59"/>
      <c r="X413" s="59"/>
      <c r="Y413" s="59"/>
    </row>
    <row r="414" spans="1:25" ht="18">
      <c r="A414" s="76"/>
      <c r="B414" s="59"/>
      <c r="C414" s="59"/>
      <c r="D414" s="59"/>
      <c r="E414" s="59"/>
      <c r="F414" s="59"/>
      <c r="G414" s="59"/>
      <c r="H414" s="59"/>
      <c r="I414" s="59"/>
      <c r="J414" s="59"/>
      <c r="K414" s="59"/>
      <c r="L414" s="59"/>
      <c r="M414" s="59"/>
      <c r="N414" s="59"/>
      <c r="O414" s="59"/>
      <c r="P414" s="59"/>
      <c r="Q414" s="59"/>
      <c r="R414" s="59"/>
      <c r="S414" s="59"/>
      <c r="T414" s="59"/>
      <c r="U414" s="59"/>
      <c r="V414" s="59"/>
      <c r="W414" s="59"/>
      <c r="X414" s="59"/>
      <c r="Y414" s="59"/>
    </row>
    <row r="415" spans="1:25" ht="18">
      <c r="A415" s="76"/>
      <c r="B415" s="59"/>
      <c r="C415" s="59"/>
      <c r="D415" s="59"/>
      <c r="E415" s="59"/>
      <c r="F415" s="59"/>
      <c r="G415" s="59"/>
      <c r="H415" s="59"/>
      <c r="I415" s="59"/>
      <c r="J415" s="59"/>
      <c r="K415" s="59"/>
      <c r="L415" s="59"/>
      <c r="M415" s="59"/>
      <c r="N415" s="59"/>
      <c r="O415" s="59"/>
      <c r="P415" s="59"/>
      <c r="Q415" s="59"/>
      <c r="R415" s="59"/>
      <c r="S415" s="59"/>
      <c r="T415" s="59"/>
      <c r="U415" s="59"/>
      <c r="V415" s="59"/>
      <c r="W415" s="59"/>
      <c r="X415" s="59"/>
      <c r="Y415" s="59"/>
    </row>
    <row r="416" spans="1:25" ht="18">
      <c r="A416" s="76"/>
      <c r="B416" s="59"/>
      <c r="C416" s="59"/>
      <c r="D416" s="59"/>
      <c r="E416" s="59"/>
      <c r="F416" s="59"/>
      <c r="G416" s="59"/>
      <c r="H416" s="59"/>
      <c r="I416" s="59"/>
      <c r="J416" s="59"/>
      <c r="K416" s="59"/>
      <c r="L416" s="59"/>
      <c r="M416" s="59"/>
      <c r="N416" s="59"/>
      <c r="O416" s="59"/>
      <c r="P416" s="59"/>
      <c r="Q416" s="59"/>
      <c r="R416" s="59"/>
      <c r="S416" s="59"/>
      <c r="T416" s="59"/>
      <c r="U416" s="59"/>
      <c r="V416" s="59"/>
      <c r="W416" s="59"/>
      <c r="X416" s="59"/>
      <c r="Y416" s="59"/>
    </row>
    <row r="417" spans="1:25" ht="18">
      <c r="A417" s="76"/>
      <c r="B417" s="59"/>
      <c r="C417" s="59"/>
      <c r="D417" s="59"/>
      <c r="E417" s="59"/>
      <c r="F417" s="59"/>
      <c r="G417" s="59"/>
      <c r="H417" s="59"/>
      <c r="I417" s="59"/>
      <c r="J417" s="59"/>
      <c r="K417" s="59"/>
      <c r="L417" s="59"/>
      <c r="M417" s="59"/>
      <c r="N417" s="59"/>
      <c r="O417" s="59"/>
      <c r="P417" s="59"/>
      <c r="Q417" s="59"/>
      <c r="R417" s="59"/>
      <c r="S417" s="59"/>
      <c r="T417" s="59"/>
      <c r="U417" s="59"/>
      <c r="V417" s="59"/>
      <c r="W417" s="59"/>
      <c r="X417" s="59"/>
      <c r="Y417" s="59"/>
    </row>
    <row r="418" spans="1:25" ht="18">
      <c r="A418" s="76"/>
      <c r="B418" s="59"/>
      <c r="C418" s="59"/>
      <c r="D418" s="59"/>
      <c r="E418" s="59"/>
      <c r="F418" s="59"/>
      <c r="G418" s="59"/>
      <c r="H418" s="59"/>
      <c r="I418" s="59"/>
      <c r="J418" s="59"/>
      <c r="K418" s="59"/>
      <c r="L418" s="59"/>
      <c r="M418" s="59"/>
      <c r="N418" s="59"/>
      <c r="O418" s="59"/>
      <c r="P418" s="59"/>
      <c r="Q418" s="59"/>
      <c r="R418" s="59"/>
      <c r="S418" s="59"/>
      <c r="T418" s="59"/>
      <c r="U418" s="59"/>
      <c r="V418" s="59"/>
      <c r="W418" s="59"/>
      <c r="X418" s="59"/>
      <c r="Y418" s="59"/>
    </row>
    <row r="419" spans="1:25" ht="18">
      <c r="A419" s="76"/>
      <c r="B419" s="59"/>
      <c r="C419" s="59"/>
      <c r="D419" s="59"/>
      <c r="E419" s="59"/>
      <c r="F419" s="59"/>
      <c r="G419" s="59"/>
      <c r="H419" s="59"/>
      <c r="I419" s="59"/>
      <c r="J419" s="59"/>
      <c r="K419" s="59"/>
      <c r="L419" s="59"/>
      <c r="M419" s="59"/>
      <c r="N419" s="59"/>
      <c r="O419" s="59"/>
      <c r="P419" s="59"/>
      <c r="Q419" s="59"/>
      <c r="R419" s="59"/>
      <c r="S419" s="59"/>
      <c r="T419" s="59"/>
      <c r="U419" s="59"/>
      <c r="V419" s="59"/>
      <c r="W419" s="59"/>
      <c r="X419" s="59"/>
      <c r="Y419" s="59"/>
    </row>
    <row r="420" spans="1:25" ht="18">
      <c r="A420" s="76"/>
      <c r="B420" s="59"/>
      <c r="C420" s="59"/>
      <c r="D420" s="59"/>
      <c r="E420" s="59"/>
      <c r="F420" s="59"/>
      <c r="G420" s="59"/>
      <c r="H420" s="59"/>
      <c r="I420" s="59"/>
      <c r="J420" s="59"/>
      <c r="K420" s="59"/>
      <c r="L420" s="59"/>
      <c r="M420" s="59"/>
      <c r="N420" s="59"/>
      <c r="O420" s="59"/>
      <c r="P420" s="59"/>
      <c r="Q420" s="59"/>
      <c r="R420" s="59"/>
      <c r="S420" s="59"/>
      <c r="T420" s="59"/>
      <c r="U420" s="59"/>
      <c r="V420" s="59"/>
      <c r="W420" s="59"/>
      <c r="X420" s="59"/>
      <c r="Y420" s="59"/>
    </row>
    <row r="421" spans="1:25" ht="18">
      <c r="A421" s="76"/>
      <c r="B421" s="59"/>
      <c r="C421" s="59"/>
      <c r="D421" s="59"/>
      <c r="E421" s="59"/>
      <c r="F421" s="59"/>
      <c r="G421" s="59"/>
      <c r="H421" s="59"/>
      <c r="I421" s="59"/>
      <c r="J421" s="59"/>
      <c r="K421" s="59"/>
      <c r="L421" s="59"/>
      <c r="M421" s="59"/>
      <c r="N421" s="59"/>
      <c r="O421" s="59"/>
      <c r="P421" s="59"/>
      <c r="Q421" s="59"/>
      <c r="R421" s="59"/>
      <c r="S421" s="59"/>
      <c r="T421" s="59"/>
      <c r="U421" s="59"/>
      <c r="V421" s="59"/>
      <c r="W421" s="59"/>
      <c r="X421" s="59"/>
      <c r="Y421" s="59"/>
    </row>
    <row r="422" spans="1:25" ht="18">
      <c r="A422" s="76"/>
      <c r="B422" s="59"/>
      <c r="C422" s="59"/>
      <c r="D422" s="59"/>
      <c r="E422" s="59"/>
      <c r="F422" s="59"/>
      <c r="G422" s="59"/>
      <c r="H422" s="59"/>
      <c r="I422" s="59"/>
      <c r="J422" s="59"/>
      <c r="K422" s="59"/>
      <c r="L422" s="59"/>
      <c r="M422" s="59"/>
      <c r="N422" s="59"/>
      <c r="O422" s="59"/>
      <c r="P422" s="59"/>
      <c r="Q422" s="59"/>
      <c r="R422" s="59"/>
      <c r="S422" s="59"/>
      <c r="T422" s="59"/>
      <c r="U422" s="59"/>
      <c r="V422" s="59"/>
      <c r="W422" s="59"/>
      <c r="X422" s="59"/>
      <c r="Y422" s="59"/>
    </row>
    <row r="423" spans="1:25" ht="18">
      <c r="A423" s="76"/>
      <c r="B423" s="59"/>
      <c r="C423" s="59"/>
      <c r="D423" s="59"/>
      <c r="E423" s="59"/>
      <c r="F423" s="59"/>
      <c r="G423" s="59"/>
      <c r="H423" s="59"/>
      <c r="I423" s="59"/>
      <c r="J423" s="59"/>
      <c r="K423" s="59"/>
      <c r="L423" s="59"/>
      <c r="M423" s="59"/>
      <c r="N423" s="59"/>
      <c r="O423" s="59"/>
      <c r="P423" s="59"/>
      <c r="Q423" s="59"/>
      <c r="R423" s="59"/>
      <c r="S423" s="59"/>
      <c r="T423" s="59"/>
      <c r="U423" s="59"/>
      <c r="V423" s="59"/>
      <c r="W423" s="59"/>
      <c r="X423" s="59"/>
      <c r="Y423" s="59"/>
    </row>
    <row r="424" spans="1:25" ht="18">
      <c r="A424" s="76"/>
      <c r="B424" s="59"/>
      <c r="C424" s="59"/>
      <c r="D424" s="59"/>
      <c r="E424" s="59"/>
      <c r="F424" s="59"/>
      <c r="G424" s="59"/>
      <c r="H424" s="59"/>
      <c r="I424" s="59"/>
      <c r="J424" s="59"/>
      <c r="K424" s="59"/>
      <c r="L424" s="59"/>
      <c r="M424" s="59"/>
      <c r="N424" s="59"/>
      <c r="O424" s="59"/>
      <c r="P424" s="59"/>
      <c r="Q424" s="59"/>
      <c r="R424" s="59"/>
      <c r="S424" s="59"/>
      <c r="T424" s="59"/>
      <c r="U424" s="59"/>
      <c r="V424" s="59"/>
      <c r="W424" s="59"/>
      <c r="X424" s="59"/>
      <c r="Y424" s="59"/>
    </row>
    <row r="425" spans="1:25" ht="18">
      <c r="A425" s="76"/>
      <c r="B425" s="59"/>
      <c r="C425" s="59"/>
      <c r="D425" s="59"/>
      <c r="E425" s="59"/>
      <c r="F425" s="59"/>
      <c r="G425" s="59"/>
      <c r="H425" s="59"/>
      <c r="I425" s="59"/>
      <c r="J425" s="59"/>
      <c r="K425" s="59"/>
      <c r="L425" s="59"/>
      <c r="M425" s="59"/>
      <c r="N425" s="59"/>
      <c r="O425" s="59"/>
      <c r="P425" s="59"/>
      <c r="Q425" s="59"/>
      <c r="R425" s="59"/>
      <c r="S425" s="59"/>
      <c r="T425" s="59"/>
      <c r="U425" s="59"/>
      <c r="V425" s="59"/>
      <c r="W425" s="59"/>
      <c r="X425" s="59"/>
      <c r="Y425" s="59"/>
    </row>
    <row r="426" spans="1:25" ht="18">
      <c r="A426" s="76"/>
      <c r="B426" s="59"/>
      <c r="C426" s="59"/>
      <c r="D426" s="59"/>
      <c r="E426" s="59"/>
      <c r="F426" s="59"/>
      <c r="G426" s="59"/>
      <c r="H426" s="59"/>
      <c r="I426" s="59"/>
      <c r="J426" s="59"/>
      <c r="K426" s="59"/>
      <c r="L426" s="59"/>
      <c r="M426" s="59"/>
      <c r="N426" s="59"/>
      <c r="O426" s="59"/>
      <c r="P426" s="59"/>
      <c r="Q426" s="59"/>
      <c r="R426" s="59"/>
      <c r="S426" s="59"/>
      <c r="T426" s="59"/>
      <c r="U426" s="59"/>
      <c r="V426" s="59"/>
      <c r="W426" s="59"/>
      <c r="X426" s="59"/>
      <c r="Y426" s="59"/>
    </row>
    <row r="427" spans="1:25" ht="18">
      <c r="A427" s="76"/>
      <c r="B427" s="59"/>
      <c r="C427" s="59"/>
      <c r="D427" s="59"/>
      <c r="E427" s="59"/>
      <c r="F427" s="59"/>
      <c r="G427" s="59"/>
      <c r="H427" s="59"/>
      <c r="I427" s="59"/>
      <c r="J427" s="59"/>
      <c r="K427" s="59"/>
      <c r="L427" s="59"/>
      <c r="M427" s="59"/>
      <c r="N427" s="59"/>
      <c r="O427" s="59"/>
      <c r="P427" s="59"/>
      <c r="Q427" s="59"/>
      <c r="R427" s="59"/>
      <c r="S427" s="59"/>
      <c r="T427" s="59"/>
      <c r="U427" s="59"/>
      <c r="V427" s="59"/>
      <c r="W427" s="59"/>
      <c r="X427" s="59"/>
      <c r="Y427" s="59"/>
    </row>
    <row r="428" spans="1:25" ht="18">
      <c r="A428" s="76"/>
      <c r="B428" s="59"/>
      <c r="C428" s="59"/>
      <c r="D428" s="59"/>
      <c r="E428" s="59"/>
      <c r="F428" s="59"/>
      <c r="G428" s="59"/>
      <c r="H428" s="59"/>
      <c r="I428" s="59"/>
      <c r="J428" s="59"/>
      <c r="K428" s="59"/>
      <c r="L428" s="59"/>
      <c r="M428" s="59"/>
      <c r="N428" s="59"/>
      <c r="O428" s="59"/>
      <c r="P428" s="59"/>
      <c r="Q428" s="59"/>
      <c r="R428" s="59"/>
      <c r="S428" s="59"/>
      <c r="T428" s="59"/>
      <c r="U428" s="59"/>
      <c r="V428" s="59"/>
      <c r="W428" s="59"/>
      <c r="X428" s="59"/>
      <c r="Y428" s="59"/>
    </row>
    <row r="429" spans="1:25" ht="18">
      <c r="A429" s="76"/>
      <c r="B429" s="59"/>
      <c r="C429" s="59"/>
      <c r="D429" s="59"/>
      <c r="E429" s="59"/>
      <c r="F429" s="59"/>
      <c r="G429" s="59"/>
      <c r="H429" s="59"/>
      <c r="I429" s="59"/>
      <c r="J429" s="59"/>
      <c r="K429" s="59"/>
      <c r="L429" s="59"/>
      <c r="M429" s="59"/>
      <c r="N429" s="59"/>
      <c r="O429" s="59"/>
      <c r="P429" s="59"/>
      <c r="Q429" s="59"/>
      <c r="R429" s="59"/>
      <c r="S429" s="59"/>
      <c r="T429" s="59"/>
      <c r="U429" s="59"/>
      <c r="V429" s="59"/>
      <c r="W429" s="59"/>
      <c r="X429" s="59"/>
      <c r="Y429" s="59"/>
    </row>
    <row r="430" spans="1:25" ht="18">
      <c r="A430" s="76"/>
      <c r="B430" s="59"/>
      <c r="C430" s="59"/>
      <c r="D430" s="59"/>
      <c r="E430" s="59"/>
      <c r="F430" s="59"/>
      <c r="G430" s="59"/>
      <c r="H430" s="59"/>
      <c r="I430" s="59"/>
      <c r="J430" s="59"/>
      <c r="K430" s="59"/>
      <c r="L430" s="59"/>
      <c r="M430" s="59"/>
      <c r="N430" s="59"/>
      <c r="O430" s="59"/>
      <c r="P430" s="59"/>
      <c r="Q430" s="59"/>
      <c r="R430" s="59"/>
      <c r="S430" s="59"/>
      <c r="T430" s="59"/>
      <c r="U430" s="59"/>
      <c r="V430" s="59"/>
      <c r="W430" s="59"/>
      <c r="X430" s="59"/>
      <c r="Y430" s="59"/>
    </row>
    <row r="431" spans="1:25" ht="18">
      <c r="A431" s="76"/>
      <c r="B431" s="59"/>
      <c r="C431" s="59"/>
      <c r="D431" s="59"/>
      <c r="E431" s="59"/>
      <c r="F431" s="59"/>
      <c r="G431" s="59"/>
      <c r="H431" s="59"/>
      <c r="I431" s="59"/>
      <c r="J431" s="59"/>
      <c r="K431" s="59"/>
      <c r="L431" s="59"/>
      <c r="M431" s="59"/>
      <c r="N431" s="59"/>
      <c r="O431" s="59"/>
      <c r="P431" s="59"/>
      <c r="Q431" s="59"/>
      <c r="R431" s="59"/>
      <c r="S431" s="59"/>
      <c r="T431" s="59"/>
      <c r="U431" s="59"/>
      <c r="V431" s="59"/>
      <c r="W431" s="59"/>
      <c r="X431" s="59"/>
      <c r="Y431" s="59"/>
    </row>
    <row r="432" spans="1:25" ht="18">
      <c r="A432" s="76"/>
      <c r="B432" s="59"/>
      <c r="C432" s="59"/>
      <c r="D432" s="59"/>
      <c r="E432" s="59"/>
      <c r="F432" s="59"/>
      <c r="G432" s="59"/>
      <c r="H432" s="59"/>
      <c r="I432" s="59"/>
      <c r="J432" s="59"/>
      <c r="K432" s="59"/>
      <c r="L432" s="59"/>
      <c r="M432" s="59"/>
      <c r="N432" s="59"/>
      <c r="O432" s="59"/>
      <c r="P432" s="59"/>
      <c r="Q432" s="59"/>
      <c r="R432" s="59"/>
      <c r="S432" s="59"/>
      <c r="T432" s="59"/>
      <c r="U432" s="59"/>
      <c r="V432" s="59"/>
      <c r="W432" s="59"/>
      <c r="X432" s="59"/>
      <c r="Y432" s="59"/>
    </row>
    <row r="433" spans="1:25" ht="18">
      <c r="A433" s="76"/>
      <c r="B433" s="59"/>
      <c r="C433" s="59"/>
      <c r="D433" s="59"/>
      <c r="E433" s="59"/>
      <c r="F433" s="59"/>
      <c r="G433" s="59"/>
      <c r="H433" s="59"/>
      <c r="I433" s="59"/>
      <c r="J433" s="59"/>
      <c r="K433" s="59"/>
      <c r="L433" s="59"/>
      <c r="M433" s="59"/>
      <c r="N433" s="59"/>
      <c r="O433" s="59"/>
      <c r="P433" s="59"/>
      <c r="Q433" s="59"/>
      <c r="R433" s="59"/>
      <c r="S433" s="59"/>
      <c r="T433" s="59"/>
      <c r="U433" s="59"/>
      <c r="V433" s="59"/>
      <c r="W433" s="59"/>
      <c r="X433" s="59"/>
      <c r="Y433" s="59"/>
    </row>
    <row r="434" spans="1:25" ht="18">
      <c r="A434" s="76"/>
      <c r="B434" s="59"/>
      <c r="C434" s="59"/>
      <c r="D434" s="59"/>
      <c r="E434" s="59"/>
      <c r="F434" s="59"/>
      <c r="G434" s="59"/>
      <c r="H434" s="59"/>
      <c r="I434" s="59"/>
      <c r="J434" s="59"/>
      <c r="K434" s="59"/>
      <c r="L434" s="59"/>
      <c r="M434" s="59"/>
      <c r="N434" s="59"/>
      <c r="O434" s="59"/>
      <c r="P434" s="59"/>
      <c r="Q434" s="59"/>
      <c r="R434" s="59"/>
      <c r="S434" s="59"/>
      <c r="T434" s="59"/>
      <c r="U434" s="59"/>
      <c r="V434" s="59"/>
      <c r="W434" s="59"/>
      <c r="X434" s="59"/>
      <c r="Y434" s="59"/>
    </row>
    <row r="435" spans="1:25" ht="18">
      <c r="A435" s="76"/>
      <c r="B435" s="59"/>
      <c r="C435" s="59"/>
      <c r="D435" s="59"/>
      <c r="E435" s="59"/>
      <c r="F435" s="59"/>
      <c r="G435" s="59"/>
      <c r="H435" s="59"/>
      <c r="I435" s="59"/>
      <c r="J435" s="59"/>
      <c r="K435" s="59"/>
      <c r="L435" s="59"/>
      <c r="M435" s="59"/>
      <c r="N435" s="59"/>
      <c r="O435" s="59"/>
      <c r="P435" s="59"/>
      <c r="Q435" s="59"/>
      <c r="R435" s="59"/>
      <c r="S435" s="59"/>
      <c r="T435" s="59"/>
      <c r="U435" s="59"/>
      <c r="V435" s="59"/>
      <c r="W435" s="59"/>
      <c r="X435" s="59"/>
      <c r="Y435" s="59"/>
    </row>
    <row r="436" spans="1:25" ht="18">
      <c r="A436" s="76"/>
      <c r="B436" s="59"/>
      <c r="C436" s="59"/>
      <c r="D436" s="59"/>
      <c r="E436" s="59"/>
      <c r="F436" s="59"/>
      <c r="G436" s="59"/>
      <c r="H436" s="59"/>
      <c r="I436" s="59"/>
      <c r="J436" s="59"/>
      <c r="K436" s="59"/>
      <c r="L436" s="59"/>
      <c r="M436" s="59"/>
      <c r="N436" s="59"/>
      <c r="O436" s="59"/>
      <c r="P436" s="59"/>
      <c r="Q436" s="59"/>
      <c r="R436" s="59"/>
      <c r="S436" s="59"/>
      <c r="T436" s="59"/>
      <c r="U436" s="59"/>
      <c r="V436" s="59"/>
      <c r="W436" s="59"/>
      <c r="X436" s="59"/>
      <c r="Y436" s="59"/>
    </row>
    <row r="437" spans="1:25" ht="18">
      <c r="A437" s="76"/>
      <c r="B437" s="59"/>
      <c r="C437" s="59"/>
      <c r="D437" s="59"/>
      <c r="E437" s="59"/>
      <c r="F437" s="59"/>
      <c r="G437" s="59"/>
      <c r="H437" s="59"/>
      <c r="I437" s="59"/>
      <c r="J437" s="59"/>
      <c r="K437" s="59"/>
      <c r="L437" s="59"/>
      <c r="M437" s="59"/>
      <c r="N437" s="59"/>
      <c r="O437" s="59"/>
      <c r="P437" s="59"/>
      <c r="Q437" s="59"/>
      <c r="R437" s="59"/>
      <c r="S437" s="59"/>
      <c r="T437" s="59"/>
      <c r="U437" s="59"/>
      <c r="V437" s="59"/>
      <c r="W437" s="59"/>
      <c r="X437" s="59"/>
      <c r="Y437" s="59"/>
    </row>
    <row r="438" spans="1:25" ht="18">
      <c r="A438" s="76"/>
      <c r="B438" s="59"/>
      <c r="C438" s="59"/>
      <c r="D438" s="59"/>
      <c r="E438" s="59"/>
      <c r="F438" s="59"/>
      <c r="G438" s="59"/>
      <c r="H438" s="59"/>
      <c r="I438" s="59"/>
      <c r="J438" s="59"/>
      <c r="K438" s="59"/>
      <c r="L438" s="59"/>
      <c r="M438" s="59"/>
      <c r="N438" s="59"/>
      <c r="O438" s="59"/>
      <c r="P438" s="59"/>
      <c r="Q438" s="59"/>
      <c r="R438" s="59"/>
      <c r="S438" s="59"/>
      <c r="T438" s="59"/>
      <c r="U438" s="59"/>
      <c r="V438" s="59"/>
      <c r="W438" s="59"/>
      <c r="X438" s="59"/>
      <c r="Y438" s="59"/>
    </row>
    <row r="439" spans="1:25" ht="18">
      <c r="A439" s="76"/>
      <c r="B439" s="59"/>
      <c r="C439" s="59"/>
      <c r="D439" s="59"/>
      <c r="E439" s="59"/>
      <c r="F439" s="59"/>
      <c r="G439" s="59"/>
      <c r="H439" s="59"/>
      <c r="I439" s="59"/>
      <c r="J439" s="59"/>
      <c r="K439" s="59"/>
      <c r="L439" s="59"/>
      <c r="M439" s="59"/>
      <c r="N439" s="59"/>
      <c r="O439" s="59"/>
      <c r="P439" s="59"/>
      <c r="Q439" s="59"/>
      <c r="R439" s="59"/>
      <c r="S439" s="59"/>
      <c r="T439" s="59"/>
      <c r="U439" s="59"/>
      <c r="V439" s="59"/>
      <c r="W439" s="59"/>
      <c r="X439" s="59"/>
      <c r="Y439" s="59"/>
    </row>
    <row r="440" spans="1:25" ht="18">
      <c r="A440" s="76"/>
      <c r="B440" s="59"/>
      <c r="C440" s="59"/>
      <c r="D440" s="59"/>
      <c r="E440" s="59"/>
      <c r="F440" s="59"/>
      <c r="G440" s="59"/>
      <c r="H440" s="59"/>
      <c r="I440" s="59"/>
      <c r="J440" s="59"/>
      <c r="K440" s="59"/>
      <c r="L440" s="59"/>
      <c r="M440" s="59"/>
      <c r="N440" s="59"/>
      <c r="O440" s="59"/>
      <c r="P440" s="59"/>
      <c r="Q440" s="59"/>
      <c r="R440" s="59"/>
      <c r="S440" s="59"/>
      <c r="T440" s="59"/>
      <c r="U440" s="59"/>
      <c r="V440" s="59"/>
      <c r="W440" s="59"/>
      <c r="X440" s="59"/>
      <c r="Y440" s="59"/>
    </row>
    <row r="441" spans="1:25" ht="18">
      <c r="A441" s="76"/>
      <c r="B441" s="59"/>
      <c r="C441" s="59"/>
      <c r="D441" s="59"/>
      <c r="E441" s="59"/>
      <c r="F441" s="59"/>
      <c r="G441" s="59"/>
      <c r="H441" s="59"/>
      <c r="I441" s="59"/>
      <c r="J441" s="59"/>
      <c r="K441" s="59"/>
      <c r="L441" s="59"/>
      <c r="M441" s="59"/>
      <c r="N441" s="59"/>
      <c r="O441" s="59"/>
      <c r="P441" s="59"/>
      <c r="Q441" s="59"/>
      <c r="R441" s="59"/>
      <c r="S441" s="59"/>
      <c r="T441" s="59"/>
      <c r="U441" s="59"/>
      <c r="V441" s="59"/>
      <c r="W441" s="59"/>
      <c r="X441" s="59"/>
      <c r="Y441" s="59"/>
    </row>
    <row r="442" spans="1:25" ht="18">
      <c r="A442" s="76"/>
      <c r="B442" s="59"/>
      <c r="C442" s="59"/>
      <c r="D442" s="59"/>
      <c r="E442" s="59"/>
      <c r="F442" s="59"/>
      <c r="G442" s="59"/>
      <c r="H442" s="59"/>
      <c r="I442" s="59"/>
      <c r="J442" s="59"/>
      <c r="K442" s="59"/>
      <c r="L442" s="59"/>
      <c r="M442" s="59"/>
      <c r="N442" s="59"/>
      <c r="O442" s="59"/>
      <c r="P442" s="59"/>
      <c r="Q442" s="59"/>
      <c r="R442" s="59"/>
      <c r="S442" s="59"/>
      <c r="T442" s="59"/>
      <c r="U442" s="59"/>
      <c r="V442" s="59"/>
      <c r="W442" s="59"/>
      <c r="X442" s="59"/>
      <c r="Y442" s="59"/>
    </row>
    <row r="443" spans="1:25" ht="18">
      <c r="A443" s="76"/>
      <c r="B443" s="59"/>
      <c r="C443" s="59"/>
      <c r="D443" s="59"/>
      <c r="E443" s="59"/>
      <c r="F443" s="59"/>
      <c r="G443" s="59"/>
      <c r="H443" s="59"/>
      <c r="I443" s="59"/>
      <c r="J443" s="59"/>
      <c r="K443" s="59"/>
      <c r="L443" s="59"/>
      <c r="M443" s="59"/>
      <c r="N443" s="59"/>
      <c r="O443" s="59"/>
      <c r="P443" s="59"/>
      <c r="Q443" s="59"/>
      <c r="R443" s="59"/>
      <c r="S443" s="59"/>
      <c r="T443" s="59"/>
      <c r="U443" s="59"/>
      <c r="V443" s="59"/>
      <c r="W443" s="59"/>
      <c r="X443" s="59"/>
      <c r="Y443" s="59"/>
    </row>
    <row r="444" spans="1:25" ht="18">
      <c r="A444" s="76"/>
      <c r="B444" s="59"/>
      <c r="C444" s="59"/>
      <c r="D444" s="59"/>
      <c r="E444" s="59"/>
      <c r="F444" s="59"/>
      <c r="G444" s="59"/>
      <c r="H444" s="59"/>
      <c r="I444" s="59"/>
      <c r="J444" s="59"/>
      <c r="K444" s="59"/>
      <c r="L444" s="59"/>
      <c r="M444" s="59"/>
      <c r="N444" s="59"/>
      <c r="O444" s="59"/>
      <c r="P444" s="59"/>
      <c r="Q444" s="59"/>
      <c r="R444" s="59"/>
      <c r="S444" s="59"/>
      <c r="T444" s="59"/>
      <c r="U444" s="59"/>
      <c r="V444" s="59"/>
      <c r="W444" s="59"/>
      <c r="X444" s="59"/>
      <c r="Y444" s="59"/>
    </row>
    <row r="445" spans="1:25" ht="18">
      <c r="A445" s="76"/>
      <c r="B445" s="59"/>
      <c r="C445" s="59"/>
      <c r="D445" s="59"/>
      <c r="E445" s="59"/>
      <c r="F445" s="59"/>
      <c r="G445" s="59"/>
      <c r="H445" s="59"/>
      <c r="I445" s="59"/>
      <c r="J445" s="59"/>
      <c r="K445" s="59"/>
      <c r="L445" s="59"/>
      <c r="M445" s="59"/>
      <c r="N445" s="59"/>
      <c r="O445" s="59"/>
      <c r="P445" s="59"/>
      <c r="Q445" s="59"/>
      <c r="R445" s="59"/>
      <c r="S445" s="59"/>
      <c r="T445" s="59"/>
      <c r="U445" s="59"/>
      <c r="V445" s="59"/>
      <c r="W445" s="59"/>
      <c r="X445" s="59"/>
      <c r="Y445" s="59"/>
    </row>
    <row r="446" spans="1:25" ht="18">
      <c r="A446" s="76"/>
      <c r="B446" s="59"/>
      <c r="C446" s="59"/>
      <c r="D446" s="59"/>
      <c r="E446" s="59"/>
      <c r="F446" s="59"/>
      <c r="G446" s="59"/>
      <c r="H446" s="59"/>
      <c r="I446" s="59"/>
      <c r="J446" s="59"/>
      <c r="K446" s="59"/>
      <c r="L446" s="59"/>
      <c r="M446" s="59"/>
      <c r="N446" s="59"/>
      <c r="O446" s="59"/>
      <c r="P446" s="59"/>
      <c r="Q446" s="59"/>
      <c r="R446" s="59"/>
      <c r="S446" s="59"/>
      <c r="T446" s="59"/>
      <c r="U446" s="59"/>
      <c r="V446" s="59"/>
      <c r="W446" s="59"/>
      <c r="X446" s="59"/>
      <c r="Y446" s="59"/>
    </row>
    <row r="447" spans="1:25" ht="18">
      <c r="A447" s="76"/>
      <c r="B447" s="59"/>
      <c r="C447" s="59"/>
      <c r="D447" s="59"/>
      <c r="E447" s="59"/>
      <c r="F447" s="59"/>
      <c r="G447" s="59"/>
      <c r="H447" s="59"/>
      <c r="I447" s="59"/>
      <c r="J447" s="59"/>
      <c r="K447" s="59"/>
      <c r="L447" s="59"/>
      <c r="M447" s="59"/>
      <c r="N447" s="59"/>
      <c r="O447" s="59"/>
      <c r="P447" s="59"/>
      <c r="Q447" s="59"/>
      <c r="R447" s="59"/>
      <c r="S447" s="59"/>
      <c r="T447" s="59"/>
      <c r="U447" s="59"/>
      <c r="V447" s="59"/>
      <c r="W447" s="59"/>
      <c r="X447" s="59"/>
      <c r="Y447" s="59"/>
    </row>
    <row r="448" spans="1:25" ht="18">
      <c r="A448" s="76"/>
      <c r="B448" s="59"/>
      <c r="C448" s="59"/>
      <c r="D448" s="59"/>
      <c r="E448" s="59"/>
      <c r="F448" s="59"/>
      <c r="G448" s="59"/>
      <c r="H448" s="59"/>
      <c r="I448" s="59"/>
      <c r="J448" s="59"/>
      <c r="K448" s="59"/>
      <c r="L448" s="59"/>
      <c r="M448" s="59"/>
      <c r="N448" s="59"/>
      <c r="O448" s="59"/>
      <c r="P448" s="59"/>
      <c r="Q448" s="59"/>
      <c r="R448" s="59"/>
      <c r="S448" s="59"/>
      <c r="T448" s="59"/>
      <c r="U448" s="59"/>
      <c r="V448" s="59"/>
      <c r="W448" s="59"/>
      <c r="X448" s="59"/>
      <c r="Y448" s="59"/>
    </row>
    <row r="449" spans="1:25" ht="18">
      <c r="A449" s="76"/>
      <c r="B449" s="59"/>
      <c r="C449" s="59"/>
      <c r="D449" s="59"/>
      <c r="E449" s="59"/>
      <c r="F449" s="59"/>
      <c r="G449" s="59"/>
      <c r="H449" s="59"/>
      <c r="I449" s="59"/>
      <c r="J449" s="59"/>
      <c r="K449" s="59"/>
      <c r="L449" s="59"/>
      <c r="M449" s="59"/>
      <c r="N449" s="59"/>
      <c r="O449" s="59"/>
      <c r="P449" s="59"/>
      <c r="Q449" s="59"/>
      <c r="R449" s="59"/>
      <c r="S449" s="59"/>
      <c r="T449" s="59"/>
      <c r="U449" s="59"/>
      <c r="V449" s="59"/>
      <c r="W449" s="59"/>
      <c r="X449" s="59"/>
      <c r="Y449" s="59"/>
    </row>
    <row r="450" spans="1:25" ht="18">
      <c r="A450" s="76"/>
      <c r="B450" s="59"/>
      <c r="C450" s="59"/>
      <c r="D450" s="59"/>
      <c r="E450" s="59"/>
      <c r="F450" s="59"/>
      <c r="G450" s="59"/>
      <c r="H450" s="59"/>
      <c r="I450" s="59"/>
      <c r="J450" s="59"/>
      <c r="K450" s="59"/>
      <c r="L450" s="59"/>
      <c r="M450" s="59"/>
      <c r="N450" s="59"/>
      <c r="O450" s="59"/>
      <c r="P450" s="59"/>
      <c r="Q450" s="59"/>
      <c r="R450" s="59"/>
      <c r="S450" s="59"/>
      <c r="T450" s="59"/>
      <c r="U450" s="59"/>
      <c r="V450" s="59"/>
      <c r="W450" s="59"/>
      <c r="X450" s="59"/>
      <c r="Y450" s="59"/>
    </row>
    <row r="451" spans="1:25" ht="18">
      <c r="A451" s="76"/>
      <c r="B451" s="59"/>
      <c r="C451" s="59"/>
      <c r="D451" s="59"/>
      <c r="E451" s="59"/>
      <c r="F451" s="59"/>
      <c r="G451" s="59"/>
      <c r="H451" s="59"/>
      <c r="I451" s="59"/>
      <c r="J451" s="59"/>
      <c r="K451" s="59"/>
      <c r="L451" s="59"/>
      <c r="M451" s="59"/>
      <c r="N451" s="59"/>
      <c r="O451" s="59"/>
      <c r="P451" s="59"/>
      <c r="Q451" s="59"/>
      <c r="R451" s="59"/>
      <c r="S451" s="59"/>
      <c r="T451" s="59"/>
      <c r="U451" s="59"/>
      <c r="V451" s="59"/>
      <c r="W451" s="59"/>
      <c r="X451" s="59"/>
      <c r="Y451" s="59"/>
    </row>
    <row r="452" spans="1:25" ht="18">
      <c r="A452" s="76"/>
      <c r="B452" s="59"/>
      <c r="C452" s="59"/>
      <c r="D452" s="59"/>
      <c r="E452" s="59"/>
      <c r="F452" s="59"/>
      <c r="G452" s="59"/>
      <c r="H452" s="59"/>
      <c r="I452" s="59"/>
      <c r="J452" s="59"/>
      <c r="K452" s="59"/>
      <c r="L452" s="59"/>
      <c r="M452" s="59"/>
      <c r="N452" s="59"/>
      <c r="O452" s="59"/>
      <c r="P452" s="59"/>
      <c r="Q452" s="59"/>
      <c r="R452" s="59"/>
      <c r="S452" s="59"/>
      <c r="T452" s="59"/>
      <c r="U452" s="59"/>
      <c r="V452" s="59"/>
      <c r="W452" s="59"/>
      <c r="X452" s="59"/>
      <c r="Y452" s="59"/>
    </row>
    <row r="453" spans="1:25" ht="18">
      <c r="A453" s="76"/>
      <c r="B453" s="59"/>
      <c r="C453" s="59"/>
      <c r="D453" s="59"/>
      <c r="E453" s="59"/>
      <c r="F453" s="59"/>
      <c r="G453" s="59"/>
      <c r="H453" s="59"/>
      <c r="I453" s="59"/>
      <c r="J453" s="59"/>
      <c r="K453" s="59"/>
      <c r="L453" s="59"/>
      <c r="M453" s="59"/>
      <c r="N453" s="59"/>
      <c r="O453" s="59"/>
      <c r="P453" s="59"/>
      <c r="Q453" s="59"/>
      <c r="R453" s="59"/>
      <c r="S453" s="59"/>
      <c r="T453" s="59"/>
      <c r="U453" s="59"/>
      <c r="V453" s="59"/>
      <c r="W453" s="59"/>
      <c r="X453" s="59"/>
      <c r="Y453" s="59"/>
    </row>
    <row r="454" spans="1:25" ht="18">
      <c r="A454" s="76"/>
      <c r="B454" s="59"/>
      <c r="C454" s="59"/>
      <c r="D454" s="59"/>
      <c r="E454" s="59"/>
      <c r="F454" s="59"/>
      <c r="G454" s="59"/>
      <c r="H454" s="59"/>
      <c r="I454" s="59"/>
      <c r="J454" s="59"/>
      <c r="K454" s="59"/>
      <c r="L454" s="59"/>
      <c r="M454" s="59"/>
      <c r="N454" s="59"/>
      <c r="O454" s="59"/>
      <c r="P454" s="59"/>
      <c r="Q454" s="59"/>
      <c r="R454" s="59"/>
      <c r="S454" s="59"/>
      <c r="T454" s="59"/>
      <c r="U454" s="59"/>
      <c r="V454" s="59"/>
      <c r="W454" s="59"/>
      <c r="X454" s="59"/>
      <c r="Y454" s="59"/>
    </row>
    <row r="455" spans="1:25" ht="18">
      <c r="A455" s="76"/>
      <c r="B455" s="59"/>
      <c r="C455" s="59"/>
      <c r="D455" s="59"/>
      <c r="E455" s="59"/>
      <c r="F455" s="59"/>
      <c r="G455" s="59"/>
      <c r="H455" s="59"/>
      <c r="I455" s="59"/>
      <c r="J455" s="59"/>
      <c r="K455" s="59"/>
      <c r="L455" s="59"/>
      <c r="M455" s="59"/>
      <c r="N455" s="59"/>
      <c r="O455" s="59"/>
      <c r="P455" s="59"/>
      <c r="Q455" s="59"/>
      <c r="R455" s="59"/>
      <c r="S455" s="59"/>
      <c r="T455" s="59"/>
      <c r="U455" s="59"/>
      <c r="V455" s="59"/>
      <c r="W455" s="59"/>
      <c r="X455" s="59"/>
      <c r="Y455" s="59"/>
    </row>
    <row r="456" spans="1:25" ht="18">
      <c r="A456" s="76"/>
      <c r="B456" s="59"/>
      <c r="C456" s="59"/>
      <c r="D456" s="59"/>
      <c r="E456" s="59"/>
      <c r="F456" s="59"/>
      <c r="G456" s="59"/>
      <c r="H456" s="59"/>
      <c r="I456" s="59"/>
      <c r="J456" s="59"/>
      <c r="K456" s="59"/>
      <c r="L456" s="59"/>
      <c r="M456" s="59"/>
      <c r="N456" s="59"/>
      <c r="O456" s="59"/>
      <c r="P456" s="59"/>
      <c r="Q456" s="59"/>
      <c r="R456" s="59"/>
      <c r="S456" s="59"/>
      <c r="T456" s="59"/>
      <c r="U456" s="59"/>
      <c r="V456" s="59"/>
      <c r="W456" s="59"/>
      <c r="X456" s="59"/>
      <c r="Y456" s="59"/>
    </row>
    <row r="457" spans="1:25" ht="18">
      <c r="A457" s="76"/>
      <c r="B457" s="59"/>
      <c r="C457" s="59"/>
      <c r="D457" s="59"/>
      <c r="E457" s="59"/>
      <c r="F457" s="59"/>
      <c r="G457" s="59"/>
      <c r="H457" s="59"/>
      <c r="I457" s="59"/>
      <c r="J457" s="59"/>
      <c r="K457" s="59"/>
      <c r="L457" s="59"/>
      <c r="M457" s="59"/>
      <c r="N457" s="59"/>
      <c r="O457" s="59"/>
      <c r="P457" s="59"/>
      <c r="Q457" s="59"/>
      <c r="R457" s="59"/>
      <c r="S457" s="59"/>
      <c r="T457" s="59"/>
      <c r="U457" s="59"/>
      <c r="V457" s="59"/>
      <c r="W457" s="59"/>
      <c r="X457" s="59"/>
      <c r="Y457" s="59"/>
    </row>
    <row r="458" spans="1:25" ht="18">
      <c r="A458" s="76"/>
      <c r="B458" s="59"/>
      <c r="C458" s="59"/>
      <c r="D458" s="59"/>
      <c r="E458" s="59"/>
      <c r="F458" s="59"/>
      <c r="G458" s="59"/>
      <c r="H458" s="59"/>
      <c r="I458" s="59"/>
      <c r="J458" s="59"/>
      <c r="K458" s="59"/>
      <c r="L458" s="59"/>
      <c r="M458" s="59"/>
      <c r="N458" s="59"/>
      <c r="O458" s="59"/>
      <c r="P458" s="59"/>
      <c r="Q458" s="59"/>
      <c r="R458" s="59"/>
      <c r="S458" s="59"/>
      <c r="T458" s="59"/>
      <c r="U458" s="59"/>
      <c r="V458" s="59"/>
      <c r="W458" s="59"/>
      <c r="X458" s="59"/>
      <c r="Y458" s="59"/>
    </row>
    <row r="459" spans="1:25" ht="18">
      <c r="A459" s="76"/>
      <c r="B459" s="59"/>
      <c r="C459" s="59"/>
      <c r="D459" s="59"/>
      <c r="E459" s="59"/>
      <c r="F459" s="59"/>
      <c r="G459" s="59"/>
      <c r="H459" s="59"/>
      <c r="I459" s="59"/>
      <c r="J459" s="59"/>
      <c r="K459" s="59"/>
      <c r="L459" s="59"/>
      <c r="M459" s="59"/>
      <c r="N459" s="59"/>
      <c r="O459" s="59"/>
      <c r="P459" s="59"/>
      <c r="Q459" s="59"/>
      <c r="R459" s="59"/>
      <c r="S459" s="59"/>
      <c r="T459" s="59"/>
      <c r="U459" s="59"/>
      <c r="V459" s="59"/>
      <c r="W459" s="59"/>
      <c r="X459" s="59"/>
      <c r="Y459" s="59"/>
    </row>
    <row r="460" spans="1:25" ht="18">
      <c r="A460" s="76"/>
      <c r="B460" s="59"/>
      <c r="C460" s="59"/>
      <c r="D460" s="59"/>
      <c r="E460" s="59"/>
      <c r="F460" s="59"/>
      <c r="G460" s="59"/>
      <c r="H460" s="59"/>
      <c r="I460" s="59"/>
      <c r="J460" s="59"/>
      <c r="K460" s="59"/>
      <c r="L460" s="59"/>
      <c r="M460" s="59"/>
      <c r="N460" s="59"/>
      <c r="O460" s="59"/>
      <c r="P460" s="59"/>
      <c r="Q460" s="59"/>
      <c r="R460" s="59"/>
      <c r="S460" s="59"/>
      <c r="T460" s="59"/>
      <c r="U460" s="59"/>
      <c r="V460" s="59"/>
      <c r="W460" s="59"/>
      <c r="X460" s="59"/>
      <c r="Y460" s="59"/>
    </row>
    <row r="461" spans="1:25" ht="18">
      <c r="A461" s="76"/>
      <c r="B461" s="59"/>
      <c r="C461" s="59"/>
      <c r="D461" s="59"/>
      <c r="E461" s="59"/>
      <c r="F461" s="59"/>
      <c r="G461" s="59"/>
      <c r="H461" s="59"/>
      <c r="I461" s="59"/>
      <c r="J461" s="59"/>
      <c r="K461" s="59"/>
      <c r="L461" s="59"/>
      <c r="M461" s="59"/>
      <c r="N461" s="59"/>
      <c r="O461" s="59"/>
      <c r="P461" s="59"/>
      <c r="Q461" s="59"/>
      <c r="R461" s="59"/>
      <c r="S461" s="59"/>
      <c r="T461" s="59"/>
      <c r="U461" s="59"/>
      <c r="V461" s="59"/>
      <c r="W461" s="59"/>
      <c r="X461" s="59"/>
      <c r="Y461" s="59"/>
    </row>
    <row r="462" spans="1:25" ht="18">
      <c r="A462" s="76"/>
      <c r="B462" s="59"/>
      <c r="C462" s="59"/>
      <c r="D462" s="59"/>
      <c r="E462" s="59"/>
      <c r="F462" s="59"/>
      <c r="G462" s="59"/>
      <c r="H462" s="59"/>
      <c r="I462" s="59"/>
      <c r="J462" s="59"/>
      <c r="K462" s="59"/>
      <c r="L462" s="59"/>
      <c r="M462" s="59"/>
      <c r="N462" s="59"/>
      <c r="O462" s="59"/>
      <c r="P462" s="59"/>
      <c r="Q462" s="59"/>
      <c r="R462" s="59"/>
      <c r="S462" s="59"/>
      <c r="T462" s="59"/>
      <c r="U462" s="59"/>
      <c r="V462" s="59"/>
      <c r="W462" s="59"/>
      <c r="X462" s="59"/>
      <c r="Y462" s="59"/>
    </row>
    <row r="463" spans="1:25" ht="18">
      <c r="A463" s="76"/>
      <c r="B463" s="59"/>
      <c r="C463" s="59"/>
      <c r="D463" s="59"/>
      <c r="E463" s="59"/>
      <c r="F463" s="59"/>
      <c r="G463" s="59"/>
      <c r="H463" s="59"/>
      <c r="I463" s="59"/>
      <c r="J463" s="59"/>
      <c r="K463" s="59"/>
      <c r="L463" s="59"/>
      <c r="M463" s="59"/>
      <c r="N463" s="59"/>
      <c r="O463" s="59"/>
      <c r="P463" s="59"/>
      <c r="Q463" s="59"/>
      <c r="R463" s="59"/>
      <c r="S463" s="59"/>
      <c r="T463" s="59"/>
      <c r="U463" s="59"/>
      <c r="V463" s="59"/>
      <c r="W463" s="59"/>
      <c r="X463" s="59"/>
      <c r="Y463" s="59"/>
    </row>
    <row r="464" spans="1:25" ht="18">
      <c r="A464" s="76"/>
      <c r="B464" s="59"/>
      <c r="C464" s="59"/>
      <c r="D464" s="59"/>
      <c r="E464" s="59"/>
      <c r="F464" s="59"/>
      <c r="G464" s="59"/>
      <c r="H464" s="59"/>
      <c r="I464" s="59"/>
      <c r="J464" s="59"/>
      <c r="K464" s="59"/>
      <c r="L464" s="59"/>
      <c r="M464" s="59"/>
      <c r="N464" s="59"/>
      <c r="O464" s="59"/>
      <c r="P464" s="59"/>
      <c r="Q464" s="59"/>
      <c r="R464" s="59"/>
      <c r="S464" s="59"/>
      <c r="T464" s="59"/>
      <c r="U464" s="59"/>
      <c r="V464" s="59"/>
      <c r="W464" s="59"/>
      <c r="X464" s="59"/>
      <c r="Y464" s="59"/>
    </row>
    <row r="465" spans="1:25" ht="18">
      <c r="A465" s="76"/>
      <c r="B465" s="59"/>
      <c r="C465" s="59"/>
      <c r="D465" s="59"/>
      <c r="E465" s="59"/>
      <c r="F465" s="59"/>
      <c r="G465" s="59"/>
      <c r="H465" s="59"/>
      <c r="I465" s="59"/>
      <c r="J465" s="59"/>
      <c r="K465" s="59"/>
      <c r="L465" s="59"/>
      <c r="M465" s="59"/>
      <c r="N465" s="59"/>
      <c r="O465" s="59"/>
      <c r="P465" s="59"/>
      <c r="Q465" s="59"/>
      <c r="R465" s="59"/>
      <c r="S465" s="59"/>
      <c r="T465" s="59"/>
      <c r="U465" s="59"/>
      <c r="V465" s="59"/>
      <c r="W465" s="59"/>
      <c r="X465" s="59"/>
      <c r="Y465" s="59"/>
    </row>
    <row r="466" spans="1:25" ht="18">
      <c r="A466" s="76"/>
      <c r="B466" s="59"/>
      <c r="C466" s="59"/>
      <c r="D466" s="59"/>
      <c r="E466" s="59"/>
      <c r="F466" s="59"/>
      <c r="G466" s="59"/>
      <c r="H466" s="59"/>
      <c r="I466" s="59"/>
      <c r="J466" s="59"/>
      <c r="K466" s="59"/>
      <c r="L466" s="59"/>
      <c r="M466" s="59"/>
      <c r="N466" s="59"/>
      <c r="O466" s="59"/>
      <c r="P466" s="59"/>
      <c r="Q466" s="59"/>
      <c r="R466" s="59"/>
      <c r="S466" s="59"/>
      <c r="T466" s="59"/>
      <c r="U466" s="59"/>
      <c r="V466" s="59"/>
      <c r="W466" s="59"/>
      <c r="X466" s="59"/>
      <c r="Y466" s="59"/>
    </row>
    <row r="467" spans="1:25" ht="18">
      <c r="A467" s="76"/>
      <c r="B467" s="59"/>
      <c r="C467" s="59"/>
      <c r="D467" s="59"/>
      <c r="E467" s="59"/>
      <c r="F467" s="59"/>
      <c r="G467" s="59"/>
      <c r="H467" s="59"/>
      <c r="I467" s="59"/>
      <c r="J467" s="59"/>
      <c r="K467" s="59"/>
      <c r="L467" s="59"/>
      <c r="M467" s="59"/>
      <c r="N467" s="59"/>
      <c r="O467" s="59"/>
      <c r="P467" s="59"/>
      <c r="Q467" s="59"/>
      <c r="R467" s="59"/>
      <c r="S467" s="59"/>
      <c r="T467" s="59"/>
      <c r="U467" s="59"/>
      <c r="V467" s="59"/>
      <c r="W467" s="59"/>
      <c r="X467" s="59"/>
      <c r="Y467" s="59"/>
    </row>
    <row r="468" spans="1:25" ht="18">
      <c r="A468" s="76"/>
      <c r="B468" s="59"/>
      <c r="C468" s="59"/>
      <c r="D468" s="59"/>
      <c r="E468" s="59"/>
      <c r="F468" s="59"/>
      <c r="G468" s="59"/>
      <c r="H468" s="59"/>
      <c r="I468" s="59"/>
      <c r="J468" s="59"/>
      <c r="K468" s="59"/>
      <c r="L468" s="59"/>
      <c r="M468" s="59"/>
      <c r="N468" s="59"/>
      <c r="O468" s="59"/>
      <c r="P468" s="59"/>
      <c r="Q468" s="59"/>
      <c r="R468" s="59"/>
      <c r="S468" s="59"/>
      <c r="T468" s="59"/>
      <c r="U468" s="59"/>
      <c r="V468" s="59"/>
      <c r="W468" s="59"/>
      <c r="X468" s="59"/>
      <c r="Y468" s="59"/>
    </row>
    <row r="469" spans="1:25" ht="18">
      <c r="A469" s="76"/>
      <c r="B469" s="59"/>
      <c r="C469" s="59"/>
      <c r="D469" s="59"/>
      <c r="E469" s="59"/>
      <c r="F469" s="59"/>
      <c r="G469" s="59"/>
      <c r="H469" s="59"/>
      <c r="I469" s="59"/>
      <c r="J469" s="59"/>
      <c r="K469" s="59"/>
      <c r="L469" s="59"/>
      <c r="M469" s="59"/>
      <c r="N469" s="59"/>
      <c r="O469" s="59"/>
      <c r="P469" s="59"/>
      <c r="Q469" s="59"/>
      <c r="R469" s="59"/>
      <c r="S469" s="59"/>
      <c r="T469" s="59"/>
      <c r="U469" s="59"/>
      <c r="V469" s="59"/>
      <c r="W469" s="59"/>
      <c r="X469" s="59"/>
      <c r="Y469" s="59"/>
    </row>
    <row r="470" spans="1:25" ht="18">
      <c r="A470" s="76"/>
      <c r="B470" s="59"/>
      <c r="C470" s="59"/>
      <c r="D470" s="59"/>
      <c r="E470" s="59"/>
      <c r="F470" s="59"/>
      <c r="G470" s="59"/>
      <c r="H470" s="59"/>
      <c r="I470" s="59"/>
      <c r="J470" s="59"/>
      <c r="K470" s="59"/>
      <c r="L470" s="59"/>
      <c r="M470" s="59"/>
      <c r="N470" s="59"/>
      <c r="O470" s="59"/>
      <c r="P470" s="59"/>
      <c r="Q470" s="59"/>
      <c r="R470" s="59"/>
      <c r="S470" s="59"/>
      <c r="T470" s="59"/>
      <c r="U470" s="59"/>
      <c r="V470" s="59"/>
      <c r="W470" s="59"/>
      <c r="X470" s="59"/>
      <c r="Y470" s="59"/>
    </row>
    <row r="471" spans="1:25" ht="18">
      <c r="A471" s="76"/>
      <c r="B471" s="59"/>
      <c r="C471" s="59"/>
      <c r="D471" s="59"/>
      <c r="E471" s="59"/>
      <c r="F471" s="59"/>
      <c r="G471" s="59"/>
      <c r="H471" s="59"/>
      <c r="I471" s="59"/>
      <c r="J471" s="59"/>
      <c r="K471" s="59"/>
      <c r="L471" s="59"/>
      <c r="M471" s="59"/>
      <c r="N471" s="59"/>
      <c r="O471" s="59"/>
      <c r="P471" s="59"/>
      <c r="Q471" s="59"/>
      <c r="R471" s="59"/>
      <c r="S471" s="59"/>
      <c r="T471" s="59"/>
      <c r="U471" s="59"/>
      <c r="V471" s="59"/>
      <c r="W471" s="59"/>
      <c r="X471" s="59"/>
      <c r="Y471" s="59"/>
    </row>
    <row r="472" spans="1:25" ht="18">
      <c r="A472" s="76"/>
      <c r="B472" s="59"/>
      <c r="C472" s="59"/>
      <c r="D472" s="59"/>
      <c r="E472" s="59"/>
      <c r="F472" s="59"/>
      <c r="G472" s="59"/>
      <c r="H472" s="59"/>
      <c r="I472" s="59"/>
      <c r="J472" s="59"/>
      <c r="K472" s="59"/>
      <c r="L472" s="59"/>
      <c r="M472" s="59"/>
      <c r="N472" s="59"/>
      <c r="O472" s="59"/>
      <c r="P472" s="59"/>
      <c r="Q472" s="59"/>
      <c r="R472" s="59"/>
      <c r="S472" s="59"/>
      <c r="T472" s="59"/>
      <c r="U472" s="59"/>
      <c r="V472" s="59"/>
      <c r="W472" s="59"/>
      <c r="X472" s="59"/>
      <c r="Y472" s="59"/>
    </row>
    <row r="473" spans="1:25" ht="18">
      <c r="A473" s="76"/>
      <c r="B473" s="59"/>
      <c r="C473" s="59"/>
      <c r="D473" s="59"/>
      <c r="E473" s="59"/>
      <c r="F473" s="59"/>
      <c r="G473" s="59"/>
      <c r="H473" s="59"/>
      <c r="I473" s="59"/>
      <c r="J473" s="59"/>
      <c r="K473" s="59"/>
      <c r="L473" s="59"/>
      <c r="M473" s="59"/>
      <c r="N473" s="59"/>
      <c r="O473" s="59"/>
      <c r="P473" s="59"/>
      <c r="Q473" s="59"/>
      <c r="R473" s="59"/>
      <c r="S473" s="59"/>
      <c r="T473" s="59"/>
      <c r="U473" s="59"/>
      <c r="V473" s="59"/>
      <c r="W473" s="59"/>
      <c r="X473" s="59"/>
      <c r="Y473" s="59"/>
    </row>
    <row r="474" spans="1:25" ht="18">
      <c r="A474" s="76"/>
      <c r="B474" s="59"/>
      <c r="C474" s="59"/>
      <c r="D474" s="59"/>
      <c r="E474" s="59"/>
      <c r="F474" s="59"/>
      <c r="G474" s="59"/>
      <c r="H474" s="59"/>
      <c r="I474" s="59"/>
      <c r="J474" s="59"/>
      <c r="K474" s="59"/>
      <c r="L474" s="59"/>
      <c r="M474" s="59"/>
      <c r="N474" s="59"/>
      <c r="O474" s="59"/>
      <c r="P474" s="59"/>
      <c r="Q474" s="59"/>
      <c r="R474" s="59"/>
      <c r="S474" s="59"/>
      <c r="T474" s="59"/>
      <c r="U474" s="59"/>
      <c r="V474" s="59"/>
      <c r="W474" s="59"/>
      <c r="X474" s="59"/>
      <c r="Y474" s="59"/>
    </row>
    <row r="475" spans="1:25" ht="18">
      <c r="A475" s="76"/>
      <c r="B475" s="59"/>
      <c r="C475" s="59"/>
      <c r="D475" s="59"/>
      <c r="E475" s="59"/>
      <c r="F475" s="59"/>
      <c r="G475" s="59"/>
      <c r="H475" s="59"/>
      <c r="I475" s="59"/>
      <c r="J475" s="59"/>
      <c r="K475" s="59"/>
      <c r="L475" s="59"/>
      <c r="M475" s="59"/>
      <c r="N475" s="59"/>
      <c r="O475" s="59"/>
      <c r="P475" s="59"/>
      <c r="Q475" s="59"/>
      <c r="R475" s="59"/>
      <c r="S475" s="59"/>
      <c r="T475" s="59"/>
      <c r="U475" s="59"/>
      <c r="V475" s="59"/>
      <c r="W475" s="59"/>
      <c r="X475" s="59"/>
      <c r="Y475" s="59"/>
    </row>
    <row r="476" spans="1:25" ht="18">
      <c r="A476" s="76"/>
      <c r="B476" s="59"/>
      <c r="C476" s="59"/>
      <c r="D476" s="59"/>
      <c r="E476" s="59"/>
      <c r="F476" s="59"/>
      <c r="G476" s="59"/>
      <c r="H476" s="59"/>
      <c r="I476" s="59"/>
      <c r="J476" s="59"/>
      <c r="K476" s="59"/>
      <c r="L476" s="59"/>
      <c r="M476" s="59"/>
      <c r="N476" s="59"/>
      <c r="O476" s="59"/>
      <c r="P476" s="59"/>
      <c r="Q476" s="59"/>
      <c r="R476" s="59"/>
      <c r="S476" s="59"/>
      <c r="T476" s="59"/>
      <c r="U476" s="59"/>
      <c r="V476" s="59"/>
      <c r="W476" s="59"/>
      <c r="X476" s="59"/>
      <c r="Y476" s="59"/>
    </row>
    <row r="477" spans="1:25" ht="18">
      <c r="A477" s="76"/>
      <c r="B477" s="59"/>
      <c r="C477" s="59"/>
      <c r="D477" s="59"/>
      <c r="E477" s="59"/>
      <c r="F477" s="59"/>
      <c r="G477" s="59"/>
      <c r="H477" s="59"/>
      <c r="I477" s="59"/>
      <c r="J477" s="59"/>
      <c r="K477" s="59"/>
      <c r="L477" s="59"/>
      <c r="M477" s="59"/>
      <c r="N477" s="59"/>
      <c r="O477" s="59"/>
      <c r="P477" s="59"/>
      <c r="Q477" s="59"/>
      <c r="R477" s="59"/>
      <c r="S477" s="59"/>
      <c r="T477" s="59"/>
      <c r="U477" s="59"/>
      <c r="V477" s="59"/>
      <c r="W477" s="59"/>
      <c r="X477" s="59"/>
      <c r="Y477" s="59"/>
    </row>
    <row r="478" spans="1:25" ht="18">
      <c r="A478" s="76"/>
      <c r="B478" s="59"/>
      <c r="C478" s="59"/>
      <c r="D478" s="59"/>
      <c r="E478" s="59"/>
      <c r="F478" s="59"/>
      <c r="G478" s="59"/>
      <c r="H478" s="59"/>
      <c r="I478" s="59"/>
      <c r="J478" s="59"/>
      <c r="K478" s="59"/>
      <c r="L478" s="59"/>
      <c r="M478" s="59"/>
      <c r="N478" s="59"/>
      <c r="O478" s="59"/>
      <c r="P478" s="59"/>
      <c r="Q478" s="59"/>
      <c r="R478" s="59"/>
      <c r="S478" s="59"/>
      <c r="T478" s="59"/>
      <c r="U478" s="59"/>
      <c r="V478" s="59"/>
      <c r="W478" s="59"/>
      <c r="X478" s="59"/>
      <c r="Y478" s="59"/>
    </row>
    <row r="479" spans="1:25" ht="18">
      <c r="A479" s="76"/>
      <c r="B479" s="59"/>
      <c r="C479" s="59"/>
      <c r="D479" s="59"/>
      <c r="E479" s="59"/>
      <c r="F479" s="59"/>
      <c r="G479" s="59"/>
      <c r="H479" s="59"/>
      <c r="I479" s="59"/>
      <c r="J479" s="59"/>
      <c r="K479" s="59"/>
      <c r="L479" s="59"/>
      <c r="M479" s="59"/>
      <c r="N479" s="59"/>
      <c r="O479" s="59"/>
      <c r="P479" s="59"/>
      <c r="Q479" s="59"/>
      <c r="R479" s="59"/>
      <c r="S479" s="59"/>
      <c r="T479" s="59"/>
      <c r="U479" s="59"/>
      <c r="V479" s="59"/>
      <c r="W479" s="59"/>
      <c r="X479" s="59"/>
      <c r="Y479" s="59"/>
    </row>
    <row r="480" spans="1:25" ht="18">
      <c r="A480" s="76"/>
      <c r="B480" s="59"/>
      <c r="C480" s="59"/>
      <c r="D480" s="59"/>
      <c r="E480" s="59"/>
      <c r="F480" s="59"/>
      <c r="G480" s="59"/>
      <c r="H480" s="59"/>
      <c r="I480" s="59"/>
      <c r="J480" s="59"/>
      <c r="K480" s="59"/>
      <c r="L480" s="59"/>
      <c r="M480" s="59"/>
      <c r="N480" s="59"/>
      <c r="O480" s="59"/>
      <c r="P480" s="59"/>
      <c r="Q480" s="59"/>
      <c r="R480" s="59"/>
      <c r="S480" s="59"/>
      <c r="T480" s="59"/>
      <c r="U480" s="59"/>
      <c r="V480" s="59"/>
      <c r="W480" s="59"/>
      <c r="X480" s="59"/>
      <c r="Y480" s="59"/>
    </row>
    <row r="481" spans="1:25" ht="18">
      <c r="A481" s="76"/>
      <c r="B481" s="59"/>
      <c r="C481" s="59"/>
      <c r="D481" s="59"/>
      <c r="E481" s="59"/>
      <c r="F481" s="59"/>
      <c r="G481" s="59"/>
      <c r="H481" s="59"/>
      <c r="I481" s="59"/>
      <c r="J481" s="59"/>
      <c r="K481" s="59"/>
      <c r="L481" s="59"/>
      <c r="M481" s="59"/>
      <c r="N481" s="59"/>
      <c r="O481" s="59"/>
      <c r="P481" s="59"/>
      <c r="Q481" s="59"/>
      <c r="R481" s="59"/>
      <c r="S481" s="59"/>
      <c r="T481" s="59"/>
      <c r="U481" s="59"/>
      <c r="V481" s="59"/>
      <c r="W481" s="59"/>
      <c r="X481" s="59"/>
      <c r="Y481" s="59"/>
    </row>
    <row r="482" spans="1:25" ht="18">
      <c r="A482" s="76"/>
      <c r="B482" s="59"/>
      <c r="C482" s="59"/>
      <c r="D482" s="59"/>
      <c r="E482" s="59"/>
      <c r="F482" s="59"/>
      <c r="G482" s="59"/>
      <c r="H482" s="59"/>
      <c r="I482" s="59"/>
      <c r="J482" s="59"/>
      <c r="K482" s="59"/>
      <c r="L482" s="59"/>
      <c r="M482" s="59"/>
      <c r="N482" s="59"/>
      <c r="O482" s="59"/>
      <c r="P482" s="59"/>
      <c r="Q482" s="59"/>
      <c r="R482" s="59"/>
      <c r="S482" s="59"/>
      <c r="T482" s="59"/>
      <c r="U482" s="59"/>
      <c r="V482" s="59"/>
      <c r="W482" s="59"/>
      <c r="X482" s="59"/>
      <c r="Y482" s="59"/>
    </row>
    <row r="483" spans="1:25" ht="18">
      <c r="A483" s="76"/>
      <c r="B483" s="59"/>
      <c r="C483" s="59"/>
      <c r="D483" s="59"/>
      <c r="E483" s="59"/>
      <c r="F483" s="59"/>
      <c r="G483" s="59"/>
      <c r="H483" s="59"/>
      <c r="I483" s="59"/>
      <c r="J483" s="59"/>
      <c r="K483" s="59"/>
      <c r="L483" s="59"/>
      <c r="M483" s="59"/>
      <c r="N483" s="59"/>
      <c r="O483" s="59"/>
      <c r="P483" s="59"/>
      <c r="Q483" s="59"/>
      <c r="R483" s="59"/>
      <c r="S483" s="59"/>
      <c r="T483" s="59"/>
      <c r="U483" s="59"/>
      <c r="V483" s="59"/>
      <c r="W483" s="59"/>
      <c r="X483" s="59"/>
      <c r="Y483" s="59"/>
    </row>
    <row r="484" spans="1:25" ht="18">
      <c r="A484" s="76"/>
      <c r="B484" s="59"/>
      <c r="C484" s="59"/>
      <c r="D484" s="59"/>
      <c r="E484" s="59"/>
      <c r="F484" s="59"/>
      <c r="G484" s="59"/>
      <c r="H484" s="59"/>
      <c r="I484" s="59"/>
      <c r="J484" s="59"/>
      <c r="K484" s="59"/>
      <c r="L484" s="59"/>
      <c r="M484" s="59"/>
      <c r="N484" s="59"/>
      <c r="O484" s="59"/>
      <c r="P484" s="59"/>
      <c r="Q484" s="59"/>
      <c r="R484" s="59"/>
      <c r="S484" s="59"/>
      <c r="T484" s="59"/>
      <c r="U484" s="59"/>
      <c r="V484" s="59"/>
      <c r="W484" s="59"/>
      <c r="X484" s="59"/>
      <c r="Y484" s="59"/>
    </row>
    <row r="485" spans="1:25" ht="18">
      <c r="A485" s="76"/>
      <c r="B485" s="59"/>
      <c r="C485" s="59"/>
      <c r="D485" s="59"/>
      <c r="E485" s="59"/>
      <c r="F485" s="59"/>
      <c r="G485" s="59"/>
      <c r="H485" s="59"/>
      <c r="I485" s="59"/>
      <c r="J485" s="59"/>
      <c r="K485" s="59"/>
      <c r="L485" s="59"/>
      <c r="M485" s="59"/>
      <c r="N485" s="59"/>
      <c r="O485" s="59"/>
      <c r="P485" s="59"/>
      <c r="Q485" s="59"/>
      <c r="R485" s="59"/>
      <c r="S485" s="59"/>
      <c r="T485" s="59"/>
      <c r="U485" s="59"/>
      <c r="V485" s="59"/>
      <c r="W485" s="59"/>
      <c r="X485" s="59"/>
      <c r="Y485" s="59"/>
    </row>
    <row r="486" spans="1:25" ht="18">
      <c r="A486" s="76"/>
      <c r="B486" s="59"/>
      <c r="C486" s="59"/>
      <c r="D486" s="59"/>
      <c r="E486" s="59"/>
      <c r="F486" s="59"/>
      <c r="G486" s="59"/>
      <c r="H486" s="59"/>
      <c r="I486" s="59"/>
      <c r="J486" s="59"/>
      <c r="K486" s="59"/>
      <c r="L486" s="59"/>
      <c r="M486" s="59"/>
      <c r="N486" s="59"/>
      <c r="O486" s="59"/>
      <c r="P486" s="59"/>
      <c r="Q486" s="59"/>
      <c r="R486" s="59"/>
      <c r="S486" s="59"/>
      <c r="T486" s="59"/>
      <c r="U486" s="59"/>
      <c r="V486" s="59"/>
      <c r="W486" s="59"/>
      <c r="X486" s="59"/>
      <c r="Y486" s="59"/>
    </row>
    <row r="487" spans="1:25" ht="18">
      <c r="A487" s="76"/>
      <c r="B487" s="59"/>
      <c r="C487" s="59"/>
      <c r="D487" s="59"/>
      <c r="E487" s="59"/>
      <c r="F487" s="59"/>
      <c r="G487" s="59"/>
      <c r="H487" s="59"/>
      <c r="I487" s="59"/>
      <c r="J487" s="59"/>
      <c r="K487" s="59"/>
      <c r="L487" s="59"/>
      <c r="M487" s="59"/>
      <c r="N487" s="59"/>
      <c r="O487" s="59"/>
      <c r="P487" s="59"/>
      <c r="Q487" s="59"/>
      <c r="R487" s="59"/>
      <c r="S487" s="59"/>
      <c r="T487" s="59"/>
      <c r="U487" s="59"/>
      <c r="V487" s="59"/>
      <c r="W487" s="59"/>
      <c r="X487" s="59"/>
      <c r="Y487" s="59"/>
    </row>
    <row r="488" spans="1:25" ht="18">
      <c r="A488" s="76"/>
      <c r="B488" s="59"/>
      <c r="C488" s="59"/>
      <c r="D488" s="59"/>
      <c r="E488" s="59"/>
      <c r="F488" s="59"/>
      <c r="G488" s="59"/>
      <c r="H488" s="59"/>
      <c r="I488" s="59"/>
      <c r="J488" s="59"/>
      <c r="K488" s="59"/>
      <c r="L488" s="59"/>
      <c r="M488" s="59"/>
      <c r="N488" s="59"/>
      <c r="O488" s="59"/>
      <c r="P488" s="59"/>
      <c r="Q488" s="59"/>
      <c r="R488" s="59"/>
      <c r="S488" s="59"/>
      <c r="T488" s="59"/>
      <c r="U488" s="59"/>
      <c r="V488" s="59"/>
      <c r="W488" s="59"/>
      <c r="X488" s="59"/>
      <c r="Y488" s="59"/>
    </row>
    <row r="489" spans="1:25" ht="18">
      <c r="A489" s="76"/>
      <c r="B489" s="59"/>
      <c r="C489" s="59"/>
      <c r="D489" s="59"/>
      <c r="E489" s="59"/>
      <c r="F489" s="59"/>
      <c r="G489" s="59"/>
      <c r="H489" s="59"/>
      <c r="I489" s="59"/>
      <c r="J489" s="59"/>
      <c r="K489" s="59"/>
      <c r="L489" s="59"/>
      <c r="M489" s="59"/>
      <c r="N489" s="59"/>
      <c r="O489" s="59"/>
      <c r="P489" s="59"/>
      <c r="Q489" s="59"/>
      <c r="R489" s="59"/>
      <c r="S489" s="59"/>
      <c r="T489" s="59"/>
      <c r="U489" s="59"/>
      <c r="V489" s="59"/>
      <c r="W489" s="59"/>
      <c r="X489" s="59"/>
      <c r="Y489" s="59"/>
    </row>
    <row r="490" spans="1:25" ht="18">
      <c r="A490" s="76"/>
      <c r="B490" s="59"/>
      <c r="C490" s="59"/>
      <c r="D490" s="59"/>
      <c r="E490" s="59"/>
      <c r="F490" s="59"/>
      <c r="G490" s="59"/>
      <c r="H490" s="59"/>
      <c r="I490" s="59"/>
      <c r="J490" s="59"/>
      <c r="K490" s="59"/>
      <c r="L490" s="59"/>
      <c r="M490" s="59"/>
      <c r="N490" s="59"/>
      <c r="O490" s="59"/>
      <c r="P490" s="59"/>
      <c r="Q490" s="59"/>
      <c r="R490" s="59"/>
      <c r="S490" s="59"/>
      <c r="T490" s="59"/>
      <c r="U490" s="59"/>
      <c r="V490" s="59"/>
      <c r="W490" s="59"/>
      <c r="X490" s="59"/>
      <c r="Y490" s="59"/>
    </row>
    <row r="491" spans="1:25" ht="18">
      <c r="A491" s="76"/>
      <c r="B491" s="59"/>
      <c r="C491" s="59"/>
      <c r="D491" s="59"/>
      <c r="E491" s="59"/>
      <c r="F491" s="59"/>
      <c r="G491" s="59"/>
      <c r="H491" s="59"/>
      <c r="I491" s="59"/>
      <c r="J491" s="59"/>
      <c r="K491" s="59"/>
      <c r="L491" s="59"/>
      <c r="M491" s="59"/>
      <c r="N491" s="59"/>
      <c r="O491" s="59"/>
      <c r="P491" s="59"/>
      <c r="Q491" s="59"/>
      <c r="R491" s="59"/>
      <c r="S491" s="59"/>
      <c r="T491" s="59"/>
      <c r="U491" s="59"/>
      <c r="V491" s="59"/>
      <c r="W491" s="59"/>
      <c r="X491" s="59"/>
      <c r="Y491" s="59"/>
    </row>
    <row r="492" spans="1:25" ht="18">
      <c r="A492" s="76"/>
      <c r="B492" s="59"/>
      <c r="C492" s="59"/>
      <c r="D492" s="59"/>
      <c r="E492" s="59"/>
      <c r="F492" s="59"/>
      <c r="G492" s="59"/>
      <c r="H492" s="59"/>
      <c r="I492" s="59"/>
      <c r="J492" s="59"/>
      <c r="K492" s="59"/>
      <c r="L492" s="59"/>
      <c r="M492" s="59"/>
      <c r="N492" s="59"/>
      <c r="O492" s="59"/>
      <c r="P492" s="59"/>
      <c r="Q492" s="59"/>
      <c r="R492" s="59"/>
      <c r="S492" s="59"/>
      <c r="T492" s="59"/>
      <c r="U492" s="59"/>
      <c r="V492" s="59"/>
      <c r="W492" s="59"/>
      <c r="X492" s="59"/>
      <c r="Y492" s="59"/>
    </row>
    <row r="493" spans="1:25" ht="18">
      <c r="A493" s="76"/>
      <c r="B493" s="59"/>
      <c r="C493" s="59"/>
      <c r="D493" s="59"/>
      <c r="E493" s="59"/>
      <c r="F493" s="59"/>
      <c r="G493" s="59"/>
      <c r="H493" s="59"/>
      <c r="I493" s="59"/>
      <c r="J493" s="59"/>
      <c r="K493" s="59"/>
      <c r="L493" s="59"/>
      <c r="M493" s="59"/>
      <c r="N493" s="59"/>
      <c r="O493" s="59"/>
      <c r="P493" s="59"/>
      <c r="Q493" s="59"/>
      <c r="R493" s="59"/>
      <c r="S493" s="59"/>
      <c r="T493" s="59"/>
      <c r="U493" s="59"/>
      <c r="V493" s="59"/>
      <c r="W493" s="59"/>
      <c r="X493" s="59"/>
      <c r="Y493" s="59"/>
    </row>
    <row r="494" spans="1:25" ht="18">
      <c r="A494" s="76"/>
      <c r="B494" s="59"/>
      <c r="C494" s="59"/>
      <c r="D494" s="59"/>
      <c r="E494" s="59"/>
      <c r="F494" s="59"/>
      <c r="G494" s="59"/>
      <c r="H494" s="59"/>
      <c r="I494" s="59"/>
      <c r="J494" s="59"/>
      <c r="K494" s="59"/>
      <c r="L494" s="59"/>
      <c r="M494" s="59"/>
      <c r="N494" s="59"/>
      <c r="O494" s="59"/>
      <c r="P494" s="59"/>
      <c r="Q494" s="59"/>
      <c r="R494" s="59"/>
      <c r="S494" s="59"/>
      <c r="T494" s="59"/>
      <c r="U494" s="59"/>
      <c r="V494" s="59"/>
      <c r="W494" s="59"/>
      <c r="X494" s="59"/>
      <c r="Y494" s="59"/>
    </row>
    <row r="495" spans="1:25" ht="18">
      <c r="A495" s="76"/>
      <c r="B495" s="59"/>
      <c r="C495" s="59"/>
      <c r="D495" s="59"/>
      <c r="E495" s="59"/>
      <c r="F495" s="59"/>
      <c r="G495" s="59"/>
      <c r="H495" s="59"/>
      <c r="I495" s="59"/>
      <c r="J495" s="59"/>
      <c r="K495" s="59"/>
      <c r="L495" s="59"/>
      <c r="M495" s="59"/>
      <c r="N495" s="59"/>
      <c r="O495" s="59"/>
      <c r="P495" s="59"/>
      <c r="Q495" s="59"/>
      <c r="R495" s="59"/>
      <c r="S495" s="59"/>
      <c r="T495" s="59"/>
      <c r="U495" s="59"/>
      <c r="V495" s="59"/>
      <c r="W495" s="59"/>
      <c r="X495" s="59"/>
      <c r="Y495" s="59"/>
    </row>
    <row r="496" spans="1:25" ht="18">
      <c r="A496" s="76"/>
      <c r="B496" s="59"/>
      <c r="C496" s="59"/>
      <c r="D496" s="59"/>
      <c r="E496" s="59"/>
      <c r="F496" s="59"/>
      <c r="G496" s="59"/>
      <c r="H496" s="59"/>
      <c r="I496" s="59"/>
      <c r="J496" s="59"/>
      <c r="K496" s="59"/>
      <c r="L496" s="59"/>
      <c r="M496" s="59"/>
      <c r="N496" s="59"/>
      <c r="O496" s="59"/>
      <c r="P496" s="59"/>
      <c r="Q496" s="59"/>
      <c r="R496" s="59"/>
      <c r="S496" s="59"/>
      <c r="T496" s="59"/>
      <c r="U496" s="59"/>
      <c r="V496" s="59"/>
      <c r="W496" s="59"/>
      <c r="X496" s="59"/>
      <c r="Y496" s="59"/>
    </row>
    <row r="497" spans="1:25" ht="18">
      <c r="A497" s="76"/>
      <c r="B497" s="59"/>
      <c r="C497" s="59"/>
      <c r="D497" s="59"/>
      <c r="E497" s="59"/>
      <c r="F497" s="59"/>
      <c r="G497" s="59"/>
      <c r="H497" s="59"/>
      <c r="I497" s="59"/>
      <c r="J497" s="59"/>
      <c r="K497" s="59"/>
      <c r="L497" s="59"/>
      <c r="M497" s="59"/>
      <c r="N497" s="59"/>
      <c r="O497" s="59"/>
      <c r="P497" s="59"/>
      <c r="Q497" s="59"/>
      <c r="R497" s="59"/>
      <c r="S497" s="59"/>
      <c r="T497" s="59"/>
      <c r="U497" s="59"/>
      <c r="V497" s="59"/>
      <c r="W497" s="59"/>
      <c r="X497" s="59"/>
      <c r="Y497" s="59"/>
    </row>
    <row r="498" spans="1:25" ht="18">
      <c r="A498" s="76"/>
      <c r="B498" s="59"/>
      <c r="C498" s="59"/>
      <c r="D498" s="59"/>
      <c r="E498" s="59"/>
      <c r="F498" s="59"/>
      <c r="G498" s="59"/>
      <c r="H498" s="59"/>
      <c r="I498" s="59"/>
      <c r="J498" s="59"/>
      <c r="K498" s="59"/>
      <c r="L498" s="59"/>
      <c r="M498" s="59"/>
      <c r="N498" s="59"/>
      <c r="O498" s="59"/>
      <c r="P498" s="59"/>
      <c r="Q498" s="59"/>
      <c r="R498" s="59"/>
      <c r="S498" s="59"/>
      <c r="T498" s="59"/>
      <c r="U498" s="59"/>
      <c r="V498" s="59"/>
      <c r="W498" s="59"/>
      <c r="X498" s="59"/>
      <c r="Y498" s="59"/>
    </row>
    <row r="499" spans="1:25" ht="18">
      <c r="A499" s="76"/>
      <c r="B499" s="59"/>
      <c r="C499" s="59"/>
      <c r="D499" s="59"/>
      <c r="E499" s="59"/>
      <c r="F499" s="59"/>
      <c r="G499" s="59"/>
      <c r="H499" s="59"/>
      <c r="I499" s="59"/>
      <c r="J499" s="59"/>
      <c r="K499" s="59"/>
      <c r="L499" s="59"/>
      <c r="M499" s="59"/>
      <c r="N499" s="59"/>
      <c r="O499" s="59"/>
      <c r="P499" s="59"/>
      <c r="Q499" s="59"/>
      <c r="R499" s="59"/>
      <c r="S499" s="59"/>
      <c r="T499" s="59"/>
      <c r="U499" s="59"/>
      <c r="V499" s="59"/>
      <c r="W499" s="59"/>
      <c r="X499" s="59"/>
      <c r="Y499" s="59"/>
    </row>
    <row r="500" spans="1:25" ht="18">
      <c r="A500" s="76"/>
      <c r="B500" s="59"/>
      <c r="C500" s="59"/>
      <c r="D500" s="59"/>
      <c r="E500" s="59"/>
      <c r="F500" s="59"/>
      <c r="G500" s="59"/>
      <c r="H500" s="59"/>
      <c r="I500" s="59"/>
      <c r="J500" s="59"/>
      <c r="K500" s="59"/>
      <c r="L500" s="59"/>
      <c r="M500" s="59"/>
      <c r="N500" s="59"/>
      <c r="O500" s="59"/>
      <c r="P500" s="59"/>
      <c r="Q500" s="59"/>
      <c r="R500" s="59"/>
      <c r="S500" s="59"/>
      <c r="T500" s="59"/>
      <c r="U500" s="59"/>
      <c r="V500" s="59"/>
      <c r="W500" s="59"/>
      <c r="X500" s="59"/>
      <c r="Y500" s="59"/>
    </row>
    <row r="501" spans="1:25" ht="18">
      <c r="A501" s="76"/>
      <c r="B501" s="59"/>
      <c r="C501" s="59"/>
      <c r="D501" s="59"/>
      <c r="E501" s="59"/>
      <c r="F501" s="59"/>
      <c r="G501" s="59"/>
      <c r="H501" s="59"/>
      <c r="I501" s="59"/>
      <c r="J501" s="59"/>
      <c r="K501" s="59"/>
      <c r="L501" s="59"/>
      <c r="M501" s="59"/>
      <c r="N501" s="59"/>
      <c r="O501" s="59"/>
      <c r="P501" s="59"/>
      <c r="Q501" s="59"/>
      <c r="R501" s="59"/>
      <c r="S501" s="59"/>
      <c r="T501" s="59"/>
      <c r="U501" s="59"/>
      <c r="V501" s="59"/>
      <c r="W501" s="59"/>
      <c r="X501" s="59"/>
      <c r="Y501" s="59"/>
    </row>
    <row r="502" spans="1:25" ht="18">
      <c r="A502" s="76"/>
      <c r="B502" s="59"/>
      <c r="C502" s="59"/>
      <c r="D502" s="59"/>
      <c r="E502" s="59"/>
      <c r="F502" s="59"/>
      <c r="G502" s="59"/>
      <c r="H502" s="59"/>
      <c r="I502" s="59"/>
      <c r="J502" s="59"/>
      <c r="K502" s="59"/>
      <c r="L502" s="59"/>
      <c r="M502" s="59"/>
      <c r="N502" s="59"/>
      <c r="O502" s="59"/>
      <c r="P502" s="59"/>
      <c r="Q502" s="59"/>
      <c r="R502" s="59"/>
      <c r="S502" s="59"/>
      <c r="T502" s="59"/>
      <c r="U502" s="59"/>
      <c r="V502" s="59"/>
      <c r="W502" s="59"/>
      <c r="X502" s="59"/>
      <c r="Y502" s="59"/>
    </row>
    <row r="503" spans="1:25" ht="18">
      <c r="A503" s="76"/>
      <c r="B503" s="59"/>
      <c r="C503" s="59"/>
      <c r="D503" s="59"/>
      <c r="E503" s="59"/>
      <c r="F503" s="59"/>
      <c r="G503" s="59"/>
      <c r="H503" s="59"/>
      <c r="I503" s="59"/>
      <c r="J503" s="59"/>
      <c r="K503" s="59"/>
      <c r="L503" s="59"/>
      <c r="M503" s="59"/>
      <c r="N503" s="59"/>
      <c r="O503" s="59"/>
      <c r="P503" s="59"/>
      <c r="Q503" s="59"/>
      <c r="R503" s="59"/>
      <c r="S503" s="59"/>
      <c r="T503" s="59"/>
      <c r="U503" s="59"/>
      <c r="V503" s="59"/>
      <c r="W503" s="59"/>
      <c r="X503" s="59"/>
      <c r="Y503" s="59"/>
    </row>
    <row r="504" spans="1:25" ht="18">
      <c r="A504" s="76"/>
      <c r="B504" s="59"/>
      <c r="C504" s="59"/>
      <c r="D504" s="59"/>
      <c r="E504" s="59"/>
      <c r="F504" s="59"/>
      <c r="G504" s="59"/>
      <c r="H504" s="59"/>
      <c r="I504" s="59"/>
      <c r="J504" s="59"/>
      <c r="K504" s="59"/>
      <c r="L504" s="59"/>
      <c r="M504" s="59"/>
      <c r="N504" s="59"/>
      <c r="O504" s="59"/>
      <c r="P504" s="59"/>
      <c r="Q504" s="59"/>
      <c r="R504" s="59"/>
      <c r="S504" s="59"/>
      <c r="T504" s="59"/>
      <c r="U504" s="59"/>
      <c r="V504" s="59"/>
      <c r="W504" s="59"/>
      <c r="X504" s="59"/>
      <c r="Y504" s="59"/>
    </row>
    <row r="505" spans="1:25" ht="18">
      <c r="A505" s="76"/>
      <c r="B505" s="59"/>
      <c r="C505" s="59"/>
      <c r="D505" s="59"/>
      <c r="E505" s="59"/>
      <c r="F505" s="59"/>
      <c r="G505" s="59"/>
      <c r="H505" s="59"/>
      <c r="I505" s="59"/>
      <c r="J505" s="59"/>
      <c r="K505" s="59"/>
      <c r="L505" s="59"/>
      <c r="M505" s="59"/>
      <c r="N505" s="59"/>
      <c r="O505" s="59"/>
      <c r="P505" s="59"/>
      <c r="Q505" s="59"/>
      <c r="R505" s="59"/>
      <c r="S505" s="59"/>
      <c r="T505" s="59"/>
      <c r="U505" s="59"/>
      <c r="V505" s="59"/>
      <c r="W505" s="59"/>
      <c r="X505" s="59"/>
      <c r="Y505" s="59"/>
    </row>
    <row r="506" spans="1:25" ht="18">
      <c r="A506" s="76"/>
      <c r="B506" s="59"/>
      <c r="C506" s="59"/>
      <c r="D506" s="59"/>
      <c r="E506" s="59"/>
      <c r="F506" s="59"/>
      <c r="G506" s="59"/>
      <c r="H506" s="59"/>
      <c r="I506" s="59"/>
      <c r="J506" s="59"/>
      <c r="K506" s="59"/>
      <c r="L506" s="59"/>
      <c r="M506" s="59"/>
      <c r="N506" s="59"/>
      <c r="O506" s="59"/>
      <c r="P506" s="59"/>
      <c r="Q506" s="59"/>
      <c r="R506" s="59"/>
      <c r="S506" s="59"/>
      <c r="T506" s="59"/>
      <c r="U506" s="59"/>
      <c r="V506" s="59"/>
      <c r="W506" s="59"/>
      <c r="X506" s="59"/>
      <c r="Y506" s="59"/>
    </row>
    <row r="507" spans="1:25" ht="18">
      <c r="A507" s="76"/>
      <c r="B507" s="59"/>
      <c r="C507" s="59"/>
      <c r="D507" s="59"/>
      <c r="E507" s="59"/>
      <c r="F507" s="59"/>
      <c r="G507" s="59"/>
      <c r="H507" s="59"/>
      <c r="I507" s="59"/>
      <c r="J507" s="59"/>
      <c r="K507" s="59"/>
      <c r="L507" s="59"/>
      <c r="M507" s="59"/>
      <c r="N507" s="59"/>
      <c r="O507" s="59"/>
      <c r="P507" s="59"/>
      <c r="Q507" s="59"/>
      <c r="R507" s="59"/>
      <c r="S507" s="59"/>
      <c r="T507" s="59"/>
      <c r="U507" s="59"/>
      <c r="V507" s="59"/>
      <c r="W507" s="59"/>
      <c r="X507" s="59"/>
      <c r="Y507" s="59"/>
    </row>
    <row r="508" spans="1:25" ht="18">
      <c r="A508" s="76"/>
      <c r="B508" s="59"/>
      <c r="C508" s="59"/>
      <c r="D508" s="59"/>
      <c r="E508" s="59"/>
      <c r="F508" s="59"/>
      <c r="G508" s="59"/>
      <c r="H508" s="59"/>
      <c r="I508" s="59"/>
      <c r="J508" s="59"/>
      <c r="K508" s="59"/>
      <c r="L508" s="59"/>
      <c r="M508" s="59"/>
      <c r="N508" s="59"/>
      <c r="O508" s="59"/>
      <c r="P508" s="59"/>
      <c r="Q508" s="59"/>
      <c r="R508" s="59"/>
      <c r="S508" s="59"/>
      <c r="T508" s="59"/>
      <c r="U508" s="59"/>
      <c r="V508" s="59"/>
      <c r="W508" s="59"/>
      <c r="X508" s="59"/>
      <c r="Y508" s="59"/>
    </row>
    <row r="509" spans="1:25" ht="18">
      <c r="A509" s="76"/>
      <c r="B509" s="59"/>
      <c r="C509" s="59"/>
      <c r="D509" s="59"/>
      <c r="E509" s="59"/>
      <c r="F509" s="59"/>
      <c r="G509" s="59"/>
      <c r="H509" s="59"/>
      <c r="I509" s="59"/>
      <c r="J509" s="59"/>
      <c r="K509" s="59"/>
      <c r="L509" s="59"/>
      <c r="M509" s="59"/>
      <c r="N509" s="59"/>
      <c r="O509" s="59"/>
      <c r="P509" s="59"/>
      <c r="Q509" s="59"/>
      <c r="R509" s="59"/>
      <c r="S509" s="59"/>
      <c r="T509" s="59"/>
      <c r="U509" s="59"/>
      <c r="V509" s="59"/>
      <c r="W509" s="59"/>
      <c r="X509" s="59"/>
      <c r="Y509" s="59"/>
    </row>
    <row r="510" spans="1:25" ht="18">
      <c r="A510" s="76"/>
      <c r="B510" s="59"/>
      <c r="C510" s="59"/>
      <c r="D510" s="59"/>
      <c r="E510" s="59"/>
      <c r="F510" s="59"/>
      <c r="G510" s="59"/>
      <c r="H510" s="59"/>
      <c r="I510" s="59"/>
      <c r="J510" s="59"/>
      <c r="K510" s="59"/>
      <c r="L510" s="59"/>
      <c r="M510" s="59"/>
      <c r="N510" s="59"/>
      <c r="O510" s="59"/>
      <c r="P510" s="59"/>
      <c r="Q510" s="59"/>
      <c r="R510" s="59"/>
      <c r="S510" s="59"/>
      <c r="T510" s="59"/>
      <c r="U510" s="59"/>
      <c r="V510" s="59"/>
      <c r="W510" s="59"/>
      <c r="X510" s="59"/>
      <c r="Y510" s="59"/>
    </row>
    <row r="511" spans="1:25" ht="18">
      <c r="A511" s="76"/>
      <c r="B511" s="59"/>
      <c r="C511" s="59"/>
      <c r="D511" s="59"/>
      <c r="E511" s="59"/>
      <c r="F511" s="59"/>
      <c r="G511" s="59"/>
      <c r="H511" s="59"/>
      <c r="I511" s="59"/>
      <c r="J511" s="59"/>
      <c r="K511" s="59"/>
      <c r="L511" s="59"/>
      <c r="M511" s="59"/>
      <c r="N511" s="59"/>
      <c r="O511" s="59"/>
      <c r="P511" s="59"/>
      <c r="Q511" s="59"/>
      <c r="R511" s="59"/>
      <c r="S511" s="59"/>
      <c r="T511" s="59"/>
      <c r="U511" s="59"/>
      <c r="V511" s="59"/>
      <c r="W511" s="59"/>
      <c r="X511" s="59"/>
      <c r="Y511" s="59"/>
    </row>
    <row r="512" spans="1:25" ht="18">
      <c r="A512" s="76"/>
      <c r="B512" s="59"/>
      <c r="C512" s="59"/>
      <c r="D512" s="59"/>
      <c r="E512" s="59"/>
      <c r="F512" s="59"/>
      <c r="G512" s="59"/>
      <c r="H512" s="59"/>
      <c r="I512" s="59"/>
      <c r="J512" s="59"/>
      <c r="K512" s="59"/>
      <c r="L512" s="59"/>
      <c r="M512" s="59"/>
      <c r="N512" s="59"/>
      <c r="O512" s="59"/>
      <c r="P512" s="59"/>
      <c r="Q512" s="59"/>
      <c r="R512" s="59"/>
      <c r="S512" s="59"/>
      <c r="T512" s="59"/>
      <c r="U512" s="59"/>
      <c r="V512" s="59"/>
      <c r="W512" s="59"/>
      <c r="X512" s="59"/>
      <c r="Y512" s="59"/>
    </row>
    <row r="513" spans="1:25" ht="18">
      <c r="A513" s="76"/>
      <c r="B513" s="59"/>
      <c r="C513" s="59"/>
      <c r="D513" s="59"/>
      <c r="E513" s="59"/>
      <c r="F513" s="59"/>
      <c r="G513" s="59"/>
      <c r="H513" s="59"/>
      <c r="I513" s="59"/>
      <c r="J513" s="59"/>
      <c r="K513" s="59"/>
      <c r="L513" s="59"/>
      <c r="M513" s="59"/>
      <c r="N513" s="59"/>
      <c r="O513" s="59"/>
      <c r="P513" s="59"/>
      <c r="Q513" s="59"/>
      <c r="R513" s="59"/>
      <c r="S513" s="59"/>
      <c r="T513" s="59"/>
      <c r="U513" s="59"/>
      <c r="V513" s="59"/>
      <c r="W513" s="59"/>
      <c r="X513" s="59"/>
      <c r="Y513" s="59"/>
    </row>
    <row r="514" spans="1:25" ht="18">
      <c r="A514" s="76"/>
      <c r="B514" s="59"/>
      <c r="C514" s="59"/>
      <c r="D514" s="59"/>
      <c r="E514" s="59"/>
      <c r="F514" s="59"/>
      <c r="G514" s="59"/>
      <c r="H514" s="59"/>
      <c r="I514" s="59"/>
      <c r="J514" s="59"/>
      <c r="K514" s="59"/>
      <c r="L514" s="59"/>
      <c r="M514" s="59"/>
      <c r="N514" s="59"/>
      <c r="O514" s="59"/>
      <c r="P514" s="59"/>
      <c r="Q514" s="59"/>
      <c r="R514" s="59"/>
      <c r="S514" s="59"/>
      <c r="T514" s="59"/>
      <c r="U514" s="59"/>
      <c r="V514" s="59"/>
      <c r="W514" s="59"/>
      <c r="X514" s="59"/>
      <c r="Y514" s="59"/>
    </row>
    <row r="515" spans="1:25" ht="18">
      <c r="A515" s="76"/>
      <c r="B515" s="59"/>
      <c r="C515" s="59"/>
      <c r="D515" s="59"/>
      <c r="E515" s="59"/>
      <c r="F515" s="59"/>
      <c r="G515" s="59"/>
      <c r="H515" s="59"/>
      <c r="I515" s="59"/>
      <c r="J515" s="59"/>
      <c r="K515" s="59"/>
      <c r="L515" s="59"/>
      <c r="M515" s="59"/>
      <c r="N515" s="59"/>
      <c r="O515" s="59"/>
      <c r="P515" s="59"/>
      <c r="Q515" s="59"/>
      <c r="R515" s="59"/>
      <c r="S515" s="59"/>
      <c r="T515" s="59"/>
      <c r="U515" s="59"/>
      <c r="V515" s="59"/>
      <c r="W515" s="59"/>
      <c r="X515" s="59"/>
      <c r="Y515" s="59"/>
    </row>
    <row r="516" spans="1:25" ht="18">
      <c r="A516" s="76"/>
      <c r="B516" s="59"/>
      <c r="C516" s="59"/>
      <c r="D516" s="59"/>
      <c r="E516" s="59"/>
      <c r="F516" s="59"/>
      <c r="G516" s="59"/>
      <c r="H516" s="59"/>
      <c r="I516" s="59"/>
      <c r="J516" s="59"/>
      <c r="K516" s="59"/>
      <c r="L516" s="59"/>
      <c r="M516" s="59"/>
      <c r="N516" s="59"/>
      <c r="O516" s="59"/>
      <c r="P516" s="59"/>
      <c r="Q516" s="59"/>
      <c r="R516" s="59"/>
      <c r="S516" s="59"/>
      <c r="T516" s="59"/>
      <c r="U516" s="59"/>
      <c r="V516" s="59"/>
      <c r="W516" s="59"/>
      <c r="X516" s="59"/>
      <c r="Y516" s="59"/>
    </row>
    <row r="517" spans="1:25" ht="18">
      <c r="A517" s="76"/>
      <c r="B517" s="59"/>
      <c r="C517" s="59"/>
      <c r="D517" s="59"/>
      <c r="E517" s="59"/>
      <c r="F517" s="59"/>
      <c r="G517" s="59"/>
      <c r="H517" s="59"/>
      <c r="I517" s="59"/>
      <c r="J517" s="59"/>
      <c r="K517" s="59"/>
      <c r="L517" s="59"/>
      <c r="M517" s="59"/>
      <c r="N517" s="59"/>
      <c r="O517" s="59"/>
      <c r="P517" s="59"/>
      <c r="Q517" s="59"/>
      <c r="R517" s="59"/>
      <c r="S517" s="59"/>
      <c r="T517" s="59"/>
      <c r="U517" s="59"/>
      <c r="V517" s="59"/>
      <c r="W517" s="59"/>
      <c r="X517" s="59"/>
      <c r="Y517" s="59"/>
    </row>
    <row r="518" spans="1:25" ht="18">
      <c r="A518" s="76"/>
      <c r="B518" s="59"/>
      <c r="C518" s="59"/>
      <c r="D518" s="59"/>
      <c r="E518" s="59"/>
      <c r="F518" s="59"/>
      <c r="G518" s="59"/>
      <c r="H518" s="59"/>
      <c r="I518" s="59"/>
      <c r="J518" s="59"/>
      <c r="K518" s="59"/>
      <c r="L518" s="59"/>
      <c r="M518" s="59"/>
      <c r="N518" s="59"/>
      <c r="O518" s="59"/>
      <c r="P518" s="59"/>
      <c r="Q518" s="59"/>
      <c r="R518" s="59"/>
      <c r="S518" s="59"/>
      <c r="T518" s="59"/>
      <c r="U518" s="59"/>
      <c r="V518" s="59"/>
      <c r="W518" s="59"/>
      <c r="X518" s="59"/>
      <c r="Y518" s="59"/>
    </row>
    <row r="519" spans="1:25" ht="18">
      <c r="A519" s="76"/>
      <c r="B519" s="59"/>
      <c r="C519" s="59"/>
      <c r="D519" s="59"/>
      <c r="E519" s="59"/>
      <c r="F519" s="59"/>
      <c r="G519" s="59"/>
      <c r="H519" s="59"/>
      <c r="I519" s="59"/>
      <c r="J519" s="59"/>
      <c r="K519" s="59"/>
      <c r="L519" s="59"/>
      <c r="M519" s="59"/>
      <c r="N519" s="59"/>
      <c r="O519" s="59"/>
      <c r="P519" s="59"/>
      <c r="Q519" s="59"/>
      <c r="R519" s="59"/>
      <c r="S519" s="59"/>
      <c r="T519" s="59"/>
      <c r="U519" s="59"/>
      <c r="V519" s="59"/>
      <c r="W519" s="59"/>
      <c r="X519" s="59"/>
      <c r="Y519" s="59"/>
    </row>
    <row r="520" spans="1:25" ht="18">
      <c r="A520" s="76"/>
      <c r="B520" s="59"/>
      <c r="C520" s="59"/>
      <c r="D520" s="59"/>
      <c r="E520" s="59"/>
      <c r="F520" s="59"/>
      <c r="G520" s="59"/>
      <c r="H520" s="59"/>
      <c r="I520" s="59"/>
      <c r="J520" s="59"/>
      <c r="K520" s="59"/>
      <c r="L520" s="59"/>
      <c r="M520" s="59"/>
      <c r="N520" s="59"/>
      <c r="O520" s="59"/>
      <c r="P520" s="59"/>
      <c r="Q520" s="59"/>
      <c r="R520" s="59"/>
      <c r="S520" s="59"/>
      <c r="T520" s="59"/>
      <c r="U520" s="59"/>
      <c r="V520" s="59"/>
      <c r="W520" s="59"/>
      <c r="X520" s="59"/>
      <c r="Y520" s="59"/>
    </row>
    <row r="521" spans="1:25" ht="18">
      <c r="A521" s="76"/>
      <c r="B521" s="59"/>
      <c r="C521" s="59"/>
      <c r="D521" s="59"/>
      <c r="E521" s="59"/>
      <c r="F521" s="59"/>
      <c r="G521" s="59"/>
      <c r="H521" s="59"/>
      <c r="I521" s="59"/>
      <c r="J521" s="59"/>
      <c r="K521" s="59"/>
      <c r="L521" s="59"/>
      <c r="M521" s="59"/>
      <c r="N521" s="59"/>
      <c r="O521" s="59"/>
      <c r="P521" s="59"/>
      <c r="Q521" s="59"/>
      <c r="R521" s="59"/>
      <c r="S521" s="59"/>
      <c r="T521" s="59"/>
      <c r="U521" s="59"/>
      <c r="V521" s="59"/>
      <c r="W521" s="59"/>
      <c r="X521" s="59"/>
      <c r="Y521" s="59"/>
    </row>
    <row r="522" spans="1:25" ht="18">
      <c r="A522" s="76"/>
      <c r="B522" s="59"/>
      <c r="C522" s="59"/>
      <c r="D522" s="59"/>
      <c r="E522" s="59"/>
      <c r="F522" s="59"/>
      <c r="G522" s="59"/>
      <c r="H522" s="59"/>
      <c r="I522" s="59"/>
      <c r="J522" s="59"/>
      <c r="K522" s="59"/>
      <c r="L522" s="59"/>
      <c r="M522" s="59"/>
      <c r="N522" s="59"/>
      <c r="O522" s="59"/>
      <c r="P522" s="59"/>
      <c r="Q522" s="59"/>
      <c r="R522" s="59"/>
      <c r="S522" s="59"/>
      <c r="T522" s="59"/>
      <c r="U522" s="59"/>
      <c r="V522" s="59"/>
      <c r="W522" s="59"/>
      <c r="X522" s="59"/>
      <c r="Y522" s="59"/>
    </row>
    <row r="523" spans="1:25" ht="18">
      <c r="A523" s="76"/>
      <c r="B523" s="59"/>
      <c r="C523" s="59"/>
      <c r="D523" s="59"/>
      <c r="E523" s="59"/>
      <c r="F523" s="59"/>
      <c r="G523" s="59"/>
      <c r="H523" s="59"/>
      <c r="I523" s="59"/>
      <c r="J523" s="59"/>
      <c r="K523" s="59"/>
      <c r="L523" s="59"/>
      <c r="M523" s="59"/>
      <c r="N523" s="59"/>
      <c r="O523" s="59"/>
      <c r="P523" s="59"/>
      <c r="Q523" s="59"/>
      <c r="R523" s="59"/>
      <c r="S523" s="59"/>
      <c r="T523" s="59"/>
      <c r="U523" s="59"/>
      <c r="V523" s="59"/>
      <c r="W523" s="59"/>
      <c r="X523" s="59"/>
      <c r="Y523" s="59"/>
    </row>
    <row r="524" spans="1:25" ht="18">
      <c r="A524" s="76"/>
      <c r="B524" s="59"/>
      <c r="C524" s="59"/>
      <c r="D524" s="59"/>
      <c r="E524" s="59"/>
      <c r="F524" s="59"/>
      <c r="G524" s="59"/>
      <c r="H524" s="59"/>
      <c r="I524" s="59"/>
      <c r="J524" s="59"/>
      <c r="K524" s="59"/>
      <c r="L524" s="59"/>
      <c r="M524" s="59"/>
      <c r="N524" s="59"/>
      <c r="O524" s="59"/>
      <c r="P524" s="59"/>
      <c r="Q524" s="59"/>
      <c r="R524" s="59"/>
      <c r="S524" s="59"/>
      <c r="T524" s="59"/>
      <c r="U524" s="59"/>
      <c r="V524" s="59"/>
      <c r="W524" s="59"/>
      <c r="X524" s="59"/>
      <c r="Y524" s="59"/>
    </row>
    <row r="525" spans="1:25" ht="18">
      <c r="A525" s="76"/>
      <c r="B525" s="59"/>
      <c r="C525" s="59"/>
      <c r="D525" s="59"/>
      <c r="E525" s="59"/>
      <c r="F525" s="59"/>
      <c r="G525" s="59"/>
      <c r="H525" s="59"/>
      <c r="I525" s="59"/>
      <c r="J525" s="59"/>
      <c r="K525" s="59"/>
      <c r="L525" s="59"/>
      <c r="M525" s="59"/>
      <c r="N525" s="59"/>
      <c r="O525" s="59"/>
      <c r="P525" s="59"/>
      <c r="Q525" s="59"/>
      <c r="R525" s="59"/>
      <c r="S525" s="59"/>
      <c r="T525" s="59"/>
      <c r="U525" s="59"/>
      <c r="V525" s="59"/>
      <c r="W525" s="59"/>
      <c r="X525" s="59"/>
      <c r="Y525" s="59"/>
    </row>
    <row r="526" spans="1:25" ht="18">
      <c r="A526" s="76"/>
      <c r="B526" s="59"/>
      <c r="C526" s="59"/>
      <c r="D526" s="59"/>
      <c r="E526" s="59"/>
      <c r="F526" s="59"/>
      <c r="G526" s="59"/>
      <c r="H526" s="59"/>
      <c r="I526" s="59"/>
      <c r="J526" s="59"/>
      <c r="K526" s="59"/>
      <c r="L526" s="59"/>
      <c r="M526" s="59"/>
      <c r="N526" s="59"/>
      <c r="O526" s="59"/>
      <c r="P526" s="59"/>
      <c r="Q526" s="59"/>
      <c r="R526" s="59"/>
      <c r="S526" s="59"/>
      <c r="T526" s="59"/>
      <c r="U526" s="59"/>
      <c r="V526" s="59"/>
      <c r="W526" s="59"/>
      <c r="X526" s="59"/>
      <c r="Y526" s="59"/>
    </row>
    <row r="527" spans="1:25" ht="18">
      <c r="A527" s="76"/>
      <c r="B527" s="59"/>
      <c r="C527" s="59"/>
      <c r="D527" s="59"/>
      <c r="E527" s="59"/>
      <c r="F527" s="59"/>
      <c r="G527" s="59"/>
      <c r="H527" s="59"/>
      <c r="I527" s="59"/>
      <c r="J527" s="59"/>
      <c r="K527" s="59"/>
      <c r="L527" s="59"/>
      <c r="M527" s="59"/>
      <c r="N527" s="59"/>
      <c r="O527" s="59"/>
      <c r="P527" s="59"/>
      <c r="Q527" s="59"/>
      <c r="R527" s="59"/>
      <c r="S527" s="59"/>
      <c r="T527" s="59"/>
      <c r="U527" s="59"/>
      <c r="V527" s="59"/>
      <c r="W527" s="59"/>
      <c r="X527" s="59"/>
      <c r="Y527" s="59"/>
    </row>
    <row r="528" spans="1:25" ht="18">
      <c r="A528" s="76"/>
      <c r="B528" s="59"/>
      <c r="C528" s="59"/>
      <c r="D528" s="59"/>
      <c r="E528" s="59"/>
      <c r="F528" s="59"/>
      <c r="G528" s="59"/>
      <c r="H528" s="59"/>
      <c r="I528" s="59"/>
      <c r="J528" s="59"/>
      <c r="K528" s="59"/>
      <c r="L528" s="59"/>
      <c r="M528" s="59"/>
      <c r="N528" s="59"/>
      <c r="O528" s="59"/>
      <c r="P528" s="59"/>
      <c r="Q528" s="59"/>
      <c r="R528" s="59"/>
      <c r="S528" s="59"/>
      <c r="T528" s="59"/>
      <c r="U528" s="59"/>
      <c r="V528" s="59"/>
      <c r="W528" s="59"/>
      <c r="X528" s="59"/>
      <c r="Y528" s="59"/>
    </row>
    <row r="529" spans="1:25" ht="18">
      <c r="A529" s="76"/>
      <c r="B529" s="59"/>
      <c r="C529" s="59"/>
      <c r="D529" s="59"/>
      <c r="E529" s="59"/>
      <c r="F529" s="59"/>
      <c r="G529" s="59"/>
      <c r="H529" s="59"/>
      <c r="I529" s="59"/>
      <c r="J529" s="59"/>
      <c r="K529" s="59"/>
      <c r="L529" s="59"/>
      <c r="M529" s="59"/>
      <c r="N529" s="59"/>
      <c r="O529" s="59"/>
      <c r="P529" s="59"/>
      <c r="Q529" s="59"/>
      <c r="R529" s="59"/>
      <c r="S529" s="59"/>
      <c r="T529" s="59"/>
      <c r="U529" s="59"/>
      <c r="V529" s="59"/>
      <c r="W529" s="59"/>
      <c r="X529" s="59"/>
      <c r="Y529" s="59"/>
    </row>
    <row r="530" spans="1:25" ht="18">
      <c r="A530" s="76"/>
      <c r="B530" s="59"/>
      <c r="C530" s="59"/>
      <c r="D530" s="59"/>
      <c r="E530" s="59"/>
      <c r="F530" s="59"/>
      <c r="G530" s="59"/>
      <c r="H530" s="59"/>
      <c r="I530" s="59"/>
      <c r="J530" s="59"/>
      <c r="K530" s="59"/>
      <c r="L530" s="59"/>
      <c r="M530" s="59"/>
      <c r="N530" s="59"/>
      <c r="O530" s="59"/>
      <c r="P530" s="59"/>
      <c r="Q530" s="59"/>
      <c r="R530" s="59"/>
      <c r="S530" s="59"/>
      <c r="T530" s="59"/>
      <c r="U530" s="59"/>
      <c r="V530" s="59"/>
      <c r="W530" s="59"/>
      <c r="X530" s="59"/>
      <c r="Y530" s="59"/>
    </row>
    <row r="531" spans="1:25" ht="18">
      <c r="A531" s="76"/>
      <c r="B531" s="59"/>
      <c r="C531" s="59"/>
      <c r="D531" s="59"/>
      <c r="E531" s="59"/>
      <c r="F531" s="59"/>
      <c r="G531" s="59"/>
      <c r="H531" s="59"/>
      <c r="I531" s="59"/>
      <c r="J531" s="59"/>
      <c r="K531" s="59"/>
      <c r="L531" s="59"/>
      <c r="M531" s="59"/>
      <c r="N531" s="59"/>
      <c r="O531" s="59"/>
      <c r="P531" s="59"/>
      <c r="Q531" s="59"/>
      <c r="R531" s="59"/>
      <c r="S531" s="59"/>
      <c r="T531" s="59"/>
      <c r="U531" s="59"/>
      <c r="V531" s="59"/>
      <c r="W531" s="59"/>
      <c r="X531" s="59"/>
      <c r="Y531" s="59"/>
    </row>
    <row r="532" spans="1:25" ht="18">
      <c r="A532" s="76"/>
      <c r="B532" s="59"/>
      <c r="C532" s="59"/>
      <c r="D532" s="59"/>
      <c r="E532" s="59"/>
      <c r="F532" s="59"/>
      <c r="G532" s="59"/>
      <c r="H532" s="59"/>
      <c r="I532" s="59"/>
      <c r="J532" s="59"/>
      <c r="K532" s="59"/>
      <c r="L532" s="59"/>
      <c r="M532" s="59"/>
      <c r="N532" s="59"/>
      <c r="O532" s="59"/>
      <c r="P532" s="59"/>
      <c r="Q532" s="59"/>
      <c r="R532" s="59"/>
      <c r="S532" s="59"/>
      <c r="T532" s="59"/>
      <c r="U532" s="59"/>
      <c r="V532" s="59"/>
      <c r="W532" s="59"/>
      <c r="X532" s="59"/>
      <c r="Y532" s="59"/>
    </row>
    <row r="533" spans="1:25" ht="18">
      <c r="A533" s="76"/>
      <c r="B533" s="59"/>
      <c r="C533" s="59"/>
      <c r="D533" s="59"/>
      <c r="E533" s="59"/>
      <c r="F533" s="59"/>
      <c r="G533" s="59"/>
      <c r="H533" s="59"/>
      <c r="I533" s="59"/>
      <c r="J533" s="59"/>
      <c r="K533" s="59"/>
      <c r="L533" s="59"/>
      <c r="M533" s="59"/>
      <c r="N533" s="59"/>
      <c r="O533" s="59"/>
      <c r="P533" s="59"/>
      <c r="Q533" s="59"/>
      <c r="R533" s="59"/>
      <c r="S533" s="59"/>
      <c r="T533" s="59"/>
      <c r="U533" s="59"/>
      <c r="V533" s="59"/>
      <c r="W533" s="59"/>
      <c r="X533" s="59"/>
      <c r="Y533" s="59"/>
    </row>
    <row r="534" spans="1:25" ht="18">
      <c r="A534" s="76"/>
      <c r="B534" s="59"/>
      <c r="C534" s="59"/>
      <c r="D534" s="59"/>
      <c r="E534" s="59"/>
      <c r="F534" s="59"/>
      <c r="G534" s="59"/>
      <c r="H534" s="59"/>
      <c r="I534" s="59"/>
      <c r="J534" s="59"/>
      <c r="K534" s="59"/>
      <c r="L534" s="59"/>
      <c r="M534" s="59"/>
      <c r="N534" s="59"/>
      <c r="O534" s="59"/>
      <c r="P534" s="59"/>
      <c r="Q534" s="59"/>
      <c r="R534" s="59"/>
      <c r="S534" s="59"/>
      <c r="T534" s="59"/>
      <c r="U534" s="59"/>
      <c r="V534" s="59"/>
      <c r="W534" s="59"/>
      <c r="X534" s="59"/>
      <c r="Y534" s="59"/>
    </row>
    <row r="535" spans="1:25" ht="18">
      <c r="A535" s="76"/>
      <c r="B535" s="59"/>
      <c r="C535" s="59"/>
      <c r="D535" s="59"/>
      <c r="E535" s="59"/>
      <c r="F535" s="59"/>
      <c r="G535" s="59"/>
      <c r="H535" s="59"/>
      <c r="I535" s="59"/>
      <c r="J535" s="59"/>
      <c r="K535" s="59"/>
      <c r="L535" s="59"/>
      <c r="M535" s="59"/>
      <c r="N535" s="59"/>
      <c r="O535" s="59"/>
      <c r="P535" s="59"/>
      <c r="Q535" s="59"/>
      <c r="R535" s="59"/>
      <c r="S535" s="59"/>
      <c r="T535" s="59"/>
      <c r="U535" s="59"/>
      <c r="V535" s="59"/>
      <c r="W535" s="59"/>
      <c r="X535" s="59"/>
      <c r="Y535" s="59"/>
    </row>
    <row r="536" spans="1:25" ht="18">
      <c r="A536" s="76"/>
      <c r="B536" s="59"/>
      <c r="C536" s="59"/>
      <c r="D536" s="59"/>
      <c r="E536" s="59"/>
      <c r="F536" s="59"/>
      <c r="G536" s="59"/>
      <c r="H536" s="59"/>
      <c r="I536" s="59"/>
      <c r="J536" s="59"/>
      <c r="K536" s="59"/>
      <c r="L536" s="59"/>
      <c r="M536" s="59"/>
      <c r="N536" s="59"/>
      <c r="O536" s="59"/>
      <c r="P536" s="59"/>
      <c r="Q536" s="59"/>
      <c r="R536" s="59"/>
      <c r="S536" s="59"/>
      <c r="T536" s="59"/>
      <c r="U536" s="59"/>
      <c r="V536" s="59"/>
      <c r="W536" s="59"/>
      <c r="X536" s="59"/>
      <c r="Y536" s="59"/>
    </row>
    <row r="537" spans="1:25" ht="18">
      <c r="A537" s="76"/>
      <c r="B537" s="59"/>
      <c r="C537" s="59"/>
      <c r="D537" s="59"/>
      <c r="E537" s="59"/>
      <c r="F537" s="59"/>
      <c r="G537" s="59"/>
      <c r="H537" s="59"/>
      <c r="I537" s="59"/>
      <c r="J537" s="59"/>
      <c r="K537" s="59"/>
      <c r="L537" s="59"/>
      <c r="M537" s="59"/>
      <c r="N537" s="59"/>
      <c r="O537" s="59"/>
      <c r="P537" s="59"/>
      <c r="Q537" s="59"/>
      <c r="R537" s="59"/>
      <c r="S537" s="59"/>
      <c r="T537" s="59"/>
      <c r="U537" s="59"/>
      <c r="V537" s="59"/>
      <c r="W537" s="59"/>
      <c r="X537" s="59"/>
      <c r="Y537" s="59"/>
    </row>
    <row r="538" spans="1:25" ht="18">
      <c r="A538" s="76"/>
      <c r="B538" s="59"/>
      <c r="C538" s="59"/>
      <c r="D538" s="59"/>
      <c r="E538" s="59"/>
      <c r="F538" s="59"/>
      <c r="G538" s="59"/>
      <c r="H538" s="59"/>
      <c r="I538" s="59"/>
      <c r="J538" s="59"/>
      <c r="K538" s="59"/>
      <c r="L538" s="59"/>
      <c r="M538" s="59"/>
      <c r="N538" s="59"/>
      <c r="O538" s="59"/>
      <c r="P538" s="59"/>
      <c r="Q538" s="59"/>
      <c r="R538" s="59"/>
      <c r="S538" s="59"/>
      <c r="T538" s="59"/>
      <c r="U538" s="59"/>
      <c r="V538" s="59"/>
      <c r="W538" s="59"/>
      <c r="X538" s="59"/>
      <c r="Y538" s="59"/>
    </row>
    <row r="539" spans="1:25" ht="18">
      <c r="A539" s="76"/>
      <c r="B539" s="59"/>
      <c r="C539" s="59"/>
      <c r="D539" s="59"/>
      <c r="E539" s="59"/>
      <c r="F539" s="59"/>
      <c r="G539" s="59"/>
      <c r="H539" s="59"/>
      <c r="I539" s="59"/>
      <c r="J539" s="59"/>
      <c r="K539" s="59"/>
      <c r="L539" s="59"/>
      <c r="M539" s="59"/>
      <c r="N539" s="59"/>
      <c r="O539" s="59"/>
      <c r="P539" s="59"/>
      <c r="Q539" s="59"/>
      <c r="R539" s="59"/>
      <c r="S539" s="59"/>
      <c r="T539" s="59"/>
      <c r="U539" s="59"/>
      <c r="V539" s="59"/>
      <c r="W539" s="59"/>
      <c r="X539" s="59"/>
      <c r="Y539" s="59"/>
    </row>
    <row r="540" spans="1:25" ht="18">
      <c r="A540" s="76"/>
      <c r="B540" s="59"/>
      <c r="C540" s="59"/>
      <c r="D540" s="59"/>
      <c r="E540" s="59"/>
      <c r="F540" s="59"/>
      <c r="G540" s="59"/>
      <c r="H540" s="59"/>
      <c r="I540" s="59"/>
      <c r="J540" s="59"/>
      <c r="K540" s="59"/>
      <c r="L540" s="59"/>
      <c r="M540" s="59"/>
      <c r="N540" s="59"/>
      <c r="O540" s="59"/>
      <c r="P540" s="59"/>
      <c r="Q540" s="59"/>
      <c r="R540" s="59"/>
      <c r="S540" s="59"/>
      <c r="T540" s="59"/>
      <c r="U540" s="59"/>
      <c r="V540" s="59"/>
      <c r="W540" s="59"/>
      <c r="X540" s="59"/>
      <c r="Y540" s="59"/>
    </row>
    <row r="541" spans="1:25" ht="18">
      <c r="A541" s="76"/>
      <c r="B541" s="59"/>
      <c r="C541" s="59"/>
      <c r="D541" s="59"/>
      <c r="E541" s="59"/>
      <c r="F541" s="59"/>
      <c r="G541" s="59"/>
      <c r="H541" s="59"/>
      <c r="I541" s="59"/>
      <c r="J541" s="59"/>
      <c r="K541" s="59"/>
      <c r="L541" s="59"/>
      <c r="M541" s="59"/>
      <c r="N541" s="59"/>
      <c r="O541" s="59"/>
      <c r="P541" s="59"/>
      <c r="Q541" s="59"/>
      <c r="R541" s="59"/>
      <c r="S541" s="59"/>
      <c r="T541" s="59"/>
      <c r="U541" s="59"/>
      <c r="V541" s="59"/>
      <c r="W541" s="59"/>
      <c r="X541" s="59"/>
      <c r="Y541" s="59"/>
    </row>
    <row r="542" spans="1:25" ht="18">
      <c r="A542" s="76"/>
      <c r="B542" s="59"/>
      <c r="C542" s="59"/>
      <c r="D542" s="59"/>
      <c r="E542" s="59"/>
      <c r="F542" s="59"/>
      <c r="G542" s="59"/>
      <c r="H542" s="59"/>
      <c r="I542" s="59"/>
      <c r="J542" s="59"/>
      <c r="K542" s="59"/>
      <c r="L542" s="59"/>
      <c r="M542" s="59"/>
      <c r="N542" s="59"/>
      <c r="O542" s="59"/>
      <c r="P542" s="59"/>
      <c r="Q542" s="59"/>
      <c r="R542" s="59"/>
      <c r="S542" s="59"/>
      <c r="T542" s="59"/>
      <c r="U542" s="59"/>
      <c r="V542" s="59"/>
      <c r="W542" s="59"/>
      <c r="X542" s="59"/>
      <c r="Y542" s="59"/>
    </row>
    <row r="543" spans="1:25" ht="18">
      <c r="A543" s="76"/>
      <c r="B543" s="59"/>
      <c r="C543" s="59"/>
      <c r="D543" s="59"/>
      <c r="E543" s="59"/>
      <c r="F543" s="59"/>
      <c r="G543" s="59"/>
      <c r="H543" s="59"/>
      <c r="I543" s="59"/>
      <c r="J543" s="59"/>
      <c r="K543" s="59"/>
      <c r="L543" s="59"/>
      <c r="M543" s="59"/>
      <c r="N543" s="59"/>
      <c r="O543" s="59"/>
      <c r="P543" s="59"/>
      <c r="Q543" s="59"/>
      <c r="R543" s="59"/>
      <c r="S543" s="59"/>
      <c r="T543" s="59"/>
      <c r="U543" s="59"/>
      <c r="V543" s="59"/>
      <c r="W543" s="59"/>
      <c r="X543" s="59"/>
      <c r="Y543" s="59"/>
    </row>
    <row r="544" spans="1:25" ht="18">
      <c r="A544" s="76"/>
      <c r="B544" s="59"/>
      <c r="C544" s="59"/>
      <c r="D544" s="59"/>
      <c r="E544" s="59"/>
      <c r="F544" s="59"/>
      <c r="G544" s="59"/>
      <c r="H544" s="59"/>
      <c r="I544" s="59"/>
      <c r="J544" s="59"/>
      <c r="K544" s="59"/>
      <c r="L544" s="59"/>
      <c r="M544" s="59"/>
      <c r="N544" s="59"/>
      <c r="O544" s="59"/>
      <c r="P544" s="59"/>
      <c r="Q544" s="59"/>
      <c r="R544" s="59"/>
      <c r="S544" s="59"/>
      <c r="T544" s="59"/>
      <c r="U544" s="59"/>
      <c r="V544" s="59"/>
      <c r="W544" s="59"/>
      <c r="X544" s="59"/>
      <c r="Y544" s="59"/>
    </row>
    <row r="545" spans="1:25" ht="18">
      <c r="A545" s="76"/>
      <c r="B545" s="59"/>
      <c r="C545" s="59"/>
      <c r="D545" s="59"/>
      <c r="E545" s="59"/>
      <c r="F545" s="59"/>
      <c r="G545" s="59"/>
      <c r="H545" s="59"/>
      <c r="I545" s="59"/>
      <c r="J545" s="59"/>
      <c r="K545" s="59"/>
      <c r="L545" s="59"/>
      <c r="M545" s="59"/>
      <c r="N545" s="59"/>
      <c r="O545" s="59"/>
      <c r="P545" s="59"/>
      <c r="Q545" s="59"/>
      <c r="R545" s="59"/>
      <c r="S545" s="59"/>
      <c r="T545" s="59"/>
      <c r="U545" s="59"/>
      <c r="V545" s="59"/>
      <c r="W545" s="59"/>
      <c r="X545" s="59"/>
      <c r="Y545" s="59"/>
    </row>
    <row r="546" spans="1:25" ht="18">
      <c r="A546" s="76"/>
      <c r="B546" s="59"/>
      <c r="C546" s="59"/>
      <c r="D546" s="59"/>
      <c r="E546" s="59"/>
      <c r="F546" s="59"/>
      <c r="G546" s="59"/>
      <c r="H546" s="59"/>
      <c r="I546" s="59"/>
      <c r="J546" s="59"/>
      <c r="K546" s="59"/>
      <c r="L546" s="59"/>
      <c r="M546" s="59"/>
      <c r="N546" s="59"/>
      <c r="O546" s="59"/>
      <c r="P546" s="59"/>
      <c r="Q546" s="59"/>
      <c r="R546" s="59"/>
      <c r="S546" s="59"/>
      <c r="T546" s="59"/>
      <c r="U546" s="59"/>
      <c r="V546" s="59"/>
      <c r="W546" s="59"/>
      <c r="X546" s="59"/>
      <c r="Y546" s="59"/>
    </row>
    <row r="547" spans="1:25" ht="18">
      <c r="A547" s="76"/>
      <c r="B547" s="59"/>
      <c r="C547" s="59"/>
      <c r="D547" s="59"/>
      <c r="E547" s="59"/>
      <c r="F547" s="59"/>
      <c r="G547" s="59"/>
      <c r="H547" s="59"/>
      <c r="I547" s="59"/>
      <c r="J547" s="59"/>
      <c r="K547" s="59"/>
      <c r="L547" s="59"/>
      <c r="M547" s="59"/>
      <c r="N547" s="59"/>
      <c r="O547" s="59"/>
      <c r="P547" s="59"/>
      <c r="Q547" s="59"/>
      <c r="R547" s="59"/>
      <c r="S547" s="59"/>
      <c r="T547" s="59"/>
      <c r="U547" s="59"/>
      <c r="V547" s="59"/>
      <c r="W547" s="59"/>
      <c r="X547" s="59"/>
      <c r="Y547" s="59"/>
    </row>
    <row r="548" spans="1:25" ht="18">
      <c r="A548" s="76"/>
      <c r="B548" s="59"/>
      <c r="C548" s="59"/>
      <c r="D548" s="59"/>
      <c r="E548" s="59"/>
      <c r="F548" s="59"/>
      <c r="G548" s="59"/>
      <c r="H548" s="59"/>
      <c r="I548" s="59"/>
      <c r="J548" s="59"/>
      <c r="K548" s="59"/>
      <c r="L548" s="59"/>
      <c r="M548" s="59"/>
      <c r="N548" s="59"/>
      <c r="O548" s="59"/>
      <c r="P548" s="59"/>
      <c r="Q548" s="59"/>
      <c r="R548" s="59"/>
      <c r="S548" s="59"/>
      <c r="T548" s="59"/>
      <c r="U548" s="59"/>
      <c r="V548" s="59"/>
      <c r="W548" s="59"/>
      <c r="X548" s="59"/>
      <c r="Y548" s="59"/>
    </row>
    <row r="549" spans="1:25" ht="18">
      <c r="A549" s="76"/>
      <c r="B549" s="59"/>
      <c r="C549" s="59"/>
      <c r="D549" s="59"/>
      <c r="E549" s="59"/>
      <c r="F549" s="59"/>
      <c r="G549" s="59"/>
      <c r="H549" s="59"/>
      <c r="I549" s="59"/>
      <c r="J549" s="59"/>
      <c r="K549" s="59"/>
      <c r="L549" s="59"/>
      <c r="M549" s="59"/>
      <c r="N549" s="59"/>
      <c r="O549" s="59"/>
      <c r="P549" s="59"/>
      <c r="Q549" s="59"/>
      <c r="R549" s="59"/>
      <c r="S549" s="59"/>
      <c r="T549" s="59"/>
      <c r="U549" s="59"/>
      <c r="V549" s="59"/>
      <c r="W549" s="59"/>
      <c r="X549" s="59"/>
      <c r="Y549" s="59"/>
    </row>
    <row r="550" spans="1:25" ht="18">
      <c r="A550" s="76"/>
      <c r="B550" s="59"/>
      <c r="C550" s="59"/>
      <c r="D550" s="59"/>
      <c r="E550" s="59"/>
      <c r="F550" s="59"/>
      <c r="G550" s="59"/>
      <c r="H550" s="59"/>
      <c r="I550" s="59"/>
      <c r="J550" s="59"/>
      <c r="K550" s="59"/>
      <c r="L550" s="59"/>
      <c r="M550" s="59"/>
      <c r="N550" s="59"/>
      <c r="O550" s="59"/>
      <c r="P550" s="59"/>
      <c r="Q550" s="59"/>
      <c r="R550" s="59"/>
      <c r="S550" s="59"/>
      <c r="T550" s="59"/>
      <c r="U550" s="59"/>
      <c r="V550" s="59"/>
      <c r="W550" s="59"/>
      <c r="X550" s="59"/>
      <c r="Y550" s="59"/>
    </row>
    <row r="551" spans="1:25" ht="18">
      <c r="A551" s="76"/>
      <c r="B551" s="59"/>
      <c r="C551" s="59"/>
      <c r="D551" s="59"/>
      <c r="E551" s="59"/>
      <c r="F551" s="59"/>
      <c r="G551" s="59"/>
      <c r="H551" s="59"/>
      <c r="I551" s="59"/>
      <c r="J551" s="59"/>
      <c r="K551" s="59"/>
      <c r="L551" s="59"/>
      <c r="M551" s="59"/>
      <c r="N551" s="59"/>
      <c r="O551" s="59"/>
      <c r="P551" s="59"/>
      <c r="Q551" s="59"/>
      <c r="R551" s="59"/>
      <c r="S551" s="59"/>
      <c r="T551" s="59"/>
      <c r="U551" s="59"/>
      <c r="V551" s="59"/>
      <c r="W551" s="59"/>
      <c r="X551" s="59"/>
      <c r="Y551" s="59"/>
    </row>
    <row r="552" spans="1:25" ht="18">
      <c r="A552" s="76"/>
      <c r="B552" s="59"/>
      <c r="C552" s="59"/>
      <c r="D552" s="59"/>
      <c r="E552" s="59"/>
      <c r="F552" s="59"/>
      <c r="G552" s="59"/>
      <c r="H552" s="59"/>
      <c r="I552" s="59"/>
      <c r="J552" s="59"/>
      <c r="K552" s="59"/>
      <c r="L552" s="59"/>
      <c r="M552" s="59"/>
      <c r="N552" s="59"/>
      <c r="O552" s="59"/>
      <c r="P552" s="59"/>
      <c r="Q552" s="59"/>
      <c r="R552" s="59"/>
      <c r="S552" s="59"/>
      <c r="T552" s="59"/>
      <c r="U552" s="59"/>
      <c r="V552" s="59"/>
      <c r="W552" s="59"/>
      <c r="X552" s="59"/>
      <c r="Y552" s="59"/>
    </row>
    <row r="553" spans="1:25" ht="18">
      <c r="A553" s="76"/>
      <c r="B553" s="59"/>
      <c r="C553" s="59"/>
      <c r="D553" s="59"/>
      <c r="E553" s="59"/>
      <c r="F553" s="59"/>
      <c r="G553" s="59"/>
      <c r="H553" s="59"/>
      <c r="I553" s="59"/>
      <c r="J553" s="59"/>
      <c r="K553" s="59"/>
      <c r="L553" s="59"/>
      <c r="M553" s="59"/>
      <c r="N553" s="59"/>
      <c r="O553" s="59"/>
      <c r="P553" s="59"/>
      <c r="Q553" s="59"/>
      <c r="R553" s="59"/>
      <c r="S553" s="59"/>
      <c r="T553" s="59"/>
      <c r="U553" s="59"/>
      <c r="V553" s="59"/>
      <c r="W553" s="59"/>
      <c r="X553" s="59"/>
      <c r="Y553" s="59"/>
    </row>
    <row r="554" spans="1:25" ht="18">
      <c r="A554" s="76"/>
      <c r="B554" s="59"/>
      <c r="C554" s="59"/>
      <c r="D554" s="59"/>
      <c r="E554" s="59"/>
      <c r="F554" s="59"/>
      <c r="G554" s="59"/>
      <c r="H554" s="59"/>
      <c r="I554" s="59"/>
      <c r="J554" s="59"/>
      <c r="K554" s="59"/>
      <c r="L554" s="59"/>
      <c r="M554" s="59"/>
      <c r="N554" s="59"/>
      <c r="O554" s="59"/>
      <c r="P554" s="59"/>
      <c r="Q554" s="59"/>
      <c r="R554" s="59"/>
      <c r="S554" s="59"/>
      <c r="T554" s="59"/>
      <c r="U554" s="59"/>
      <c r="V554" s="59"/>
      <c r="W554" s="59"/>
      <c r="X554" s="59"/>
      <c r="Y554" s="59"/>
    </row>
    <row r="555" spans="1:25" ht="18">
      <c r="A555" s="76"/>
      <c r="B555" s="59"/>
      <c r="C555" s="59"/>
      <c r="D555" s="59"/>
      <c r="E555" s="59"/>
      <c r="F555" s="59"/>
      <c r="G555" s="59"/>
      <c r="H555" s="59"/>
      <c r="I555" s="59"/>
      <c r="J555" s="59"/>
      <c r="K555" s="59"/>
      <c r="L555" s="59"/>
      <c r="M555" s="59"/>
      <c r="N555" s="59"/>
      <c r="O555" s="59"/>
      <c r="P555" s="59"/>
      <c r="Q555" s="59"/>
      <c r="R555" s="59"/>
      <c r="S555" s="59"/>
      <c r="T555" s="59"/>
      <c r="U555" s="59"/>
      <c r="V555" s="59"/>
      <c r="W555" s="59"/>
      <c r="X555" s="59"/>
      <c r="Y555" s="59"/>
    </row>
    <row r="556" spans="1:25" ht="18">
      <c r="A556" s="76"/>
      <c r="B556" s="59"/>
      <c r="C556" s="59"/>
      <c r="D556" s="59"/>
      <c r="E556" s="59"/>
      <c r="F556" s="59"/>
      <c r="G556" s="59"/>
      <c r="H556" s="59"/>
      <c r="I556" s="59"/>
      <c r="J556" s="59"/>
      <c r="K556" s="59"/>
      <c r="L556" s="59"/>
      <c r="M556" s="59"/>
      <c r="N556" s="59"/>
      <c r="O556" s="59"/>
      <c r="P556" s="59"/>
      <c r="Q556" s="59"/>
      <c r="R556" s="59"/>
      <c r="S556" s="59"/>
      <c r="T556" s="59"/>
      <c r="U556" s="59"/>
      <c r="V556" s="59"/>
      <c r="W556" s="59"/>
      <c r="X556" s="59"/>
      <c r="Y556" s="59"/>
    </row>
    <row r="557" spans="1:25" ht="18">
      <c r="A557" s="76"/>
      <c r="B557" s="59"/>
      <c r="C557" s="59"/>
      <c r="D557" s="59"/>
      <c r="E557" s="59"/>
      <c r="F557" s="59"/>
      <c r="G557" s="59"/>
      <c r="H557" s="59"/>
      <c r="I557" s="59"/>
      <c r="J557" s="59"/>
      <c r="K557" s="59"/>
      <c r="L557" s="59"/>
      <c r="M557" s="59"/>
      <c r="N557" s="59"/>
      <c r="O557" s="59"/>
      <c r="P557" s="59"/>
      <c r="Q557" s="59"/>
      <c r="R557" s="59"/>
      <c r="S557" s="59"/>
      <c r="T557" s="59"/>
      <c r="U557" s="59"/>
      <c r="V557" s="59"/>
      <c r="W557" s="59"/>
      <c r="X557" s="59"/>
      <c r="Y557" s="59"/>
    </row>
    <row r="558" spans="1:25" ht="18">
      <c r="A558" s="76"/>
      <c r="B558" s="59"/>
      <c r="C558" s="59"/>
      <c r="D558" s="59"/>
      <c r="E558" s="59"/>
      <c r="F558" s="59"/>
      <c r="G558" s="59"/>
      <c r="H558" s="59"/>
      <c r="I558" s="59"/>
      <c r="J558" s="59"/>
      <c r="K558" s="59"/>
      <c r="L558" s="59"/>
      <c r="M558" s="59"/>
      <c r="N558" s="59"/>
      <c r="O558" s="59"/>
      <c r="P558" s="59"/>
      <c r="Q558" s="59"/>
      <c r="R558" s="59"/>
      <c r="S558" s="59"/>
      <c r="T558" s="59"/>
      <c r="U558" s="59"/>
      <c r="V558" s="59"/>
      <c r="W558" s="59"/>
      <c r="X558" s="59"/>
      <c r="Y558" s="59"/>
    </row>
    <row r="559" spans="1:25" ht="18">
      <c r="A559" s="76"/>
      <c r="B559" s="59"/>
      <c r="C559" s="59"/>
      <c r="D559" s="59"/>
      <c r="E559" s="59"/>
      <c r="F559" s="59"/>
      <c r="G559" s="59"/>
      <c r="H559" s="59"/>
      <c r="I559" s="59"/>
      <c r="J559" s="59"/>
      <c r="K559" s="59"/>
      <c r="L559" s="59"/>
      <c r="M559" s="59"/>
      <c r="N559" s="59"/>
      <c r="O559" s="59"/>
      <c r="P559" s="59"/>
      <c r="Q559" s="59"/>
      <c r="R559" s="59"/>
      <c r="S559" s="59"/>
      <c r="T559" s="59"/>
      <c r="U559" s="59"/>
      <c r="V559" s="59"/>
      <c r="W559" s="59"/>
      <c r="X559" s="59"/>
      <c r="Y559" s="59"/>
    </row>
    <row r="560" spans="1:25" ht="18">
      <c r="A560" s="76"/>
      <c r="B560" s="59"/>
      <c r="C560" s="59"/>
      <c r="D560" s="59"/>
      <c r="E560" s="59"/>
      <c r="F560" s="59"/>
      <c r="G560" s="59"/>
      <c r="H560" s="59"/>
      <c r="I560" s="59"/>
      <c r="J560" s="59"/>
      <c r="K560" s="59"/>
      <c r="L560" s="59"/>
      <c r="M560" s="59"/>
      <c r="N560" s="59"/>
      <c r="O560" s="59"/>
      <c r="P560" s="59"/>
      <c r="Q560" s="59"/>
      <c r="R560" s="59"/>
      <c r="S560" s="59"/>
      <c r="T560" s="59"/>
      <c r="U560" s="59"/>
      <c r="V560" s="59"/>
      <c r="W560" s="59"/>
      <c r="X560" s="59"/>
      <c r="Y560" s="59"/>
    </row>
    <row r="561" spans="1:25" ht="18">
      <c r="A561" s="76"/>
      <c r="B561" s="59"/>
      <c r="C561" s="59"/>
      <c r="D561" s="59"/>
      <c r="E561" s="59"/>
      <c r="F561" s="59"/>
      <c r="G561" s="59"/>
      <c r="H561" s="59"/>
      <c r="I561" s="59"/>
      <c r="J561" s="59"/>
      <c r="K561" s="59"/>
      <c r="L561" s="59"/>
      <c r="M561" s="59"/>
      <c r="N561" s="59"/>
      <c r="O561" s="59"/>
      <c r="P561" s="59"/>
      <c r="Q561" s="59"/>
      <c r="R561" s="59"/>
      <c r="S561" s="59"/>
      <c r="T561" s="59"/>
      <c r="U561" s="59"/>
      <c r="V561" s="59"/>
      <c r="W561" s="59"/>
      <c r="X561" s="59"/>
      <c r="Y561" s="59"/>
    </row>
    <row r="562" spans="1:25" ht="18">
      <c r="A562" s="76"/>
      <c r="B562" s="59"/>
      <c r="C562" s="59"/>
      <c r="D562" s="59"/>
      <c r="E562" s="59"/>
      <c r="F562" s="59"/>
      <c r="G562" s="59"/>
      <c r="H562" s="59"/>
      <c r="I562" s="59"/>
      <c r="J562" s="59"/>
      <c r="K562" s="59"/>
      <c r="L562" s="59"/>
      <c r="M562" s="59"/>
      <c r="N562" s="59"/>
      <c r="O562" s="59"/>
      <c r="P562" s="59"/>
      <c r="Q562" s="59"/>
      <c r="R562" s="59"/>
      <c r="S562" s="59"/>
      <c r="T562" s="59"/>
      <c r="U562" s="59"/>
      <c r="V562" s="59"/>
      <c r="W562" s="59"/>
      <c r="X562" s="59"/>
      <c r="Y562" s="59"/>
    </row>
    <row r="563" spans="1:25" ht="18">
      <c r="A563" s="76"/>
      <c r="B563" s="59"/>
      <c r="C563" s="59"/>
      <c r="D563" s="59"/>
      <c r="E563" s="59"/>
      <c r="F563" s="59"/>
      <c r="G563" s="59"/>
      <c r="H563" s="59"/>
      <c r="I563" s="59"/>
      <c r="J563" s="59"/>
      <c r="K563" s="59"/>
      <c r="L563" s="59"/>
      <c r="M563" s="59"/>
      <c r="N563" s="59"/>
      <c r="O563" s="59"/>
      <c r="P563" s="59"/>
      <c r="Q563" s="59"/>
      <c r="R563" s="59"/>
      <c r="S563" s="59"/>
      <c r="T563" s="59"/>
      <c r="U563" s="59"/>
      <c r="V563" s="59"/>
      <c r="W563" s="59"/>
      <c r="X563" s="59"/>
      <c r="Y563" s="59"/>
    </row>
    <row r="564" spans="1:25" ht="18">
      <c r="A564" s="76"/>
      <c r="B564" s="59"/>
      <c r="C564" s="59"/>
      <c r="D564" s="59"/>
      <c r="E564" s="59"/>
      <c r="F564" s="59"/>
      <c r="G564" s="59"/>
      <c r="H564" s="59"/>
      <c r="I564" s="59"/>
      <c r="J564" s="59"/>
      <c r="K564" s="59"/>
      <c r="L564" s="59"/>
      <c r="M564" s="59"/>
      <c r="N564" s="59"/>
      <c r="O564" s="59"/>
      <c r="P564" s="59"/>
      <c r="Q564" s="59"/>
      <c r="R564" s="59"/>
      <c r="S564" s="59"/>
      <c r="T564" s="59"/>
      <c r="U564" s="59"/>
      <c r="V564" s="59"/>
      <c r="W564" s="59"/>
      <c r="X564" s="59"/>
      <c r="Y564" s="59"/>
    </row>
    <row r="565" spans="1:25" ht="18">
      <c r="A565" s="76"/>
      <c r="B565" s="59"/>
      <c r="C565" s="59"/>
      <c r="D565" s="59"/>
      <c r="E565" s="59"/>
      <c r="F565" s="59"/>
      <c r="G565" s="59"/>
      <c r="H565" s="59"/>
      <c r="I565" s="59"/>
      <c r="J565" s="59"/>
      <c r="K565" s="59"/>
      <c r="L565" s="59"/>
      <c r="M565" s="59"/>
      <c r="N565" s="59"/>
      <c r="O565" s="59"/>
      <c r="P565" s="59"/>
      <c r="Q565" s="59"/>
      <c r="R565" s="59"/>
      <c r="S565" s="59"/>
      <c r="T565" s="59"/>
      <c r="U565" s="59"/>
      <c r="V565" s="59"/>
      <c r="W565" s="59"/>
      <c r="X565" s="59"/>
      <c r="Y565" s="59"/>
    </row>
    <row r="566" spans="1:25" ht="18">
      <c r="A566" s="76"/>
      <c r="B566" s="59"/>
      <c r="C566" s="59"/>
      <c r="D566" s="59"/>
      <c r="E566" s="59"/>
      <c r="F566" s="59"/>
      <c r="G566" s="59"/>
      <c r="H566" s="59"/>
      <c r="I566" s="59"/>
      <c r="J566" s="59"/>
      <c r="K566" s="59"/>
      <c r="L566" s="59"/>
      <c r="M566" s="59"/>
      <c r="N566" s="59"/>
      <c r="O566" s="59"/>
      <c r="P566" s="59"/>
      <c r="Q566" s="59"/>
      <c r="R566" s="59"/>
      <c r="S566" s="59"/>
      <c r="T566" s="59"/>
      <c r="U566" s="59"/>
      <c r="V566" s="59"/>
      <c r="W566" s="59"/>
      <c r="X566" s="59"/>
      <c r="Y566" s="59"/>
    </row>
    <row r="567" spans="1:25" ht="18">
      <c r="A567" s="76"/>
      <c r="B567" s="59"/>
      <c r="C567" s="59"/>
      <c r="D567" s="59"/>
      <c r="E567" s="59"/>
      <c r="F567" s="59"/>
      <c r="G567" s="59"/>
      <c r="H567" s="59"/>
      <c r="I567" s="59"/>
      <c r="J567" s="59"/>
      <c r="K567" s="59"/>
      <c r="L567" s="59"/>
      <c r="M567" s="59"/>
      <c r="N567" s="59"/>
      <c r="O567" s="59"/>
      <c r="P567" s="59"/>
      <c r="Q567" s="59"/>
      <c r="R567" s="59"/>
      <c r="S567" s="59"/>
      <c r="T567" s="59"/>
      <c r="U567" s="59"/>
      <c r="V567" s="59"/>
      <c r="W567" s="59"/>
      <c r="X567" s="59"/>
      <c r="Y567" s="59"/>
    </row>
    <row r="568" spans="1:25" ht="18">
      <c r="A568" s="76"/>
      <c r="B568" s="59"/>
      <c r="C568" s="59"/>
      <c r="D568" s="59"/>
      <c r="E568" s="59"/>
      <c r="F568" s="59"/>
      <c r="G568" s="59"/>
      <c r="H568" s="59"/>
      <c r="I568" s="59"/>
      <c r="J568" s="59"/>
      <c r="K568" s="59"/>
      <c r="L568" s="59"/>
      <c r="M568" s="59"/>
      <c r="N568" s="59"/>
      <c r="O568" s="59"/>
      <c r="P568" s="59"/>
      <c r="Q568" s="59"/>
      <c r="R568" s="59"/>
      <c r="S568" s="59"/>
      <c r="T568" s="59"/>
      <c r="U568" s="59"/>
      <c r="V568" s="59"/>
      <c r="W568" s="59"/>
      <c r="X568" s="59"/>
      <c r="Y568" s="59"/>
    </row>
    <row r="569" spans="1:25" ht="18">
      <c r="A569" s="76"/>
      <c r="B569" s="59"/>
      <c r="C569" s="59"/>
      <c r="D569" s="59"/>
      <c r="E569" s="59"/>
      <c r="F569" s="59"/>
      <c r="G569" s="59"/>
      <c r="H569" s="59"/>
      <c r="I569" s="59"/>
      <c r="J569" s="59"/>
      <c r="K569" s="59"/>
      <c r="L569" s="59"/>
      <c r="M569" s="59"/>
      <c r="N569" s="59"/>
      <c r="O569" s="59"/>
      <c r="P569" s="59"/>
      <c r="Q569" s="59"/>
      <c r="R569" s="59"/>
      <c r="S569" s="59"/>
      <c r="T569" s="59"/>
      <c r="U569" s="59"/>
      <c r="V569" s="59"/>
      <c r="W569" s="59"/>
      <c r="X569" s="59"/>
      <c r="Y569" s="59"/>
    </row>
    <row r="570" spans="1:25" ht="18">
      <c r="A570" s="76"/>
      <c r="B570" s="59"/>
      <c r="C570" s="59"/>
      <c r="D570" s="59"/>
      <c r="E570" s="59"/>
      <c r="F570" s="59"/>
      <c r="G570" s="59"/>
      <c r="H570" s="59"/>
      <c r="I570" s="59"/>
      <c r="J570" s="59"/>
      <c r="K570" s="59"/>
      <c r="L570" s="59"/>
      <c r="M570" s="59"/>
      <c r="N570" s="59"/>
      <c r="O570" s="59"/>
      <c r="P570" s="59"/>
      <c r="Q570" s="59"/>
      <c r="R570" s="59"/>
      <c r="S570" s="59"/>
      <c r="T570" s="59"/>
      <c r="U570" s="59"/>
      <c r="V570" s="59"/>
      <c r="W570" s="59"/>
      <c r="X570" s="59"/>
      <c r="Y570" s="59"/>
    </row>
    <row r="571" spans="1:25" ht="18">
      <c r="A571" s="76"/>
      <c r="B571" s="59"/>
      <c r="C571" s="59"/>
      <c r="D571" s="59"/>
      <c r="E571" s="59"/>
      <c r="F571" s="59"/>
      <c r="G571" s="59"/>
      <c r="H571" s="59"/>
      <c r="I571" s="59"/>
      <c r="J571" s="59"/>
      <c r="K571" s="59"/>
      <c r="L571" s="59"/>
      <c r="M571" s="59"/>
      <c r="N571" s="59"/>
      <c r="O571" s="59"/>
      <c r="P571" s="59"/>
      <c r="Q571" s="59"/>
      <c r="R571" s="59"/>
      <c r="S571" s="59"/>
      <c r="T571" s="59"/>
      <c r="U571" s="59"/>
      <c r="V571" s="59"/>
      <c r="W571" s="59"/>
      <c r="X571" s="59"/>
      <c r="Y571" s="59"/>
    </row>
    <row r="572" spans="1:25" ht="18">
      <c r="A572" s="76"/>
      <c r="B572" s="59"/>
      <c r="C572" s="59"/>
      <c r="D572" s="59"/>
      <c r="E572" s="59"/>
      <c r="F572" s="59"/>
      <c r="G572" s="59"/>
      <c r="H572" s="59"/>
      <c r="I572" s="59"/>
      <c r="J572" s="59"/>
      <c r="K572" s="59"/>
      <c r="L572" s="59"/>
      <c r="M572" s="59"/>
      <c r="N572" s="59"/>
      <c r="O572" s="59"/>
      <c r="P572" s="59"/>
      <c r="Q572" s="59"/>
      <c r="R572" s="59"/>
      <c r="S572" s="59"/>
      <c r="T572" s="59"/>
      <c r="U572" s="59"/>
      <c r="V572" s="59"/>
      <c r="W572" s="59"/>
      <c r="X572" s="59"/>
      <c r="Y572" s="59"/>
    </row>
    <row r="573" spans="1:25" ht="18">
      <c r="A573" s="76"/>
      <c r="B573" s="59"/>
      <c r="C573" s="59"/>
      <c r="D573" s="59"/>
      <c r="E573" s="59"/>
      <c r="F573" s="59"/>
      <c r="G573" s="59"/>
      <c r="H573" s="59"/>
      <c r="I573" s="59"/>
      <c r="J573" s="59"/>
      <c r="K573" s="59"/>
      <c r="L573" s="59"/>
      <c r="M573" s="59"/>
      <c r="N573" s="59"/>
      <c r="O573" s="59"/>
      <c r="P573" s="59"/>
      <c r="Q573" s="59"/>
      <c r="R573" s="59"/>
      <c r="S573" s="59"/>
      <c r="T573" s="59"/>
      <c r="U573" s="59"/>
      <c r="V573" s="59"/>
      <c r="W573" s="59"/>
      <c r="X573" s="59"/>
      <c r="Y573" s="59"/>
    </row>
    <row r="574" spans="1:25" ht="18">
      <c r="A574" s="76"/>
      <c r="B574" s="59"/>
      <c r="C574" s="59"/>
      <c r="D574" s="59"/>
      <c r="E574" s="59"/>
      <c r="F574" s="59"/>
      <c r="G574" s="59"/>
      <c r="H574" s="59"/>
      <c r="I574" s="59"/>
      <c r="J574" s="59"/>
      <c r="K574" s="59"/>
      <c r="L574" s="59"/>
      <c r="M574" s="59"/>
      <c r="N574" s="59"/>
      <c r="O574" s="59"/>
      <c r="P574" s="59"/>
      <c r="Q574" s="59"/>
      <c r="R574" s="59"/>
      <c r="S574" s="59"/>
      <c r="T574" s="59"/>
      <c r="U574" s="59"/>
      <c r="V574" s="59"/>
      <c r="W574" s="59"/>
      <c r="X574" s="59"/>
      <c r="Y574" s="59"/>
    </row>
    <row r="575" spans="1:25" ht="18">
      <c r="A575" s="76"/>
      <c r="B575" s="59"/>
      <c r="C575" s="59"/>
      <c r="D575" s="59"/>
      <c r="E575" s="59"/>
      <c r="F575" s="59"/>
      <c r="G575" s="59"/>
      <c r="H575" s="59"/>
      <c r="I575" s="59"/>
      <c r="J575" s="59"/>
      <c r="K575" s="59"/>
      <c r="L575" s="59"/>
      <c r="M575" s="59"/>
      <c r="N575" s="59"/>
      <c r="O575" s="59"/>
      <c r="P575" s="59"/>
      <c r="Q575" s="59"/>
      <c r="R575" s="59"/>
      <c r="S575" s="59"/>
      <c r="T575" s="59"/>
      <c r="U575" s="59"/>
      <c r="V575" s="59"/>
      <c r="W575" s="59"/>
      <c r="X575" s="59"/>
      <c r="Y575" s="59"/>
    </row>
    <row r="576" spans="1:25" ht="18">
      <c r="A576" s="76"/>
      <c r="B576" s="59"/>
      <c r="C576" s="59"/>
      <c r="D576" s="59"/>
      <c r="E576" s="59"/>
      <c r="F576" s="59"/>
      <c r="G576" s="59"/>
      <c r="H576" s="59"/>
      <c r="I576" s="59"/>
      <c r="J576" s="59"/>
      <c r="K576" s="59"/>
      <c r="L576" s="59"/>
      <c r="M576" s="59"/>
      <c r="N576" s="59"/>
      <c r="O576" s="59"/>
      <c r="P576" s="59"/>
      <c r="Q576" s="59"/>
      <c r="R576" s="59"/>
      <c r="S576" s="59"/>
      <c r="T576" s="59"/>
      <c r="U576" s="59"/>
      <c r="V576" s="59"/>
      <c r="W576" s="59"/>
      <c r="X576" s="59"/>
      <c r="Y576" s="59"/>
    </row>
    <row r="577" spans="1:25" ht="18">
      <c r="A577" s="76"/>
      <c r="B577" s="59"/>
      <c r="C577" s="59"/>
      <c r="D577" s="59"/>
      <c r="E577" s="59"/>
      <c r="F577" s="59"/>
      <c r="G577" s="59"/>
      <c r="H577" s="59"/>
      <c r="I577" s="59"/>
      <c r="J577" s="59"/>
      <c r="K577" s="59"/>
      <c r="L577" s="59"/>
      <c r="M577" s="59"/>
      <c r="N577" s="59"/>
      <c r="O577" s="59"/>
      <c r="P577" s="59"/>
      <c r="Q577" s="59"/>
      <c r="R577" s="59"/>
      <c r="S577" s="59"/>
      <c r="T577" s="59"/>
      <c r="U577" s="59"/>
      <c r="V577" s="59"/>
      <c r="W577" s="59"/>
      <c r="X577" s="59"/>
      <c r="Y577" s="59"/>
    </row>
    <row r="578" spans="1:25" ht="18">
      <c r="A578" s="76"/>
      <c r="B578" s="59"/>
      <c r="C578" s="59"/>
      <c r="D578" s="59"/>
      <c r="E578" s="59"/>
      <c r="F578" s="59"/>
      <c r="G578" s="59"/>
      <c r="H578" s="59"/>
      <c r="I578" s="59"/>
      <c r="J578" s="59"/>
      <c r="K578" s="59"/>
      <c r="L578" s="59"/>
      <c r="M578" s="59"/>
      <c r="N578" s="59"/>
      <c r="O578" s="59"/>
      <c r="P578" s="59"/>
      <c r="Q578" s="59"/>
      <c r="R578" s="59"/>
      <c r="S578" s="59"/>
      <c r="T578" s="59"/>
      <c r="U578" s="59"/>
      <c r="V578" s="59"/>
      <c r="W578" s="59"/>
      <c r="X578" s="59"/>
      <c r="Y578" s="59"/>
    </row>
    <row r="579" spans="1:25" ht="18">
      <c r="A579" s="76"/>
      <c r="B579" s="59"/>
      <c r="C579" s="59"/>
      <c r="D579" s="59"/>
      <c r="E579" s="59"/>
      <c r="F579" s="59"/>
      <c r="G579" s="59"/>
      <c r="H579" s="59"/>
      <c r="I579" s="59"/>
      <c r="J579" s="59"/>
      <c r="K579" s="59"/>
      <c r="L579" s="59"/>
      <c r="M579" s="59"/>
      <c r="N579" s="59"/>
      <c r="O579" s="59"/>
      <c r="P579" s="59"/>
      <c r="Q579" s="59"/>
      <c r="R579" s="59"/>
      <c r="S579" s="59"/>
      <c r="T579" s="59"/>
      <c r="U579" s="59"/>
      <c r="V579" s="59"/>
      <c r="W579" s="59"/>
      <c r="X579" s="59"/>
      <c r="Y579" s="59"/>
    </row>
    <row r="580" spans="1:25" ht="18">
      <c r="A580" s="76"/>
      <c r="B580" s="59"/>
      <c r="C580" s="59"/>
      <c r="D580" s="59"/>
      <c r="E580" s="59"/>
      <c r="F580" s="59"/>
      <c r="G580" s="59"/>
      <c r="H580" s="59"/>
      <c r="I580" s="59"/>
      <c r="J580" s="59"/>
      <c r="K580" s="59"/>
      <c r="L580" s="59"/>
      <c r="M580" s="59"/>
      <c r="N580" s="59"/>
      <c r="O580" s="59"/>
      <c r="P580" s="59"/>
      <c r="Q580" s="59"/>
      <c r="R580" s="59"/>
      <c r="S580" s="59"/>
      <c r="T580" s="59"/>
      <c r="U580" s="59"/>
      <c r="V580" s="59"/>
      <c r="W580" s="59"/>
      <c r="X580" s="59"/>
      <c r="Y580" s="59"/>
    </row>
    <row r="581" spans="1:25" ht="18">
      <c r="A581" s="76"/>
      <c r="B581" s="59"/>
      <c r="C581" s="59"/>
      <c r="D581" s="59"/>
      <c r="E581" s="59"/>
      <c r="F581" s="59"/>
      <c r="G581" s="59"/>
      <c r="H581" s="59"/>
      <c r="I581" s="59"/>
      <c r="J581" s="59"/>
      <c r="K581" s="59"/>
      <c r="L581" s="59"/>
      <c r="M581" s="59"/>
      <c r="N581" s="59"/>
      <c r="O581" s="59"/>
      <c r="P581" s="59"/>
      <c r="Q581" s="59"/>
      <c r="R581" s="59"/>
      <c r="S581" s="59"/>
      <c r="T581" s="59"/>
      <c r="U581" s="59"/>
      <c r="V581" s="59"/>
      <c r="W581" s="59"/>
      <c r="X581" s="59"/>
      <c r="Y581" s="59"/>
    </row>
    <row r="582" spans="1:25" ht="18">
      <c r="A582" s="76"/>
      <c r="B582" s="59"/>
      <c r="C582" s="59"/>
      <c r="D582" s="59"/>
      <c r="E582" s="59"/>
      <c r="F582" s="59"/>
      <c r="G582" s="59"/>
      <c r="H582" s="59"/>
      <c r="I582" s="59"/>
      <c r="J582" s="59"/>
      <c r="K582" s="59"/>
      <c r="L582" s="59"/>
      <c r="M582" s="59"/>
      <c r="N582" s="59"/>
      <c r="O582" s="59"/>
      <c r="P582" s="59"/>
      <c r="Q582" s="59"/>
      <c r="R582" s="59"/>
      <c r="S582" s="59"/>
      <c r="T582" s="59"/>
      <c r="U582" s="59"/>
      <c r="V582" s="59"/>
      <c r="W582" s="59"/>
      <c r="X582" s="59"/>
      <c r="Y582" s="59"/>
    </row>
    <row r="583" spans="1:25" ht="18">
      <c r="A583" s="76"/>
      <c r="B583" s="59"/>
      <c r="C583" s="59"/>
      <c r="D583" s="59"/>
      <c r="E583" s="59"/>
      <c r="F583" s="59"/>
      <c r="G583" s="59"/>
      <c r="H583" s="59"/>
      <c r="I583" s="59"/>
      <c r="J583" s="59"/>
      <c r="K583" s="59"/>
      <c r="L583" s="59"/>
      <c r="M583" s="59"/>
      <c r="N583" s="59"/>
      <c r="O583" s="59"/>
      <c r="P583" s="59"/>
      <c r="Q583" s="59"/>
      <c r="R583" s="59"/>
      <c r="S583" s="59"/>
      <c r="T583" s="59"/>
      <c r="U583" s="59"/>
      <c r="V583" s="59"/>
      <c r="W583" s="59"/>
      <c r="X583" s="59"/>
      <c r="Y583" s="59"/>
    </row>
    <row r="584" spans="1:25" ht="18">
      <c r="A584" s="76"/>
      <c r="B584" s="59"/>
      <c r="C584" s="59"/>
      <c r="D584" s="59"/>
      <c r="E584" s="59"/>
      <c r="F584" s="59"/>
      <c r="G584" s="59"/>
      <c r="H584" s="59"/>
      <c r="I584" s="59"/>
      <c r="J584" s="59"/>
      <c r="K584" s="59"/>
      <c r="L584" s="59"/>
      <c r="M584" s="59"/>
      <c r="N584" s="59"/>
      <c r="O584" s="59"/>
      <c r="P584" s="59"/>
      <c r="Q584" s="59"/>
      <c r="R584" s="59"/>
      <c r="S584" s="59"/>
      <c r="T584" s="59"/>
      <c r="U584" s="59"/>
      <c r="V584" s="59"/>
      <c r="W584" s="59"/>
      <c r="X584" s="59"/>
      <c r="Y584" s="59"/>
    </row>
    <row r="585" spans="1:25" ht="18">
      <c r="A585" s="76"/>
      <c r="B585" s="59"/>
      <c r="C585" s="59"/>
      <c r="D585" s="59"/>
      <c r="E585" s="59"/>
      <c r="F585" s="59"/>
      <c r="G585" s="59"/>
      <c r="H585" s="59"/>
      <c r="I585" s="59"/>
      <c r="J585" s="59"/>
      <c r="K585" s="59"/>
      <c r="L585" s="59"/>
      <c r="M585" s="59"/>
      <c r="N585" s="59"/>
      <c r="O585" s="59"/>
      <c r="P585" s="59"/>
      <c r="Q585" s="59"/>
      <c r="R585" s="59"/>
      <c r="S585" s="59"/>
      <c r="T585" s="59"/>
      <c r="U585" s="59"/>
      <c r="V585" s="59"/>
      <c r="W585" s="59"/>
      <c r="X585" s="59"/>
      <c r="Y585" s="59"/>
    </row>
    <row r="586" spans="1:25" ht="18">
      <c r="A586" s="76"/>
      <c r="B586" s="59"/>
      <c r="C586" s="59"/>
      <c r="D586" s="59"/>
      <c r="E586" s="59"/>
      <c r="F586" s="59"/>
      <c r="G586" s="59"/>
      <c r="H586" s="59"/>
      <c r="I586" s="59"/>
      <c r="J586" s="59"/>
      <c r="K586" s="59"/>
      <c r="L586" s="59"/>
      <c r="M586" s="59"/>
      <c r="N586" s="59"/>
      <c r="O586" s="59"/>
      <c r="P586" s="59"/>
      <c r="Q586" s="59"/>
      <c r="R586" s="59"/>
      <c r="S586" s="59"/>
      <c r="T586" s="59"/>
      <c r="U586" s="59"/>
      <c r="V586" s="59"/>
      <c r="W586" s="59"/>
      <c r="X586" s="59"/>
      <c r="Y586" s="59"/>
    </row>
    <row r="587" spans="1:25" ht="18">
      <c r="A587" s="76"/>
      <c r="B587" s="59"/>
      <c r="C587" s="59"/>
      <c r="D587" s="59"/>
      <c r="E587" s="59"/>
      <c r="F587" s="59"/>
      <c r="G587" s="59"/>
      <c r="H587" s="59"/>
      <c r="I587" s="59"/>
      <c r="J587" s="59"/>
      <c r="K587" s="59"/>
      <c r="L587" s="59"/>
      <c r="M587" s="59"/>
      <c r="N587" s="59"/>
      <c r="O587" s="59"/>
      <c r="P587" s="59"/>
      <c r="Q587" s="59"/>
      <c r="R587" s="59"/>
      <c r="S587" s="59"/>
      <c r="T587" s="59"/>
      <c r="U587" s="59"/>
      <c r="V587" s="59"/>
      <c r="W587" s="59"/>
      <c r="X587" s="59"/>
      <c r="Y587" s="59"/>
    </row>
    <row r="588" spans="1:25" ht="18">
      <c r="A588" s="76"/>
      <c r="B588" s="59"/>
      <c r="C588" s="59"/>
      <c r="D588" s="59"/>
      <c r="E588" s="59"/>
      <c r="F588" s="59"/>
      <c r="G588" s="59"/>
      <c r="H588" s="59"/>
      <c r="I588" s="59"/>
      <c r="J588" s="59"/>
      <c r="K588" s="59"/>
      <c r="L588" s="59"/>
      <c r="M588" s="59"/>
      <c r="N588" s="59"/>
      <c r="O588" s="59"/>
      <c r="P588" s="59"/>
      <c r="Q588" s="59"/>
      <c r="R588" s="59"/>
      <c r="S588" s="59"/>
      <c r="T588" s="59"/>
      <c r="U588" s="59"/>
      <c r="V588" s="59"/>
      <c r="W588" s="59"/>
      <c r="X588" s="59"/>
      <c r="Y588" s="59"/>
    </row>
    <row r="589" spans="1:25" ht="18">
      <c r="A589" s="76"/>
      <c r="B589" s="59"/>
      <c r="C589" s="59"/>
      <c r="D589" s="59"/>
      <c r="E589" s="59"/>
      <c r="F589" s="59"/>
      <c r="G589" s="59"/>
      <c r="H589" s="59"/>
      <c r="I589" s="59"/>
      <c r="J589" s="59"/>
      <c r="K589" s="59"/>
      <c r="L589" s="59"/>
      <c r="M589" s="59"/>
      <c r="N589" s="59"/>
      <c r="O589" s="59"/>
      <c r="P589" s="59"/>
      <c r="Q589" s="59"/>
      <c r="R589" s="59"/>
      <c r="S589" s="59"/>
      <c r="T589" s="59"/>
      <c r="U589" s="59"/>
      <c r="V589" s="59"/>
      <c r="W589" s="59"/>
      <c r="X589" s="59"/>
      <c r="Y589" s="59"/>
    </row>
    <row r="590" spans="1:25" ht="18">
      <c r="A590" s="76"/>
      <c r="B590" s="59"/>
      <c r="C590" s="59"/>
      <c r="D590" s="59"/>
      <c r="E590" s="59"/>
      <c r="F590" s="59"/>
      <c r="G590" s="59"/>
      <c r="H590" s="59"/>
      <c r="I590" s="59"/>
      <c r="J590" s="59"/>
      <c r="K590" s="59"/>
      <c r="L590" s="59"/>
      <c r="M590" s="59"/>
      <c r="N590" s="59"/>
      <c r="O590" s="59"/>
      <c r="P590" s="59"/>
      <c r="Q590" s="59"/>
      <c r="R590" s="59"/>
      <c r="S590" s="59"/>
      <c r="T590" s="59"/>
      <c r="U590" s="59"/>
      <c r="V590" s="59"/>
      <c r="W590" s="59"/>
      <c r="X590" s="59"/>
      <c r="Y590" s="59"/>
    </row>
    <row r="591" spans="1:25" ht="18">
      <c r="A591" s="76"/>
      <c r="B591" s="59"/>
      <c r="C591" s="59"/>
      <c r="D591" s="59"/>
      <c r="E591" s="59"/>
      <c r="F591" s="59"/>
      <c r="G591" s="59"/>
      <c r="H591" s="59"/>
      <c r="I591" s="59"/>
      <c r="J591" s="59"/>
      <c r="K591" s="59"/>
      <c r="L591" s="59"/>
      <c r="M591" s="59"/>
      <c r="N591" s="59"/>
      <c r="O591" s="59"/>
      <c r="P591" s="59"/>
      <c r="Q591" s="59"/>
      <c r="R591" s="59"/>
      <c r="S591" s="59"/>
      <c r="T591" s="59"/>
      <c r="U591" s="59"/>
      <c r="V591" s="59"/>
      <c r="W591" s="59"/>
      <c r="X591" s="59"/>
      <c r="Y591" s="59"/>
    </row>
    <row r="592" spans="1:25" ht="18">
      <c r="A592" s="76"/>
      <c r="B592" s="59"/>
      <c r="C592" s="59"/>
      <c r="D592" s="59"/>
      <c r="E592" s="59"/>
      <c r="F592" s="59"/>
      <c r="G592" s="59"/>
      <c r="H592" s="59"/>
      <c r="I592" s="59"/>
      <c r="J592" s="59"/>
      <c r="K592" s="59"/>
      <c r="L592" s="59"/>
      <c r="M592" s="59"/>
      <c r="N592" s="59"/>
      <c r="O592" s="59"/>
      <c r="P592" s="59"/>
      <c r="Q592" s="59"/>
      <c r="R592" s="59"/>
      <c r="S592" s="59"/>
      <c r="T592" s="59"/>
      <c r="U592" s="59"/>
      <c r="V592" s="59"/>
      <c r="W592" s="59"/>
      <c r="X592" s="59"/>
      <c r="Y592" s="59"/>
    </row>
    <row r="593" spans="1:25" ht="18">
      <c r="A593" s="76"/>
      <c r="B593" s="59"/>
      <c r="C593" s="59"/>
      <c r="D593" s="59"/>
      <c r="E593" s="59"/>
      <c r="F593" s="59"/>
      <c r="G593" s="59"/>
      <c r="H593" s="59"/>
      <c r="I593" s="59"/>
      <c r="J593" s="59"/>
      <c r="K593" s="59"/>
      <c r="L593" s="59"/>
      <c r="M593" s="59"/>
      <c r="N593" s="59"/>
      <c r="O593" s="59"/>
      <c r="P593" s="59"/>
      <c r="Q593" s="59"/>
      <c r="R593" s="59"/>
      <c r="S593" s="59"/>
      <c r="T593" s="59"/>
      <c r="U593" s="59"/>
      <c r="V593" s="59"/>
      <c r="W593" s="59"/>
      <c r="X593" s="59"/>
      <c r="Y593" s="59"/>
    </row>
    <row r="594" spans="1:25" ht="18">
      <c r="A594" s="76"/>
      <c r="B594" s="59"/>
      <c r="C594" s="59"/>
      <c r="D594" s="59"/>
      <c r="E594" s="59"/>
      <c r="F594" s="59"/>
      <c r="G594" s="59"/>
      <c r="H594" s="59"/>
      <c r="I594" s="59"/>
      <c r="J594" s="59"/>
      <c r="K594" s="59"/>
      <c r="L594" s="59"/>
      <c r="M594" s="59"/>
      <c r="N594" s="59"/>
      <c r="O594" s="59"/>
      <c r="P594" s="59"/>
      <c r="Q594" s="59"/>
      <c r="R594" s="59"/>
      <c r="S594" s="59"/>
      <c r="T594" s="59"/>
      <c r="U594" s="59"/>
      <c r="V594" s="59"/>
      <c r="W594" s="59"/>
      <c r="X594" s="59"/>
      <c r="Y594" s="59"/>
    </row>
    <row r="595" spans="1:25" ht="18">
      <c r="A595" s="76"/>
      <c r="B595" s="59"/>
      <c r="C595" s="59"/>
      <c r="D595" s="59"/>
      <c r="E595" s="59"/>
      <c r="F595" s="59"/>
      <c r="G595" s="59"/>
      <c r="H595" s="59"/>
      <c r="I595" s="59"/>
      <c r="J595" s="59"/>
      <c r="K595" s="59"/>
      <c r="L595" s="59"/>
      <c r="M595" s="59"/>
      <c r="N595" s="59"/>
      <c r="O595" s="59"/>
      <c r="P595" s="59"/>
      <c r="Q595" s="59"/>
      <c r="R595" s="59"/>
      <c r="S595" s="59"/>
      <c r="T595" s="59"/>
      <c r="U595" s="59"/>
      <c r="V595" s="59"/>
      <c r="W595" s="59"/>
      <c r="X595" s="59"/>
      <c r="Y595" s="59"/>
    </row>
    <row r="596" spans="1:25" ht="18">
      <c r="A596" s="76"/>
      <c r="B596" s="59"/>
      <c r="C596" s="59"/>
      <c r="D596" s="59"/>
      <c r="E596" s="59"/>
      <c r="F596" s="59"/>
      <c r="G596" s="59"/>
      <c r="H596" s="59"/>
      <c r="I596" s="59"/>
      <c r="J596" s="59"/>
      <c r="K596" s="59"/>
      <c r="L596" s="59"/>
      <c r="M596" s="59"/>
      <c r="N596" s="59"/>
      <c r="O596" s="59"/>
      <c r="P596" s="59"/>
      <c r="Q596" s="59"/>
      <c r="R596" s="59"/>
      <c r="S596" s="59"/>
      <c r="T596" s="59"/>
      <c r="U596" s="59"/>
      <c r="V596" s="59"/>
      <c r="W596" s="59"/>
      <c r="X596" s="59"/>
      <c r="Y596" s="59"/>
    </row>
    <row r="597" spans="1:25" ht="18">
      <c r="A597" s="76"/>
      <c r="B597" s="59"/>
      <c r="C597" s="59"/>
      <c r="D597" s="59"/>
      <c r="E597" s="59"/>
      <c r="F597" s="59"/>
      <c r="G597" s="59"/>
      <c r="H597" s="59"/>
      <c r="I597" s="59"/>
      <c r="J597" s="59"/>
      <c r="K597" s="59"/>
      <c r="L597" s="59"/>
      <c r="M597" s="59"/>
      <c r="N597" s="59"/>
      <c r="O597" s="59"/>
      <c r="P597" s="59"/>
      <c r="Q597" s="59"/>
      <c r="R597" s="59"/>
      <c r="S597" s="59"/>
      <c r="T597" s="59"/>
      <c r="U597" s="59"/>
      <c r="V597" s="59"/>
      <c r="W597" s="59"/>
      <c r="X597" s="59"/>
      <c r="Y597" s="59"/>
    </row>
    <row r="598" spans="1:25" ht="18">
      <c r="A598" s="76"/>
      <c r="B598" s="59"/>
      <c r="C598" s="59"/>
      <c r="D598" s="59"/>
      <c r="E598" s="59"/>
      <c r="F598" s="59"/>
      <c r="G598" s="59"/>
      <c r="H598" s="59"/>
      <c r="I598" s="59"/>
      <c r="J598" s="59"/>
      <c r="K598" s="59"/>
      <c r="L598" s="59"/>
      <c r="M598" s="59"/>
      <c r="N598" s="59"/>
      <c r="O598" s="59"/>
      <c r="P598" s="59"/>
      <c r="Q598" s="59"/>
      <c r="R598" s="59"/>
      <c r="S598" s="59"/>
      <c r="T598" s="59"/>
      <c r="U598" s="59"/>
      <c r="V598" s="59"/>
      <c r="W598" s="59"/>
      <c r="X598" s="59"/>
      <c r="Y598" s="59"/>
    </row>
    <row r="599" spans="1:25" ht="18">
      <c r="A599" s="76"/>
      <c r="B599" s="59"/>
      <c r="C599" s="59"/>
      <c r="D599" s="59"/>
      <c r="E599" s="59"/>
      <c r="F599" s="59"/>
      <c r="G599" s="59"/>
      <c r="H599" s="59"/>
      <c r="I599" s="59"/>
      <c r="J599" s="59"/>
      <c r="K599" s="59"/>
      <c r="L599" s="59"/>
      <c r="M599" s="59"/>
      <c r="N599" s="59"/>
      <c r="O599" s="59"/>
      <c r="P599" s="59"/>
      <c r="Q599" s="59"/>
      <c r="R599" s="59"/>
      <c r="S599" s="59"/>
      <c r="T599" s="59"/>
      <c r="U599" s="59"/>
      <c r="V599" s="59"/>
      <c r="W599" s="59"/>
      <c r="X599" s="59"/>
      <c r="Y599" s="59"/>
    </row>
    <row r="600" spans="1:25" ht="18">
      <c r="A600" s="76"/>
      <c r="B600" s="59"/>
      <c r="C600" s="59"/>
      <c r="D600" s="59"/>
      <c r="E600" s="59"/>
      <c r="F600" s="59"/>
      <c r="G600" s="59"/>
      <c r="H600" s="59"/>
      <c r="I600" s="59"/>
      <c r="J600" s="59"/>
      <c r="K600" s="59"/>
      <c r="L600" s="59"/>
      <c r="M600" s="59"/>
      <c r="N600" s="59"/>
      <c r="O600" s="59"/>
      <c r="P600" s="59"/>
      <c r="Q600" s="59"/>
      <c r="R600" s="59"/>
      <c r="S600" s="59"/>
      <c r="T600" s="59"/>
      <c r="U600" s="59"/>
      <c r="V600" s="59"/>
      <c r="W600" s="59"/>
      <c r="X600" s="59"/>
      <c r="Y600" s="59"/>
    </row>
    <row r="601" spans="1:25" ht="18">
      <c r="A601" s="76"/>
      <c r="B601" s="59"/>
      <c r="C601" s="59"/>
      <c r="D601" s="59"/>
      <c r="E601" s="59"/>
      <c r="F601" s="59"/>
      <c r="G601" s="59"/>
      <c r="H601" s="59"/>
      <c r="I601" s="59"/>
      <c r="J601" s="59"/>
      <c r="K601" s="59"/>
      <c r="L601" s="59"/>
      <c r="M601" s="59"/>
      <c r="N601" s="59"/>
      <c r="O601" s="59"/>
      <c r="P601" s="59"/>
      <c r="Q601" s="59"/>
      <c r="R601" s="59"/>
      <c r="S601" s="59"/>
      <c r="T601" s="59"/>
      <c r="U601" s="59"/>
      <c r="V601" s="59"/>
      <c r="W601" s="59"/>
      <c r="X601" s="59"/>
      <c r="Y601" s="59"/>
    </row>
    <row r="602" spans="1:25" ht="18">
      <c r="A602" s="76"/>
      <c r="B602" s="59"/>
      <c r="C602" s="59"/>
      <c r="D602" s="59"/>
      <c r="E602" s="59"/>
      <c r="F602" s="59"/>
      <c r="G602" s="59"/>
      <c r="H602" s="59"/>
      <c r="I602" s="59"/>
      <c r="J602" s="59"/>
      <c r="K602" s="59"/>
      <c r="L602" s="59"/>
      <c r="M602" s="59"/>
      <c r="N602" s="59"/>
      <c r="O602" s="59"/>
      <c r="P602" s="59"/>
      <c r="Q602" s="59"/>
      <c r="R602" s="59"/>
      <c r="S602" s="59"/>
      <c r="T602" s="59"/>
      <c r="U602" s="59"/>
      <c r="V602" s="59"/>
      <c r="W602" s="59"/>
      <c r="X602" s="59"/>
      <c r="Y602" s="59"/>
    </row>
    <row r="603" spans="1:25" ht="18">
      <c r="A603" s="76"/>
      <c r="B603" s="59"/>
      <c r="C603" s="59"/>
      <c r="D603" s="59"/>
      <c r="E603" s="59"/>
      <c r="F603" s="59"/>
      <c r="G603" s="59"/>
      <c r="H603" s="59"/>
      <c r="I603" s="59"/>
      <c r="J603" s="59"/>
      <c r="K603" s="59"/>
      <c r="L603" s="59"/>
      <c r="M603" s="59"/>
      <c r="N603" s="59"/>
      <c r="O603" s="59"/>
      <c r="P603" s="59"/>
      <c r="Q603" s="59"/>
      <c r="R603" s="59"/>
      <c r="S603" s="59"/>
      <c r="T603" s="59"/>
      <c r="U603" s="59"/>
      <c r="V603" s="59"/>
      <c r="W603" s="59"/>
      <c r="X603" s="59"/>
      <c r="Y603" s="59"/>
    </row>
    <row r="604" spans="1:25" ht="18">
      <c r="A604" s="76"/>
      <c r="B604" s="59"/>
      <c r="C604" s="59"/>
      <c r="D604" s="59"/>
      <c r="E604" s="59"/>
      <c r="F604" s="59"/>
      <c r="G604" s="59"/>
      <c r="H604" s="59"/>
      <c r="I604" s="59"/>
      <c r="J604" s="59"/>
      <c r="K604" s="59"/>
      <c r="L604" s="59"/>
      <c r="M604" s="59"/>
      <c r="N604" s="59"/>
      <c r="O604" s="59"/>
      <c r="P604" s="59"/>
      <c r="Q604" s="59"/>
      <c r="R604" s="59"/>
      <c r="S604" s="59"/>
      <c r="T604" s="59"/>
      <c r="U604" s="59"/>
      <c r="V604" s="59"/>
      <c r="W604" s="59"/>
      <c r="X604" s="59"/>
      <c r="Y604" s="59"/>
    </row>
    <row r="605" spans="1:25" ht="18">
      <c r="A605" s="76"/>
      <c r="B605" s="59"/>
      <c r="C605" s="59"/>
      <c r="D605" s="59"/>
      <c r="E605" s="59"/>
      <c r="F605" s="59"/>
      <c r="G605" s="59"/>
      <c r="H605" s="59"/>
      <c r="I605" s="59"/>
      <c r="J605" s="59"/>
      <c r="K605" s="59"/>
      <c r="L605" s="59"/>
      <c r="M605" s="59"/>
      <c r="N605" s="59"/>
      <c r="O605" s="59"/>
      <c r="P605" s="59"/>
      <c r="Q605" s="59"/>
      <c r="R605" s="59"/>
      <c r="S605" s="59"/>
      <c r="T605" s="59"/>
      <c r="U605" s="59"/>
      <c r="V605" s="59"/>
      <c r="W605" s="59"/>
      <c r="X605" s="59"/>
      <c r="Y605" s="59"/>
    </row>
    <row r="606" spans="1:25" ht="18">
      <c r="A606" s="76"/>
      <c r="B606" s="59"/>
      <c r="C606" s="59"/>
      <c r="D606" s="59"/>
      <c r="E606" s="59"/>
      <c r="F606" s="59"/>
      <c r="G606" s="59"/>
      <c r="H606" s="59"/>
      <c r="I606" s="59"/>
      <c r="J606" s="59"/>
      <c r="K606" s="59"/>
      <c r="L606" s="59"/>
      <c r="M606" s="59"/>
      <c r="N606" s="59"/>
      <c r="O606" s="59"/>
      <c r="P606" s="59"/>
      <c r="Q606" s="59"/>
      <c r="R606" s="59"/>
      <c r="S606" s="59"/>
      <c r="T606" s="59"/>
      <c r="U606" s="59"/>
      <c r="V606" s="59"/>
      <c r="W606" s="59"/>
      <c r="X606" s="59"/>
      <c r="Y606" s="59"/>
    </row>
    <row r="607" spans="1:25" ht="18">
      <c r="A607" s="76"/>
      <c r="B607" s="59"/>
      <c r="C607" s="59"/>
      <c r="D607" s="59"/>
      <c r="E607" s="59"/>
      <c r="F607" s="59"/>
      <c r="G607" s="59"/>
      <c r="H607" s="59"/>
      <c r="I607" s="59"/>
      <c r="J607" s="59"/>
      <c r="K607" s="59"/>
      <c r="L607" s="59"/>
      <c r="M607" s="59"/>
      <c r="N607" s="59"/>
      <c r="O607" s="59"/>
      <c r="P607" s="59"/>
      <c r="Q607" s="59"/>
      <c r="R607" s="59"/>
      <c r="S607" s="59"/>
      <c r="T607" s="59"/>
      <c r="U607" s="59"/>
      <c r="V607" s="59"/>
      <c r="W607" s="59"/>
      <c r="X607" s="59"/>
      <c r="Y607" s="59"/>
    </row>
    <row r="608" spans="1:25" ht="18">
      <c r="A608" s="76"/>
      <c r="B608" s="59"/>
      <c r="C608" s="59"/>
      <c r="D608" s="59"/>
      <c r="E608" s="59"/>
      <c r="F608" s="59"/>
      <c r="G608" s="59"/>
      <c r="H608" s="59"/>
      <c r="I608" s="59"/>
      <c r="J608" s="59"/>
      <c r="K608" s="59"/>
      <c r="L608" s="59"/>
      <c r="M608" s="59"/>
      <c r="N608" s="59"/>
      <c r="O608" s="59"/>
      <c r="P608" s="59"/>
      <c r="Q608" s="59"/>
      <c r="R608" s="59"/>
      <c r="S608" s="59"/>
      <c r="T608" s="59"/>
      <c r="U608" s="59"/>
      <c r="V608" s="59"/>
      <c r="W608" s="59"/>
      <c r="X608" s="59"/>
      <c r="Y608" s="59"/>
    </row>
    <row r="609" spans="1:25" ht="18">
      <c r="A609" s="76"/>
      <c r="B609" s="59"/>
      <c r="C609" s="59"/>
      <c r="D609" s="59"/>
      <c r="E609" s="59"/>
      <c r="F609" s="59"/>
      <c r="G609" s="59"/>
      <c r="H609" s="59"/>
      <c r="I609" s="59"/>
      <c r="J609" s="59"/>
      <c r="K609" s="59"/>
      <c r="L609" s="59"/>
      <c r="M609" s="59"/>
      <c r="N609" s="59"/>
      <c r="O609" s="59"/>
      <c r="P609" s="59"/>
      <c r="Q609" s="59"/>
      <c r="R609" s="59"/>
      <c r="S609" s="59"/>
      <c r="T609" s="59"/>
      <c r="U609" s="59"/>
      <c r="V609" s="59"/>
      <c r="W609" s="59"/>
      <c r="X609" s="59"/>
      <c r="Y609" s="59"/>
    </row>
    <row r="610" spans="1:25" ht="18">
      <c r="A610" s="76"/>
      <c r="B610" s="59"/>
      <c r="C610" s="59"/>
      <c r="D610" s="59"/>
      <c r="E610" s="59"/>
      <c r="F610" s="59"/>
      <c r="G610" s="59"/>
      <c r="H610" s="59"/>
      <c r="I610" s="59"/>
      <c r="J610" s="59"/>
      <c r="K610" s="59"/>
      <c r="L610" s="59"/>
      <c r="M610" s="59"/>
      <c r="N610" s="59"/>
      <c r="O610" s="59"/>
      <c r="P610" s="59"/>
      <c r="Q610" s="59"/>
      <c r="R610" s="59"/>
      <c r="S610" s="59"/>
      <c r="T610" s="59"/>
      <c r="U610" s="59"/>
      <c r="V610" s="59"/>
      <c r="W610" s="59"/>
      <c r="X610" s="59"/>
      <c r="Y610" s="59"/>
    </row>
    <row r="611" spans="1:25" ht="18">
      <c r="A611" s="76"/>
      <c r="B611" s="59"/>
      <c r="C611" s="59"/>
      <c r="D611" s="59"/>
      <c r="E611" s="59"/>
      <c r="F611" s="59"/>
      <c r="G611" s="59"/>
      <c r="H611" s="59"/>
      <c r="I611" s="59"/>
      <c r="J611" s="59"/>
      <c r="K611" s="59"/>
      <c r="L611" s="59"/>
      <c r="M611" s="59"/>
      <c r="N611" s="59"/>
      <c r="O611" s="59"/>
      <c r="P611" s="59"/>
      <c r="Q611" s="59"/>
      <c r="R611" s="59"/>
      <c r="S611" s="59"/>
      <c r="T611" s="59"/>
      <c r="U611" s="59"/>
      <c r="V611" s="59"/>
      <c r="W611" s="59"/>
      <c r="X611" s="59"/>
      <c r="Y611" s="59"/>
    </row>
    <row r="612" spans="1:25" ht="18">
      <c r="A612" s="76"/>
      <c r="B612" s="59"/>
      <c r="C612" s="59"/>
      <c r="D612" s="59"/>
      <c r="E612" s="59"/>
      <c r="F612" s="59"/>
      <c r="G612" s="59"/>
      <c r="H612" s="59"/>
      <c r="I612" s="59"/>
      <c r="J612" s="59"/>
      <c r="K612" s="59"/>
      <c r="L612" s="59"/>
      <c r="M612" s="59"/>
      <c r="N612" s="59"/>
      <c r="O612" s="59"/>
      <c r="P612" s="59"/>
      <c r="Q612" s="59"/>
      <c r="R612" s="59"/>
      <c r="S612" s="59"/>
      <c r="T612" s="59"/>
      <c r="U612" s="59"/>
      <c r="V612" s="59"/>
      <c r="W612" s="59"/>
      <c r="X612" s="59"/>
      <c r="Y612" s="59"/>
    </row>
    <row r="613" spans="1:25" ht="18">
      <c r="A613" s="76"/>
      <c r="B613" s="59"/>
      <c r="C613" s="59"/>
      <c r="D613" s="59"/>
      <c r="E613" s="59"/>
      <c r="F613" s="59"/>
      <c r="G613" s="59"/>
      <c r="H613" s="59"/>
      <c r="I613" s="59"/>
      <c r="J613" s="59"/>
      <c r="K613" s="59"/>
      <c r="L613" s="59"/>
      <c r="M613" s="59"/>
      <c r="N613" s="59"/>
      <c r="O613" s="59"/>
      <c r="P613" s="59"/>
      <c r="Q613" s="59"/>
      <c r="R613" s="59"/>
      <c r="S613" s="59"/>
      <c r="T613" s="59"/>
      <c r="U613" s="59"/>
      <c r="V613" s="59"/>
      <c r="W613" s="59"/>
      <c r="X613" s="59"/>
      <c r="Y613" s="59"/>
    </row>
    <row r="614" spans="1:25" ht="18">
      <c r="A614" s="76"/>
      <c r="B614" s="59"/>
      <c r="C614" s="59"/>
      <c r="D614" s="59"/>
      <c r="E614" s="59"/>
      <c r="F614" s="59"/>
      <c r="G614" s="59"/>
      <c r="H614" s="59"/>
      <c r="I614" s="59"/>
      <c r="J614" s="59"/>
      <c r="K614" s="59"/>
      <c r="L614" s="59"/>
      <c r="M614" s="59"/>
      <c r="N614" s="59"/>
      <c r="O614" s="59"/>
      <c r="P614" s="59"/>
      <c r="Q614" s="59"/>
      <c r="R614" s="59"/>
      <c r="S614" s="59"/>
      <c r="T614" s="59"/>
      <c r="U614" s="59"/>
      <c r="V614" s="59"/>
      <c r="W614" s="59"/>
      <c r="X614" s="59"/>
      <c r="Y614" s="59"/>
    </row>
    <row r="615" spans="1:25" ht="18">
      <c r="A615" s="76"/>
      <c r="B615" s="59"/>
      <c r="C615" s="59"/>
      <c r="D615" s="59"/>
      <c r="E615" s="59"/>
      <c r="F615" s="59"/>
      <c r="G615" s="59"/>
      <c r="H615" s="59"/>
      <c r="I615" s="59"/>
      <c r="J615" s="59"/>
      <c r="K615" s="59"/>
      <c r="L615" s="59"/>
      <c r="M615" s="59"/>
      <c r="N615" s="59"/>
      <c r="O615" s="59"/>
      <c r="P615" s="59"/>
      <c r="Q615" s="59"/>
      <c r="R615" s="59"/>
      <c r="S615" s="59"/>
      <c r="T615" s="59"/>
      <c r="U615" s="59"/>
      <c r="V615" s="59"/>
      <c r="W615" s="59"/>
      <c r="X615" s="59"/>
      <c r="Y615" s="59"/>
    </row>
    <row r="616" spans="1:25" ht="18">
      <c r="A616" s="76"/>
      <c r="B616" s="59"/>
      <c r="C616" s="59"/>
      <c r="D616" s="59"/>
      <c r="E616" s="59"/>
      <c r="F616" s="59"/>
      <c r="G616" s="59"/>
      <c r="H616" s="59"/>
      <c r="I616" s="59"/>
      <c r="J616" s="59"/>
      <c r="K616" s="59"/>
      <c r="L616" s="59"/>
      <c r="M616" s="59"/>
      <c r="N616" s="59"/>
      <c r="O616" s="59"/>
      <c r="P616" s="59"/>
      <c r="Q616" s="59"/>
      <c r="R616" s="59"/>
      <c r="S616" s="59"/>
      <c r="T616" s="59"/>
      <c r="U616" s="59"/>
      <c r="V616" s="59"/>
      <c r="W616" s="59"/>
      <c r="X616" s="59"/>
      <c r="Y616" s="59"/>
    </row>
    <row r="617" spans="1:25" ht="18">
      <c r="A617" s="76"/>
      <c r="B617" s="59"/>
      <c r="C617" s="59"/>
      <c r="D617" s="59"/>
      <c r="E617" s="59"/>
      <c r="F617" s="59"/>
      <c r="G617" s="59"/>
      <c r="H617" s="59"/>
      <c r="I617" s="59"/>
      <c r="J617" s="59"/>
      <c r="K617" s="59"/>
      <c r="L617" s="59"/>
      <c r="M617" s="59"/>
      <c r="N617" s="59"/>
      <c r="O617" s="59"/>
      <c r="P617" s="59"/>
      <c r="Q617" s="59"/>
      <c r="R617" s="59"/>
      <c r="S617" s="59"/>
      <c r="T617" s="59"/>
      <c r="U617" s="59"/>
      <c r="V617" s="59"/>
      <c r="W617" s="59"/>
      <c r="X617" s="59"/>
      <c r="Y617" s="59"/>
    </row>
    <row r="618" spans="1:25" ht="18">
      <c r="A618" s="76"/>
      <c r="B618" s="59"/>
      <c r="C618" s="59"/>
      <c r="D618" s="59"/>
      <c r="E618" s="59"/>
      <c r="F618" s="59"/>
      <c r="G618" s="59"/>
      <c r="H618" s="59"/>
      <c r="I618" s="59"/>
      <c r="J618" s="59"/>
      <c r="K618" s="59"/>
      <c r="L618" s="59"/>
      <c r="M618" s="59"/>
      <c r="N618" s="59"/>
      <c r="O618" s="59"/>
      <c r="P618" s="59"/>
      <c r="Q618" s="59"/>
      <c r="R618" s="59"/>
      <c r="S618" s="59"/>
      <c r="T618" s="59"/>
      <c r="U618" s="59"/>
      <c r="V618" s="59"/>
      <c r="W618" s="59"/>
      <c r="X618" s="59"/>
      <c r="Y618" s="59"/>
    </row>
    <row r="619" spans="1:25" ht="18">
      <c r="A619" s="76"/>
      <c r="B619" s="59"/>
      <c r="C619" s="59"/>
      <c r="D619" s="59"/>
      <c r="E619" s="59"/>
      <c r="F619" s="59"/>
      <c r="G619" s="59"/>
      <c r="H619" s="59"/>
      <c r="I619" s="59"/>
      <c r="J619" s="59"/>
      <c r="K619" s="59"/>
      <c r="L619" s="59"/>
      <c r="M619" s="59"/>
      <c r="N619" s="59"/>
      <c r="O619" s="59"/>
      <c r="P619" s="59"/>
      <c r="Q619" s="59"/>
      <c r="R619" s="59"/>
      <c r="S619" s="59"/>
      <c r="T619" s="59"/>
      <c r="U619" s="59"/>
      <c r="V619" s="59"/>
      <c r="W619" s="59"/>
      <c r="X619" s="59"/>
      <c r="Y619" s="59"/>
    </row>
    <row r="620" spans="1:25" ht="18">
      <c r="A620" s="76"/>
      <c r="B620" s="59"/>
      <c r="C620" s="59"/>
      <c r="D620" s="59"/>
      <c r="E620" s="59"/>
      <c r="F620" s="59"/>
      <c r="G620" s="59"/>
      <c r="H620" s="59"/>
      <c r="I620" s="59"/>
      <c r="J620" s="59"/>
      <c r="K620" s="59"/>
      <c r="L620" s="59"/>
      <c r="M620" s="59"/>
      <c r="N620" s="59"/>
      <c r="O620" s="59"/>
      <c r="P620" s="59"/>
      <c r="Q620" s="59"/>
      <c r="R620" s="59"/>
      <c r="S620" s="59"/>
      <c r="T620" s="59"/>
      <c r="U620" s="59"/>
      <c r="V620" s="59"/>
      <c r="W620" s="59"/>
      <c r="X620" s="59"/>
      <c r="Y620" s="59"/>
    </row>
    <row r="621" spans="1:25" ht="18">
      <c r="A621" s="76"/>
      <c r="B621" s="59"/>
      <c r="C621" s="59"/>
      <c r="D621" s="59"/>
      <c r="E621" s="59"/>
      <c r="F621" s="59"/>
      <c r="G621" s="59"/>
      <c r="H621" s="59"/>
      <c r="I621" s="59"/>
      <c r="J621" s="59"/>
      <c r="K621" s="59"/>
      <c r="L621" s="59"/>
      <c r="M621" s="59"/>
      <c r="N621" s="59"/>
      <c r="O621" s="59"/>
      <c r="P621" s="59"/>
      <c r="Q621" s="59"/>
      <c r="R621" s="59"/>
      <c r="S621" s="59"/>
      <c r="T621" s="59"/>
      <c r="U621" s="59"/>
      <c r="V621" s="59"/>
      <c r="W621" s="59"/>
      <c r="X621" s="59"/>
      <c r="Y621" s="59"/>
    </row>
    <row r="622" spans="1:25" ht="18">
      <c r="A622" s="76"/>
      <c r="B622" s="59"/>
      <c r="C622" s="59"/>
      <c r="D622" s="59"/>
      <c r="E622" s="59"/>
      <c r="F622" s="59"/>
      <c r="G622" s="59"/>
      <c r="H622" s="59"/>
      <c r="I622" s="59"/>
      <c r="J622" s="59"/>
      <c r="K622" s="59"/>
      <c r="L622" s="59"/>
      <c r="M622" s="59"/>
      <c r="N622" s="59"/>
      <c r="O622" s="59"/>
      <c r="P622" s="59"/>
      <c r="Q622" s="59"/>
      <c r="R622" s="59"/>
      <c r="S622" s="59"/>
      <c r="T622" s="59"/>
      <c r="U622" s="59"/>
      <c r="V622" s="59"/>
      <c r="W622" s="59"/>
      <c r="X622" s="59"/>
      <c r="Y622" s="59"/>
    </row>
    <row r="623" spans="1:25" ht="18">
      <c r="A623" s="76"/>
      <c r="B623" s="59"/>
      <c r="C623" s="59"/>
      <c r="D623" s="59"/>
      <c r="E623" s="59"/>
      <c r="F623" s="59"/>
      <c r="G623" s="59"/>
      <c r="H623" s="59"/>
      <c r="I623" s="59"/>
      <c r="J623" s="59"/>
      <c r="K623" s="59"/>
      <c r="L623" s="59"/>
      <c r="M623" s="59"/>
      <c r="N623" s="59"/>
      <c r="O623" s="59"/>
      <c r="P623" s="59"/>
      <c r="Q623" s="59"/>
      <c r="R623" s="59"/>
      <c r="S623" s="59"/>
      <c r="T623" s="59"/>
      <c r="U623" s="59"/>
      <c r="V623" s="59"/>
      <c r="W623" s="59"/>
      <c r="X623" s="59"/>
      <c r="Y623" s="59"/>
    </row>
    <row r="624" spans="1:25" ht="18">
      <c r="A624" s="76"/>
      <c r="B624" s="59"/>
      <c r="C624" s="59"/>
      <c r="D624" s="59"/>
      <c r="E624" s="59"/>
      <c r="F624" s="59"/>
      <c r="G624" s="59"/>
      <c r="H624" s="59"/>
      <c r="I624" s="59"/>
      <c r="J624" s="59"/>
      <c r="K624" s="59"/>
      <c r="L624" s="59"/>
      <c r="M624" s="59"/>
      <c r="N624" s="59"/>
      <c r="O624" s="59"/>
      <c r="P624" s="59"/>
      <c r="Q624" s="59"/>
      <c r="R624" s="59"/>
      <c r="S624" s="59"/>
      <c r="T624" s="59"/>
      <c r="U624" s="59"/>
      <c r="V624" s="59"/>
      <c r="W624" s="59"/>
      <c r="X624" s="59"/>
      <c r="Y624" s="59"/>
    </row>
    <row r="625" spans="1:25" ht="18">
      <c r="A625" s="76"/>
      <c r="B625" s="59"/>
      <c r="C625" s="59"/>
      <c r="D625" s="59"/>
      <c r="E625" s="59"/>
      <c r="F625" s="59"/>
      <c r="G625" s="59"/>
      <c r="H625" s="59"/>
      <c r="I625" s="59"/>
      <c r="J625" s="59"/>
      <c r="K625" s="59"/>
      <c r="L625" s="59"/>
      <c r="M625" s="59"/>
      <c r="N625" s="59"/>
      <c r="O625" s="59"/>
      <c r="P625" s="59"/>
      <c r="Q625" s="59"/>
      <c r="R625" s="59"/>
      <c r="S625" s="59"/>
      <c r="T625" s="59"/>
      <c r="U625" s="59"/>
      <c r="V625" s="59"/>
      <c r="W625" s="59"/>
      <c r="X625" s="59"/>
      <c r="Y625" s="59"/>
    </row>
    <row r="626" spans="1:25" ht="18">
      <c r="A626" s="76"/>
      <c r="B626" s="59"/>
      <c r="C626" s="59"/>
      <c r="D626" s="59"/>
      <c r="E626" s="59"/>
      <c r="F626" s="59"/>
      <c r="G626" s="59"/>
      <c r="H626" s="59"/>
      <c r="I626" s="59"/>
      <c r="J626" s="59"/>
      <c r="K626" s="59"/>
      <c r="L626" s="59"/>
      <c r="M626" s="59"/>
      <c r="N626" s="59"/>
      <c r="O626" s="59"/>
      <c r="P626" s="59"/>
      <c r="Q626" s="59"/>
      <c r="R626" s="59"/>
      <c r="S626" s="59"/>
      <c r="T626" s="59"/>
      <c r="U626" s="59"/>
      <c r="V626" s="59"/>
      <c r="W626" s="59"/>
      <c r="X626" s="59"/>
      <c r="Y626" s="59"/>
    </row>
    <row r="627" spans="1:25" ht="18">
      <c r="A627" s="76"/>
      <c r="B627" s="59"/>
      <c r="C627" s="59"/>
      <c r="D627" s="59"/>
      <c r="E627" s="59"/>
      <c r="F627" s="59"/>
      <c r="G627" s="59"/>
      <c r="H627" s="59"/>
      <c r="I627" s="59"/>
      <c r="J627" s="59"/>
      <c r="K627" s="59"/>
      <c r="L627" s="59"/>
      <c r="M627" s="59"/>
      <c r="N627" s="59"/>
      <c r="O627" s="59"/>
      <c r="P627" s="59"/>
      <c r="Q627" s="59"/>
      <c r="R627" s="59"/>
      <c r="S627" s="59"/>
      <c r="T627" s="59"/>
      <c r="U627" s="59"/>
      <c r="V627" s="59"/>
      <c r="W627" s="59"/>
      <c r="X627" s="59"/>
      <c r="Y627" s="59"/>
    </row>
    <row r="628" spans="1:25" ht="18">
      <c r="A628" s="76"/>
      <c r="B628" s="59"/>
      <c r="C628" s="59"/>
      <c r="D628" s="59"/>
      <c r="E628" s="59"/>
      <c r="F628" s="59"/>
      <c r="G628" s="59"/>
      <c r="H628" s="59"/>
      <c r="I628" s="59"/>
      <c r="J628" s="59"/>
      <c r="K628" s="59"/>
      <c r="L628" s="59"/>
      <c r="M628" s="59"/>
      <c r="N628" s="59"/>
      <c r="O628" s="59"/>
      <c r="P628" s="59"/>
      <c r="Q628" s="59"/>
      <c r="R628" s="59"/>
      <c r="S628" s="59"/>
      <c r="T628" s="59"/>
      <c r="U628" s="59"/>
      <c r="V628" s="59"/>
      <c r="W628" s="59"/>
      <c r="X628" s="59"/>
      <c r="Y628" s="59"/>
    </row>
    <row r="629" spans="1:25" ht="18">
      <c r="A629" s="76"/>
      <c r="B629" s="59"/>
      <c r="C629" s="59"/>
      <c r="D629" s="59"/>
      <c r="E629" s="59"/>
      <c r="F629" s="59"/>
      <c r="G629" s="59"/>
      <c r="H629" s="59"/>
      <c r="I629" s="59"/>
      <c r="J629" s="59"/>
      <c r="K629" s="59"/>
      <c r="L629" s="59"/>
      <c r="M629" s="59"/>
      <c r="N629" s="59"/>
      <c r="O629" s="59"/>
      <c r="P629" s="59"/>
      <c r="Q629" s="59"/>
      <c r="R629" s="59"/>
      <c r="S629" s="59"/>
      <c r="T629" s="59"/>
      <c r="U629" s="59"/>
      <c r="V629" s="59"/>
      <c r="W629" s="59"/>
      <c r="X629" s="59"/>
      <c r="Y629" s="59"/>
    </row>
    <row r="630" spans="1:25" ht="18">
      <c r="A630" s="76"/>
      <c r="B630" s="59"/>
      <c r="C630" s="59"/>
      <c r="D630" s="59"/>
      <c r="E630" s="59"/>
      <c r="F630" s="59"/>
      <c r="G630" s="59"/>
      <c r="H630" s="59"/>
      <c r="I630" s="59"/>
      <c r="J630" s="59"/>
      <c r="K630" s="59"/>
      <c r="L630" s="59"/>
      <c r="M630" s="59"/>
      <c r="N630" s="59"/>
      <c r="O630" s="59"/>
      <c r="P630" s="59"/>
      <c r="Q630" s="59"/>
      <c r="R630" s="59"/>
      <c r="S630" s="59"/>
      <c r="T630" s="59"/>
      <c r="U630" s="59"/>
      <c r="V630" s="59"/>
      <c r="W630" s="59"/>
      <c r="X630" s="59"/>
      <c r="Y630" s="59"/>
    </row>
    <row r="631" spans="1:25" ht="18">
      <c r="A631" s="76"/>
      <c r="B631" s="59"/>
      <c r="C631" s="59"/>
      <c r="D631" s="59"/>
      <c r="E631" s="59"/>
      <c r="F631" s="59"/>
      <c r="G631" s="59"/>
      <c r="H631" s="59"/>
      <c r="I631" s="59"/>
      <c r="J631" s="59"/>
      <c r="K631" s="59"/>
      <c r="L631" s="59"/>
      <c r="M631" s="59"/>
      <c r="N631" s="59"/>
      <c r="O631" s="59"/>
      <c r="P631" s="59"/>
      <c r="Q631" s="59"/>
      <c r="R631" s="59"/>
      <c r="S631" s="59"/>
      <c r="T631" s="59"/>
      <c r="U631" s="59"/>
      <c r="V631" s="59"/>
      <c r="W631" s="59"/>
      <c r="X631" s="59"/>
      <c r="Y631" s="59"/>
    </row>
    <row r="632" spans="1:25" ht="18">
      <c r="A632" s="76"/>
      <c r="B632" s="59"/>
      <c r="C632" s="59"/>
      <c r="D632" s="59"/>
      <c r="E632" s="59"/>
      <c r="F632" s="59"/>
      <c r="G632" s="59"/>
      <c r="H632" s="59"/>
      <c r="I632" s="59"/>
      <c r="J632" s="59"/>
      <c r="K632" s="59"/>
      <c r="L632" s="59"/>
      <c r="M632" s="59"/>
      <c r="N632" s="59"/>
      <c r="O632" s="59"/>
      <c r="P632" s="59"/>
      <c r="Q632" s="59"/>
      <c r="R632" s="59"/>
      <c r="S632" s="59"/>
      <c r="T632" s="59"/>
      <c r="U632" s="59"/>
      <c r="V632" s="59"/>
      <c r="W632" s="59"/>
      <c r="X632" s="59"/>
      <c r="Y632" s="59"/>
    </row>
    <row r="633" spans="1:25" ht="18">
      <c r="A633" s="76"/>
      <c r="B633" s="59"/>
      <c r="C633" s="59"/>
      <c r="D633" s="59"/>
      <c r="E633" s="59"/>
      <c r="F633" s="59"/>
      <c r="G633" s="59"/>
      <c r="H633" s="59"/>
      <c r="I633" s="59"/>
      <c r="J633" s="59"/>
      <c r="K633" s="59"/>
      <c r="L633" s="59"/>
      <c r="M633" s="59"/>
      <c r="N633" s="59"/>
      <c r="O633" s="59"/>
      <c r="P633" s="59"/>
      <c r="Q633" s="59"/>
      <c r="R633" s="59"/>
      <c r="S633" s="59"/>
      <c r="T633" s="59"/>
      <c r="U633" s="59"/>
      <c r="V633" s="59"/>
      <c r="W633" s="59"/>
      <c r="X633" s="59"/>
      <c r="Y633" s="59"/>
    </row>
    <row r="634" spans="1:25" ht="18">
      <c r="A634" s="76"/>
      <c r="B634" s="59"/>
      <c r="C634" s="59"/>
      <c r="D634" s="59"/>
      <c r="E634" s="59"/>
      <c r="F634" s="59"/>
      <c r="G634" s="59"/>
      <c r="H634" s="59"/>
      <c r="I634" s="59"/>
      <c r="J634" s="59"/>
      <c r="K634" s="59"/>
      <c r="L634" s="59"/>
      <c r="M634" s="59"/>
      <c r="N634" s="59"/>
      <c r="O634" s="59"/>
      <c r="P634" s="59"/>
      <c r="Q634" s="59"/>
      <c r="R634" s="59"/>
      <c r="S634" s="59"/>
      <c r="T634" s="59"/>
      <c r="U634" s="59"/>
      <c r="V634" s="59"/>
      <c r="W634" s="59"/>
      <c r="X634" s="59"/>
      <c r="Y634" s="59"/>
    </row>
    <row r="635" spans="1:25" ht="18">
      <c r="A635" s="76"/>
      <c r="B635" s="59"/>
      <c r="C635" s="59"/>
      <c r="D635" s="59"/>
      <c r="E635" s="59"/>
      <c r="F635" s="59"/>
      <c r="G635" s="59"/>
      <c r="H635" s="59"/>
      <c r="I635" s="59"/>
      <c r="J635" s="59"/>
      <c r="K635" s="59"/>
      <c r="L635" s="59"/>
      <c r="M635" s="59"/>
      <c r="N635" s="59"/>
      <c r="O635" s="59"/>
      <c r="P635" s="59"/>
      <c r="Q635" s="59"/>
      <c r="R635" s="59"/>
      <c r="S635" s="59"/>
      <c r="T635" s="59"/>
      <c r="U635" s="59"/>
      <c r="V635" s="59"/>
      <c r="W635" s="59"/>
      <c r="X635" s="59"/>
      <c r="Y635" s="59"/>
    </row>
    <row r="636" spans="1:25" ht="18">
      <c r="A636" s="76"/>
      <c r="B636" s="59"/>
      <c r="C636" s="59"/>
      <c r="D636" s="59"/>
      <c r="E636" s="59"/>
      <c r="F636" s="59"/>
      <c r="G636" s="59"/>
      <c r="H636" s="59"/>
      <c r="I636" s="59"/>
      <c r="J636" s="59"/>
      <c r="K636" s="59"/>
      <c r="L636" s="59"/>
      <c r="M636" s="59"/>
      <c r="N636" s="59"/>
      <c r="O636" s="59"/>
      <c r="P636" s="59"/>
      <c r="Q636" s="59"/>
      <c r="R636" s="59"/>
      <c r="S636" s="59"/>
      <c r="T636" s="59"/>
      <c r="U636" s="59"/>
      <c r="V636" s="59"/>
      <c r="W636" s="59"/>
      <c r="X636" s="59"/>
      <c r="Y636" s="59"/>
    </row>
    <row r="637" spans="1:25" ht="18">
      <c r="A637" s="76"/>
      <c r="B637" s="59"/>
      <c r="C637" s="59"/>
      <c r="D637" s="59"/>
      <c r="E637" s="59"/>
      <c r="F637" s="59"/>
      <c r="G637" s="59"/>
      <c r="H637" s="59"/>
      <c r="I637" s="59"/>
      <c r="J637" s="59"/>
      <c r="K637" s="59"/>
      <c r="L637" s="59"/>
      <c r="M637" s="59"/>
      <c r="N637" s="59"/>
      <c r="O637" s="59"/>
      <c r="P637" s="59"/>
      <c r="Q637" s="59"/>
      <c r="R637" s="59"/>
      <c r="S637" s="59"/>
      <c r="T637" s="59"/>
      <c r="U637" s="59"/>
      <c r="V637" s="59"/>
      <c r="W637" s="59"/>
      <c r="X637" s="59"/>
      <c r="Y637" s="59"/>
    </row>
    <row r="638" spans="1:25" ht="18">
      <c r="A638" s="76"/>
      <c r="B638" s="59"/>
      <c r="C638" s="59"/>
      <c r="D638" s="59"/>
      <c r="E638" s="59"/>
      <c r="F638" s="59"/>
      <c r="G638" s="59"/>
      <c r="H638" s="59"/>
      <c r="I638" s="59"/>
      <c r="J638" s="59"/>
      <c r="K638" s="59"/>
      <c r="L638" s="59"/>
      <c r="M638" s="59"/>
      <c r="N638" s="59"/>
      <c r="O638" s="59"/>
      <c r="P638" s="59"/>
      <c r="Q638" s="59"/>
      <c r="R638" s="59"/>
      <c r="S638" s="59"/>
      <c r="T638" s="59"/>
      <c r="U638" s="59"/>
      <c r="V638" s="59"/>
      <c r="W638" s="59"/>
      <c r="X638" s="59"/>
      <c r="Y638" s="59"/>
    </row>
    <row r="639" spans="1:25" ht="18">
      <c r="A639" s="76"/>
      <c r="B639" s="59"/>
      <c r="C639" s="59"/>
      <c r="D639" s="59"/>
      <c r="E639" s="59"/>
      <c r="F639" s="59"/>
      <c r="G639" s="59"/>
      <c r="H639" s="59"/>
      <c r="I639" s="59"/>
      <c r="J639" s="59"/>
      <c r="K639" s="59"/>
      <c r="L639" s="59"/>
      <c r="M639" s="59"/>
      <c r="N639" s="59"/>
      <c r="O639" s="59"/>
      <c r="P639" s="59"/>
      <c r="Q639" s="59"/>
      <c r="R639" s="59"/>
      <c r="S639" s="59"/>
      <c r="T639" s="59"/>
      <c r="U639" s="59"/>
      <c r="V639" s="59"/>
      <c r="W639" s="59"/>
      <c r="X639" s="59"/>
      <c r="Y639" s="59"/>
    </row>
    <row r="640" spans="1:25" ht="18">
      <c r="A640" s="76"/>
      <c r="B640" s="59"/>
      <c r="C640" s="59"/>
      <c r="D640" s="59"/>
      <c r="E640" s="59"/>
      <c r="F640" s="59"/>
      <c r="G640" s="59"/>
      <c r="H640" s="59"/>
      <c r="I640" s="59"/>
      <c r="J640" s="59"/>
      <c r="K640" s="59"/>
      <c r="L640" s="59"/>
      <c r="M640" s="59"/>
      <c r="N640" s="59"/>
      <c r="O640" s="59"/>
      <c r="P640" s="59"/>
      <c r="Q640" s="59"/>
      <c r="R640" s="59"/>
      <c r="S640" s="59"/>
      <c r="T640" s="59"/>
      <c r="U640" s="59"/>
      <c r="V640" s="59"/>
      <c r="W640" s="59"/>
      <c r="X640" s="59"/>
      <c r="Y640" s="59"/>
    </row>
    <row r="641" spans="1:25" ht="18">
      <c r="A641" s="76"/>
      <c r="B641" s="59"/>
      <c r="C641" s="59"/>
      <c r="D641" s="59"/>
      <c r="E641" s="59"/>
      <c r="F641" s="59"/>
      <c r="G641" s="59"/>
      <c r="H641" s="59"/>
      <c r="I641" s="59"/>
      <c r="J641" s="59"/>
      <c r="K641" s="59"/>
      <c r="L641" s="59"/>
      <c r="M641" s="59"/>
      <c r="N641" s="59"/>
      <c r="O641" s="59"/>
      <c r="P641" s="59"/>
      <c r="Q641" s="59"/>
      <c r="R641" s="59"/>
      <c r="S641" s="59"/>
      <c r="T641" s="59"/>
      <c r="U641" s="59"/>
      <c r="V641" s="59"/>
      <c r="W641" s="59"/>
      <c r="X641" s="59"/>
      <c r="Y641" s="59"/>
    </row>
    <row r="642" spans="1:25" ht="18">
      <c r="A642" s="76"/>
      <c r="B642" s="59"/>
      <c r="C642" s="59"/>
      <c r="D642" s="59"/>
      <c r="E642" s="59"/>
      <c r="F642" s="59"/>
      <c r="G642" s="59"/>
      <c r="H642" s="59"/>
      <c r="I642" s="59"/>
      <c r="J642" s="59"/>
      <c r="K642" s="59"/>
      <c r="L642" s="59"/>
      <c r="M642" s="59"/>
      <c r="N642" s="59"/>
      <c r="O642" s="59"/>
      <c r="P642" s="59"/>
      <c r="Q642" s="59"/>
      <c r="R642" s="59"/>
      <c r="S642" s="59"/>
      <c r="T642" s="59"/>
      <c r="U642" s="59"/>
      <c r="V642" s="59"/>
      <c r="W642" s="59"/>
      <c r="X642" s="59"/>
      <c r="Y642" s="59"/>
    </row>
    <row r="643" spans="1:25" ht="18">
      <c r="A643" s="76"/>
      <c r="B643" s="59"/>
      <c r="C643" s="59"/>
      <c r="D643" s="59"/>
      <c r="E643" s="59"/>
      <c r="F643" s="59"/>
      <c r="G643" s="59"/>
      <c r="H643" s="59"/>
      <c r="I643" s="59"/>
      <c r="J643" s="59"/>
      <c r="K643" s="59"/>
      <c r="L643" s="59"/>
      <c r="M643" s="59"/>
      <c r="N643" s="59"/>
      <c r="O643" s="59"/>
      <c r="P643" s="59"/>
      <c r="Q643" s="59"/>
      <c r="R643" s="59"/>
      <c r="S643" s="59"/>
      <c r="T643" s="59"/>
      <c r="U643" s="59"/>
      <c r="V643" s="59"/>
      <c r="W643" s="59"/>
      <c r="X643" s="59"/>
      <c r="Y643" s="59"/>
    </row>
    <row r="644" spans="1:25" ht="18">
      <c r="A644" s="76"/>
      <c r="B644" s="59"/>
      <c r="C644" s="59"/>
      <c r="D644" s="59"/>
      <c r="E644" s="59"/>
      <c r="F644" s="59"/>
      <c r="G644" s="59"/>
      <c r="H644" s="59"/>
      <c r="I644" s="59"/>
      <c r="J644" s="59"/>
      <c r="K644" s="59"/>
      <c r="L644" s="59"/>
      <c r="M644" s="59"/>
      <c r="N644" s="59"/>
      <c r="O644" s="59"/>
      <c r="P644" s="59"/>
      <c r="Q644" s="59"/>
      <c r="R644" s="59"/>
      <c r="S644" s="59"/>
      <c r="T644" s="59"/>
      <c r="U644" s="59"/>
      <c r="V644" s="59"/>
      <c r="W644" s="59"/>
      <c r="X644" s="59"/>
      <c r="Y644" s="59"/>
    </row>
    <row r="645" spans="1:25" ht="18">
      <c r="A645" s="76"/>
      <c r="B645" s="59"/>
      <c r="C645" s="59"/>
      <c r="D645" s="59"/>
      <c r="E645" s="59"/>
      <c r="F645" s="59"/>
      <c r="G645" s="59"/>
      <c r="H645" s="59"/>
      <c r="I645" s="59"/>
      <c r="J645" s="59"/>
      <c r="K645" s="59"/>
      <c r="L645" s="59"/>
      <c r="M645" s="59"/>
      <c r="N645" s="59"/>
      <c r="O645" s="59"/>
      <c r="P645" s="59"/>
      <c r="Q645" s="59"/>
      <c r="R645" s="59"/>
      <c r="S645" s="59"/>
      <c r="T645" s="59"/>
      <c r="U645" s="59"/>
      <c r="V645" s="59"/>
      <c r="W645" s="59"/>
      <c r="X645" s="59"/>
      <c r="Y645" s="59"/>
    </row>
    <row r="646" spans="1:25" ht="18">
      <c r="A646" s="76"/>
      <c r="B646" s="59"/>
      <c r="C646" s="59"/>
      <c r="D646" s="59"/>
      <c r="E646" s="59"/>
      <c r="F646" s="59"/>
      <c r="G646" s="59"/>
      <c r="H646" s="59"/>
      <c r="I646" s="59"/>
      <c r="J646" s="59"/>
      <c r="K646" s="59"/>
      <c r="L646" s="59"/>
      <c r="M646" s="59"/>
      <c r="N646" s="59"/>
      <c r="O646" s="59"/>
      <c r="P646" s="59"/>
      <c r="Q646" s="59"/>
      <c r="R646" s="59"/>
      <c r="S646" s="59"/>
      <c r="T646" s="59"/>
      <c r="U646" s="59"/>
      <c r="V646" s="59"/>
      <c r="W646" s="59"/>
      <c r="X646" s="59"/>
      <c r="Y646" s="59"/>
    </row>
    <row r="647" spans="1:25" ht="18">
      <c r="A647" s="76"/>
      <c r="B647" s="59"/>
      <c r="C647" s="59"/>
      <c r="D647" s="59"/>
      <c r="E647" s="59"/>
      <c r="F647" s="59"/>
      <c r="G647" s="59"/>
      <c r="H647" s="59"/>
      <c r="I647" s="59"/>
      <c r="J647" s="59"/>
      <c r="K647" s="59"/>
      <c r="L647" s="59"/>
      <c r="M647" s="59"/>
      <c r="N647" s="59"/>
      <c r="O647" s="59"/>
      <c r="P647" s="59"/>
      <c r="Q647" s="59"/>
      <c r="R647" s="59"/>
      <c r="S647" s="59"/>
      <c r="T647" s="59"/>
      <c r="U647" s="59"/>
      <c r="V647" s="59"/>
      <c r="W647" s="59"/>
      <c r="X647" s="59"/>
      <c r="Y647" s="59"/>
    </row>
    <row r="648" spans="1:25" ht="18">
      <c r="A648" s="76"/>
      <c r="B648" s="59"/>
      <c r="C648" s="59"/>
      <c r="D648" s="59"/>
      <c r="E648" s="59"/>
      <c r="F648" s="59"/>
      <c r="G648" s="59"/>
      <c r="H648" s="59"/>
      <c r="I648" s="59"/>
      <c r="J648" s="59"/>
      <c r="K648" s="59"/>
      <c r="L648" s="59"/>
      <c r="M648" s="59"/>
      <c r="N648" s="59"/>
      <c r="O648" s="59"/>
      <c r="P648" s="59"/>
      <c r="Q648" s="59"/>
      <c r="R648" s="59"/>
      <c r="S648" s="59"/>
      <c r="T648" s="59"/>
      <c r="U648" s="59"/>
      <c r="V648" s="59"/>
      <c r="W648" s="59"/>
      <c r="X648" s="59"/>
      <c r="Y648" s="59"/>
    </row>
    <row r="649" spans="1:25" ht="18">
      <c r="A649" s="76"/>
      <c r="B649" s="59"/>
      <c r="C649" s="59"/>
      <c r="D649" s="59"/>
      <c r="E649" s="59"/>
      <c r="F649" s="59"/>
      <c r="G649" s="59"/>
      <c r="H649" s="59"/>
      <c r="I649" s="59"/>
      <c r="J649" s="59"/>
      <c r="K649" s="59"/>
      <c r="L649" s="59"/>
      <c r="M649" s="59"/>
      <c r="N649" s="59"/>
      <c r="O649" s="59"/>
      <c r="P649" s="59"/>
      <c r="Q649" s="59"/>
      <c r="R649" s="59"/>
      <c r="S649" s="59"/>
      <c r="T649" s="59"/>
      <c r="U649" s="59"/>
      <c r="V649" s="59"/>
      <c r="W649" s="59"/>
      <c r="X649" s="59"/>
      <c r="Y649" s="59"/>
    </row>
    <row r="650" spans="1:25" ht="18">
      <c r="A650" s="76"/>
      <c r="B650" s="59"/>
      <c r="C650" s="59"/>
      <c r="D650" s="59"/>
      <c r="E650" s="59"/>
      <c r="F650" s="59"/>
      <c r="G650" s="59"/>
      <c r="H650" s="59"/>
      <c r="I650" s="59"/>
      <c r="J650" s="59"/>
      <c r="K650" s="59"/>
      <c r="L650" s="59"/>
      <c r="M650" s="59"/>
      <c r="N650" s="59"/>
      <c r="O650" s="59"/>
      <c r="P650" s="59"/>
      <c r="Q650" s="59"/>
      <c r="R650" s="59"/>
      <c r="S650" s="59"/>
      <c r="T650" s="59"/>
      <c r="U650" s="59"/>
      <c r="V650" s="59"/>
      <c r="W650" s="59"/>
      <c r="X650" s="59"/>
      <c r="Y650" s="59"/>
    </row>
    <row r="651" spans="1:25" ht="18">
      <c r="A651" s="76"/>
      <c r="B651" s="59"/>
      <c r="C651" s="59"/>
      <c r="D651" s="59"/>
      <c r="E651" s="59"/>
      <c r="F651" s="59"/>
      <c r="G651" s="59"/>
      <c r="H651" s="59"/>
      <c r="I651" s="59"/>
      <c r="J651" s="59"/>
      <c r="K651" s="59"/>
      <c r="L651" s="59"/>
      <c r="M651" s="59"/>
      <c r="N651" s="59"/>
      <c r="O651" s="59"/>
      <c r="P651" s="59"/>
      <c r="Q651" s="59"/>
      <c r="R651" s="59"/>
      <c r="S651" s="59"/>
      <c r="T651" s="59"/>
      <c r="U651" s="59"/>
      <c r="V651" s="59"/>
      <c r="W651" s="59"/>
      <c r="X651" s="59"/>
      <c r="Y651" s="59"/>
    </row>
    <row r="652" spans="1:25" ht="18">
      <c r="A652" s="76"/>
      <c r="B652" s="59"/>
      <c r="C652" s="59"/>
      <c r="D652" s="59"/>
      <c r="E652" s="59"/>
      <c r="F652" s="59"/>
      <c r="G652" s="59"/>
      <c r="H652" s="59"/>
      <c r="I652" s="59"/>
      <c r="J652" s="59"/>
      <c r="K652" s="59"/>
      <c r="L652" s="59"/>
      <c r="M652" s="59"/>
      <c r="N652" s="59"/>
      <c r="O652" s="59"/>
      <c r="P652" s="59"/>
      <c r="Q652" s="59"/>
      <c r="R652" s="59"/>
      <c r="S652" s="59"/>
      <c r="T652" s="59"/>
      <c r="U652" s="59"/>
      <c r="V652" s="59"/>
      <c r="W652" s="59"/>
      <c r="X652" s="59"/>
      <c r="Y652" s="59"/>
    </row>
    <row r="653" spans="1:25" ht="18">
      <c r="A653" s="76"/>
      <c r="B653" s="59"/>
      <c r="C653" s="59"/>
      <c r="D653" s="59"/>
      <c r="E653" s="59"/>
      <c r="F653" s="59"/>
      <c r="G653" s="59"/>
      <c r="H653" s="59"/>
      <c r="I653" s="59"/>
      <c r="J653" s="59"/>
      <c r="K653" s="59"/>
      <c r="L653" s="59"/>
      <c r="M653" s="59"/>
      <c r="N653" s="59"/>
      <c r="O653" s="59"/>
      <c r="P653" s="59"/>
      <c r="Q653" s="59"/>
      <c r="R653" s="59"/>
      <c r="S653" s="59"/>
      <c r="T653" s="59"/>
      <c r="U653" s="59"/>
      <c r="V653" s="59"/>
      <c r="W653" s="59"/>
      <c r="X653" s="59"/>
      <c r="Y653" s="59"/>
    </row>
    <row r="654" spans="1:25" ht="18">
      <c r="A654" s="76"/>
      <c r="B654" s="59"/>
      <c r="C654" s="59"/>
      <c r="D654" s="59"/>
      <c r="E654" s="59"/>
      <c r="F654" s="59"/>
      <c r="G654" s="59"/>
      <c r="H654" s="59"/>
      <c r="I654" s="59"/>
      <c r="J654" s="59"/>
      <c r="K654" s="59"/>
      <c r="L654" s="59"/>
      <c r="M654" s="59"/>
      <c r="N654" s="59"/>
      <c r="O654" s="59"/>
      <c r="P654" s="59"/>
      <c r="Q654" s="59"/>
      <c r="R654" s="59"/>
      <c r="S654" s="59"/>
      <c r="T654" s="59"/>
      <c r="U654" s="59"/>
      <c r="V654" s="59"/>
      <c r="W654" s="59"/>
      <c r="X654" s="59"/>
      <c r="Y654" s="59"/>
    </row>
    <row r="655" spans="1:25" ht="18">
      <c r="A655" s="76"/>
      <c r="B655" s="59"/>
      <c r="C655" s="59"/>
      <c r="D655" s="59"/>
      <c r="E655" s="59"/>
      <c r="F655" s="59"/>
      <c r="G655" s="59"/>
      <c r="H655" s="59"/>
      <c r="I655" s="59"/>
      <c r="J655" s="59"/>
      <c r="K655" s="59"/>
      <c r="L655" s="59"/>
      <c r="M655" s="59"/>
      <c r="N655" s="59"/>
      <c r="O655" s="59"/>
      <c r="P655" s="59"/>
      <c r="Q655" s="59"/>
      <c r="R655" s="59"/>
      <c r="S655" s="59"/>
      <c r="T655" s="59"/>
      <c r="U655" s="59"/>
      <c r="V655" s="59"/>
      <c r="W655" s="59"/>
      <c r="X655" s="59"/>
      <c r="Y655" s="59"/>
    </row>
    <row r="656" spans="1:25" ht="18">
      <c r="A656" s="76"/>
      <c r="B656" s="59"/>
      <c r="C656" s="59"/>
      <c r="D656" s="59"/>
      <c r="E656" s="59"/>
      <c r="F656" s="59"/>
      <c r="G656" s="59"/>
      <c r="H656" s="59"/>
      <c r="I656" s="59"/>
      <c r="J656" s="59"/>
      <c r="K656" s="59"/>
      <c r="L656" s="59"/>
      <c r="M656" s="59"/>
      <c r="N656" s="59"/>
      <c r="O656" s="59"/>
      <c r="P656" s="59"/>
      <c r="Q656" s="59"/>
      <c r="R656" s="59"/>
      <c r="S656" s="59"/>
      <c r="T656" s="59"/>
      <c r="U656" s="59"/>
      <c r="V656" s="59"/>
      <c r="W656" s="59"/>
      <c r="X656" s="59"/>
      <c r="Y656" s="59"/>
    </row>
    <row r="657" spans="1:25" ht="18">
      <c r="A657" s="76"/>
      <c r="B657" s="59"/>
      <c r="C657" s="59"/>
      <c r="D657" s="59"/>
      <c r="E657" s="59"/>
      <c r="F657" s="59"/>
      <c r="G657" s="59"/>
      <c r="H657" s="59"/>
      <c r="I657" s="59"/>
      <c r="J657" s="59"/>
      <c r="K657" s="59"/>
      <c r="L657" s="59"/>
      <c r="M657" s="59"/>
      <c r="N657" s="59"/>
      <c r="O657" s="59"/>
      <c r="P657" s="59"/>
      <c r="Q657" s="59"/>
      <c r="R657" s="59"/>
      <c r="S657" s="59"/>
      <c r="T657" s="59"/>
      <c r="U657" s="59"/>
      <c r="V657" s="59"/>
      <c r="W657" s="59"/>
      <c r="X657" s="59"/>
      <c r="Y657" s="59"/>
    </row>
    <row r="658" spans="1:25" ht="18">
      <c r="A658" s="76"/>
      <c r="B658" s="59"/>
      <c r="C658" s="59"/>
      <c r="D658" s="59"/>
      <c r="E658" s="59"/>
      <c r="F658" s="59"/>
      <c r="G658" s="59"/>
      <c r="H658" s="59"/>
      <c r="I658" s="59"/>
      <c r="J658" s="59"/>
      <c r="K658" s="59"/>
      <c r="L658" s="59"/>
      <c r="M658" s="59"/>
      <c r="N658" s="59"/>
      <c r="O658" s="59"/>
      <c r="P658" s="59"/>
      <c r="Q658" s="59"/>
      <c r="R658" s="59"/>
      <c r="S658" s="59"/>
      <c r="T658" s="59"/>
      <c r="U658" s="59"/>
      <c r="V658" s="59"/>
      <c r="W658" s="59"/>
      <c r="X658" s="59"/>
      <c r="Y658" s="59"/>
    </row>
    <row r="659" spans="1:25" ht="18">
      <c r="A659" s="76"/>
      <c r="B659" s="59"/>
      <c r="C659" s="59"/>
      <c r="D659" s="59"/>
      <c r="E659" s="59"/>
      <c r="F659" s="59"/>
      <c r="G659" s="59"/>
      <c r="H659" s="59"/>
      <c r="I659" s="59"/>
      <c r="J659" s="59"/>
      <c r="K659" s="59"/>
      <c r="L659" s="59"/>
      <c r="M659" s="59"/>
      <c r="N659" s="59"/>
      <c r="O659" s="59"/>
      <c r="P659" s="59"/>
      <c r="Q659" s="59"/>
      <c r="R659" s="59"/>
      <c r="S659" s="59"/>
      <c r="T659" s="59"/>
      <c r="U659" s="59"/>
      <c r="V659" s="59"/>
      <c r="W659" s="59"/>
      <c r="X659" s="59"/>
      <c r="Y659" s="59"/>
    </row>
    <row r="660" spans="1:25" ht="18">
      <c r="A660" s="76"/>
      <c r="B660" s="59"/>
      <c r="C660" s="59"/>
      <c r="D660" s="59"/>
      <c r="E660" s="59"/>
      <c r="F660" s="59"/>
      <c r="G660" s="59"/>
      <c r="H660" s="59"/>
      <c r="I660" s="59"/>
      <c r="J660" s="59"/>
      <c r="K660" s="59"/>
      <c r="L660" s="59"/>
      <c r="M660" s="59"/>
      <c r="N660" s="59"/>
      <c r="O660" s="59"/>
      <c r="P660" s="59"/>
      <c r="Q660" s="59"/>
      <c r="R660" s="59"/>
      <c r="S660" s="59"/>
      <c r="T660" s="59"/>
      <c r="U660" s="59"/>
      <c r="V660" s="59"/>
      <c r="W660" s="59"/>
      <c r="X660" s="59"/>
      <c r="Y660" s="59"/>
    </row>
    <row r="661" spans="1:25" ht="18">
      <c r="A661" s="76"/>
      <c r="B661" s="59"/>
      <c r="C661" s="59"/>
      <c r="D661" s="59"/>
      <c r="E661" s="59"/>
      <c r="F661" s="59"/>
      <c r="G661" s="59"/>
      <c r="H661" s="59"/>
      <c r="I661" s="59"/>
      <c r="J661" s="59"/>
      <c r="K661" s="59"/>
      <c r="L661" s="59"/>
      <c r="M661" s="59"/>
      <c r="N661" s="59"/>
      <c r="O661" s="59"/>
      <c r="P661" s="59"/>
      <c r="Q661" s="59"/>
      <c r="R661" s="59"/>
      <c r="S661" s="59"/>
      <c r="T661" s="59"/>
      <c r="U661" s="59"/>
      <c r="V661" s="59"/>
      <c r="W661" s="59"/>
      <c r="X661" s="59"/>
      <c r="Y661" s="59"/>
    </row>
    <row r="662" spans="1:25" ht="18">
      <c r="A662" s="76"/>
      <c r="B662" s="59"/>
      <c r="C662" s="59"/>
      <c r="D662" s="59"/>
      <c r="E662" s="59"/>
      <c r="F662" s="59"/>
      <c r="G662" s="59"/>
      <c r="H662" s="59"/>
      <c r="I662" s="59"/>
      <c r="J662" s="59"/>
      <c r="K662" s="59"/>
      <c r="L662" s="59"/>
      <c r="M662" s="59"/>
      <c r="N662" s="59"/>
      <c r="O662" s="59"/>
      <c r="P662" s="59"/>
      <c r="Q662" s="59"/>
      <c r="R662" s="59"/>
      <c r="S662" s="59"/>
      <c r="T662" s="59"/>
      <c r="U662" s="59"/>
      <c r="V662" s="59"/>
      <c r="W662" s="59"/>
      <c r="X662" s="59"/>
      <c r="Y662" s="59"/>
    </row>
    <row r="663" spans="1:25" ht="18">
      <c r="A663" s="76"/>
      <c r="B663" s="59"/>
      <c r="C663" s="59"/>
      <c r="D663" s="59"/>
      <c r="E663" s="59"/>
      <c r="F663" s="59"/>
      <c r="G663" s="59"/>
      <c r="H663" s="59"/>
      <c r="I663" s="59"/>
      <c r="J663" s="59"/>
      <c r="K663" s="59"/>
      <c r="L663" s="59"/>
      <c r="M663" s="59"/>
      <c r="N663" s="59"/>
      <c r="O663" s="59"/>
      <c r="P663" s="59"/>
      <c r="Q663" s="59"/>
      <c r="R663" s="59"/>
      <c r="S663" s="59"/>
      <c r="T663" s="59"/>
      <c r="U663" s="59"/>
      <c r="V663" s="59"/>
      <c r="W663" s="59"/>
      <c r="X663" s="59"/>
      <c r="Y663" s="59"/>
    </row>
    <row r="664" spans="1:25" ht="18">
      <c r="A664" s="76"/>
      <c r="B664" s="59"/>
      <c r="C664" s="59"/>
      <c r="D664" s="59"/>
      <c r="E664" s="59"/>
      <c r="F664" s="59"/>
      <c r="G664" s="59"/>
      <c r="H664" s="59"/>
      <c r="I664" s="59"/>
      <c r="J664" s="59"/>
      <c r="K664" s="59"/>
      <c r="L664" s="59"/>
      <c r="M664" s="59"/>
      <c r="N664" s="59"/>
      <c r="O664" s="59"/>
      <c r="P664" s="59"/>
      <c r="Q664" s="59"/>
      <c r="R664" s="59"/>
      <c r="S664" s="59"/>
      <c r="T664" s="59"/>
      <c r="U664" s="59"/>
      <c r="V664" s="59"/>
      <c r="W664" s="59"/>
      <c r="X664" s="59"/>
      <c r="Y664" s="59"/>
    </row>
    <row r="665" spans="1:25" ht="18">
      <c r="A665" s="76"/>
      <c r="B665" s="59"/>
      <c r="C665" s="59"/>
      <c r="D665" s="59"/>
      <c r="E665" s="59"/>
      <c r="F665" s="59"/>
      <c r="G665" s="59"/>
      <c r="H665" s="59"/>
      <c r="I665" s="59"/>
      <c r="J665" s="59"/>
      <c r="K665" s="59"/>
      <c r="L665" s="59"/>
      <c r="M665" s="59"/>
      <c r="N665" s="59"/>
      <c r="O665" s="59"/>
      <c r="P665" s="59"/>
      <c r="Q665" s="59"/>
      <c r="R665" s="59"/>
      <c r="S665" s="59"/>
      <c r="T665" s="59"/>
      <c r="U665" s="59"/>
      <c r="V665" s="59"/>
      <c r="W665" s="59"/>
      <c r="X665" s="59"/>
      <c r="Y665" s="59"/>
    </row>
    <row r="666" spans="1:25" ht="18">
      <c r="A666" s="76"/>
      <c r="B666" s="59"/>
      <c r="C666" s="59"/>
      <c r="D666" s="59"/>
      <c r="E666" s="59"/>
      <c r="F666" s="59"/>
      <c r="G666" s="59"/>
      <c r="H666" s="59"/>
      <c r="I666" s="59"/>
      <c r="J666" s="59"/>
      <c r="K666" s="59"/>
      <c r="L666" s="59"/>
      <c r="M666" s="59"/>
      <c r="N666" s="59"/>
      <c r="O666" s="59"/>
      <c r="P666" s="59"/>
      <c r="Q666" s="59"/>
      <c r="R666" s="59"/>
      <c r="S666" s="59"/>
      <c r="T666" s="59"/>
      <c r="U666" s="59"/>
      <c r="V666" s="59"/>
      <c r="W666" s="59"/>
      <c r="X666" s="59"/>
      <c r="Y666" s="59"/>
    </row>
    <row r="667" spans="1:25" ht="18">
      <c r="A667" s="76"/>
      <c r="B667" s="59"/>
      <c r="C667" s="59"/>
      <c r="D667" s="59"/>
      <c r="E667" s="59"/>
      <c r="F667" s="59"/>
      <c r="G667" s="59"/>
      <c r="H667" s="59"/>
      <c r="I667" s="59"/>
      <c r="J667" s="59"/>
      <c r="K667" s="59"/>
      <c r="L667" s="59"/>
      <c r="M667" s="59"/>
      <c r="N667" s="59"/>
      <c r="O667" s="59"/>
      <c r="P667" s="59"/>
      <c r="Q667" s="59"/>
      <c r="R667" s="59"/>
      <c r="S667" s="59"/>
      <c r="T667" s="59"/>
      <c r="U667" s="59"/>
      <c r="V667" s="59"/>
      <c r="W667" s="59"/>
      <c r="X667" s="59"/>
      <c r="Y667" s="59"/>
    </row>
    <row r="668" spans="1:25" ht="18">
      <c r="A668" s="76"/>
      <c r="B668" s="59"/>
      <c r="C668" s="59"/>
      <c r="D668" s="59"/>
      <c r="E668" s="59"/>
      <c r="F668" s="59"/>
      <c r="G668" s="59"/>
      <c r="H668" s="59"/>
      <c r="I668" s="59"/>
      <c r="J668" s="59"/>
      <c r="K668" s="59"/>
      <c r="L668" s="59"/>
      <c r="M668" s="59"/>
      <c r="N668" s="59"/>
      <c r="O668" s="59"/>
      <c r="P668" s="59"/>
      <c r="Q668" s="59"/>
      <c r="R668" s="59"/>
      <c r="S668" s="59"/>
      <c r="T668" s="59"/>
      <c r="U668" s="59"/>
      <c r="V668" s="59"/>
      <c r="W668" s="59"/>
      <c r="X668" s="59"/>
      <c r="Y668" s="59"/>
    </row>
    <row r="669" spans="1:25" ht="18">
      <c r="A669" s="76"/>
      <c r="B669" s="59"/>
      <c r="C669" s="59"/>
      <c r="D669" s="59"/>
      <c r="E669" s="59"/>
      <c r="F669" s="59"/>
      <c r="G669" s="59"/>
      <c r="H669" s="59"/>
      <c r="I669" s="59"/>
      <c r="J669" s="59"/>
      <c r="K669" s="59"/>
      <c r="L669" s="59"/>
      <c r="M669" s="59"/>
      <c r="N669" s="59"/>
      <c r="O669" s="59"/>
      <c r="P669" s="59"/>
      <c r="Q669" s="59"/>
      <c r="R669" s="59"/>
      <c r="S669" s="59"/>
      <c r="T669" s="59"/>
      <c r="U669" s="59"/>
      <c r="V669" s="59"/>
      <c r="W669" s="59"/>
      <c r="X669" s="59"/>
      <c r="Y669" s="59"/>
    </row>
    <row r="670" spans="1:25" ht="18">
      <c r="A670" s="76"/>
      <c r="B670" s="59"/>
      <c r="C670" s="59"/>
      <c r="D670" s="59"/>
      <c r="E670" s="59"/>
      <c r="F670" s="59"/>
      <c r="G670" s="59"/>
      <c r="H670" s="59"/>
      <c r="I670" s="59"/>
      <c r="J670" s="59"/>
      <c r="K670" s="59"/>
      <c r="L670" s="59"/>
      <c r="M670" s="59"/>
      <c r="N670" s="59"/>
      <c r="O670" s="59"/>
      <c r="P670" s="59"/>
      <c r="Q670" s="59"/>
      <c r="R670" s="59"/>
      <c r="S670" s="59"/>
      <c r="T670" s="59"/>
      <c r="U670" s="59"/>
      <c r="V670" s="59"/>
      <c r="W670" s="59"/>
      <c r="X670" s="59"/>
      <c r="Y670" s="59"/>
    </row>
    <row r="671" spans="1:25" ht="18">
      <c r="A671" s="76"/>
      <c r="B671" s="59"/>
      <c r="C671" s="59"/>
      <c r="D671" s="59"/>
      <c r="E671" s="59"/>
      <c r="F671" s="59"/>
      <c r="G671" s="59"/>
      <c r="H671" s="59"/>
      <c r="I671" s="59"/>
      <c r="J671" s="59"/>
      <c r="K671" s="59"/>
      <c r="L671" s="59"/>
      <c r="M671" s="59"/>
      <c r="N671" s="59"/>
      <c r="O671" s="59"/>
      <c r="P671" s="59"/>
      <c r="Q671" s="59"/>
      <c r="R671" s="59"/>
      <c r="S671" s="59"/>
      <c r="T671" s="59"/>
      <c r="U671" s="59"/>
      <c r="V671" s="59"/>
      <c r="W671" s="59"/>
      <c r="X671" s="59"/>
      <c r="Y671" s="59"/>
    </row>
    <row r="672" spans="1:25" ht="18">
      <c r="A672" s="76"/>
      <c r="B672" s="59"/>
      <c r="C672" s="59"/>
      <c r="D672" s="59"/>
      <c r="E672" s="59"/>
      <c r="F672" s="59"/>
      <c r="G672" s="59"/>
      <c r="H672" s="59"/>
      <c r="I672" s="59"/>
      <c r="J672" s="59"/>
      <c r="K672" s="59"/>
      <c r="L672" s="59"/>
      <c r="M672" s="59"/>
      <c r="N672" s="59"/>
      <c r="O672" s="59"/>
      <c r="P672" s="59"/>
      <c r="Q672" s="59"/>
      <c r="R672" s="59"/>
      <c r="S672" s="59"/>
      <c r="T672" s="59"/>
      <c r="U672" s="59"/>
      <c r="V672" s="59"/>
      <c r="W672" s="59"/>
      <c r="X672" s="59"/>
      <c r="Y672" s="59"/>
    </row>
    <row r="673" spans="1:25" ht="18">
      <c r="A673" s="76"/>
      <c r="B673" s="59"/>
      <c r="C673" s="59"/>
      <c r="D673" s="59"/>
      <c r="E673" s="59"/>
      <c r="F673" s="59"/>
      <c r="G673" s="59"/>
      <c r="H673" s="59"/>
      <c r="I673" s="59"/>
      <c r="J673" s="59"/>
      <c r="K673" s="59"/>
      <c r="L673" s="59"/>
      <c r="M673" s="59"/>
      <c r="N673" s="59"/>
      <c r="O673" s="59"/>
      <c r="P673" s="59"/>
      <c r="Q673" s="59"/>
      <c r="R673" s="59"/>
      <c r="S673" s="59"/>
      <c r="T673" s="59"/>
      <c r="U673" s="59"/>
      <c r="V673" s="59"/>
      <c r="W673" s="59"/>
      <c r="X673" s="59"/>
      <c r="Y673" s="59"/>
    </row>
    <row r="674" spans="1:25" ht="18">
      <c r="A674" s="76"/>
      <c r="B674" s="59"/>
      <c r="C674" s="59"/>
      <c r="D674" s="59"/>
      <c r="E674" s="59"/>
      <c r="F674" s="59"/>
      <c r="G674" s="59"/>
      <c r="H674" s="59"/>
      <c r="I674" s="59"/>
      <c r="J674" s="59"/>
      <c r="K674" s="59"/>
      <c r="L674" s="59"/>
      <c r="M674" s="59"/>
      <c r="N674" s="59"/>
      <c r="O674" s="59"/>
      <c r="P674" s="59"/>
      <c r="Q674" s="59"/>
      <c r="R674" s="59"/>
      <c r="S674" s="59"/>
      <c r="T674" s="59"/>
      <c r="U674" s="59"/>
      <c r="V674" s="59"/>
      <c r="W674" s="59"/>
      <c r="X674" s="59"/>
      <c r="Y674" s="59"/>
    </row>
    <row r="675" spans="1:25" ht="18">
      <c r="A675" s="76"/>
      <c r="B675" s="59"/>
      <c r="C675" s="59"/>
      <c r="D675" s="59"/>
      <c r="E675" s="59"/>
      <c r="F675" s="59"/>
      <c r="G675" s="59"/>
      <c r="H675" s="59"/>
      <c r="I675" s="59"/>
      <c r="J675" s="59"/>
      <c r="K675" s="59"/>
      <c r="L675" s="59"/>
      <c r="M675" s="59"/>
      <c r="N675" s="59"/>
      <c r="O675" s="59"/>
      <c r="P675" s="59"/>
      <c r="Q675" s="59"/>
      <c r="R675" s="59"/>
      <c r="S675" s="59"/>
      <c r="T675" s="59"/>
      <c r="U675" s="59"/>
      <c r="V675" s="59"/>
      <c r="W675" s="59"/>
      <c r="X675" s="59"/>
      <c r="Y675" s="59"/>
    </row>
    <row r="676" spans="1:25" ht="18">
      <c r="A676" s="76"/>
      <c r="B676" s="59"/>
      <c r="C676" s="59"/>
      <c r="D676" s="59"/>
      <c r="E676" s="59"/>
      <c r="F676" s="59"/>
      <c r="G676" s="59"/>
      <c r="H676" s="59"/>
      <c r="I676" s="59"/>
      <c r="J676" s="59"/>
      <c r="K676" s="59"/>
      <c r="L676" s="59"/>
      <c r="M676" s="59"/>
      <c r="N676" s="59"/>
      <c r="O676" s="59"/>
      <c r="P676" s="59"/>
      <c r="Q676" s="59"/>
      <c r="R676" s="59"/>
      <c r="S676" s="59"/>
      <c r="T676" s="59"/>
      <c r="U676" s="59"/>
      <c r="V676" s="59"/>
      <c r="W676" s="59"/>
      <c r="X676" s="59"/>
      <c r="Y676" s="59"/>
    </row>
    <row r="677" spans="1:25" ht="18">
      <c r="A677" s="76"/>
      <c r="B677" s="59"/>
      <c r="C677" s="59"/>
      <c r="D677" s="59"/>
      <c r="E677" s="59"/>
      <c r="F677" s="59"/>
      <c r="G677" s="59"/>
      <c r="H677" s="59"/>
      <c r="I677" s="59"/>
      <c r="J677" s="59"/>
      <c r="K677" s="59"/>
      <c r="L677" s="59"/>
      <c r="M677" s="59"/>
      <c r="N677" s="59"/>
      <c r="O677" s="59"/>
      <c r="P677" s="59"/>
      <c r="Q677" s="59"/>
      <c r="R677" s="59"/>
      <c r="S677" s="59"/>
      <c r="T677" s="59"/>
      <c r="U677" s="59"/>
      <c r="V677" s="59"/>
      <c r="W677" s="59"/>
      <c r="X677" s="59"/>
      <c r="Y677" s="59"/>
    </row>
    <row r="678" spans="1:25" ht="18">
      <c r="A678" s="76"/>
      <c r="B678" s="59"/>
      <c r="C678" s="59"/>
      <c r="D678" s="59"/>
      <c r="E678" s="59"/>
      <c r="F678" s="59"/>
      <c r="G678" s="59"/>
      <c r="H678" s="59"/>
      <c r="I678" s="59"/>
      <c r="J678" s="59"/>
      <c r="K678" s="59"/>
      <c r="L678" s="59"/>
      <c r="M678" s="59"/>
      <c r="N678" s="59"/>
      <c r="O678" s="59"/>
      <c r="P678" s="59"/>
      <c r="Q678" s="59"/>
      <c r="R678" s="59"/>
      <c r="S678" s="59"/>
      <c r="T678" s="59"/>
      <c r="U678" s="59"/>
      <c r="V678" s="59"/>
      <c r="W678" s="59"/>
      <c r="X678" s="59"/>
      <c r="Y678" s="59"/>
    </row>
    <row r="679" spans="1:25" ht="18">
      <c r="A679" s="76"/>
      <c r="B679" s="59"/>
      <c r="C679" s="59"/>
      <c r="D679" s="59"/>
      <c r="E679" s="59"/>
      <c r="F679" s="59"/>
      <c r="G679" s="59"/>
      <c r="H679" s="59"/>
      <c r="I679" s="59"/>
      <c r="J679" s="59"/>
      <c r="K679" s="59"/>
      <c r="L679" s="59"/>
      <c r="M679" s="59"/>
      <c r="N679" s="59"/>
      <c r="O679" s="59"/>
      <c r="P679" s="59"/>
      <c r="Q679" s="59"/>
      <c r="R679" s="59"/>
      <c r="S679" s="59"/>
      <c r="T679" s="59"/>
      <c r="U679" s="59"/>
      <c r="V679" s="59"/>
      <c r="W679" s="59"/>
      <c r="X679" s="59"/>
      <c r="Y679" s="59"/>
    </row>
    <row r="680" spans="1:25" ht="18">
      <c r="A680" s="76"/>
      <c r="B680" s="59"/>
      <c r="C680" s="59"/>
      <c r="D680" s="59"/>
      <c r="E680" s="59"/>
      <c r="F680" s="59"/>
      <c r="G680" s="59"/>
      <c r="H680" s="59"/>
      <c r="I680" s="59"/>
      <c r="J680" s="59"/>
      <c r="K680" s="59"/>
      <c r="L680" s="59"/>
      <c r="M680" s="59"/>
      <c r="N680" s="59"/>
      <c r="O680" s="59"/>
      <c r="P680" s="59"/>
      <c r="Q680" s="59"/>
      <c r="R680" s="59"/>
      <c r="S680" s="59"/>
      <c r="T680" s="59"/>
      <c r="U680" s="59"/>
      <c r="V680" s="59"/>
      <c r="W680" s="59"/>
      <c r="X680" s="59"/>
      <c r="Y680" s="59"/>
    </row>
    <row r="681" spans="1:25" ht="18">
      <c r="A681" s="76"/>
      <c r="B681" s="59"/>
      <c r="C681" s="59"/>
      <c r="D681" s="59"/>
      <c r="E681" s="59"/>
      <c r="F681" s="59"/>
      <c r="G681" s="59"/>
      <c r="H681" s="59"/>
      <c r="I681" s="59"/>
      <c r="J681" s="59"/>
      <c r="K681" s="59"/>
      <c r="L681" s="59"/>
      <c r="M681" s="59"/>
      <c r="N681" s="59"/>
      <c r="O681" s="59"/>
      <c r="P681" s="59"/>
      <c r="Q681" s="59"/>
      <c r="R681" s="59"/>
      <c r="S681" s="59"/>
      <c r="T681" s="59"/>
      <c r="U681" s="59"/>
      <c r="V681" s="59"/>
      <c r="W681" s="59"/>
      <c r="X681" s="59"/>
      <c r="Y681" s="59"/>
    </row>
    <row r="682" spans="1:25" ht="18">
      <c r="A682" s="76"/>
      <c r="B682" s="59"/>
      <c r="C682" s="59"/>
      <c r="D682" s="59"/>
      <c r="E682" s="59"/>
      <c r="F682" s="59"/>
      <c r="G682" s="59"/>
      <c r="H682" s="59"/>
      <c r="I682" s="59"/>
      <c r="J682" s="59"/>
      <c r="K682" s="59"/>
      <c r="L682" s="59"/>
      <c r="M682" s="59"/>
      <c r="N682" s="59"/>
      <c r="O682" s="59"/>
      <c r="P682" s="59"/>
      <c r="Q682" s="59"/>
      <c r="R682" s="59"/>
      <c r="S682" s="59"/>
      <c r="T682" s="59"/>
      <c r="U682" s="59"/>
      <c r="V682" s="59"/>
      <c r="W682" s="59"/>
      <c r="X682" s="59"/>
      <c r="Y682" s="59"/>
    </row>
    <row r="683" spans="1:25" ht="18">
      <c r="A683" s="76"/>
      <c r="B683" s="59"/>
      <c r="C683" s="59"/>
      <c r="D683" s="59"/>
      <c r="E683" s="59"/>
      <c r="F683" s="59"/>
      <c r="G683" s="59"/>
      <c r="H683" s="59"/>
      <c r="I683" s="59"/>
      <c r="J683" s="59"/>
      <c r="K683" s="59"/>
      <c r="L683" s="59"/>
      <c r="M683" s="59"/>
      <c r="N683" s="59"/>
      <c r="O683" s="59"/>
      <c r="P683" s="59"/>
      <c r="Q683" s="59"/>
      <c r="R683" s="59"/>
      <c r="S683" s="59"/>
      <c r="T683" s="59"/>
      <c r="U683" s="59"/>
      <c r="V683" s="59"/>
      <c r="W683" s="59"/>
      <c r="X683" s="59"/>
      <c r="Y683" s="59"/>
    </row>
    <row r="684" spans="1:25" ht="18">
      <c r="A684" s="76"/>
      <c r="B684" s="59"/>
      <c r="C684" s="59"/>
      <c r="D684" s="59"/>
      <c r="E684" s="59"/>
      <c r="F684" s="59"/>
      <c r="G684" s="59"/>
      <c r="H684" s="59"/>
      <c r="I684" s="59"/>
      <c r="J684" s="59"/>
      <c r="K684" s="59"/>
      <c r="L684" s="59"/>
      <c r="M684" s="59"/>
      <c r="N684" s="59"/>
      <c r="O684" s="59"/>
      <c r="P684" s="59"/>
      <c r="Q684" s="59"/>
      <c r="R684" s="59"/>
      <c r="S684" s="59"/>
      <c r="T684" s="59"/>
      <c r="U684" s="59"/>
      <c r="V684" s="59"/>
      <c r="W684" s="59"/>
      <c r="X684" s="59"/>
      <c r="Y684" s="59"/>
    </row>
    <row r="685" spans="1:25" ht="18">
      <c r="A685" s="76"/>
      <c r="B685" s="59"/>
      <c r="C685" s="59"/>
      <c r="D685" s="59"/>
      <c r="E685" s="59"/>
      <c r="F685" s="59"/>
      <c r="G685" s="59"/>
      <c r="H685" s="59"/>
      <c r="I685" s="59"/>
      <c r="J685" s="59"/>
      <c r="K685" s="59"/>
      <c r="L685" s="59"/>
      <c r="M685" s="59"/>
      <c r="N685" s="59"/>
      <c r="O685" s="59"/>
      <c r="P685" s="59"/>
      <c r="Q685" s="59"/>
      <c r="R685" s="59"/>
      <c r="S685" s="59"/>
      <c r="T685" s="59"/>
      <c r="U685" s="59"/>
      <c r="V685" s="59"/>
      <c r="W685" s="59"/>
      <c r="X685" s="59"/>
      <c r="Y685" s="59"/>
    </row>
    <row r="686" spans="1:25" ht="18">
      <c r="A686" s="76"/>
      <c r="B686" s="59"/>
      <c r="C686" s="59"/>
      <c r="D686" s="59"/>
      <c r="E686" s="59"/>
      <c r="F686" s="59"/>
      <c r="G686" s="59"/>
      <c r="H686" s="59"/>
      <c r="I686" s="59"/>
      <c r="J686" s="59"/>
      <c r="K686" s="59"/>
      <c r="L686" s="59"/>
      <c r="M686" s="59"/>
      <c r="N686" s="59"/>
      <c r="O686" s="59"/>
      <c r="P686" s="59"/>
      <c r="Q686" s="59"/>
      <c r="R686" s="59"/>
      <c r="S686" s="59"/>
      <c r="T686" s="59"/>
      <c r="U686" s="59"/>
      <c r="V686" s="59"/>
      <c r="W686" s="59"/>
      <c r="X686" s="59"/>
      <c r="Y686" s="59"/>
    </row>
    <row r="687" spans="1:25" ht="18">
      <c r="A687" s="76"/>
      <c r="B687" s="59"/>
      <c r="C687" s="59"/>
      <c r="D687" s="59"/>
      <c r="E687" s="59"/>
      <c r="F687" s="59"/>
      <c r="G687" s="59"/>
      <c r="H687" s="59"/>
      <c r="I687" s="59"/>
      <c r="J687" s="59"/>
      <c r="K687" s="59"/>
      <c r="L687" s="59"/>
      <c r="M687" s="59"/>
      <c r="N687" s="59"/>
      <c r="O687" s="59"/>
      <c r="P687" s="59"/>
      <c r="Q687" s="59"/>
      <c r="R687" s="59"/>
      <c r="S687" s="59"/>
      <c r="T687" s="59"/>
      <c r="U687" s="59"/>
      <c r="V687" s="59"/>
      <c r="W687" s="59"/>
      <c r="X687" s="59"/>
      <c r="Y687" s="59"/>
    </row>
    <row r="688" spans="1:25" ht="18">
      <c r="A688" s="76"/>
      <c r="B688" s="59"/>
      <c r="C688" s="59"/>
      <c r="D688" s="59"/>
      <c r="E688" s="59"/>
      <c r="F688" s="59"/>
      <c r="G688" s="59"/>
      <c r="H688" s="59"/>
      <c r="I688" s="59"/>
      <c r="J688" s="59"/>
      <c r="K688" s="59"/>
      <c r="L688" s="59"/>
      <c r="M688" s="59"/>
      <c r="N688" s="59"/>
      <c r="O688" s="59"/>
      <c r="P688" s="59"/>
      <c r="Q688" s="59"/>
      <c r="R688" s="59"/>
      <c r="S688" s="59"/>
      <c r="T688" s="59"/>
      <c r="U688" s="59"/>
      <c r="V688" s="59"/>
      <c r="W688" s="59"/>
      <c r="X688" s="59"/>
      <c r="Y688" s="59"/>
    </row>
    <row r="689" spans="1:25" ht="18">
      <c r="A689" s="76"/>
      <c r="B689" s="59"/>
      <c r="C689" s="59"/>
      <c r="D689" s="59"/>
      <c r="E689" s="59"/>
      <c r="F689" s="59"/>
      <c r="G689" s="59"/>
      <c r="H689" s="59"/>
      <c r="I689" s="59"/>
      <c r="J689" s="59"/>
      <c r="K689" s="59"/>
      <c r="L689" s="59"/>
      <c r="M689" s="59"/>
      <c r="N689" s="59"/>
      <c r="O689" s="59"/>
      <c r="P689" s="59"/>
      <c r="Q689" s="59"/>
      <c r="R689" s="59"/>
      <c r="S689" s="59"/>
      <c r="T689" s="59"/>
      <c r="U689" s="59"/>
      <c r="V689" s="59"/>
      <c r="W689" s="59"/>
      <c r="X689" s="59"/>
      <c r="Y689" s="59"/>
    </row>
    <row r="690" spans="1:25" ht="18">
      <c r="A690" s="76"/>
      <c r="B690" s="59"/>
      <c r="C690" s="59"/>
      <c r="D690" s="59"/>
      <c r="E690" s="59"/>
      <c r="F690" s="59"/>
      <c r="G690" s="59"/>
      <c r="H690" s="59"/>
      <c r="I690" s="59"/>
      <c r="J690" s="59"/>
      <c r="K690" s="59"/>
      <c r="L690" s="59"/>
      <c r="M690" s="59"/>
      <c r="N690" s="59"/>
      <c r="O690" s="59"/>
      <c r="P690" s="59"/>
      <c r="Q690" s="59"/>
      <c r="R690" s="59"/>
      <c r="S690" s="59"/>
      <c r="T690" s="59"/>
      <c r="U690" s="59"/>
      <c r="V690" s="59"/>
      <c r="W690" s="59"/>
      <c r="X690" s="59"/>
      <c r="Y690" s="59"/>
    </row>
    <row r="691" spans="1:25" ht="18">
      <c r="A691" s="76"/>
      <c r="B691" s="59"/>
      <c r="C691" s="59"/>
      <c r="D691" s="59"/>
      <c r="E691" s="59"/>
      <c r="F691" s="59"/>
      <c r="G691" s="59"/>
      <c r="H691" s="59"/>
      <c r="I691" s="59"/>
      <c r="J691" s="59"/>
      <c r="K691" s="59"/>
      <c r="L691" s="59"/>
      <c r="M691" s="59"/>
      <c r="N691" s="59"/>
      <c r="O691" s="59"/>
      <c r="P691" s="59"/>
      <c r="Q691" s="59"/>
      <c r="R691" s="59"/>
      <c r="S691" s="59"/>
      <c r="T691" s="59"/>
      <c r="U691" s="59"/>
      <c r="V691" s="59"/>
      <c r="W691" s="59"/>
      <c r="X691" s="59"/>
      <c r="Y691" s="59"/>
    </row>
    <row r="692" spans="1:25" ht="18">
      <c r="A692" s="76"/>
      <c r="B692" s="59"/>
      <c r="C692" s="59"/>
      <c r="D692" s="59"/>
      <c r="E692" s="59"/>
      <c r="F692" s="59"/>
      <c r="G692" s="59"/>
      <c r="H692" s="59"/>
      <c r="I692" s="59"/>
      <c r="J692" s="59"/>
      <c r="K692" s="59"/>
      <c r="L692" s="59"/>
      <c r="M692" s="59"/>
      <c r="N692" s="59"/>
      <c r="O692" s="59"/>
      <c r="P692" s="59"/>
      <c r="Q692" s="59"/>
      <c r="R692" s="59"/>
      <c r="S692" s="59"/>
      <c r="T692" s="59"/>
      <c r="U692" s="59"/>
      <c r="V692" s="59"/>
      <c r="W692" s="59"/>
      <c r="X692" s="59"/>
      <c r="Y692" s="59"/>
    </row>
    <row r="693" spans="1:25" ht="18">
      <c r="A693" s="76"/>
      <c r="B693" s="59"/>
      <c r="C693" s="59"/>
      <c r="D693" s="59"/>
      <c r="E693" s="59"/>
      <c r="F693" s="59"/>
      <c r="G693" s="59"/>
      <c r="H693" s="59"/>
      <c r="I693" s="59"/>
      <c r="J693" s="59"/>
      <c r="K693" s="59"/>
      <c r="L693" s="59"/>
      <c r="M693" s="59"/>
      <c r="N693" s="59"/>
      <c r="O693" s="59"/>
      <c r="P693" s="59"/>
      <c r="Q693" s="59"/>
      <c r="R693" s="59"/>
      <c r="S693" s="59"/>
      <c r="T693" s="59"/>
      <c r="U693" s="59"/>
      <c r="V693" s="59"/>
      <c r="W693" s="59"/>
      <c r="X693" s="59"/>
      <c r="Y693" s="59"/>
    </row>
    <row r="694" spans="1:25" ht="18">
      <c r="A694" s="76"/>
      <c r="B694" s="59"/>
      <c r="C694" s="59"/>
      <c r="D694" s="59"/>
      <c r="E694" s="59"/>
      <c r="F694" s="59"/>
      <c r="G694" s="59"/>
      <c r="H694" s="59"/>
      <c r="I694" s="59"/>
      <c r="J694" s="59"/>
      <c r="K694" s="59"/>
      <c r="L694" s="59"/>
      <c r="M694" s="59"/>
      <c r="N694" s="59"/>
      <c r="O694" s="59"/>
      <c r="P694" s="59"/>
      <c r="Q694" s="59"/>
      <c r="R694" s="59"/>
      <c r="S694" s="59"/>
      <c r="T694" s="59"/>
      <c r="U694" s="59"/>
      <c r="V694" s="59"/>
      <c r="W694" s="59"/>
      <c r="X694" s="59"/>
      <c r="Y694" s="59"/>
    </row>
    <row r="695" spans="1:25" ht="18">
      <c r="A695" s="76"/>
      <c r="B695" s="59"/>
      <c r="C695" s="59"/>
      <c r="D695" s="59"/>
      <c r="E695" s="59"/>
      <c r="F695" s="59"/>
      <c r="G695" s="59"/>
      <c r="H695" s="59"/>
      <c r="I695" s="59"/>
      <c r="J695" s="59"/>
      <c r="K695" s="59"/>
      <c r="L695" s="59"/>
      <c r="M695" s="59"/>
      <c r="N695" s="59"/>
      <c r="O695" s="59"/>
      <c r="P695" s="59"/>
      <c r="Q695" s="59"/>
      <c r="R695" s="59"/>
      <c r="S695" s="59"/>
      <c r="T695" s="59"/>
      <c r="U695" s="59"/>
      <c r="V695" s="59"/>
      <c r="W695" s="59"/>
      <c r="X695" s="59"/>
      <c r="Y695" s="59"/>
    </row>
    <row r="696" spans="1:25" ht="18">
      <c r="A696" s="76"/>
      <c r="B696" s="59"/>
      <c r="C696" s="59"/>
      <c r="D696" s="59"/>
      <c r="E696" s="59"/>
      <c r="F696" s="59"/>
      <c r="G696" s="59"/>
      <c r="H696" s="59"/>
      <c r="I696" s="59"/>
      <c r="J696" s="59"/>
      <c r="K696" s="59"/>
      <c r="L696" s="59"/>
      <c r="M696" s="59"/>
      <c r="N696" s="59"/>
      <c r="O696" s="59"/>
      <c r="P696" s="59"/>
      <c r="Q696" s="59"/>
      <c r="R696" s="59"/>
      <c r="S696" s="59"/>
      <c r="T696" s="59"/>
      <c r="U696" s="59"/>
      <c r="V696" s="59"/>
      <c r="W696" s="59"/>
      <c r="X696" s="59"/>
      <c r="Y696" s="59"/>
    </row>
    <row r="697" spans="1:25" ht="18">
      <c r="A697" s="76"/>
      <c r="B697" s="59"/>
      <c r="C697" s="59"/>
      <c r="D697" s="59"/>
      <c r="E697" s="59"/>
      <c r="F697" s="59"/>
      <c r="G697" s="59"/>
      <c r="H697" s="59"/>
      <c r="I697" s="59"/>
      <c r="J697" s="59"/>
      <c r="K697" s="59"/>
      <c r="L697" s="59"/>
      <c r="M697" s="59"/>
      <c r="N697" s="59"/>
      <c r="O697" s="59"/>
      <c r="P697" s="59"/>
      <c r="Q697" s="59"/>
      <c r="R697" s="59"/>
      <c r="S697" s="59"/>
      <c r="T697" s="59"/>
      <c r="U697" s="59"/>
      <c r="V697" s="59"/>
      <c r="W697" s="59"/>
      <c r="X697" s="59"/>
      <c r="Y697" s="59"/>
    </row>
    <row r="698" spans="1:25" ht="18">
      <c r="A698" s="76"/>
      <c r="B698" s="59"/>
      <c r="C698" s="59"/>
      <c r="D698" s="59"/>
      <c r="E698" s="59"/>
      <c r="F698" s="59"/>
      <c r="G698" s="59"/>
      <c r="H698" s="59"/>
      <c r="I698" s="59"/>
      <c r="J698" s="59"/>
      <c r="K698" s="59"/>
      <c r="L698" s="59"/>
      <c r="M698" s="59"/>
      <c r="N698" s="59"/>
      <c r="O698" s="59"/>
      <c r="P698" s="59"/>
      <c r="Q698" s="59"/>
      <c r="R698" s="59"/>
      <c r="S698" s="59"/>
      <c r="T698" s="59"/>
      <c r="U698" s="59"/>
      <c r="V698" s="59"/>
      <c r="W698" s="59"/>
      <c r="X698" s="59"/>
      <c r="Y698" s="59"/>
    </row>
    <row r="699" spans="1:25" ht="18">
      <c r="A699" s="76"/>
      <c r="B699" s="59"/>
      <c r="C699" s="59"/>
      <c r="D699" s="59"/>
      <c r="E699" s="59"/>
      <c r="F699" s="59"/>
      <c r="G699" s="59"/>
      <c r="H699" s="59"/>
      <c r="I699" s="59"/>
      <c r="J699" s="59"/>
      <c r="K699" s="59"/>
      <c r="L699" s="59"/>
      <c r="M699" s="59"/>
      <c r="N699" s="59"/>
      <c r="O699" s="59"/>
      <c r="P699" s="59"/>
      <c r="Q699" s="59"/>
      <c r="R699" s="59"/>
      <c r="S699" s="59"/>
      <c r="T699" s="59"/>
      <c r="U699" s="59"/>
      <c r="V699" s="59"/>
      <c r="W699" s="59"/>
      <c r="X699" s="59"/>
      <c r="Y699" s="59"/>
    </row>
    <row r="700" spans="1:25" ht="18">
      <c r="A700" s="76"/>
      <c r="B700" s="59"/>
      <c r="C700" s="59"/>
      <c r="D700" s="59"/>
      <c r="E700" s="59"/>
      <c r="F700" s="59"/>
      <c r="G700" s="59"/>
      <c r="H700" s="59"/>
      <c r="I700" s="59"/>
      <c r="J700" s="59"/>
      <c r="K700" s="59"/>
      <c r="L700" s="59"/>
      <c r="M700" s="59"/>
      <c r="N700" s="59"/>
      <c r="O700" s="59"/>
      <c r="P700" s="59"/>
      <c r="Q700" s="59"/>
      <c r="R700" s="59"/>
      <c r="S700" s="59"/>
      <c r="T700" s="59"/>
      <c r="U700" s="59"/>
      <c r="V700" s="59"/>
      <c r="W700" s="59"/>
      <c r="X700" s="59"/>
      <c r="Y700" s="59"/>
    </row>
    <row r="701" spans="1:25" ht="18">
      <c r="A701" s="76"/>
      <c r="B701" s="59"/>
      <c r="C701" s="59"/>
      <c r="D701" s="59"/>
      <c r="E701" s="59"/>
      <c r="F701" s="59"/>
      <c r="G701" s="59"/>
      <c r="H701" s="59"/>
      <c r="I701" s="59"/>
      <c r="J701" s="59"/>
      <c r="K701" s="59"/>
      <c r="L701" s="59"/>
      <c r="M701" s="59"/>
      <c r="N701" s="59"/>
      <c r="O701" s="59"/>
      <c r="P701" s="59"/>
      <c r="Q701" s="59"/>
      <c r="R701" s="59"/>
      <c r="S701" s="59"/>
      <c r="T701" s="59"/>
      <c r="U701" s="59"/>
      <c r="V701" s="59"/>
      <c r="W701" s="59"/>
      <c r="X701" s="59"/>
      <c r="Y701" s="59"/>
    </row>
    <row r="702" spans="1:25" ht="18">
      <c r="A702" s="76"/>
      <c r="B702" s="59"/>
      <c r="C702" s="59"/>
      <c r="D702" s="59"/>
      <c r="E702" s="59"/>
      <c r="F702" s="59"/>
      <c r="G702" s="59"/>
      <c r="H702" s="59"/>
      <c r="I702" s="59"/>
      <c r="J702" s="59"/>
      <c r="K702" s="59"/>
      <c r="L702" s="59"/>
      <c r="M702" s="59"/>
      <c r="N702" s="59"/>
      <c r="O702" s="59"/>
      <c r="P702" s="59"/>
      <c r="Q702" s="59"/>
      <c r="R702" s="59"/>
      <c r="S702" s="59"/>
      <c r="T702" s="59"/>
      <c r="U702" s="59"/>
      <c r="V702" s="59"/>
      <c r="W702" s="59"/>
      <c r="X702" s="59"/>
      <c r="Y702" s="59"/>
    </row>
    <row r="703" spans="1:25" ht="18">
      <c r="A703" s="76"/>
      <c r="B703" s="59"/>
      <c r="C703" s="59"/>
      <c r="D703" s="59"/>
      <c r="E703" s="59"/>
      <c r="F703" s="59"/>
      <c r="G703" s="59"/>
      <c r="H703" s="59"/>
      <c r="I703" s="59"/>
      <c r="J703" s="59"/>
      <c r="K703" s="59"/>
      <c r="L703" s="59"/>
      <c r="M703" s="59"/>
      <c r="N703" s="59"/>
      <c r="O703" s="59"/>
      <c r="P703" s="59"/>
      <c r="Q703" s="59"/>
      <c r="R703" s="59"/>
      <c r="S703" s="59"/>
      <c r="T703" s="59"/>
      <c r="U703" s="59"/>
      <c r="V703" s="59"/>
      <c r="W703" s="59"/>
      <c r="X703" s="59"/>
      <c r="Y703" s="59"/>
    </row>
    <row r="704" spans="1:25" ht="18">
      <c r="A704" s="76"/>
      <c r="B704" s="59"/>
      <c r="C704" s="59"/>
      <c r="D704" s="59"/>
      <c r="E704" s="59"/>
      <c r="F704" s="59"/>
      <c r="G704" s="59"/>
      <c r="H704" s="59"/>
      <c r="I704" s="59"/>
      <c r="J704" s="59"/>
      <c r="K704" s="59"/>
      <c r="L704" s="59"/>
      <c r="M704" s="59"/>
      <c r="N704" s="59"/>
      <c r="O704" s="59"/>
      <c r="P704" s="59"/>
      <c r="Q704" s="59"/>
      <c r="R704" s="59"/>
      <c r="S704" s="59"/>
      <c r="T704" s="59"/>
      <c r="U704" s="59"/>
      <c r="V704" s="59"/>
      <c r="W704" s="59"/>
      <c r="X704" s="59"/>
      <c r="Y704" s="59"/>
    </row>
    <row r="705" spans="1:25" ht="18">
      <c r="A705" s="76"/>
      <c r="B705" s="59"/>
      <c r="C705" s="59"/>
      <c r="D705" s="59"/>
      <c r="E705" s="59"/>
      <c r="F705" s="59"/>
      <c r="G705" s="59"/>
      <c r="H705" s="59"/>
      <c r="I705" s="59"/>
      <c r="J705" s="59"/>
      <c r="K705" s="59"/>
      <c r="L705" s="59"/>
      <c r="M705" s="59"/>
      <c r="N705" s="59"/>
      <c r="O705" s="59"/>
      <c r="P705" s="59"/>
      <c r="Q705" s="59"/>
      <c r="R705" s="59"/>
      <c r="S705" s="59"/>
      <c r="T705" s="59"/>
      <c r="U705" s="59"/>
      <c r="V705" s="59"/>
      <c r="W705" s="59"/>
      <c r="X705" s="59"/>
      <c r="Y705" s="59"/>
    </row>
    <row r="706" spans="1:25" ht="18">
      <c r="A706" s="76"/>
      <c r="B706" s="59"/>
      <c r="C706" s="59"/>
      <c r="D706" s="59"/>
      <c r="E706" s="59"/>
      <c r="F706" s="59"/>
      <c r="G706" s="59"/>
      <c r="H706" s="59"/>
      <c r="I706" s="59"/>
      <c r="J706" s="59"/>
      <c r="K706" s="59"/>
      <c r="L706" s="59"/>
      <c r="M706" s="59"/>
      <c r="N706" s="59"/>
      <c r="O706" s="59"/>
      <c r="P706" s="59"/>
      <c r="Q706" s="59"/>
      <c r="R706" s="59"/>
      <c r="S706" s="59"/>
      <c r="T706" s="59"/>
      <c r="U706" s="59"/>
      <c r="V706" s="59"/>
      <c r="W706" s="59"/>
      <c r="X706" s="59"/>
      <c r="Y706" s="59"/>
    </row>
    <row r="707" spans="1:25" ht="18">
      <c r="A707" s="76"/>
      <c r="B707" s="59"/>
      <c r="C707" s="59"/>
      <c r="D707" s="59"/>
      <c r="E707" s="59"/>
      <c r="F707" s="59"/>
      <c r="G707" s="59"/>
      <c r="H707" s="59"/>
      <c r="I707" s="59"/>
      <c r="J707" s="59"/>
      <c r="K707" s="59"/>
      <c r="L707" s="59"/>
      <c r="M707" s="59"/>
      <c r="N707" s="59"/>
      <c r="O707" s="59"/>
      <c r="P707" s="59"/>
      <c r="Q707" s="59"/>
      <c r="R707" s="59"/>
      <c r="S707" s="59"/>
      <c r="T707" s="59"/>
      <c r="U707" s="59"/>
      <c r="V707" s="59"/>
      <c r="W707" s="59"/>
      <c r="X707" s="59"/>
      <c r="Y707" s="59"/>
    </row>
    <row r="708" spans="1:25" ht="18">
      <c r="A708" s="76"/>
      <c r="B708" s="59"/>
      <c r="C708" s="59"/>
      <c r="D708" s="59"/>
      <c r="E708" s="59"/>
      <c r="F708" s="59"/>
      <c r="G708" s="59"/>
      <c r="H708" s="59"/>
      <c r="I708" s="59"/>
      <c r="J708" s="59"/>
      <c r="K708" s="59"/>
      <c r="L708" s="59"/>
      <c r="M708" s="59"/>
      <c r="N708" s="59"/>
      <c r="O708" s="59"/>
      <c r="P708" s="59"/>
      <c r="Q708" s="59"/>
      <c r="R708" s="59"/>
      <c r="S708" s="59"/>
      <c r="T708" s="59"/>
      <c r="U708" s="59"/>
      <c r="V708" s="59"/>
      <c r="W708" s="59"/>
      <c r="X708" s="59"/>
      <c r="Y708" s="59"/>
    </row>
    <row r="709" spans="1:25" ht="18">
      <c r="A709" s="76"/>
      <c r="B709" s="59"/>
      <c r="C709" s="59"/>
      <c r="D709" s="59"/>
      <c r="E709" s="59"/>
      <c r="F709" s="59"/>
      <c r="G709" s="59"/>
      <c r="H709" s="59"/>
      <c r="I709" s="59"/>
      <c r="J709" s="59"/>
      <c r="K709" s="59"/>
      <c r="L709" s="59"/>
      <c r="M709" s="59"/>
      <c r="N709" s="59"/>
      <c r="O709" s="59"/>
      <c r="P709" s="59"/>
      <c r="Q709" s="59"/>
      <c r="R709" s="59"/>
      <c r="S709" s="59"/>
      <c r="T709" s="59"/>
      <c r="U709" s="59"/>
      <c r="V709" s="59"/>
      <c r="W709" s="59"/>
      <c r="X709" s="59"/>
      <c r="Y709" s="59"/>
    </row>
    <row r="710" spans="1:25" ht="18">
      <c r="A710" s="76"/>
      <c r="B710" s="59"/>
      <c r="C710" s="59"/>
      <c r="D710" s="59"/>
      <c r="E710" s="59"/>
      <c r="F710" s="59"/>
      <c r="G710" s="59"/>
      <c r="H710" s="59"/>
      <c r="I710" s="59"/>
      <c r="J710" s="59"/>
      <c r="K710" s="59"/>
      <c r="L710" s="59"/>
      <c r="M710" s="59"/>
      <c r="N710" s="59"/>
      <c r="O710" s="59"/>
      <c r="P710" s="59"/>
      <c r="Q710" s="59"/>
      <c r="R710" s="59"/>
      <c r="S710" s="59"/>
      <c r="T710" s="59"/>
      <c r="U710" s="59"/>
      <c r="V710" s="59"/>
      <c r="W710" s="59"/>
      <c r="X710" s="59"/>
      <c r="Y710" s="59"/>
    </row>
    <row r="711" spans="1:25" ht="18">
      <c r="A711" s="76"/>
      <c r="B711" s="59"/>
      <c r="C711" s="59"/>
      <c r="D711" s="59"/>
      <c r="E711" s="59"/>
      <c r="F711" s="59"/>
      <c r="G711" s="59"/>
      <c r="H711" s="59"/>
      <c r="I711" s="59"/>
      <c r="J711" s="59"/>
      <c r="K711" s="59"/>
      <c r="L711" s="59"/>
      <c r="M711" s="59"/>
      <c r="N711" s="59"/>
      <c r="O711" s="59"/>
      <c r="P711" s="59"/>
      <c r="Q711" s="59"/>
      <c r="R711" s="59"/>
      <c r="S711" s="59"/>
      <c r="T711" s="59"/>
      <c r="U711" s="59"/>
      <c r="V711" s="59"/>
      <c r="W711" s="59"/>
      <c r="X711" s="59"/>
      <c r="Y711" s="59"/>
    </row>
    <row r="712" spans="1:25" ht="18">
      <c r="A712" s="76"/>
      <c r="B712" s="59"/>
      <c r="C712" s="59"/>
      <c r="D712" s="59"/>
      <c r="E712" s="59"/>
      <c r="F712" s="59"/>
      <c r="G712" s="59"/>
      <c r="H712" s="59"/>
      <c r="I712" s="59"/>
      <c r="J712" s="59"/>
      <c r="K712" s="59"/>
      <c r="L712" s="59"/>
      <c r="M712" s="59"/>
      <c r="N712" s="59"/>
      <c r="O712" s="59"/>
      <c r="P712" s="59"/>
      <c r="Q712" s="59"/>
      <c r="R712" s="59"/>
      <c r="S712" s="59"/>
      <c r="T712" s="59"/>
      <c r="U712" s="59"/>
      <c r="V712" s="59"/>
      <c r="W712" s="59"/>
      <c r="X712" s="59"/>
      <c r="Y712" s="59"/>
    </row>
    <row r="713" spans="1:25" ht="18">
      <c r="A713" s="76"/>
      <c r="B713" s="59"/>
      <c r="C713" s="59"/>
      <c r="D713" s="59"/>
      <c r="E713" s="59"/>
      <c r="F713" s="59"/>
      <c r="G713" s="59"/>
      <c r="H713" s="59"/>
      <c r="I713" s="59"/>
      <c r="J713" s="59"/>
      <c r="K713" s="59"/>
      <c r="L713" s="59"/>
      <c r="M713" s="59"/>
      <c r="N713" s="59"/>
      <c r="O713" s="59"/>
      <c r="P713" s="59"/>
      <c r="Q713" s="59"/>
      <c r="R713" s="59"/>
      <c r="S713" s="59"/>
      <c r="T713" s="59"/>
      <c r="U713" s="59"/>
      <c r="V713" s="59"/>
      <c r="W713" s="59"/>
      <c r="X713" s="59"/>
      <c r="Y713" s="59"/>
    </row>
    <row r="714" spans="1:25" ht="18">
      <c r="A714" s="76"/>
      <c r="B714" s="59"/>
      <c r="C714" s="59"/>
      <c r="D714" s="59"/>
      <c r="E714" s="59"/>
      <c r="F714" s="59"/>
      <c r="G714" s="59"/>
      <c r="H714" s="59"/>
      <c r="I714" s="59"/>
      <c r="J714" s="59"/>
      <c r="K714" s="59"/>
      <c r="L714" s="59"/>
      <c r="M714" s="59"/>
      <c r="N714" s="59"/>
      <c r="O714" s="59"/>
      <c r="P714" s="59"/>
      <c r="Q714" s="59"/>
      <c r="R714" s="59"/>
      <c r="S714" s="59"/>
      <c r="T714" s="59"/>
      <c r="U714" s="59"/>
      <c r="V714" s="59"/>
      <c r="W714" s="59"/>
      <c r="X714" s="59"/>
      <c r="Y714" s="59"/>
    </row>
    <row r="715" spans="1:25" ht="18">
      <c r="A715" s="76"/>
      <c r="B715" s="59"/>
      <c r="C715" s="59"/>
      <c r="D715" s="59"/>
      <c r="E715" s="59"/>
      <c r="F715" s="59"/>
      <c r="G715" s="59"/>
      <c r="H715" s="59"/>
      <c r="I715" s="59"/>
      <c r="J715" s="59"/>
      <c r="K715" s="59"/>
      <c r="L715" s="59"/>
      <c r="M715" s="59"/>
      <c r="N715" s="59"/>
      <c r="O715" s="59"/>
      <c r="P715" s="59"/>
      <c r="Q715" s="59"/>
      <c r="R715" s="59"/>
      <c r="S715" s="59"/>
      <c r="T715" s="59"/>
      <c r="U715" s="59"/>
      <c r="V715" s="59"/>
      <c r="W715" s="59"/>
      <c r="X715" s="59"/>
      <c r="Y715" s="59"/>
    </row>
    <row r="716" spans="1:25" ht="18">
      <c r="A716" s="76"/>
      <c r="B716" s="59"/>
      <c r="C716" s="59"/>
      <c r="D716" s="59"/>
      <c r="E716" s="59"/>
      <c r="F716" s="59"/>
      <c r="G716" s="59"/>
      <c r="H716" s="59"/>
      <c r="I716" s="59"/>
      <c r="J716" s="59"/>
      <c r="K716" s="59"/>
      <c r="L716" s="59"/>
      <c r="M716" s="59"/>
      <c r="N716" s="59"/>
      <c r="O716" s="59"/>
      <c r="P716" s="59"/>
      <c r="Q716" s="59"/>
      <c r="R716" s="59"/>
      <c r="S716" s="59"/>
      <c r="T716" s="59"/>
      <c r="U716" s="59"/>
      <c r="V716" s="59"/>
      <c r="W716" s="59"/>
      <c r="X716" s="59"/>
      <c r="Y716" s="59"/>
    </row>
    <row r="717" spans="1:25" ht="18">
      <c r="A717" s="76"/>
      <c r="B717" s="59"/>
      <c r="C717" s="59"/>
      <c r="D717" s="59"/>
      <c r="E717" s="59"/>
      <c r="F717" s="59"/>
      <c r="G717" s="59"/>
      <c r="H717" s="59"/>
      <c r="I717" s="59"/>
      <c r="J717" s="59"/>
      <c r="K717" s="59"/>
      <c r="L717" s="59"/>
      <c r="M717" s="59"/>
      <c r="N717" s="59"/>
      <c r="O717" s="59"/>
      <c r="P717" s="59"/>
      <c r="Q717" s="59"/>
      <c r="R717" s="59"/>
      <c r="S717" s="59"/>
      <c r="T717" s="59"/>
      <c r="U717" s="59"/>
      <c r="V717" s="59"/>
      <c r="W717" s="59"/>
      <c r="X717" s="59"/>
      <c r="Y717" s="59"/>
    </row>
    <row r="718" spans="1:25" ht="18">
      <c r="A718" s="76"/>
      <c r="B718" s="59"/>
      <c r="C718" s="59"/>
      <c r="D718" s="59"/>
      <c r="E718" s="59"/>
      <c r="F718" s="59"/>
      <c r="G718" s="59"/>
      <c r="H718" s="59"/>
      <c r="I718" s="59"/>
      <c r="J718" s="59"/>
      <c r="K718" s="59"/>
      <c r="L718" s="59"/>
      <c r="M718" s="59"/>
      <c r="N718" s="59"/>
      <c r="O718" s="59"/>
      <c r="P718" s="59"/>
      <c r="Q718" s="59"/>
      <c r="R718" s="59"/>
      <c r="S718" s="59"/>
      <c r="T718" s="59"/>
      <c r="U718" s="59"/>
      <c r="V718" s="59"/>
      <c r="W718" s="59"/>
      <c r="X718" s="59"/>
      <c r="Y718" s="59"/>
    </row>
    <row r="719" spans="1:25" ht="18">
      <c r="A719" s="76"/>
      <c r="B719" s="59"/>
      <c r="C719" s="59"/>
      <c r="D719" s="59"/>
      <c r="E719" s="59"/>
      <c r="F719" s="59"/>
      <c r="G719" s="59"/>
      <c r="H719" s="59"/>
      <c r="I719" s="59"/>
      <c r="J719" s="59"/>
      <c r="K719" s="59"/>
      <c r="L719" s="59"/>
      <c r="M719" s="59"/>
      <c r="N719" s="59"/>
      <c r="O719" s="59"/>
      <c r="P719" s="59"/>
      <c r="Q719" s="59"/>
      <c r="R719" s="59"/>
      <c r="S719" s="59"/>
      <c r="T719" s="59"/>
      <c r="U719" s="59"/>
      <c r="V719" s="59"/>
      <c r="W719" s="59"/>
      <c r="X719" s="59"/>
      <c r="Y719" s="59"/>
    </row>
    <row r="720" spans="1:25" ht="18">
      <c r="A720" s="76"/>
      <c r="B720" s="59"/>
      <c r="C720" s="59"/>
      <c r="D720" s="59"/>
      <c r="E720" s="59"/>
      <c r="F720" s="59"/>
      <c r="G720" s="59"/>
      <c r="H720" s="59"/>
      <c r="I720" s="59"/>
      <c r="J720" s="59"/>
      <c r="K720" s="59"/>
      <c r="L720" s="59"/>
      <c r="M720" s="59"/>
      <c r="N720" s="59"/>
      <c r="O720" s="59"/>
      <c r="P720" s="59"/>
      <c r="Q720" s="59"/>
      <c r="R720" s="59"/>
      <c r="S720" s="59"/>
      <c r="T720" s="59"/>
      <c r="U720" s="59"/>
      <c r="V720" s="59"/>
      <c r="W720" s="59"/>
      <c r="X720" s="59"/>
      <c r="Y720" s="59"/>
    </row>
    <row r="721" spans="1:25" ht="18">
      <c r="A721" s="76"/>
      <c r="B721" s="59"/>
      <c r="C721" s="59"/>
      <c r="D721" s="59"/>
      <c r="E721" s="59"/>
      <c r="F721" s="59"/>
      <c r="G721" s="59"/>
      <c r="H721" s="59"/>
      <c r="I721" s="59"/>
      <c r="J721" s="59"/>
      <c r="K721" s="59"/>
      <c r="L721" s="59"/>
      <c r="M721" s="59"/>
      <c r="N721" s="59"/>
      <c r="O721" s="59"/>
      <c r="P721" s="59"/>
      <c r="Q721" s="59"/>
      <c r="R721" s="59"/>
      <c r="S721" s="59"/>
      <c r="T721" s="59"/>
      <c r="U721" s="59"/>
      <c r="V721" s="59"/>
      <c r="W721" s="59"/>
      <c r="X721" s="59"/>
      <c r="Y721" s="59"/>
    </row>
    <row r="722" spans="1:25" ht="18">
      <c r="A722" s="76"/>
      <c r="B722" s="59"/>
      <c r="C722" s="59"/>
      <c r="D722" s="59"/>
      <c r="E722" s="59"/>
      <c r="F722" s="59"/>
      <c r="G722" s="59"/>
      <c r="H722" s="59"/>
      <c r="I722" s="59"/>
      <c r="J722" s="59"/>
      <c r="K722" s="59"/>
      <c r="L722" s="59"/>
      <c r="M722" s="59"/>
      <c r="N722" s="59"/>
      <c r="O722" s="59"/>
      <c r="P722" s="59"/>
      <c r="Q722" s="59"/>
      <c r="R722" s="59"/>
      <c r="S722" s="59"/>
      <c r="T722" s="59"/>
      <c r="U722" s="59"/>
      <c r="V722" s="59"/>
      <c r="W722" s="59"/>
      <c r="X722" s="59"/>
      <c r="Y722" s="59"/>
    </row>
    <row r="723" spans="1:25" ht="18">
      <c r="A723" s="76"/>
      <c r="B723" s="59"/>
      <c r="C723" s="59"/>
      <c r="D723" s="59"/>
      <c r="E723" s="59"/>
      <c r="F723" s="59"/>
      <c r="G723" s="59"/>
      <c r="H723" s="59"/>
      <c r="I723" s="59"/>
      <c r="J723" s="59"/>
      <c r="K723" s="59"/>
      <c r="L723" s="59"/>
      <c r="M723" s="59"/>
      <c r="N723" s="59"/>
      <c r="O723" s="59"/>
      <c r="P723" s="59"/>
      <c r="Q723" s="59"/>
      <c r="R723" s="59"/>
      <c r="S723" s="59"/>
      <c r="T723" s="59"/>
      <c r="U723" s="59"/>
      <c r="V723" s="59"/>
      <c r="W723" s="59"/>
      <c r="X723" s="59"/>
      <c r="Y723" s="59"/>
    </row>
    <row r="724" spans="1:25" ht="18">
      <c r="A724" s="76"/>
      <c r="B724" s="59"/>
      <c r="C724" s="59"/>
      <c r="D724" s="59"/>
      <c r="E724" s="59"/>
      <c r="F724" s="59"/>
      <c r="G724" s="59"/>
      <c r="H724" s="59"/>
      <c r="I724" s="59"/>
      <c r="J724" s="59"/>
      <c r="K724" s="59"/>
      <c r="L724" s="59"/>
      <c r="M724" s="59"/>
      <c r="N724" s="59"/>
      <c r="O724" s="59"/>
      <c r="P724" s="59"/>
      <c r="Q724" s="59"/>
      <c r="R724" s="59"/>
      <c r="S724" s="59"/>
      <c r="T724" s="59"/>
      <c r="U724" s="59"/>
      <c r="V724" s="59"/>
      <c r="W724" s="59"/>
      <c r="X724" s="59"/>
      <c r="Y724" s="59"/>
    </row>
    <row r="725" spans="1:25" ht="18">
      <c r="A725" s="76"/>
      <c r="B725" s="59"/>
      <c r="C725" s="59"/>
      <c r="D725" s="59"/>
      <c r="E725" s="59"/>
      <c r="F725" s="59"/>
      <c r="G725" s="59"/>
      <c r="H725" s="59"/>
      <c r="I725" s="59"/>
      <c r="J725" s="59"/>
      <c r="K725" s="59"/>
      <c r="L725" s="59"/>
      <c r="M725" s="59"/>
      <c r="N725" s="59"/>
      <c r="O725" s="59"/>
      <c r="P725" s="59"/>
      <c r="Q725" s="59"/>
      <c r="R725" s="59"/>
      <c r="S725" s="59"/>
      <c r="T725" s="59"/>
      <c r="U725" s="59"/>
      <c r="V725" s="59"/>
      <c r="W725" s="59"/>
      <c r="X725" s="59"/>
      <c r="Y725" s="59"/>
    </row>
    <row r="726" spans="1:25" ht="18">
      <c r="A726" s="76"/>
      <c r="B726" s="59"/>
      <c r="C726" s="59"/>
      <c r="D726" s="59"/>
      <c r="E726" s="59"/>
      <c r="F726" s="59"/>
      <c r="G726" s="59"/>
      <c r="H726" s="59"/>
      <c r="I726" s="59"/>
      <c r="J726" s="59"/>
      <c r="K726" s="59"/>
      <c r="L726" s="59"/>
      <c r="M726" s="59"/>
      <c r="N726" s="59"/>
      <c r="O726" s="59"/>
      <c r="P726" s="59"/>
      <c r="Q726" s="59"/>
      <c r="R726" s="59"/>
      <c r="S726" s="59"/>
      <c r="T726" s="59"/>
      <c r="U726" s="59"/>
      <c r="V726" s="59"/>
      <c r="W726" s="59"/>
      <c r="X726" s="59"/>
      <c r="Y726" s="59"/>
    </row>
    <row r="727" spans="1:25" ht="18">
      <c r="A727" s="76"/>
      <c r="B727" s="59"/>
      <c r="C727" s="59"/>
      <c r="D727" s="59"/>
      <c r="E727" s="59"/>
      <c r="F727" s="59"/>
      <c r="G727" s="59"/>
      <c r="H727" s="59"/>
      <c r="I727" s="59"/>
      <c r="J727" s="59"/>
      <c r="K727" s="59"/>
      <c r="L727" s="59"/>
      <c r="M727" s="59"/>
      <c r="N727" s="59"/>
      <c r="O727" s="59"/>
      <c r="P727" s="59"/>
      <c r="Q727" s="59"/>
      <c r="R727" s="59"/>
      <c r="S727" s="59"/>
      <c r="T727" s="59"/>
      <c r="U727" s="59"/>
      <c r="V727" s="59"/>
      <c r="W727" s="59"/>
      <c r="X727" s="59"/>
      <c r="Y727" s="59"/>
    </row>
    <row r="728" spans="1:25" ht="18">
      <c r="A728" s="76"/>
      <c r="B728" s="59"/>
      <c r="C728" s="59"/>
      <c r="D728" s="59"/>
      <c r="E728" s="59"/>
      <c r="F728" s="59"/>
      <c r="G728" s="59"/>
      <c r="H728" s="59"/>
      <c r="I728" s="59"/>
      <c r="J728" s="59"/>
      <c r="K728" s="59"/>
      <c r="L728" s="59"/>
      <c r="M728" s="59"/>
      <c r="N728" s="59"/>
      <c r="O728" s="59"/>
      <c r="P728" s="59"/>
      <c r="Q728" s="59"/>
      <c r="R728" s="59"/>
      <c r="S728" s="59"/>
      <c r="T728" s="59"/>
      <c r="U728" s="59"/>
      <c r="V728" s="59"/>
      <c r="W728" s="59"/>
      <c r="X728" s="59"/>
      <c r="Y728" s="59"/>
    </row>
    <row r="729" spans="1:25" ht="18">
      <c r="A729" s="76"/>
      <c r="B729" s="59"/>
      <c r="C729" s="59"/>
      <c r="D729" s="59"/>
      <c r="E729" s="59"/>
      <c r="F729" s="59"/>
      <c r="G729" s="59"/>
      <c r="H729" s="59"/>
      <c r="I729" s="59"/>
      <c r="J729" s="59"/>
      <c r="K729" s="59"/>
      <c r="L729" s="59"/>
      <c r="M729" s="59"/>
      <c r="N729" s="59"/>
      <c r="O729" s="59"/>
      <c r="P729" s="59"/>
      <c r="Q729" s="59"/>
      <c r="R729" s="59"/>
      <c r="S729" s="59"/>
      <c r="T729" s="59"/>
      <c r="U729" s="59"/>
      <c r="V729" s="59"/>
      <c r="W729" s="59"/>
      <c r="X729" s="59"/>
      <c r="Y729" s="59"/>
    </row>
    <row r="730" spans="1:25" ht="18">
      <c r="A730" s="76"/>
      <c r="B730" s="59"/>
      <c r="C730" s="59"/>
      <c r="D730" s="59"/>
      <c r="E730" s="59"/>
      <c r="F730" s="59"/>
      <c r="G730" s="59"/>
      <c r="H730" s="59"/>
      <c r="I730" s="59"/>
      <c r="J730" s="59"/>
      <c r="K730" s="59"/>
      <c r="L730" s="59"/>
      <c r="M730" s="59"/>
      <c r="N730" s="59"/>
      <c r="O730" s="59"/>
      <c r="P730" s="59"/>
      <c r="Q730" s="59"/>
      <c r="R730" s="59"/>
      <c r="S730" s="59"/>
      <c r="T730" s="59"/>
      <c r="U730" s="59"/>
      <c r="V730" s="59"/>
      <c r="W730" s="59"/>
      <c r="X730" s="59"/>
      <c r="Y730" s="59"/>
    </row>
    <row r="731" spans="1:25" ht="18">
      <c r="A731" s="76"/>
      <c r="B731" s="59"/>
      <c r="C731" s="59"/>
      <c r="D731" s="59"/>
      <c r="E731" s="59"/>
      <c r="F731" s="59"/>
      <c r="G731" s="59"/>
      <c r="H731" s="59"/>
      <c r="I731" s="59"/>
      <c r="J731" s="59"/>
      <c r="K731" s="59"/>
      <c r="L731" s="59"/>
      <c r="M731" s="59"/>
      <c r="N731" s="59"/>
      <c r="O731" s="59"/>
      <c r="P731" s="59"/>
      <c r="Q731" s="59"/>
      <c r="R731" s="59"/>
      <c r="S731" s="59"/>
      <c r="T731" s="59"/>
      <c r="U731" s="59"/>
      <c r="V731" s="59"/>
      <c r="W731" s="59"/>
      <c r="X731" s="59"/>
      <c r="Y731" s="59"/>
    </row>
    <row r="732" spans="1:25" ht="18">
      <c r="A732" s="76"/>
      <c r="B732" s="59"/>
      <c r="C732" s="59"/>
      <c r="D732" s="59"/>
      <c r="E732" s="59"/>
      <c r="F732" s="59"/>
      <c r="G732" s="59"/>
      <c r="H732" s="59"/>
      <c r="I732" s="59"/>
      <c r="J732" s="59"/>
      <c r="K732" s="59"/>
      <c r="L732" s="59"/>
      <c r="M732" s="59"/>
      <c r="N732" s="59"/>
      <c r="O732" s="59"/>
      <c r="P732" s="59"/>
      <c r="Q732" s="59"/>
      <c r="R732" s="59"/>
      <c r="S732" s="59"/>
      <c r="T732" s="59"/>
      <c r="U732" s="59"/>
      <c r="V732" s="59"/>
      <c r="W732" s="59"/>
      <c r="X732" s="59"/>
      <c r="Y732" s="59"/>
    </row>
    <row r="733" spans="1:25" ht="18">
      <c r="A733" s="76"/>
      <c r="B733" s="59"/>
      <c r="C733" s="59"/>
      <c r="D733" s="59"/>
      <c r="E733" s="59"/>
      <c r="F733" s="59"/>
      <c r="G733" s="59"/>
      <c r="H733" s="59"/>
      <c r="I733" s="59"/>
      <c r="J733" s="59"/>
      <c r="K733" s="59"/>
      <c r="L733" s="59"/>
      <c r="M733" s="59"/>
      <c r="N733" s="59"/>
      <c r="O733" s="59"/>
      <c r="P733" s="59"/>
      <c r="Q733" s="59"/>
      <c r="R733" s="59"/>
      <c r="S733" s="59"/>
      <c r="T733" s="59"/>
      <c r="U733" s="59"/>
      <c r="V733" s="59"/>
      <c r="W733" s="59"/>
      <c r="X733" s="59"/>
      <c r="Y733" s="59"/>
    </row>
    <row r="734" spans="1:25" ht="18">
      <c r="A734" s="76"/>
      <c r="B734" s="59"/>
      <c r="C734" s="59"/>
      <c r="D734" s="59"/>
      <c r="E734" s="59"/>
      <c r="F734" s="59"/>
      <c r="G734" s="59"/>
      <c r="H734" s="59"/>
      <c r="I734" s="59"/>
      <c r="J734" s="59"/>
      <c r="K734" s="59"/>
      <c r="L734" s="59"/>
      <c r="M734" s="59"/>
      <c r="N734" s="59"/>
      <c r="O734" s="59"/>
      <c r="P734" s="59"/>
      <c r="Q734" s="59"/>
      <c r="R734" s="59"/>
      <c r="S734" s="59"/>
      <c r="T734" s="59"/>
      <c r="U734" s="59"/>
      <c r="V734" s="59"/>
      <c r="W734" s="59"/>
      <c r="X734" s="59"/>
      <c r="Y734" s="59"/>
    </row>
    <row r="735" spans="1:25" ht="18">
      <c r="A735" s="76"/>
      <c r="B735" s="59"/>
      <c r="C735" s="59"/>
      <c r="D735" s="59"/>
      <c r="E735" s="59"/>
      <c r="F735" s="59"/>
      <c r="G735" s="59"/>
      <c r="H735" s="59"/>
      <c r="I735" s="59"/>
      <c r="J735" s="59"/>
      <c r="K735" s="59"/>
      <c r="L735" s="59"/>
      <c r="M735" s="59"/>
      <c r="N735" s="59"/>
      <c r="O735" s="59"/>
      <c r="P735" s="59"/>
      <c r="Q735" s="59"/>
      <c r="R735" s="59"/>
      <c r="S735" s="59"/>
      <c r="T735" s="59"/>
      <c r="U735" s="59"/>
      <c r="V735" s="59"/>
      <c r="W735" s="59"/>
      <c r="X735" s="59"/>
      <c r="Y735" s="59"/>
    </row>
    <row r="736" spans="1:25" ht="18">
      <c r="A736" s="76"/>
      <c r="B736" s="59"/>
      <c r="C736" s="59"/>
      <c r="D736" s="59"/>
      <c r="E736" s="59"/>
      <c r="F736" s="59"/>
      <c r="G736" s="59"/>
      <c r="H736" s="59"/>
      <c r="I736" s="59"/>
      <c r="J736" s="59"/>
      <c r="K736" s="59"/>
      <c r="L736" s="59"/>
      <c r="M736" s="59"/>
      <c r="N736" s="59"/>
      <c r="O736" s="59"/>
      <c r="P736" s="59"/>
      <c r="Q736" s="59"/>
      <c r="R736" s="59"/>
      <c r="S736" s="59"/>
      <c r="T736" s="59"/>
      <c r="U736" s="59"/>
      <c r="V736" s="59"/>
      <c r="W736" s="59"/>
      <c r="X736" s="59"/>
      <c r="Y736" s="59"/>
    </row>
    <row r="737" spans="1:25" ht="18">
      <c r="A737" s="76"/>
      <c r="B737" s="59"/>
      <c r="C737" s="59"/>
      <c r="D737" s="59"/>
      <c r="E737" s="59"/>
      <c r="F737" s="59"/>
      <c r="G737" s="59"/>
      <c r="H737" s="59"/>
      <c r="I737" s="59"/>
      <c r="J737" s="59"/>
      <c r="K737" s="59"/>
      <c r="L737" s="59"/>
      <c r="M737" s="59"/>
      <c r="N737" s="59"/>
      <c r="O737" s="59"/>
      <c r="P737" s="59"/>
      <c r="Q737" s="59"/>
      <c r="R737" s="59"/>
      <c r="S737" s="59"/>
      <c r="T737" s="59"/>
      <c r="U737" s="59"/>
      <c r="V737" s="59"/>
      <c r="W737" s="59"/>
      <c r="X737" s="59"/>
      <c r="Y737" s="59"/>
    </row>
    <row r="738" spans="1:25" ht="18">
      <c r="A738" s="76"/>
      <c r="B738" s="59"/>
      <c r="C738" s="59"/>
      <c r="D738" s="59"/>
      <c r="E738" s="59"/>
      <c r="F738" s="59"/>
      <c r="G738" s="59"/>
      <c r="H738" s="59"/>
      <c r="I738" s="59"/>
      <c r="J738" s="59"/>
      <c r="K738" s="59"/>
      <c r="L738" s="59"/>
      <c r="M738" s="59"/>
      <c r="N738" s="59"/>
      <c r="O738" s="59"/>
      <c r="P738" s="59"/>
      <c r="Q738" s="59"/>
      <c r="R738" s="59"/>
      <c r="S738" s="59"/>
      <c r="T738" s="59"/>
      <c r="U738" s="59"/>
      <c r="V738" s="59"/>
      <c r="W738" s="59"/>
      <c r="X738" s="59"/>
      <c r="Y738" s="59"/>
    </row>
    <row r="739" spans="1:25" ht="18">
      <c r="A739" s="76"/>
      <c r="B739" s="59"/>
      <c r="C739" s="59"/>
      <c r="D739" s="59"/>
      <c r="E739" s="59"/>
      <c r="F739" s="59"/>
      <c r="G739" s="59"/>
      <c r="H739" s="59"/>
      <c r="I739" s="59"/>
      <c r="J739" s="59"/>
      <c r="K739" s="59"/>
      <c r="L739" s="59"/>
      <c r="M739" s="59"/>
      <c r="N739" s="59"/>
      <c r="O739" s="59"/>
      <c r="P739" s="59"/>
      <c r="Q739" s="59"/>
      <c r="R739" s="59"/>
      <c r="S739" s="59"/>
      <c r="T739" s="59"/>
      <c r="U739" s="59"/>
      <c r="V739" s="59"/>
      <c r="W739" s="59"/>
      <c r="X739" s="59"/>
      <c r="Y739" s="59"/>
    </row>
    <row r="740" spans="1:25" ht="18">
      <c r="A740" s="76"/>
      <c r="B740" s="59"/>
      <c r="C740" s="59"/>
      <c r="D740" s="59"/>
      <c r="E740" s="59"/>
      <c r="F740" s="59"/>
      <c r="G740" s="59"/>
      <c r="H740" s="59"/>
      <c r="I740" s="59"/>
      <c r="J740" s="59"/>
      <c r="K740" s="59"/>
      <c r="L740" s="59"/>
      <c r="M740" s="59"/>
      <c r="N740" s="59"/>
      <c r="O740" s="59"/>
      <c r="P740" s="59"/>
      <c r="Q740" s="59"/>
      <c r="R740" s="59"/>
      <c r="S740" s="59"/>
      <c r="T740" s="59"/>
      <c r="U740" s="59"/>
      <c r="V740" s="59"/>
      <c r="W740" s="59"/>
      <c r="X740" s="59"/>
      <c r="Y740" s="59"/>
    </row>
    <row r="741" spans="1:25" ht="18">
      <c r="A741" s="76"/>
      <c r="B741" s="59"/>
      <c r="C741" s="59"/>
      <c r="D741" s="59"/>
      <c r="E741" s="59"/>
      <c r="F741" s="59"/>
      <c r="G741" s="59"/>
      <c r="H741" s="59"/>
      <c r="I741" s="59"/>
      <c r="J741" s="59"/>
      <c r="K741" s="59"/>
      <c r="L741" s="59"/>
      <c r="M741" s="59"/>
      <c r="N741" s="59"/>
      <c r="O741" s="59"/>
      <c r="P741" s="59"/>
      <c r="Q741" s="59"/>
      <c r="R741" s="59"/>
      <c r="S741" s="59"/>
      <c r="T741" s="59"/>
      <c r="U741" s="59"/>
      <c r="V741" s="59"/>
      <c r="W741" s="59"/>
      <c r="X741" s="59"/>
      <c r="Y741" s="59"/>
    </row>
    <row r="742" spans="1:25" ht="18">
      <c r="A742" s="76"/>
      <c r="B742" s="59"/>
      <c r="C742" s="59"/>
      <c r="D742" s="59"/>
      <c r="E742" s="59"/>
      <c r="F742" s="59"/>
      <c r="G742" s="59"/>
      <c r="H742" s="59"/>
      <c r="I742" s="59"/>
      <c r="J742" s="59"/>
      <c r="K742" s="59"/>
      <c r="L742" s="59"/>
      <c r="M742" s="59"/>
      <c r="N742" s="59"/>
      <c r="O742" s="59"/>
      <c r="P742" s="59"/>
      <c r="Q742" s="59"/>
      <c r="R742" s="59"/>
      <c r="S742" s="59"/>
      <c r="T742" s="59"/>
      <c r="U742" s="59"/>
      <c r="V742" s="59"/>
      <c r="W742" s="59"/>
      <c r="X742" s="59"/>
      <c r="Y742" s="59"/>
    </row>
    <row r="743" spans="1:25" ht="18">
      <c r="A743" s="76"/>
      <c r="B743" s="59"/>
      <c r="C743" s="59"/>
      <c r="D743" s="59"/>
      <c r="E743" s="59"/>
      <c r="F743" s="59"/>
      <c r="G743" s="59"/>
      <c r="H743" s="59"/>
      <c r="I743" s="59"/>
      <c r="J743" s="59"/>
      <c r="K743" s="59"/>
      <c r="L743" s="59"/>
      <c r="M743" s="59"/>
      <c r="N743" s="59"/>
      <c r="O743" s="59"/>
      <c r="P743" s="59"/>
      <c r="Q743" s="59"/>
      <c r="R743" s="59"/>
      <c r="S743" s="59"/>
      <c r="T743" s="59"/>
      <c r="U743" s="59"/>
      <c r="V743" s="59"/>
      <c r="W743" s="59"/>
      <c r="X743" s="59"/>
      <c r="Y743" s="59"/>
    </row>
    <row r="744" spans="1:25" ht="18">
      <c r="A744" s="76"/>
      <c r="B744" s="59"/>
      <c r="C744" s="59"/>
      <c r="D744" s="59"/>
      <c r="E744" s="59"/>
      <c r="F744" s="59"/>
      <c r="G744" s="59"/>
      <c r="H744" s="59"/>
      <c r="I744" s="59"/>
      <c r="J744" s="59"/>
      <c r="K744" s="59"/>
      <c r="L744" s="59"/>
      <c r="M744" s="59"/>
      <c r="N744" s="59"/>
      <c r="O744" s="59"/>
      <c r="P744" s="59"/>
      <c r="Q744" s="59"/>
      <c r="R744" s="59"/>
      <c r="S744" s="59"/>
      <c r="T744" s="59"/>
      <c r="U744" s="59"/>
      <c r="V744" s="59"/>
      <c r="W744" s="59"/>
      <c r="X744" s="59"/>
      <c r="Y744" s="59"/>
    </row>
    <row r="745" spans="1:25" ht="18">
      <c r="A745" s="76"/>
      <c r="B745" s="59"/>
      <c r="C745" s="59"/>
      <c r="D745" s="59"/>
      <c r="E745" s="59"/>
      <c r="F745" s="59"/>
      <c r="G745" s="59"/>
      <c r="H745" s="59"/>
      <c r="I745" s="59"/>
      <c r="J745" s="59"/>
      <c r="K745" s="59"/>
      <c r="L745" s="59"/>
      <c r="M745" s="59"/>
      <c r="N745" s="59"/>
      <c r="O745" s="59"/>
      <c r="P745" s="59"/>
      <c r="Q745" s="59"/>
      <c r="R745" s="59"/>
      <c r="S745" s="59"/>
      <c r="T745" s="59"/>
      <c r="U745" s="59"/>
      <c r="V745" s="59"/>
      <c r="W745" s="59"/>
      <c r="X745" s="59"/>
      <c r="Y745" s="59"/>
    </row>
    <row r="746" spans="1:25" ht="18">
      <c r="A746" s="76"/>
      <c r="B746" s="59"/>
      <c r="C746" s="59"/>
      <c r="D746" s="59"/>
      <c r="E746" s="59"/>
      <c r="F746" s="59"/>
      <c r="G746" s="59"/>
      <c r="H746" s="59"/>
      <c r="I746" s="59"/>
      <c r="J746" s="59"/>
      <c r="K746" s="59"/>
      <c r="L746" s="59"/>
      <c r="M746" s="59"/>
      <c r="N746" s="59"/>
      <c r="O746" s="59"/>
      <c r="P746" s="59"/>
      <c r="Q746" s="59"/>
      <c r="R746" s="59"/>
      <c r="S746" s="59"/>
      <c r="T746" s="59"/>
      <c r="U746" s="59"/>
      <c r="V746" s="59"/>
      <c r="W746" s="59"/>
      <c r="X746" s="59"/>
      <c r="Y746" s="59"/>
    </row>
    <row r="747" spans="1:25" ht="18">
      <c r="A747" s="76"/>
      <c r="B747" s="59"/>
      <c r="C747" s="59"/>
      <c r="D747" s="59"/>
      <c r="E747" s="59"/>
      <c r="F747" s="59"/>
      <c r="G747" s="59"/>
      <c r="H747" s="59"/>
      <c r="I747" s="59"/>
      <c r="J747" s="59"/>
      <c r="K747" s="59"/>
      <c r="L747" s="59"/>
      <c r="M747" s="59"/>
      <c r="N747" s="59"/>
      <c r="O747" s="59"/>
      <c r="P747" s="59"/>
      <c r="Q747" s="59"/>
      <c r="R747" s="59"/>
      <c r="S747" s="59"/>
      <c r="T747" s="59"/>
      <c r="U747" s="59"/>
      <c r="V747" s="59"/>
      <c r="W747" s="59"/>
      <c r="X747" s="59"/>
      <c r="Y747" s="59"/>
    </row>
    <row r="748" spans="1:25" ht="18">
      <c r="A748" s="76"/>
      <c r="B748" s="59"/>
      <c r="C748" s="59"/>
      <c r="D748" s="59"/>
      <c r="E748" s="59"/>
      <c r="F748" s="59"/>
      <c r="G748" s="59"/>
      <c r="H748" s="59"/>
      <c r="I748" s="59"/>
      <c r="J748" s="59"/>
      <c r="K748" s="59"/>
      <c r="L748" s="59"/>
      <c r="M748" s="59"/>
      <c r="N748" s="59"/>
      <c r="O748" s="59"/>
      <c r="P748" s="59"/>
      <c r="Q748" s="59"/>
      <c r="R748" s="59"/>
      <c r="S748" s="59"/>
      <c r="T748" s="59"/>
      <c r="U748" s="59"/>
      <c r="V748" s="59"/>
      <c r="W748" s="59"/>
      <c r="X748" s="59"/>
      <c r="Y748" s="59"/>
    </row>
    <row r="749" spans="1:25" ht="18">
      <c r="A749" s="76"/>
      <c r="B749" s="59"/>
      <c r="C749" s="59"/>
      <c r="D749" s="59"/>
      <c r="E749" s="59"/>
      <c r="F749" s="59"/>
      <c r="G749" s="59"/>
      <c r="H749" s="59"/>
      <c r="I749" s="59"/>
      <c r="J749" s="59"/>
      <c r="K749" s="59"/>
      <c r="L749" s="59"/>
      <c r="M749" s="59"/>
      <c r="N749" s="59"/>
      <c r="O749" s="59"/>
      <c r="P749" s="59"/>
      <c r="Q749" s="59"/>
      <c r="R749" s="59"/>
      <c r="S749" s="59"/>
      <c r="T749" s="59"/>
      <c r="U749" s="59"/>
      <c r="V749" s="59"/>
      <c r="W749" s="59"/>
      <c r="X749" s="59"/>
      <c r="Y749" s="59"/>
    </row>
    <row r="750" spans="1:25" ht="18">
      <c r="A750" s="76"/>
      <c r="B750" s="59"/>
      <c r="C750" s="59"/>
      <c r="D750" s="59"/>
      <c r="E750" s="59"/>
      <c r="F750" s="59"/>
      <c r="G750" s="59"/>
      <c r="H750" s="59"/>
      <c r="I750" s="59"/>
      <c r="J750" s="59"/>
      <c r="K750" s="59"/>
      <c r="L750" s="59"/>
      <c r="M750" s="59"/>
      <c r="N750" s="59"/>
      <c r="O750" s="59"/>
      <c r="P750" s="59"/>
      <c r="Q750" s="59"/>
      <c r="R750" s="59"/>
      <c r="S750" s="59"/>
      <c r="T750" s="59"/>
      <c r="U750" s="59"/>
      <c r="V750" s="59"/>
      <c r="W750" s="59"/>
      <c r="X750" s="59"/>
      <c r="Y750" s="59"/>
    </row>
    <row r="751" spans="1:25" ht="18">
      <c r="A751" s="76"/>
      <c r="B751" s="59"/>
      <c r="C751" s="59"/>
      <c r="D751" s="59"/>
      <c r="E751" s="59"/>
      <c r="F751" s="59"/>
      <c r="G751" s="59"/>
      <c r="H751" s="59"/>
      <c r="I751" s="59"/>
      <c r="J751" s="59"/>
      <c r="K751" s="59"/>
      <c r="L751" s="59"/>
      <c r="M751" s="59"/>
      <c r="N751" s="59"/>
      <c r="O751" s="59"/>
      <c r="P751" s="59"/>
      <c r="Q751" s="59"/>
      <c r="R751" s="59"/>
      <c r="S751" s="59"/>
      <c r="T751" s="59"/>
      <c r="U751" s="59"/>
      <c r="V751" s="59"/>
      <c r="W751" s="59"/>
      <c r="X751" s="59"/>
      <c r="Y751" s="59"/>
    </row>
    <row r="752" spans="1:25" ht="18">
      <c r="A752" s="76"/>
      <c r="B752" s="59"/>
      <c r="C752" s="59"/>
      <c r="D752" s="59"/>
      <c r="E752" s="59"/>
      <c r="F752" s="59"/>
      <c r="G752" s="59"/>
      <c r="H752" s="59"/>
      <c r="I752" s="59"/>
      <c r="J752" s="59"/>
      <c r="K752" s="59"/>
      <c r="L752" s="59"/>
      <c r="M752" s="59"/>
      <c r="N752" s="59"/>
      <c r="O752" s="59"/>
      <c r="P752" s="59"/>
      <c r="Q752" s="59"/>
      <c r="R752" s="59"/>
      <c r="S752" s="59"/>
      <c r="T752" s="59"/>
      <c r="U752" s="59"/>
      <c r="V752" s="59"/>
      <c r="W752" s="59"/>
      <c r="X752" s="59"/>
      <c r="Y752" s="59"/>
    </row>
    <row r="753" spans="1:25" ht="18">
      <c r="A753" s="76"/>
      <c r="B753" s="59"/>
      <c r="C753" s="59"/>
      <c r="D753" s="59"/>
      <c r="E753" s="59"/>
      <c r="F753" s="59"/>
      <c r="G753" s="59"/>
      <c r="H753" s="59"/>
      <c r="I753" s="59"/>
      <c r="J753" s="59"/>
      <c r="K753" s="59"/>
      <c r="L753" s="59"/>
      <c r="M753" s="59"/>
      <c r="N753" s="59"/>
      <c r="O753" s="59"/>
      <c r="P753" s="59"/>
      <c r="Q753" s="59"/>
      <c r="R753" s="59"/>
      <c r="S753" s="59"/>
      <c r="T753" s="59"/>
      <c r="U753" s="59"/>
      <c r="V753" s="59"/>
      <c r="W753" s="59"/>
      <c r="X753" s="59"/>
      <c r="Y753" s="59"/>
    </row>
    <row r="754" spans="1:25" ht="18">
      <c r="A754" s="76"/>
      <c r="B754" s="59"/>
      <c r="C754" s="59"/>
      <c r="D754" s="59"/>
      <c r="E754" s="59"/>
      <c r="F754" s="59"/>
      <c r="G754" s="59"/>
      <c r="H754" s="59"/>
      <c r="I754" s="59"/>
      <c r="J754" s="59"/>
      <c r="K754" s="59"/>
      <c r="L754" s="59"/>
      <c r="M754" s="59"/>
      <c r="N754" s="59"/>
      <c r="O754" s="59"/>
      <c r="P754" s="59"/>
      <c r="Q754" s="59"/>
      <c r="R754" s="59"/>
      <c r="S754" s="59"/>
      <c r="T754" s="59"/>
      <c r="U754" s="59"/>
      <c r="V754" s="59"/>
      <c r="W754" s="59"/>
      <c r="X754" s="59"/>
      <c r="Y754" s="59"/>
    </row>
    <row r="755" spans="1:25" ht="18">
      <c r="A755" s="76"/>
      <c r="B755" s="59"/>
      <c r="C755" s="59"/>
      <c r="D755" s="59"/>
      <c r="E755" s="59"/>
      <c r="F755" s="59"/>
      <c r="G755" s="59"/>
      <c r="H755" s="59"/>
      <c r="I755" s="59"/>
      <c r="J755" s="59"/>
      <c r="K755" s="59"/>
      <c r="L755" s="59"/>
      <c r="M755" s="59"/>
      <c r="N755" s="59"/>
      <c r="O755" s="59"/>
      <c r="P755" s="59"/>
      <c r="Q755" s="59"/>
      <c r="R755" s="59"/>
      <c r="S755" s="59"/>
      <c r="T755" s="59"/>
      <c r="U755" s="59"/>
      <c r="V755" s="59"/>
      <c r="W755" s="59"/>
      <c r="X755" s="59"/>
      <c r="Y755" s="59"/>
    </row>
    <row r="756" spans="1:25" ht="18">
      <c r="A756" s="76"/>
      <c r="B756" s="59"/>
      <c r="C756" s="59"/>
      <c r="D756" s="59"/>
      <c r="E756" s="59"/>
      <c r="F756" s="59"/>
      <c r="G756" s="59"/>
      <c r="H756" s="59"/>
      <c r="I756" s="59"/>
      <c r="J756" s="59"/>
      <c r="K756" s="59"/>
      <c r="L756" s="59"/>
      <c r="M756" s="59"/>
      <c r="N756" s="59"/>
      <c r="O756" s="59"/>
      <c r="P756" s="59"/>
      <c r="Q756" s="59"/>
      <c r="R756" s="59"/>
      <c r="S756" s="59"/>
      <c r="T756" s="59"/>
      <c r="U756" s="59"/>
      <c r="V756" s="59"/>
      <c r="W756" s="59"/>
      <c r="X756" s="59"/>
      <c r="Y756" s="59"/>
    </row>
    <row r="757" spans="1:25" ht="18">
      <c r="A757" s="76"/>
      <c r="B757" s="59"/>
      <c r="C757" s="59"/>
      <c r="D757" s="59"/>
      <c r="E757" s="59"/>
      <c r="F757" s="59"/>
      <c r="G757" s="59"/>
      <c r="H757" s="59"/>
      <c r="I757" s="59"/>
      <c r="J757" s="59"/>
      <c r="K757" s="59"/>
      <c r="L757" s="59"/>
      <c r="M757" s="59"/>
      <c r="N757" s="59"/>
      <c r="O757" s="59"/>
      <c r="P757" s="59"/>
      <c r="Q757" s="59"/>
      <c r="R757" s="59"/>
      <c r="S757" s="59"/>
      <c r="T757" s="59"/>
      <c r="U757" s="59"/>
      <c r="V757" s="59"/>
      <c r="W757" s="59"/>
      <c r="X757" s="59"/>
      <c r="Y757" s="59"/>
    </row>
    <row r="758" spans="1:25" ht="18">
      <c r="A758" s="76"/>
      <c r="B758" s="59"/>
      <c r="C758" s="59"/>
      <c r="D758" s="59"/>
      <c r="E758" s="59"/>
      <c r="F758" s="59"/>
      <c r="G758" s="59"/>
      <c r="H758" s="59"/>
      <c r="I758" s="59"/>
      <c r="J758" s="59"/>
      <c r="K758" s="59"/>
      <c r="L758" s="59"/>
      <c r="M758" s="59"/>
      <c r="N758" s="59"/>
      <c r="O758" s="59"/>
      <c r="P758" s="59"/>
      <c r="Q758" s="59"/>
      <c r="R758" s="59"/>
      <c r="S758" s="59"/>
      <c r="T758" s="59"/>
      <c r="U758" s="59"/>
      <c r="V758" s="59"/>
      <c r="W758" s="59"/>
      <c r="X758" s="59"/>
      <c r="Y758" s="59"/>
    </row>
    <row r="759" spans="1:25" ht="18">
      <c r="A759" s="76"/>
      <c r="B759" s="59"/>
      <c r="C759" s="59"/>
      <c r="D759" s="59"/>
      <c r="E759" s="59"/>
      <c r="F759" s="59"/>
      <c r="G759" s="59"/>
      <c r="H759" s="59"/>
      <c r="I759" s="59"/>
      <c r="J759" s="59"/>
      <c r="K759" s="59"/>
      <c r="L759" s="59"/>
      <c r="M759" s="59"/>
      <c r="N759" s="59"/>
      <c r="O759" s="59"/>
      <c r="P759" s="59"/>
      <c r="Q759" s="59"/>
      <c r="R759" s="59"/>
      <c r="S759" s="59"/>
      <c r="T759" s="59"/>
      <c r="U759" s="59"/>
      <c r="V759" s="59"/>
      <c r="W759" s="59"/>
      <c r="X759" s="59"/>
      <c r="Y759" s="59"/>
    </row>
    <row r="760" spans="1:25" ht="18">
      <c r="A760" s="76"/>
      <c r="B760" s="59"/>
      <c r="C760" s="59"/>
      <c r="D760" s="59"/>
      <c r="E760" s="59"/>
      <c r="F760" s="59"/>
      <c r="G760" s="59"/>
      <c r="H760" s="59"/>
      <c r="I760" s="59"/>
      <c r="J760" s="59"/>
      <c r="K760" s="59"/>
      <c r="L760" s="59"/>
      <c r="M760" s="59"/>
      <c r="N760" s="59"/>
      <c r="O760" s="59"/>
      <c r="P760" s="59"/>
      <c r="Q760" s="59"/>
      <c r="R760" s="59"/>
      <c r="S760" s="59"/>
      <c r="T760" s="59"/>
      <c r="U760" s="59"/>
      <c r="V760" s="59"/>
      <c r="W760" s="59"/>
      <c r="X760" s="59"/>
      <c r="Y760" s="59"/>
    </row>
    <row r="761" spans="1:25" ht="18">
      <c r="A761" s="76"/>
      <c r="B761" s="59"/>
      <c r="C761" s="59"/>
      <c r="D761" s="59"/>
      <c r="E761" s="59"/>
      <c r="F761" s="59"/>
      <c r="G761" s="59"/>
      <c r="H761" s="59"/>
      <c r="I761" s="59"/>
      <c r="J761" s="59"/>
      <c r="K761" s="59"/>
      <c r="L761" s="59"/>
      <c r="M761" s="59"/>
      <c r="N761" s="59"/>
      <c r="O761" s="59"/>
      <c r="P761" s="59"/>
      <c r="Q761" s="59"/>
      <c r="R761" s="59"/>
      <c r="S761" s="59"/>
      <c r="T761" s="59"/>
      <c r="U761" s="59"/>
      <c r="V761" s="59"/>
      <c r="W761" s="59"/>
      <c r="X761" s="59"/>
      <c r="Y761" s="59"/>
    </row>
    <row r="762" spans="1:25" ht="18">
      <c r="A762" s="76"/>
      <c r="B762" s="59"/>
      <c r="C762" s="59"/>
      <c r="D762" s="59"/>
      <c r="E762" s="59"/>
      <c r="F762" s="59"/>
      <c r="G762" s="59"/>
      <c r="H762" s="59"/>
      <c r="I762" s="59"/>
      <c r="J762" s="59"/>
      <c r="K762" s="59"/>
      <c r="L762" s="59"/>
      <c r="M762" s="59"/>
      <c r="N762" s="59"/>
      <c r="O762" s="59"/>
      <c r="P762" s="59"/>
      <c r="Q762" s="59"/>
      <c r="R762" s="59"/>
      <c r="S762" s="59"/>
      <c r="T762" s="59"/>
      <c r="U762" s="59"/>
      <c r="V762" s="59"/>
      <c r="W762" s="59"/>
      <c r="X762" s="59"/>
      <c r="Y762" s="59"/>
    </row>
    <row r="763" spans="1:25" ht="18">
      <c r="A763" s="76"/>
      <c r="B763" s="59"/>
      <c r="C763" s="59"/>
      <c r="D763" s="59"/>
      <c r="E763" s="59"/>
      <c r="F763" s="59"/>
      <c r="G763" s="59"/>
      <c r="H763" s="59"/>
      <c r="I763" s="59"/>
      <c r="J763" s="59"/>
      <c r="K763" s="59"/>
      <c r="L763" s="59"/>
      <c r="M763" s="59"/>
      <c r="N763" s="59"/>
      <c r="O763" s="59"/>
      <c r="P763" s="59"/>
      <c r="Q763" s="59"/>
      <c r="R763" s="59"/>
      <c r="S763" s="59"/>
      <c r="T763" s="59"/>
      <c r="U763" s="59"/>
      <c r="V763" s="59"/>
      <c r="W763" s="59"/>
      <c r="X763" s="59"/>
      <c r="Y763" s="59"/>
    </row>
    <row r="764" spans="1:25" ht="18">
      <c r="A764" s="76"/>
      <c r="B764" s="59"/>
      <c r="C764" s="59"/>
      <c r="D764" s="59"/>
      <c r="E764" s="59"/>
      <c r="F764" s="59"/>
      <c r="G764" s="59"/>
      <c r="H764" s="59"/>
      <c r="I764" s="59"/>
      <c r="J764" s="59"/>
      <c r="K764" s="59"/>
      <c r="L764" s="59"/>
      <c r="M764" s="59"/>
      <c r="N764" s="59"/>
      <c r="O764" s="59"/>
      <c r="P764" s="59"/>
      <c r="Q764" s="59"/>
      <c r="R764" s="59"/>
      <c r="S764" s="59"/>
      <c r="T764" s="59"/>
      <c r="U764" s="59"/>
      <c r="V764" s="59"/>
      <c r="W764" s="59"/>
      <c r="X764" s="59"/>
      <c r="Y764" s="59"/>
    </row>
    <row r="765" spans="1:25" ht="18">
      <c r="A765" s="76"/>
      <c r="B765" s="59"/>
      <c r="C765" s="59"/>
      <c r="D765" s="59"/>
      <c r="E765" s="59"/>
      <c r="F765" s="59"/>
      <c r="G765" s="59"/>
      <c r="H765" s="59"/>
      <c r="I765" s="59"/>
      <c r="J765" s="59"/>
      <c r="K765" s="59"/>
      <c r="L765" s="59"/>
      <c r="M765" s="59"/>
      <c r="N765" s="59"/>
      <c r="O765" s="59"/>
      <c r="P765" s="59"/>
      <c r="Q765" s="59"/>
      <c r="R765" s="59"/>
      <c r="S765" s="59"/>
      <c r="T765" s="59"/>
      <c r="U765" s="59"/>
      <c r="V765" s="59"/>
      <c r="W765" s="59"/>
      <c r="X765" s="59"/>
      <c r="Y765" s="59"/>
    </row>
    <row r="766" spans="1:25" ht="18">
      <c r="A766" s="76"/>
      <c r="B766" s="59"/>
      <c r="C766" s="59"/>
      <c r="D766" s="59"/>
      <c r="E766" s="59"/>
      <c r="F766" s="59"/>
      <c r="G766" s="59"/>
      <c r="H766" s="59"/>
      <c r="I766" s="59"/>
      <c r="J766" s="59"/>
      <c r="K766" s="59"/>
      <c r="L766" s="59"/>
      <c r="M766" s="59"/>
      <c r="N766" s="59"/>
      <c r="O766" s="59"/>
      <c r="P766" s="59"/>
      <c r="Q766" s="59"/>
      <c r="R766" s="59"/>
      <c r="S766" s="59"/>
      <c r="T766" s="59"/>
      <c r="U766" s="59"/>
      <c r="V766" s="59"/>
      <c r="W766" s="59"/>
      <c r="X766" s="59"/>
      <c r="Y766" s="59"/>
    </row>
    <row r="767" spans="1:25" ht="18">
      <c r="A767" s="76"/>
      <c r="B767" s="59"/>
      <c r="C767" s="59"/>
      <c r="D767" s="59"/>
      <c r="E767" s="59"/>
      <c r="F767" s="59"/>
      <c r="G767" s="59"/>
      <c r="H767" s="59"/>
      <c r="I767" s="59"/>
      <c r="J767" s="59"/>
      <c r="K767" s="59"/>
      <c r="L767" s="59"/>
      <c r="M767" s="59"/>
      <c r="N767" s="59"/>
      <c r="O767" s="59"/>
      <c r="P767" s="59"/>
      <c r="Q767" s="59"/>
      <c r="R767" s="59"/>
      <c r="S767" s="59"/>
      <c r="T767" s="59"/>
      <c r="U767" s="59"/>
      <c r="V767" s="59"/>
      <c r="W767" s="59"/>
      <c r="X767" s="59"/>
      <c r="Y767" s="59"/>
    </row>
    <row r="768" spans="1:25" ht="18">
      <c r="A768" s="76"/>
      <c r="B768" s="59"/>
      <c r="C768" s="59"/>
      <c r="D768" s="59"/>
      <c r="E768" s="59"/>
      <c r="F768" s="59"/>
      <c r="G768" s="59"/>
      <c r="H768" s="59"/>
      <c r="I768" s="59"/>
      <c r="J768" s="59"/>
      <c r="K768" s="59"/>
      <c r="L768" s="59"/>
      <c r="M768" s="59"/>
      <c r="N768" s="59"/>
      <c r="O768" s="59"/>
      <c r="P768" s="59"/>
      <c r="Q768" s="59"/>
      <c r="R768" s="59"/>
      <c r="S768" s="59"/>
      <c r="T768" s="59"/>
      <c r="U768" s="59"/>
      <c r="V768" s="59"/>
      <c r="W768" s="59"/>
      <c r="X768" s="59"/>
      <c r="Y768" s="59"/>
    </row>
    <row r="769" spans="1:25" ht="18">
      <c r="A769" s="76"/>
      <c r="B769" s="59"/>
      <c r="C769" s="59"/>
      <c r="D769" s="59"/>
      <c r="E769" s="59"/>
      <c r="F769" s="59"/>
      <c r="G769" s="59"/>
      <c r="H769" s="59"/>
      <c r="I769" s="59"/>
      <c r="J769" s="59"/>
      <c r="K769" s="59"/>
      <c r="L769" s="59"/>
      <c r="M769" s="59"/>
      <c r="N769" s="59"/>
      <c r="O769" s="59"/>
      <c r="P769" s="59"/>
      <c r="Q769" s="59"/>
      <c r="R769" s="59"/>
      <c r="S769" s="59"/>
      <c r="T769" s="59"/>
      <c r="U769" s="59"/>
      <c r="V769" s="59"/>
      <c r="W769" s="59"/>
      <c r="X769" s="59"/>
      <c r="Y769" s="59"/>
    </row>
    <row r="770" spans="1:25" ht="18">
      <c r="A770" s="76"/>
      <c r="B770" s="59"/>
      <c r="C770" s="59"/>
      <c r="D770" s="59"/>
      <c r="E770" s="59"/>
      <c r="F770" s="59"/>
      <c r="G770" s="59"/>
      <c r="H770" s="59"/>
      <c r="I770" s="59"/>
      <c r="J770" s="59"/>
      <c r="K770" s="59"/>
      <c r="L770" s="59"/>
      <c r="M770" s="59"/>
      <c r="N770" s="59"/>
      <c r="O770" s="59"/>
      <c r="P770" s="59"/>
      <c r="Q770" s="59"/>
      <c r="R770" s="59"/>
      <c r="S770" s="59"/>
      <c r="T770" s="59"/>
      <c r="U770" s="59"/>
      <c r="V770" s="59"/>
      <c r="W770" s="59"/>
      <c r="X770" s="59"/>
      <c r="Y770" s="59"/>
    </row>
    <row r="771" spans="1:25" ht="18">
      <c r="A771" s="76"/>
      <c r="B771" s="59"/>
      <c r="C771" s="59"/>
      <c r="D771" s="59"/>
      <c r="E771" s="59"/>
      <c r="F771" s="59"/>
      <c r="G771" s="59"/>
      <c r="H771" s="59"/>
      <c r="I771" s="59"/>
      <c r="J771" s="59"/>
      <c r="K771" s="59"/>
      <c r="L771" s="59"/>
      <c r="M771" s="59"/>
      <c r="N771" s="59"/>
      <c r="O771" s="59"/>
      <c r="P771" s="59"/>
      <c r="Q771" s="59"/>
      <c r="R771" s="59"/>
      <c r="S771" s="59"/>
      <c r="T771" s="59"/>
      <c r="U771" s="59"/>
      <c r="V771" s="59"/>
      <c r="W771" s="59"/>
      <c r="X771" s="59"/>
      <c r="Y771" s="59"/>
    </row>
    <row r="772" spans="1:25" ht="18">
      <c r="A772" s="76"/>
      <c r="B772" s="59"/>
      <c r="C772" s="59"/>
      <c r="D772" s="59"/>
      <c r="E772" s="59"/>
      <c r="F772" s="59"/>
      <c r="G772" s="59"/>
      <c r="H772" s="59"/>
      <c r="I772" s="59"/>
      <c r="J772" s="59"/>
      <c r="K772" s="59"/>
      <c r="L772" s="59"/>
      <c r="M772" s="59"/>
      <c r="N772" s="59"/>
      <c r="O772" s="59"/>
      <c r="P772" s="59"/>
      <c r="Q772" s="59"/>
      <c r="R772" s="59"/>
      <c r="S772" s="59"/>
      <c r="T772" s="59"/>
      <c r="U772" s="59"/>
      <c r="V772" s="59"/>
      <c r="W772" s="59"/>
      <c r="X772" s="59"/>
      <c r="Y772" s="59"/>
    </row>
    <row r="773" spans="1:25" ht="18">
      <c r="A773" s="76"/>
      <c r="B773" s="59"/>
      <c r="C773" s="59"/>
      <c r="D773" s="59"/>
      <c r="E773" s="59"/>
      <c r="F773" s="59"/>
      <c r="G773" s="59"/>
      <c r="H773" s="59"/>
      <c r="I773" s="59"/>
      <c r="J773" s="59"/>
      <c r="K773" s="59"/>
      <c r="L773" s="59"/>
      <c r="M773" s="59"/>
      <c r="N773" s="59"/>
      <c r="O773" s="59"/>
      <c r="P773" s="59"/>
      <c r="Q773" s="59"/>
      <c r="R773" s="59"/>
      <c r="S773" s="59"/>
      <c r="T773" s="59"/>
      <c r="U773" s="59"/>
      <c r="V773" s="59"/>
      <c r="W773" s="59"/>
      <c r="X773" s="59"/>
      <c r="Y773" s="59"/>
    </row>
    <row r="774" spans="1:25" ht="18">
      <c r="A774" s="76"/>
      <c r="B774" s="59"/>
      <c r="C774" s="59"/>
      <c r="D774" s="59"/>
      <c r="E774" s="59"/>
      <c r="F774" s="59"/>
      <c r="G774" s="59"/>
      <c r="H774" s="59"/>
      <c r="I774" s="59"/>
      <c r="J774" s="59"/>
      <c r="K774" s="59"/>
      <c r="L774" s="59"/>
      <c r="M774" s="59"/>
      <c r="N774" s="59"/>
      <c r="O774" s="59"/>
      <c r="P774" s="59"/>
      <c r="Q774" s="59"/>
      <c r="R774" s="59"/>
      <c r="S774" s="59"/>
      <c r="T774" s="59"/>
      <c r="U774" s="59"/>
      <c r="V774" s="59"/>
      <c r="W774" s="59"/>
      <c r="X774" s="59"/>
      <c r="Y774" s="59"/>
    </row>
    <row r="775" spans="1:25" ht="18">
      <c r="A775" s="76"/>
      <c r="B775" s="59"/>
      <c r="C775" s="59"/>
      <c r="D775" s="59"/>
      <c r="E775" s="59"/>
      <c r="F775" s="59"/>
      <c r="G775" s="59"/>
      <c r="H775" s="59"/>
      <c r="I775" s="59"/>
      <c r="J775" s="59"/>
      <c r="K775" s="59"/>
      <c r="L775" s="59"/>
      <c r="M775" s="59"/>
      <c r="N775" s="59"/>
      <c r="O775" s="59"/>
      <c r="P775" s="59"/>
      <c r="Q775" s="59"/>
      <c r="R775" s="59"/>
      <c r="S775" s="59"/>
      <c r="T775" s="59"/>
      <c r="U775" s="59"/>
      <c r="V775" s="59"/>
      <c r="W775" s="59"/>
      <c r="X775" s="59"/>
      <c r="Y775" s="59"/>
    </row>
    <row r="776" spans="1:25" ht="18">
      <c r="A776" s="76"/>
      <c r="B776" s="59"/>
      <c r="C776" s="59"/>
      <c r="D776" s="59"/>
      <c r="E776" s="59"/>
      <c r="F776" s="59"/>
      <c r="G776" s="59"/>
      <c r="H776" s="59"/>
      <c r="I776" s="59"/>
      <c r="J776" s="59"/>
      <c r="K776" s="59"/>
      <c r="L776" s="59"/>
      <c r="M776" s="59"/>
      <c r="N776" s="59"/>
      <c r="O776" s="59"/>
      <c r="P776" s="59"/>
      <c r="Q776" s="59"/>
      <c r="R776" s="59"/>
      <c r="S776" s="59"/>
      <c r="T776" s="59"/>
      <c r="U776" s="59"/>
      <c r="V776" s="59"/>
      <c r="W776" s="59"/>
      <c r="X776" s="59"/>
      <c r="Y776" s="59"/>
    </row>
    <row r="777" spans="1:25" ht="18">
      <c r="A777" s="76"/>
      <c r="B777" s="59"/>
      <c r="C777" s="59"/>
      <c r="D777" s="59"/>
      <c r="E777" s="59"/>
      <c r="F777" s="59"/>
      <c r="G777" s="59"/>
      <c r="H777" s="59"/>
      <c r="I777" s="59"/>
      <c r="J777" s="59"/>
      <c r="K777" s="59"/>
      <c r="L777" s="59"/>
      <c r="M777" s="59"/>
      <c r="N777" s="59"/>
      <c r="O777" s="59"/>
      <c r="P777" s="59"/>
      <c r="Q777" s="59"/>
      <c r="R777" s="59"/>
      <c r="S777" s="59"/>
      <c r="T777" s="59"/>
      <c r="U777" s="59"/>
      <c r="V777" s="59"/>
      <c r="W777" s="59"/>
      <c r="X777" s="59"/>
      <c r="Y777" s="59"/>
    </row>
    <row r="778" spans="1:25" ht="18">
      <c r="A778" s="76"/>
      <c r="B778" s="59"/>
      <c r="C778" s="59"/>
      <c r="D778" s="59"/>
      <c r="E778" s="59"/>
      <c r="F778" s="59"/>
      <c r="G778" s="59"/>
      <c r="H778" s="59"/>
      <c r="I778" s="59"/>
      <c r="J778" s="59"/>
      <c r="K778" s="59"/>
      <c r="L778" s="59"/>
      <c r="M778" s="59"/>
      <c r="N778" s="59"/>
      <c r="O778" s="59"/>
      <c r="P778" s="59"/>
      <c r="Q778" s="59"/>
      <c r="R778" s="59"/>
      <c r="S778" s="59"/>
      <c r="T778" s="59"/>
      <c r="U778" s="59"/>
      <c r="V778" s="59"/>
      <c r="W778" s="59"/>
      <c r="X778" s="59"/>
      <c r="Y778" s="59"/>
    </row>
    <row r="779" spans="1:25" ht="18">
      <c r="A779" s="76"/>
      <c r="B779" s="59"/>
      <c r="C779" s="59"/>
      <c r="D779" s="59"/>
      <c r="E779" s="59"/>
      <c r="F779" s="59"/>
      <c r="G779" s="59"/>
      <c r="H779" s="59"/>
      <c r="I779" s="59"/>
      <c r="J779" s="59"/>
      <c r="K779" s="59"/>
      <c r="L779" s="59"/>
      <c r="M779" s="59"/>
      <c r="N779" s="59"/>
      <c r="O779" s="59"/>
      <c r="P779" s="59"/>
      <c r="Q779" s="59"/>
      <c r="R779" s="59"/>
      <c r="S779" s="59"/>
      <c r="T779" s="59"/>
      <c r="U779" s="59"/>
      <c r="V779" s="59"/>
      <c r="W779" s="59"/>
      <c r="X779" s="59"/>
      <c r="Y779" s="59"/>
    </row>
    <row r="780" spans="1:25" ht="18">
      <c r="A780" s="76"/>
      <c r="B780" s="59"/>
      <c r="C780" s="59"/>
      <c r="D780" s="59"/>
      <c r="E780" s="59"/>
      <c r="F780" s="59"/>
      <c r="G780" s="59"/>
      <c r="H780" s="59"/>
      <c r="I780" s="59"/>
      <c r="J780" s="59"/>
      <c r="K780" s="59"/>
      <c r="L780" s="59"/>
      <c r="M780" s="59"/>
      <c r="N780" s="59"/>
      <c r="O780" s="59"/>
      <c r="P780" s="59"/>
      <c r="Q780" s="59"/>
      <c r="R780" s="59"/>
      <c r="S780" s="59"/>
      <c r="T780" s="59"/>
      <c r="U780" s="59"/>
      <c r="V780" s="59"/>
      <c r="W780" s="59"/>
      <c r="X780" s="59"/>
      <c r="Y780" s="59"/>
    </row>
    <row r="781" spans="1:25" ht="18">
      <c r="A781" s="76"/>
      <c r="B781" s="59"/>
      <c r="C781" s="59"/>
      <c r="D781" s="59"/>
      <c r="E781" s="59"/>
      <c r="F781" s="59"/>
      <c r="G781" s="59"/>
      <c r="H781" s="59"/>
      <c r="I781" s="59"/>
      <c r="J781" s="59"/>
      <c r="K781" s="59"/>
      <c r="L781" s="59"/>
      <c r="M781" s="59"/>
      <c r="N781" s="59"/>
      <c r="O781" s="59"/>
      <c r="P781" s="59"/>
      <c r="Q781" s="59"/>
      <c r="R781" s="59"/>
      <c r="S781" s="59"/>
      <c r="T781" s="59"/>
      <c r="U781" s="59"/>
      <c r="V781" s="59"/>
      <c r="W781" s="59"/>
      <c r="X781" s="59"/>
      <c r="Y781" s="59"/>
    </row>
    <row r="782" spans="1:25" ht="18">
      <c r="A782" s="76"/>
      <c r="B782" s="59"/>
      <c r="C782" s="59"/>
      <c r="D782" s="59"/>
      <c r="E782" s="59"/>
      <c r="F782" s="59"/>
      <c r="G782" s="59"/>
      <c r="H782" s="59"/>
      <c r="I782" s="59"/>
      <c r="J782" s="59"/>
      <c r="K782" s="59"/>
      <c r="L782" s="59"/>
      <c r="M782" s="59"/>
      <c r="N782" s="59"/>
      <c r="O782" s="59"/>
      <c r="P782" s="59"/>
      <c r="Q782" s="59"/>
      <c r="R782" s="59"/>
      <c r="S782" s="59"/>
      <c r="T782" s="59"/>
      <c r="U782" s="59"/>
      <c r="V782" s="59"/>
      <c r="W782" s="59"/>
      <c r="X782" s="59"/>
      <c r="Y782" s="59"/>
    </row>
    <row r="783" spans="1:25" ht="18">
      <c r="A783" s="76"/>
      <c r="B783" s="59"/>
      <c r="C783" s="59"/>
      <c r="D783" s="59"/>
      <c r="E783" s="59"/>
      <c r="F783" s="59"/>
      <c r="G783" s="59"/>
      <c r="H783" s="59"/>
      <c r="I783" s="59"/>
      <c r="J783" s="59"/>
      <c r="K783" s="59"/>
      <c r="L783" s="59"/>
      <c r="M783" s="59"/>
      <c r="N783" s="59"/>
      <c r="O783" s="59"/>
      <c r="P783" s="59"/>
      <c r="Q783" s="59"/>
      <c r="R783" s="59"/>
      <c r="S783" s="59"/>
      <c r="T783" s="59"/>
      <c r="U783" s="59"/>
      <c r="V783" s="59"/>
      <c r="W783" s="59"/>
      <c r="X783" s="59"/>
      <c r="Y783" s="59"/>
    </row>
    <row r="784" spans="1:25" ht="18">
      <c r="A784" s="76"/>
      <c r="B784" s="59"/>
      <c r="C784" s="59"/>
      <c r="D784" s="59"/>
      <c r="E784" s="59"/>
      <c r="F784" s="59"/>
      <c r="G784" s="59"/>
      <c r="H784" s="59"/>
      <c r="I784" s="59"/>
      <c r="J784" s="59"/>
      <c r="K784" s="59"/>
      <c r="L784" s="59"/>
      <c r="M784" s="59"/>
      <c r="N784" s="59"/>
      <c r="O784" s="59"/>
      <c r="P784" s="59"/>
      <c r="Q784" s="59"/>
      <c r="R784" s="59"/>
      <c r="S784" s="59"/>
      <c r="T784" s="59"/>
      <c r="U784" s="59"/>
      <c r="V784" s="59"/>
      <c r="W784" s="59"/>
      <c r="X784" s="59"/>
      <c r="Y784" s="59"/>
    </row>
    <row r="785" spans="1:25" ht="18">
      <c r="A785" s="76"/>
      <c r="B785" s="59"/>
      <c r="C785" s="59"/>
      <c r="D785" s="59"/>
      <c r="E785" s="59"/>
      <c r="F785" s="59"/>
      <c r="G785" s="59"/>
      <c r="H785" s="59"/>
      <c r="I785" s="59"/>
      <c r="J785" s="59"/>
      <c r="K785" s="59"/>
      <c r="L785" s="59"/>
      <c r="M785" s="59"/>
      <c r="N785" s="59"/>
      <c r="O785" s="59"/>
      <c r="P785" s="59"/>
      <c r="Q785" s="59"/>
      <c r="R785" s="59"/>
      <c r="S785" s="59"/>
      <c r="T785" s="59"/>
      <c r="U785" s="59"/>
      <c r="V785" s="59"/>
      <c r="W785" s="59"/>
      <c r="X785" s="59"/>
      <c r="Y785" s="59"/>
    </row>
    <row r="786" spans="1:25" ht="18">
      <c r="A786" s="76"/>
      <c r="B786" s="59"/>
      <c r="C786" s="59"/>
      <c r="D786" s="59"/>
      <c r="E786" s="59"/>
      <c r="F786" s="59"/>
      <c r="G786" s="59"/>
      <c r="H786" s="59"/>
      <c r="I786" s="59"/>
      <c r="J786" s="59"/>
      <c r="K786" s="59"/>
      <c r="L786" s="59"/>
      <c r="M786" s="59"/>
      <c r="N786" s="59"/>
      <c r="O786" s="59"/>
      <c r="P786" s="59"/>
      <c r="Q786" s="59"/>
      <c r="R786" s="59"/>
      <c r="S786" s="59"/>
      <c r="T786" s="59"/>
      <c r="U786" s="59"/>
      <c r="V786" s="59"/>
      <c r="W786" s="59"/>
      <c r="X786" s="59"/>
      <c r="Y786" s="59"/>
    </row>
    <row r="787" spans="1:25" ht="18">
      <c r="A787" s="76"/>
      <c r="B787" s="59"/>
      <c r="C787" s="59"/>
      <c r="D787" s="59"/>
      <c r="E787" s="59"/>
      <c r="F787" s="59"/>
      <c r="G787" s="59"/>
      <c r="H787" s="59"/>
      <c r="I787" s="59"/>
      <c r="J787" s="59"/>
      <c r="K787" s="59"/>
      <c r="L787" s="59"/>
      <c r="M787" s="59"/>
      <c r="N787" s="59"/>
      <c r="O787" s="59"/>
      <c r="P787" s="59"/>
      <c r="Q787" s="59"/>
      <c r="R787" s="59"/>
      <c r="S787" s="59"/>
      <c r="T787" s="59"/>
      <c r="U787" s="59"/>
      <c r="V787" s="59"/>
      <c r="W787" s="59"/>
      <c r="X787" s="59"/>
      <c r="Y787" s="59"/>
    </row>
    <row r="788" spans="1:25" ht="18">
      <c r="A788" s="76"/>
      <c r="B788" s="59"/>
      <c r="C788" s="59"/>
      <c r="D788" s="59"/>
      <c r="E788" s="59"/>
      <c r="F788" s="59"/>
      <c r="G788" s="59"/>
      <c r="H788" s="59"/>
      <c r="I788" s="59"/>
      <c r="J788" s="59"/>
      <c r="K788" s="59"/>
      <c r="L788" s="59"/>
      <c r="M788" s="59"/>
      <c r="N788" s="59"/>
      <c r="O788" s="59"/>
      <c r="P788" s="59"/>
      <c r="Q788" s="59"/>
      <c r="R788" s="59"/>
      <c r="S788" s="59"/>
      <c r="T788" s="59"/>
      <c r="U788" s="59"/>
      <c r="V788" s="59"/>
      <c r="W788" s="59"/>
      <c r="X788" s="59"/>
      <c r="Y788" s="59"/>
    </row>
    <row r="789" spans="1:25" ht="18">
      <c r="A789" s="76"/>
      <c r="B789" s="59"/>
      <c r="C789" s="59"/>
      <c r="D789" s="59"/>
      <c r="E789" s="59"/>
      <c r="F789" s="59"/>
      <c r="G789" s="59"/>
      <c r="H789" s="59"/>
      <c r="I789" s="59"/>
      <c r="J789" s="59"/>
      <c r="K789" s="59"/>
      <c r="L789" s="59"/>
      <c r="M789" s="59"/>
      <c r="N789" s="59"/>
      <c r="O789" s="59"/>
      <c r="P789" s="59"/>
      <c r="Q789" s="59"/>
      <c r="R789" s="59"/>
      <c r="S789" s="59"/>
      <c r="T789" s="59"/>
      <c r="U789" s="59"/>
      <c r="V789" s="59"/>
      <c r="W789" s="59"/>
      <c r="X789" s="59"/>
      <c r="Y789" s="59"/>
    </row>
    <row r="790" spans="1:25" ht="18">
      <c r="A790" s="76"/>
      <c r="B790" s="59"/>
      <c r="C790" s="59"/>
      <c r="D790" s="59"/>
      <c r="E790" s="59"/>
      <c r="F790" s="59"/>
      <c r="G790" s="59"/>
      <c r="H790" s="59"/>
      <c r="I790" s="59"/>
      <c r="J790" s="59"/>
      <c r="K790" s="59"/>
      <c r="L790" s="59"/>
      <c r="M790" s="59"/>
      <c r="N790" s="59"/>
      <c r="O790" s="59"/>
      <c r="P790" s="59"/>
      <c r="Q790" s="59"/>
      <c r="R790" s="59"/>
      <c r="S790" s="59"/>
      <c r="T790" s="59"/>
      <c r="U790" s="59"/>
      <c r="V790" s="59"/>
      <c r="W790" s="59"/>
      <c r="X790" s="59"/>
      <c r="Y790" s="59"/>
    </row>
    <row r="791" spans="1:25" ht="18">
      <c r="A791" s="76"/>
      <c r="B791" s="59"/>
      <c r="C791" s="59"/>
      <c r="D791" s="59"/>
      <c r="E791" s="59"/>
      <c r="F791" s="59"/>
      <c r="G791" s="59"/>
      <c r="H791" s="59"/>
      <c r="I791" s="59"/>
      <c r="J791" s="59"/>
      <c r="K791" s="59"/>
      <c r="L791" s="59"/>
      <c r="M791" s="59"/>
      <c r="N791" s="59"/>
      <c r="O791" s="59"/>
      <c r="P791" s="59"/>
      <c r="Q791" s="59"/>
      <c r="R791" s="59"/>
      <c r="S791" s="59"/>
      <c r="T791" s="59"/>
      <c r="U791" s="59"/>
      <c r="V791" s="59"/>
      <c r="W791" s="59"/>
      <c r="X791" s="59"/>
      <c r="Y791" s="59"/>
    </row>
    <row r="792" spans="1:25" ht="18">
      <c r="A792" s="76"/>
      <c r="B792" s="59"/>
      <c r="C792" s="59"/>
      <c r="D792" s="59"/>
      <c r="E792" s="59"/>
      <c r="F792" s="59"/>
      <c r="G792" s="59"/>
      <c r="H792" s="59"/>
      <c r="I792" s="59"/>
      <c r="J792" s="59"/>
      <c r="K792" s="59"/>
      <c r="L792" s="59"/>
      <c r="M792" s="59"/>
      <c r="N792" s="59"/>
      <c r="O792" s="59"/>
      <c r="P792" s="59"/>
      <c r="Q792" s="59"/>
      <c r="R792" s="59"/>
      <c r="S792" s="59"/>
      <c r="T792" s="59"/>
      <c r="U792" s="59"/>
      <c r="V792" s="59"/>
      <c r="W792" s="59"/>
      <c r="X792" s="59"/>
      <c r="Y792" s="59"/>
    </row>
    <row r="793" spans="1:25" ht="18">
      <c r="A793" s="76"/>
      <c r="B793" s="59"/>
      <c r="C793" s="59"/>
      <c r="D793" s="59"/>
      <c r="E793" s="59"/>
      <c r="F793" s="59"/>
      <c r="G793" s="59"/>
      <c r="H793" s="59"/>
      <c r="I793" s="59"/>
      <c r="J793" s="59"/>
      <c r="K793" s="59"/>
      <c r="L793" s="59"/>
      <c r="M793" s="59"/>
      <c r="N793" s="59"/>
      <c r="O793" s="59"/>
      <c r="P793" s="59"/>
      <c r="Q793" s="59"/>
      <c r="R793" s="59"/>
      <c r="S793" s="59"/>
      <c r="T793" s="59"/>
      <c r="U793" s="59"/>
      <c r="V793" s="59"/>
      <c r="W793" s="59"/>
      <c r="X793" s="59"/>
      <c r="Y793" s="59"/>
    </row>
    <row r="794" spans="1:25" ht="18">
      <c r="A794" s="76"/>
      <c r="B794" s="59"/>
      <c r="C794" s="59"/>
      <c r="D794" s="59"/>
      <c r="E794" s="59"/>
      <c r="F794" s="59"/>
      <c r="G794" s="59"/>
      <c r="H794" s="59"/>
      <c r="I794" s="59"/>
      <c r="J794" s="59"/>
      <c r="K794" s="59"/>
      <c r="L794" s="59"/>
      <c r="M794" s="59"/>
      <c r="N794" s="59"/>
      <c r="O794" s="59"/>
      <c r="P794" s="59"/>
      <c r="Q794" s="59"/>
      <c r="R794" s="59"/>
      <c r="S794" s="59"/>
      <c r="T794" s="59"/>
      <c r="U794" s="59"/>
      <c r="V794" s="59"/>
      <c r="W794" s="59"/>
      <c r="X794" s="59"/>
      <c r="Y794" s="59"/>
    </row>
    <row r="795" spans="1:25" ht="18">
      <c r="A795" s="76"/>
      <c r="B795" s="59"/>
      <c r="C795" s="59"/>
      <c r="D795" s="59"/>
      <c r="E795" s="59"/>
      <c r="F795" s="59"/>
      <c r="G795" s="59"/>
      <c r="H795" s="59"/>
      <c r="I795" s="59"/>
      <c r="J795" s="59"/>
      <c r="K795" s="59"/>
      <c r="L795" s="59"/>
      <c r="M795" s="59"/>
      <c r="N795" s="59"/>
      <c r="O795" s="59"/>
      <c r="P795" s="59"/>
      <c r="Q795" s="59"/>
      <c r="R795" s="59"/>
      <c r="S795" s="59"/>
      <c r="T795" s="59"/>
      <c r="U795" s="59"/>
      <c r="V795" s="59"/>
      <c r="W795" s="59"/>
      <c r="X795" s="59"/>
      <c r="Y795" s="59"/>
    </row>
    <row r="796" spans="1:25" ht="18">
      <c r="A796" s="76"/>
      <c r="B796" s="59"/>
      <c r="C796" s="59"/>
      <c r="D796" s="59"/>
      <c r="E796" s="59"/>
      <c r="F796" s="59"/>
      <c r="G796" s="59"/>
      <c r="H796" s="59"/>
      <c r="I796" s="59"/>
      <c r="J796" s="59"/>
      <c r="K796" s="59"/>
      <c r="L796" s="59"/>
      <c r="M796" s="59"/>
      <c r="N796" s="59"/>
      <c r="O796" s="59"/>
      <c r="P796" s="59"/>
      <c r="Q796" s="59"/>
      <c r="R796" s="59"/>
      <c r="S796" s="59"/>
      <c r="T796" s="59"/>
      <c r="U796" s="59"/>
      <c r="V796" s="59"/>
      <c r="W796" s="59"/>
      <c r="X796" s="59"/>
      <c r="Y796" s="59"/>
    </row>
    <row r="797" spans="1:25" ht="18">
      <c r="A797" s="76"/>
      <c r="B797" s="59"/>
      <c r="C797" s="59"/>
      <c r="D797" s="59"/>
      <c r="E797" s="59"/>
      <c r="F797" s="59"/>
      <c r="G797" s="59"/>
      <c r="H797" s="59"/>
      <c r="I797" s="59"/>
      <c r="J797" s="59"/>
      <c r="K797" s="59"/>
      <c r="L797" s="59"/>
      <c r="M797" s="59"/>
      <c r="N797" s="59"/>
      <c r="O797" s="59"/>
      <c r="P797" s="59"/>
      <c r="Q797" s="59"/>
      <c r="R797" s="59"/>
      <c r="S797" s="59"/>
      <c r="T797" s="59"/>
      <c r="U797" s="59"/>
      <c r="V797" s="59"/>
      <c r="W797" s="59"/>
      <c r="X797" s="59"/>
      <c r="Y797" s="59"/>
    </row>
    <row r="798" spans="1:25" ht="18">
      <c r="A798" s="76"/>
      <c r="B798" s="59"/>
      <c r="C798" s="59"/>
      <c r="D798" s="59"/>
      <c r="E798" s="59"/>
      <c r="F798" s="59"/>
      <c r="G798" s="59"/>
      <c r="H798" s="59"/>
      <c r="I798" s="59"/>
      <c r="J798" s="59"/>
      <c r="K798" s="59"/>
      <c r="L798" s="59"/>
      <c r="M798" s="59"/>
      <c r="N798" s="59"/>
      <c r="O798" s="59"/>
      <c r="P798" s="59"/>
      <c r="Q798" s="59"/>
      <c r="R798" s="59"/>
      <c r="S798" s="59"/>
      <c r="T798" s="59"/>
      <c r="U798" s="59"/>
      <c r="V798" s="59"/>
      <c r="W798" s="59"/>
      <c r="X798" s="59"/>
      <c r="Y798" s="59"/>
    </row>
    <row r="799" spans="1:25" ht="18">
      <c r="A799" s="76"/>
      <c r="B799" s="59"/>
      <c r="C799" s="59"/>
      <c r="D799" s="59"/>
      <c r="E799" s="59"/>
      <c r="F799" s="59"/>
      <c r="G799" s="59"/>
      <c r="H799" s="59"/>
      <c r="I799" s="59"/>
      <c r="J799" s="59"/>
      <c r="K799" s="59"/>
      <c r="L799" s="59"/>
      <c r="M799" s="59"/>
      <c r="N799" s="59"/>
      <c r="O799" s="59"/>
      <c r="P799" s="59"/>
      <c r="Q799" s="59"/>
      <c r="R799" s="59"/>
      <c r="S799" s="59"/>
      <c r="T799" s="59"/>
      <c r="U799" s="59"/>
      <c r="V799" s="59"/>
      <c r="W799" s="59"/>
      <c r="X799" s="59"/>
      <c r="Y799" s="59"/>
    </row>
    <row r="800" spans="1:25" ht="18">
      <c r="A800" s="76"/>
      <c r="B800" s="59"/>
      <c r="C800" s="59"/>
      <c r="D800" s="59"/>
      <c r="E800" s="59"/>
      <c r="F800" s="59"/>
      <c r="G800" s="59"/>
      <c r="H800" s="59"/>
      <c r="I800" s="59"/>
      <c r="J800" s="59"/>
      <c r="K800" s="59"/>
      <c r="L800" s="59"/>
      <c r="M800" s="59"/>
      <c r="N800" s="59"/>
      <c r="O800" s="59"/>
      <c r="P800" s="59"/>
      <c r="Q800" s="59"/>
      <c r="R800" s="59"/>
      <c r="S800" s="59"/>
      <c r="T800" s="59"/>
      <c r="U800" s="59"/>
      <c r="V800" s="59"/>
      <c r="W800" s="59"/>
      <c r="X800" s="59"/>
      <c r="Y800" s="59"/>
    </row>
    <row r="801" spans="1:25" ht="18">
      <c r="A801" s="76"/>
      <c r="B801" s="59"/>
      <c r="C801" s="59"/>
      <c r="D801" s="59"/>
      <c r="E801" s="59"/>
      <c r="F801" s="59"/>
      <c r="G801" s="59"/>
      <c r="H801" s="59"/>
      <c r="I801" s="59"/>
      <c r="J801" s="59"/>
      <c r="K801" s="59"/>
      <c r="L801" s="59"/>
      <c r="M801" s="59"/>
      <c r="N801" s="59"/>
      <c r="O801" s="59"/>
      <c r="P801" s="59"/>
      <c r="Q801" s="59"/>
      <c r="R801" s="59"/>
      <c r="S801" s="59"/>
      <c r="T801" s="59"/>
      <c r="U801" s="59"/>
      <c r="V801" s="59"/>
      <c r="W801" s="59"/>
      <c r="X801" s="59"/>
      <c r="Y801" s="59"/>
    </row>
    <row r="802" spans="1:25" ht="18">
      <c r="A802" s="76"/>
      <c r="B802" s="59"/>
      <c r="C802" s="59"/>
      <c r="D802" s="59"/>
      <c r="E802" s="59"/>
      <c r="F802" s="59"/>
      <c r="G802" s="59"/>
      <c r="H802" s="59"/>
      <c r="I802" s="59"/>
      <c r="J802" s="59"/>
      <c r="K802" s="59"/>
      <c r="L802" s="59"/>
      <c r="M802" s="59"/>
      <c r="N802" s="59"/>
      <c r="O802" s="59"/>
      <c r="P802" s="59"/>
      <c r="Q802" s="59"/>
      <c r="R802" s="59"/>
      <c r="S802" s="59"/>
      <c r="T802" s="59"/>
      <c r="U802" s="59"/>
      <c r="V802" s="59"/>
      <c r="W802" s="59"/>
      <c r="X802" s="59"/>
      <c r="Y802" s="59"/>
    </row>
    <row r="803" spans="1:25" ht="18">
      <c r="A803" s="76"/>
      <c r="B803" s="59"/>
      <c r="C803" s="59"/>
      <c r="D803" s="59"/>
      <c r="E803" s="59"/>
      <c r="F803" s="59"/>
      <c r="G803" s="59"/>
      <c r="H803" s="59"/>
      <c r="I803" s="59"/>
      <c r="J803" s="59"/>
      <c r="K803" s="59"/>
      <c r="L803" s="59"/>
      <c r="M803" s="59"/>
      <c r="N803" s="59"/>
      <c r="O803" s="59"/>
      <c r="P803" s="59"/>
      <c r="Q803" s="59"/>
      <c r="R803" s="59"/>
      <c r="S803" s="59"/>
      <c r="T803" s="59"/>
      <c r="U803" s="59"/>
      <c r="V803" s="59"/>
      <c r="W803" s="59"/>
      <c r="X803" s="59"/>
      <c r="Y803" s="59"/>
    </row>
    <row r="804" spans="1:25" ht="18">
      <c r="A804" s="76"/>
      <c r="B804" s="59"/>
      <c r="C804" s="59"/>
      <c r="D804" s="59"/>
      <c r="E804" s="59"/>
      <c r="F804" s="59"/>
      <c r="G804" s="59"/>
      <c r="H804" s="59"/>
      <c r="I804" s="59"/>
      <c r="J804" s="59"/>
      <c r="K804" s="59"/>
      <c r="L804" s="59"/>
      <c r="M804" s="59"/>
      <c r="N804" s="59"/>
      <c r="O804" s="59"/>
      <c r="P804" s="59"/>
      <c r="Q804" s="59"/>
      <c r="R804" s="59"/>
      <c r="S804" s="59"/>
      <c r="T804" s="59"/>
      <c r="U804" s="59"/>
      <c r="V804" s="59"/>
      <c r="W804" s="59"/>
      <c r="X804" s="59"/>
      <c r="Y804" s="59"/>
    </row>
    <row r="805" spans="1:25" ht="18">
      <c r="A805" s="76"/>
      <c r="B805" s="59"/>
      <c r="C805" s="59"/>
      <c r="D805" s="59"/>
      <c r="E805" s="59"/>
      <c r="F805" s="59"/>
      <c r="G805" s="59"/>
      <c r="H805" s="59"/>
      <c r="I805" s="59"/>
      <c r="J805" s="59"/>
      <c r="K805" s="59"/>
      <c r="L805" s="59"/>
      <c r="M805" s="59"/>
      <c r="N805" s="59"/>
      <c r="O805" s="59"/>
      <c r="P805" s="59"/>
      <c r="Q805" s="59"/>
      <c r="R805" s="59"/>
      <c r="S805" s="59"/>
      <c r="T805" s="59"/>
      <c r="U805" s="59"/>
      <c r="V805" s="59"/>
      <c r="W805" s="59"/>
      <c r="X805" s="59"/>
      <c r="Y805" s="59"/>
    </row>
    <row r="806" spans="1:25" ht="18">
      <c r="A806" s="76"/>
      <c r="B806" s="59"/>
      <c r="C806" s="59"/>
      <c r="D806" s="59"/>
      <c r="E806" s="59"/>
      <c r="F806" s="59"/>
      <c r="G806" s="59"/>
      <c r="H806" s="59"/>
      <c r="I806" s="59"/>
      <c r="J806" s="59"/>
      <c r="K806" s="59"/>
      <c r="L806" s="59"/>
      <c r="M806" s="59"/>
      <c r="N806" s="59"/>
      <c r="O806" s="59"/>
      <c r="P806" s="59"/>
      <c r="Q806" s="59"/>
      <c r="R806" s="59"/>
      <c r="S806" s="59"/>
      <c r="T806" s="59"/>
      <c r="U806" s="59"/>
      <c r="V806" s="59"/>
      <c r="W806" s="59"/>
      <c r="X806" s="59"/>
      <c r="Y806" s="59"/>
    </row>
    <row r="807" spans="1:25" ht="18">
      <c r="A807" s="76"/>
      <c r="B807" s="59"/>
      <c r="C807" s="59"/>
      <c r="D807" s="59"/>
      <c r="E807" s="59"/>
      <c r="F807" s="59"/>
      <c r="G807" s="59"/>
      <c r="H807" s="59"/>
      <c r="I807" s="59"/>
      <c r="J807" s="59"/>
      <c r="K807" s="59"/>
      <c r="L807" s="59"/>
      <c r="M807" s="59"/>
      <c r="N807" s="59"/>
      <c r="O807" s="59"/>
      <c r="P807" s="59"/>
      <c r="Q807" s="59"/>
      <c r="R807" s="59"/>
      <c r="S807" s="59"/>
      <c r="T807" s="59"/>
      <c r="U807" s="59"/>
      <c r="V807" s="59"/>
      <c r="W807" s="59"/>
      <c r="X807" s="59"/>
      <c r="Y807" s="59"/>
    </row>
    <row r="808" spans="1:25" ht="18">
      <c r="A808" s="76"/>
      <c r="B808" s="59"/>
      <c r="C808" s="59"/>
      <c r="D808" s="59"/>
      <c r="E808" s="59"/>
      <c r="F808" s="59"/>
      <c r="G808" s="59"/>
      <c r="H808" s="59"/>
      <c r="I808" s="59"/>
      <c r="J808" s="59"/>
      <c r="K808" s="59"/>
      <c r="L808" s="59"/>
      <c r="M808" s="59"/>
      <c r="N808" s="59"/>
      <c r="O808" s="59"/>
      <c r="P808" s="59"/>
      <c r="Q808" s="59"/>
      <c r="R808" s="59"/>
      <c r="S808" s="59"/>
      <c r="T808" s="59"/>
      <c r="U808" s="59"/>
      <c r="V808" s="59"/>
      <c r="W808" s="59"/>
      <c r="X808" s="59"/>
      <c r="Y808" s="59"/>
    </row>
    <row r="809" spans="1:25" ht="18">
      <c r="A809" s="76"/>
      <c r="B809" s="59"/>
      <c r="C809" s="59"/>
      <c r="D809" s="59"/>
      <c r="E809" s="59"/>
      <c r="F809" s="59"/>
      <c r="G809" s="59"/>
      <c r="H809" s="59"/>
      <c r="I809" s="59"/>
      <c r="J809" s="59"/>
      <c r="K809" s="59"/>
      <c r="L809" s="59"/>
      <c r="M809" s="59"/>
      <c r="N809" s="59"/>
      <c r="O809" s="59"/>
      <c r="P809" s="59"/>
      <c r="Q809" s="59"/>
      <c r="R809" s="59"/>
      <c r="S809" s="59"/>
      <c r="T809" s="59"/>
      <c r="U809" s="59"/>
      <c r="V809" s="59"/>
      <c r="W809" s="59"/>
      <c r="X809" s="59"/>
      <c r="Y809" s="59"/>
    </row>
    <row r="810" spans="1:25" ht="18">
      <c r="A810" s="76"/>
      <c r="B810" s="59"/>
      <c r="C810" s="59"/>
      <c r="D810" s="59"/>
      <c r="E810" s="59"/>
      <c r="F810" s="59"/>
      <c r="G810" s="59"/>
      <c r="H810" s="59"/>
      <c r="I810" s="59"/>
      <c r="J810" s="59"/>
      <c r="K810" s="59"/>
      <c r="L810" s="59"/>
      <c r="M810" s="59"/>
      <c r="N810" s="59"/>
      <c r="O810" s="59"/>
      <c r="P810" s="59"/>
      <c r="Q810" s="59"/>
      <c r="R810" s="59"/>
      <c r="S810" s="59"/>
      <c r="T810" s="59"/>
      <c r="U810" s="59"/>
      <c r="V810" s="59"/>
      <c r="W810" s="59"/>
      <c r="X810" s="59"/>
      <c r="Y810" s="59"/>
    </row>
    <row r="811" spans="1:25" ht="18">
      <c r="A811" s="76"/>
      <c r="B811" s="59"/>
      <c r="C811" s="59"/>
      <c r="D811" s="59"/>
      <c r="E811" s="59"/>
      <c r="F811" s="59"/>
      <c r="G811" s="59"/>
      <c r="H811" s="59"/>
      <c r="I811" s="59"/>
      <c r="J811" s="59"/>
      <c r="K811" s="59"/>
      <c r="L811" s="59"/>
      <c r="M811" s="59"/>
      <c r="N811" s="59"/>
      <c r="O811" s="59"/>
      <c r="P811" s="59"/>
      <c r="Q811" s="59"/>
      <c r="R811" s="59"/>
      <c r="S811" s="59"/>
      <c r="T811" s="59"/>
      <c r="U811" s="59"/>
      <c r="V811" s="59"/>
      <c r="W811" s="59"/>
      <c r="X811" s="59"/>
      <c r="Y811" s="59"/>
    </row>
    <row r="812" spans="1:25" ht="18">
      <c r="A812" s="76"/>
      <c r="B812" s="59"/>
      <c r="C812" s="59"/>
      <c r="D812" s="59"/>
      <c r="E812" s="59"/>
      <c r="F812" s="59"/>
      <c r="G812" s="59"/>
      <c r="H812" s="59"/>
      <c r="I812" s="59"/>
      <c r="J812" s="59"/>
      <c r="K812" s="59"/>
      <c r="L812" s="59"/>
      <c r="M812" s="59"/>
      <c r="N812" s="59"/>
      <c r="O812" s="59"/>
      <c r="P812" s="59"/>
      <c r="Q812" s="59"/>
      <c r="R812" s="59"/>
      <c r="S812" s="59"/>
      <c r="T812" s="59"/>
      <c r="U812" s="59"/>
      <c r="V812" s="59"/>
      <c r="W812" s="59"/>
      <c r="X812" s="59"/>
      <c r="Y812" s="59"/>
    </row>
    <row r="813" spans="1:25" ht="18">
      <c r="A813" s="76"/>
      <c r="B813" s="59"/>
      <c r="C813" s="59"/>
      <c r="D813" s="59"/>
      <c r="E813" s="59"/>
      <c r="F813" s="59"/>
      <c r="G813" s="59"/>
      <c r="H813" s="59"/>
      <c r="I813" s="59"/>
      <c r="J813" s="59"/>
      <c r="K813" s="59"/>
      <c r="L813" s="59"/>
      <c r="M813" s="59"/>
      <c r="N813" s="59"/>
      <c r="O813" s="59"/>
      <c r="P813" s="59"/>
      <c r="Q813" s="59"/>
      <c r="R813" s="59"/>
      <c r="S813" s="59"/>
      <c r="T813" s="59"/>
      <c r="U813" s="59"/>
      <c r="V813" s="59"/>
      <c r="W813" s="59"/>
      <c r="X813" s="59"/>
      <c r="Y813" s="59"/>
    </row>
    <row r="814" spans="1:25" ht="18">
      <c r="A814" s="76"/>
      <c r="B814" s="59"/>
      <c r="C814" s="59"/>
      <c r="D814" s="59"/>
      <c r="E814" s="59"/>
      <c r="F814" s="59"/>
      <c r="G814" s="59"/>
      <c r="H814" s="59"/>
      <c r="I814" s="59"/>
      <c r="J814" s="59"/>
      <c r="K814" s="59"/>
      <c r="L814" s="59"/>
      <c r="M814" s="59"/>
      <c r="N814" s="59"/>
      <c r="O814" s="59"/>
      <c r="P814" s="59"/>
      <c r="Q814" s="59"/>
      <c r="R814" s="59"/>
      <c r="S814" s="59"/>
      <c r="T814" s="59"/>
      <c r="U814" s="59"/>
      <c r="V814" s="59"/>
      <c r="W814" s="59"/>
      <c r="X814" s="59"/>
      <c r="Y814" s="59"/>
    </row>
    <row r="815" spans="1:25" ht="18">
      <c r="A815" s="76"/>
      <c r="B815" s="59"/>
      <c r="C815" s="59"/>
      <c r="D815" s="59"/>
      <c r="E815" s="59"/>
      <c r="F815" s="59"/>
      <c r="G815" s="59"/>
      <c r="H815" s="59"/>
      <c r="I815" s="59"/>
      <c r="J815" s="59"/>
      <c r="K815" s="59"/>
      <c r="L815" s="59"/>
      <c r="M815" s="59"/>
      <c r="N815" s="59"/>
      <c r="O815" s="59"/>
      <c r="P815" s="59"/>
      <c r="Q815" s="59"/>
      <c r="R815" s="59"/>
      <c r="S815" s="59"/>
      <c r="T815" s="59"/>
      <c r="U815" s="59"/>
      <c r="V815" s="59"/>
      <c r="W815" s="59"/>
      <c r="X815" s="59"/>
      <c r="Y815" s="59"/>
    </row>
    <row r="816" spans="1:25" ht="18">
      <c r="A816" s="76"/>
      <c r="B816" s="59"/>
      <c r="C816" s="59"/>
      <c r="D816" s="59"/>
      <c r="E816" s="59"/>
      <c r="F816" s="59"/>
      <c r="G816" s="59"/>
      <c r="H816" s="59"/>
      <c r="I816" s="59"/>
      <c r="J816" s="59"/>
      <c r="K816" s="59"/>
      <c r="L816" s="59"/>
      <c r="M816" s="59"/>
      <c r="N816" s="59"/>
      <c r="O816" s="59"/>
      <c r="P816" s="59"/>
      <c r="Q816" s="59"/>
      <c r="R816" s="59"/>
      <c r="S816" s="59"/>
      <c r="T816" s="59"/>
      <c r="U816" s="59"/>
      <c r="V816" s="59"/>
      <c r="W816" s="59"/>
      <c r="X816" s="59"/>
      <c r="Y816" s="59"/>
    </row>
    <row r="817" spans="1:25" ht="18">
      <c r="A817" s="76"/>
      <c r="B817" s="59"/>
      <c r="C817" s="59"/>
      <c r="D817" s="59"/>
      <c r="E817" s="59"/>
      <c r="F817" s="59"/>
      <c r="G817" s="59"/>
      <c r="H817" s="59"/>
      <c r="I817" s="59"/>
      <c r="J817" s="59"/>
      <c r="K817" s="59"/>
      <c r="L817" s="59"/>
      <c r="M817" s="59"/>
      <c r="N817" s="59"/>
      <c r="O817" s="59"/>
      <c r="P817" s="59"/>
      <c r="Q817" s="59"/>
      <c r="R817" s="59"/>
      <c r="S817" s="59"/>
      <c r="T817" s="59"/>
      <c r="U817" s="59"/>
      <c r="V817" s="59"/>
      <c r="W817" s="59"/>
      <c r="X817" s="59"/>
      <c r="Y817" s="59"/>
    </row>
    <row r="818" spans="1:25" ht="18">
      <c r="A818" s="76"/>
      <c r="B818" s="59"/>
      <c r="C818" s="59"/>
      <c r="D818" s="59"/>
      <c r="E818" s="59"/>
      <c r="F818" s="59"/>
      <c r="G818" s="59"/>
      <c r="H818" s="59"/>
      <c r="I818" s="59"/>
      <c r="J818" s="59"/>
      <c r="K818" s="59"/>
      <c r="L818" s="59"/>
      <c r="M818" s="59"/>
      <c r="N818" s="59"/>
      <c r="O818" s="59"/>
      <c r="P818" s="59"/>
      <c r="Q818" s="59"/>
      <c r="R818" s="59"/>
      <c r="S818" s="59"/>
      <c r="T818" s="59"/>
      <c r="U818" s="59"/>
      <c r="V818" s="59"/>
      <c r="W818" s="59"/>
      <c r="X818" s="59"/>
      <c r="Y818" s="59"/>
    </row>
    <row r="819" spans="1:25" ht="18">
      <c r="A819" s="76"/>
      <c r="B819" s="59"/>
      <c r="C819" s="59"/>
      <c r="D819" s="59"/>
      <c r="E819" s="59"/>
      <c r="F819" s="59"/>
      <c r="G819" s="59"/>
      <c r="H819" s="59"/>
      <c r="I819" s="59"/>
      <c r="J819" s="59"/>
      <c r="K819" s="59"/>
      <c r="L819" s="59"/>
      <c r="M819" s="59"/>
      <c r="N819" s="59"/>
      <c r="O819" s="59"/>
      <c r="P819" s="59"/>
      <c r="Q819" s="59"/>
      <c r="R819" s="59"/>
      <c r="S819" s="59"/>
      <c r="T819" s="59"/>
      <c r="U819" s="59"/>
      <c r="V819" s="59"/>
      <c r="W819" s="59"/>
      <c r="X819" s="59"/>
      <c r="Y819" s="59"/>
    </row>
    <row r="820" spans="1:25" ht="18">
      <c r="A820" s="76"/>
      <c r="B820" s="59"/>
      <c r="C820" s="59"/>
      <c r="D820" s="59"/>
      <c r="E820" s="59"/>
      <c r="F820" s="59"/>
      <c r="G820" s="59"/>
      <c r="H820" s="59"/>
      <c r="I820" s="59"/>
      <c r="J820" s="59"/>
      <c r="K820" s="59"/>
      <c r="L820" s="59"/>
      <c r="M820" s="59"/>
      <c r="N820" s="59"/>
      <c r="O820" s="59"/>
      <c r="P820" s="59"/>
      <c r="Q820" s="59"/>
      <c r="R820" s="59"/>
      <c r="S820" s="59"/>
      <c r="T820" s="59"/>
      <c r="U820" s="59"/>
      <c r="V820" s="59"/>
      <c r="W820" s="59"/>
      <c r="X820" s="59"/>
      <c r="Y820" s="59"/>
    </row>
    <row r="821" spans="1:25" ht="18">
      <c r="A821" s="76"/>
      <c r="B821" s="59"/>
      <c r="C821" s="59"/>
      <c r="D821" s="59"/>
      <c r="E821" s="59"/>
      <c r="F821" s="59"/>
      <c r="G821" s="59"/>
      <c r="H821" s="59"/>
      <c r="I821" s="59"/>
      <c r="J821" s="59"/>
      <c r="K821" s="59"/>
      <c r="L821" s="59"/>
      <c r="M821" s="59"/>
      <c r="N821" s="59"/>
      <c r="O821" s="59"/>
      <c r="P821" s="59"/>
      <c r="Q821" s="59"/>
      <c r="R821" s="59"/>
      <c r="S821" s="59"/>
      <c r="T821" s="59"/>
      <c r="U821" s="59"/>
      <c r="V821" s="59"/>
      <c r="W821" s="59"/>
      <c r="X821" s="59"/>
      <c r="Y821" s="59"/>
    </row>
    <row r="822" spans="1:25" ht="18">
      <c r="A822" s="76"/>
      <c r="B822" s="59"/>
      <c r="C822" s="59"/>
      <c r="D822" s="59"/>
      <c r="E822" s="59"/>
      <c r="F822" s="59"/>
      <c r="G822" s="59"/>
      <c r="H822" s="59"/>
      <c r="I822" s="59"/>
      <c r="J822" s="59"/>
      <c r="K822" s="59"/>
      <c r="L822" s="59"/>
      <c r="M822" s="59"/>
      <c r="N822" s="59"/>
      <c r="O822" s="59"/>
      <c r="P822" s="59"/>
      <c r="Q822" s="59"/>
      <c r="R822" s="59"/>
      <c r="S822" s="59"/>
      <c r="T822" s="59"/>
      <c r="U822" s="59"/>
      <c r="V822" s="59"/>
      <c r="W822" s="59"/>
      <c r="X822" s="59"/>
      <c r="Y822" s="59"/>
    </row>
    <row r="823" spans="1:25" ht="18">
      <c r="A823" s="76"/>
      <c r="B823" s="59"/>
      <c r="C823" s="59"/>
      <c r="D823" s="59"/>
      <c r="E823" s="59"/>
      <c r="F823" s="59"/>
      <c r="G823" s="59"/>
      <c r="H823" s="59"/>
      <c r="I823" s="59"/>
      <c r="J823" s="59"/>
      <c r="K823" s="59"/>
      <c r="L823" s="59"/>
      <c r="M823" s="59"/>
      <c r="N823" s="59"/>
      <c r="O823" s="59"/>
      <c r="P823" s="59"/>
      <c r="Q823" s="59"/>
      <c r="R823" s="59"/>
      <c r="S823" s="59"/>
      <c r="T823" s="59"/>
      <c r="U823" s="59"/>
      <c r="V823" s="59"/>
      <c r="W823" s="59"/>
      <c r="X823" s="59"/>
      <c r="Y823" s="59"/>
    </row>
    <row r="824" spans="1:25" ht="18">
      <c r="A824" s="76"/>
      <c r="B824" s="59"/>
      <c r="C824" s="59"/>
      <c r="D824" s="59"/>
      <c r="E824" s="59"/>
      <c r="F824" s="59"/>
      <c r="G824" s="59"/>
      <c r="H824" s="59"/>
      <c r="I824" s="59"/>
      <c r="J824" s="59"/>
      <c r="K824" s="59"/>
      <c r="L824" s="59"/>
      <c r="M824" s="59"/>
      <c r="N824" s="59"/>
      <c r="O824" s="59"/>
      <c r="P824" s="59"/>
      <c r="Q824" s="59"/>
      <c r="R824" s="59"/>
      <c r="S824" s="59"/>
      <c r="T824" s="59"/>
      <c r="U824" s="59"/>
      <c r="V824" s="59"/>
      <c r="W824" s="59"/>
      <c r="X824" s="59"/>
      <c r="Y824" s="59"/>
    </row>
    <row r="825" spans="1:25" ht="18">
      <c r="A825" s="76"/>
      <c r="B825" s="59"/>
      <c r="C825" s="59"/>
      <c r="D825" s="59"/>
      <c r="E825" s="59"/>
      <c r="F825" s="59"/>
      <c r="G825" s="59"/>
      <c r="H825" s="59"/>
      <c r="I825" s="59"/>
      <c r="J825" s="59"/>
      <c r="K825" s="59"/>
      <c r="L825" s="59"/>
      <c r="M825" s="59"/>
      <c r="N825" s="59"/>
      <c r="O825" s="59"/>
      <c r="P825" s="59"/>
      <c r="Q825" s="59"/>
      <c r="R825" s="59"/>
      <c r="S825" s="59"/>
      <c r="T825" s="59"/>
      <c r="U825" s="59"/>
      <c r="V825" s="59"/>
      <c r="W825" s="59"/>
      <c r="X825" s="59"/>
      <c r="Y825" s="59"/>
    </row>
    <row r="826" spans="1:25" ht="18">
      <c r="A826" s="76"/>
      <c r="B826" s="59"/>
      <c r="C826" s="59"/>
      <c r="D826" s="59"/>
      <c r="E826" s="59"/>
      <c r="F826" s="59"/>
      <c r="G826" s="59"/>
      <c r="H826" s="59"/>
      <c r="I826" s="59"/>
      <c r="J826" s="59"/>
      <c r="K826" s="59"/>
      <c r="L826" s="59"/>
      <c r="M826" s="59"/>
      <c r="N826" s="59"/>
      <c r="O826" s="59"/>
      <c r="P826" s="59"/>
      <c r="Q826" s="59"/>
      <c r="R826" s="59"/>
      <c r="S826" s="59"/>
      <c r="T826" s="59"/>
      <c r="U826" s="59"/>
      <c r="V826" s="59"/>
      <c r="W826" s="59"/>
      <c r="X826" s="59"/>
      <c r="Y826" s="59"/>
    </row>
    <row r="827" spans="1:25" ht="18">
      <c r="A827" s="76"/>
      <c r="B827" s="59"/>
      <c r="C827" s="59"/>
      <c r="D827" s="59"/>
      <c r="E827" s="59"/>
      <c r="F827" s="59"/>
      <c r="G827" s="59"/>
      <c r="H827" s="59"/>
      <c r="I827" s="59"/>
      <c r="J827" s="59"/>
      <c r="K827" s="59"/>
      <c r="L827" s="59"/>
      <c r="M827" s="59"/>
      <c r="N827" s="59"/>
      <c r="O827" s="59"/>
      <c r="P827" s="59"/>
      <c r="Q827" s="59"/>
      <c r="R827" s="59"/>
      <c r="S827" s="59"/>
      <c r="T827" s="59"/>
      <c r="U827" s="59"/>
      <c r="V827" s="59"/>
      <c r="W827" s="59"/>
      <c r="X827" s="59"/>
      <c r="Y827" s="59"/>
    </row>
    <row r="828" spans="1:25" ht="18">
      <c r="A828" s="76"/>
      <c r="B828" s="59"/>
      <c r="C828" s="59"/>
      <c r="D828" s="59"/>
      <c r="E828" s="59"/>
      <c r="F828" s="59"/>
      <c r="G828" s="59"/>
      <c r="H828" s="59"/>
      <c r="I828" s="59"/>
      <c r="J828" s="59"/>
      <c r="K828" s="59"/>
      <c r="L828" s="59"/>
      <c r="M828" s="59"/>
      <c r="N828" s="59"/>
      <c r="O828" s="59"/>
      <c r="P828" s="59"/>
      <c r="Q828" s="59"/>
      <c r="R828" s="59"/>
      <c r="S828" s="59"/>
      <c r="T828" s="59"/>
      <c r="U828" s="59"/>
      <c r="V828" s="59"/>
      <c r="W828" s="59"/>
      <c r="X828" s="59"/>
      <c r="Y828" s="59"/>
    </row>
    <row r="829" spans="1:25" ht="18">
      <c r="A829" s="76"/>
      <c r="B829" s="59"/>
      <c r="C829" s="59"/>
      <c r="D829" s="59"/>
      <c r="E829" s="59"/>
      <c r="F829" s="59"/>
      <c r="G829" s="59"/>
      <c r="H829" s="59"/>
      <c r="I829" s="59"/>
      <c r="J829" s="59"/>
      <c r="K829" s="59"/>
      <c r="L829" s="59"/>
      <c r="M829" s="59"/>
      <c r="N829" s="59"/>
      <c r="O829" s="59"/>
      <c r="P829" s="59"/>
      <c r="Q829" s="59"/>
      <c r="R829" s="59"/>
      <c r="S829" s="59"/>
      <c r="T829" s="59"/>
      <c r="U829" s="59"/>
      <c r="V829" s="59"/>
      <c r="W829" s="59"/>
      <c r="X829" s="59"/>
      <c r="Y829" s="59"/>
    </row>
    <row r="830" spans="1:25" ht="18">
      <c r="A830" s="76"/>
      <c r="B830" s="59"/>
      <c r="C830" s="59"/>
      <c r="D830" s="59"/>
      <c r="E830" s="59"/>
      <c r="F830" s="59"/>
      <c r="G830" s="59"/>
      <c r="H830" s="59"/>
      <c r="I830" s="59"/>
      <c r="J830" s="59"/>
      <c r="K830" s="59"/>
      <c r="L830" s="59"/>
      <c r="M830" s="59"/>
      <c r="N830" s="59"/>
      <c r="O830" s="59"/>
      <c r="P830" s="59"/>
      <c r="Q830" s="59"/>
      <c r="R830" s="59"/>
      <c r="S830" s="59"/>
      <c r="T830" s="59"/>
      <c r="U830" s="59"/>
      <c r="V830" s="59"/>
      <c r="W830" s="59"/>
      <c r="X830" s="59"/>
      <c r="Y830" s="59"/>
    </row>
    <row r="831" spans="1:25" ht="18">
      <c r="A831" s="76"/>
      <c r="B831" s="59"/>
      <c r="C831" s="59"/>
      <c r="D831" s="59"/>
      <c r="E831" s="59"/>
      <c r="F831" s="59"/>
      <c r="G831" s="59"/>
      <c r="H831" s="59"/>
      <c r="I831" s="59"/>
      <c r="J831" s="59"/>
      <c r="K831" s="59"/>
      <c r="L831" s="59"/>
      <c r="M831" s="59"/>
      <c r="N831" s="59"/>
      <c r="O831" s="59"/>
      <c r="P831" s="59"/>
      <c r="Q831" s="59"/>
      <c r="R831" s="59"/>
      <c r="S831" s="59"/>
      <c r="T831" s="59"/>
      <c r="U831" s="59"/>
      <c r="V831" s="59"/>
      <c r="W831" s="59"/>
      <c r="X831" s="59"/>
      <c r="Y831" s="59"/>
    </row>
    <row r="832" spans="1:25" ht="18">
      <c r="A832" s="76"/>
      <c r="B832" s="59"/>
      <c r="C832" s="59"/>
      <c r="D832" s="59"/>
      <c r="E832" s="59"/>
      <c r="F832" s="59"/>
      <c r="G832" s="59"/>
      <c r="H832" s="59"/>
      <c r="I832" s="59"/>
      <c r="J832" s="59"/>
      <c r="K832" s="59"/>
      <c r="L832" s="59"/>
      <c r="M832" s="59"/>
      <c r="N832" s="59"/>
      <c r="O832" s="59"/>
      <c r="P832" s="59"/>
      <c r="Q832" s="59"/>
      <c r="R832" s="59"/>
      <c r="S832" s="59"/>
      <c r="T832" s="59"/>
      <c r="U832" s="59"/>
      <c r="V832" s="59"/>
      <c r="W832" s="59"/>
      <c r="X832" s="59"/>
      <c r="Y832" s="59"/>
    </row>
    <row r="833" spans="1:25" ht="18">
      <c r="A833" s="76"/>
      <c r="B833" s="59"/>
      <c r="C833" s="59"/>
      <c r="D833" s="59"/>
      <c r="E833" s="59"/>
      <c r="F833" s="59"/>
      <c r="G833" s="59"/>
      <c r="H833" s="59"/>
      <c r="I833" s="59"/>
      <c r="J833" s="59"/>
      <c r="K833" s="59"/>
      <c r="L833" s="59"/>
      <c r="M833" s="59"/>
      <c r="N833" s="59"/>
      <c r="O833" s="59"/>
      <c r="P833" s="59"/>
      <c r="Q833" s="59"/>
      <c r="R833" s="59"/>
      <c r="S833" s="59"/>
      <c r="T833" s="59"/>
      <c r="U833" s="59"/>
      <c r="V833" s="59"/>
      <c r="W833" s="59"/>
      <c r="X833" s="59"/>
      <c r="Y833" s="59"/>
    </row>
    <row r="834" spans="1:25" ht="18">
      <c r="A834" s="76"/>
      <c r="B834" s="59"/>
      <c r="C834" s="59"/>
      <c r="D834" s="59"/>
      <c r="E834" s="59"/>
      <c r="F834" s="59"/>
      <c r="G834" s="59"/>
      <c r="H834" s="59"/>
      <c r="I834" s="59"/>
      <c r="J834" s="59"/>
      <c r="K834" s="59"/>
      <c r="L834" s="59"/>
      <c r="M834" s="59"/>
      <c r="N834" s="59"/>
      <c r="O834" s="59"/>
      <c r="P834" s="59"/>
      <c r="Q834" s="59"/>
      <c r="R834" s="59"/>
      <c r="S834" s="59"/>
      <c r="T834" s="59"/>
      <c r="U834" s="59"/>
      <c r="V834" s="59"/>
      <c r="W834" s="59"/>
      <c r="X834" s="59"/>
      <c r="Y834" s="59"/>
    </row>
    <row r="835" spans="1:25" ht="18">
      <c r="A835" s="76"/>
      <c r="B835" s="59"/>
      <c r="C835" s="59"/>
      <c r="D835" s="59"/>
      <c r="E835" s="59"/>
      <c r="F835" s="59"/>
      <c r="G835" s="59"/>
      <c r="H835" s="59"/>
      <c r="I835" s="59"/>
      <c r="J835" s="59"/>
      <c r="K835" s="59"/>
      <c r="L835" s="59"/>
      <c r="M835" s="59"/>
      <c r="N835" s="59"/>
      <c r="O835" s="59"/>
      <c r="P835" s="59"/>
      <c r="Q835" s="59"/>
      <c r="R835" s="59"/>
      <c r="S835" s="59"/>
      <c r="T835" s="59"/>
      <c r="U835" s="59"/>
      <c r="V835" s="59"/>
      <c r="W835" s="59"/>
      <c r="X835" s="59"/>
      <c r="Y835" s="59"/>
    </row>
    <row r="836" spans="1:25" ht="18">
      <c r="A836" s="76"/>
      <c r="B836" s="59"/>
      <c r="C836" s="59"/>
      <c r="D836" s="59"/>
      <c r="E836" s="59"/>
      <c r="F836" s="59"/>
      <c r="G836" s="59"/>
      <c r="H836" s="59"/>
      <c r="I836" s="59"/>
      <c r="J836" s="59"/>
      <c r="K836" s="59"/>
      <c r="L836" s="59"/>
      <c r="M836" s="59"/>
      <c r="N836" s="59"/>
      <c r="O836" s="59"/>
      <c r="P836" s="59"/>
      <c r="Q836" s="59"/>
      <c r="R836" s="59"/>
      <c r="S836" s="59"/>
      <c r="T836" s="59"/>
      <c r="U836" s="59"/>
      <c r="V836" s="59"/>
      <c r="W836" s="59"/>
      <c r="X836" s="59"/>
      <c r="Y836" s="59"/>
    </row>
    <row r="837" spans="1:25" ht="18">
      <c r="A837" s="76"/>
      <c r="B837" s="59"/>
      <c r="C837" s="59"/>
      <c r="D837" s="59"/>
      <c r="E837" s="59"/>
      <c r="F837" s="59"/>
      <c r="G837" s="59"/>
      <c r="H837" s="59"/>
      <c r="I837" s="59"/>
      <c r="J837" s="59"/>
      <c r="K837" s="59"/>
      <c r="L837" s="59"/>
      <c r="M837" s="59"/>
      <c r="N837" s="59"/>
      <c r="O837" s="59"/>
      <c r="P837" s="59"/>
      <c r="Q837" s="59"/>
      <c r="R837" s="59"/>
      <c r="S837" s="59"/>
      <c r="T837" s="59"/>
      <c r="U837" s="59"/>
      <c r="V837" s="59"/>
      <c r="W837" s="59"/>
      <c r="X837" s="59"/>
      <c r="Y837" s="59"/>
    </row>
    <row r="838" spans="1:25" ht="18">
      <c r="A838" s="76"/>
      <c r="B838" s="59"/>
      <c r="C838" s="59"/>
      <c r="D838" s="59"/>
      <c r="E838" s="59"/>
      <c r="F838" s="59"/>
      <c r="G838" s="59"/>
      <c r="H838" s="59"/>
      <c r="I838" s="59"/>
      <c r="J838" s="59"/>
      <c r="K838" s="59"/>
      <c r="L838" s="59"/>
      <c r="M838" s="59"/>
      <c r="N838" s="59"/>
      <c r="O838" s="59"/>
      <c r="P838" s="59"/>
      <c r="Q838" s="59"/>
      <c r="R838" s="59"/>
      <c r="S838" s="59"/>
      <c r="T838" s="59"/>
      <c r="U838" s="59"/>
      <c r="V838" s="59"/>
      <c r="W838" s="59"/>
      <c r="X838" s="59"/>
      <c r="Y838" s="59"/>
    </row>
    <row r="839" spans="1:25" ht="18">
      <c r="A839" s="76"/>
      <c r="B839" s="59"/>
      <c r="C839" s="59"/>
      <c r="D839" s="59"/>
      <c r="E839" s="59"/>
      <c r="F839" s="59"/>
      <c r="G839" s="59"/>
      <c r="H839" s="59"/>
      <c r="I839" s="59"/>
      <c r="J839" s="59"/>
      <c r="K839" s="59"/>
      <c r="L839" s="59"/>
      <c r="M839" s="59"/>
      <c r="N839" s="59"/>
      <c r="O839" s="59"/>
      <c r="P839" s="59"/>
      <c r="Q839" s="59"/>
      <c r="R839" s="59"/>
      <c r="S839" s="59"/>
      <c r="T839" s="59"/>
      <c r="U839" s="59"/>
      <c r="V839" s="59"/>
      <c r="W839" s="59"/>
      <c r="X839" s="59"/>
      <c r="Y839" s="59"/>
    </row>
    <row r="840" spans="1:25" ht="18">
      <c r="A840" s="76"/>
      <c r="B840" s="59"/>
      <c r="C840" s="59"/>
      <c r="D840" s="59"/>
      <c r="E840" s="59"/>
      <c r="F840" s="59"/>
      <c r="G840" s="59"/>
      <c r="H840" s="59"/>
      <c r="I840" s="59"/>
      <c r="J840" s="59"/>
      <c r="K840" s="59"/>
      <c r="L840" s="59"/>
      <c r="M840" s="59"/>
      <c r="N840" s="59"/>
      <c r="O840" s="59"/>
      <c r="P840" s="59"/>
      <c r="Q840" s="59"/>
      <c r="R840" s="59"/>
      <c r="S840" s="59"/>
      <c r="T840" s="59"/>
      <c r="U840" s="59"/>
      <c r="V840" s="59"/>
      <c r="W840" s="59"/>
      <c r="X840" s="59"/>
      <c r="Y840" s="59"/>
    </row>
    <row r="841" spans="1:25" ht="18">
      <c r="A841" s="76"/>
      <c r="B841" s="59"/>
      <c r="C841" s="59"/>
      <c r="D841" s="59"/>
      <c r="E841" s="59"/>
      <c r="F841" s="59"/>
      <c r="G841" s="59"/>
      <c r="H841" s="59"/>
      <c r="I841" s="59"/>
      <c r="J841" s="59"/>
      <c r="K841" s="59"/>
      <c r="L841" s="59"/>
      <c r="M841" s="59"/>
      <c r="N841" s="59"/>
      <c r="O841" s="59"/>
      <c r="P841" s="59"/>
      <c r="Q841" s="59"/>
      <c r="R841" s="59"/>
      <c r="S841" s="59"/>
      <c r="T841" s="59"/>
      <c r="U841" s="59"/>
      <c r="V841" s="59"/>
      <c r="W841" s="59"/>
      <c r="X841" s="59"/>
      <c r="Y841" s="59"/>
    </row>
    <row r="842" spans="1:25" ht="18">
      <c r="A842" s="76"/>
      <c r="B842" s="59"/>
      <c r="C842" s="59"/>
      <c r="D842" s="59"/>
      <c r="E842" s="59"/>
      <c r="F842" s="59"/>
      <c r="G842" s="59"/>
      <c r="H842" s="59"/>
      <c r="I842" s="59"/>
      <c r="J842" s="59"/>
      <c r="K842" s="59"/>
      <c r="L842" s="59"/>
      <c r="M842" s="59"/>
      <c r="N842" s="59"/>
      <c r="O842" s="59"/>
      <c r="P842" s="59"/>
      <c r="Q842" s="59"/>
      <c r="R842" s="59"/>
      <c r="S842" s="59"/>
      <c r="T842" s="59"/>
      <c r="U842" s="59"/>
      <c r="V842" s="59"/>
      <c r="W842" s="59"/>
      <c r="X842" s="59"/>
      <c r="Y842" s="59"/>
    </row>
    <row r="843" spans="1:25" ht="18">
      <c r="A843" s="76"/>
      <c r="B843" s="59"/>
      <c r="C843" s="59"/>
      <c r="D843" s="59"/>
      <c r="E843" s="59"/>
      <c r="F843" s="59"/>
      <c r="G843" s="59"/>
      <c r="H843" s="59"/>
      <c r="I843" s="59"/>
      <c r="J843" s="59"/>
      <c r="K843" s="59"/>
      <c r="L843" s="59"/>
      <c r="M843" s="59"/>
      <c r="N843" s="59"/>
      <c r="O843" s="59"/>
      <c r="P843" s="59"/>
      <c r="Q843" s="59"/>
      <c r="R843" s="59"/>
      <c r="S843" s="59"/>
      <c r="T843" s="59"/>
      <c r="U843" s="59"/>
      <c r="V843" s="59"/>
      <c r="W843" s="59"/>
      <c r="X843" s="59"/>
      <c r="Y843" s="59"/>
    </row>
    <row r="844" spans="1:25" ht="18">
      <c r="A844" s="76"/>
      <c r="B844" s="59"/>
      <c r="C844" s="59"/>
      <c r="D844" s="59"/>
      <c r="E844" s="59"/>
      <c r="F844" s="59"/>
      <c r="G844" s="59"/>
      <c r="H844" s="59"/>
      <c r="I844" s="59"/>
      <c r="J844" s="59"/>
      <c r="K844" s="59"/>
      <c r="L844" s="59"/>
      <c r="M844" s="59"/>
      <c r="N844" s="59"/>
      <c r="O844" s="59"/>
      <c r="P844" s="59"/>
      <c r="Q844" s="59"/>
      <c r="R844" s="59"/>
      <c r="S844" s="59"/>
      <c r="T844" s="59"/>
      <c r="U844" s="59"/>
      <c r="V844" s="59"/>
      <c r="W844" s="59"/>
      <c r="X844" s="59"/>
      <c r="Y844" s="59"/>
    </row>
    <row r="845" spans="1:25" ht="18">
      <c r="A845" s="76"/>
      <c r="B845" s="59"/>
      <c r="C845" s="59"/>
      <c r="D845" s="59"/>
      <c r="E845" s="59"/>
      <c r="F845" s="59"/>
      <c r="G845" s="59"/>
      <c r="H845" s="59"/>
      <c r="I845" s="59"/>
      <c r="J845" s="59"/>
      <c r="K845" s="59"/>
      <c r="L845" s="59"/>
      <c r="M845" s="59"/>
      <c r="N845" s="59"/>
      <c r="O845" s="59"/>
      <c r="P845" s="59"/>
      <c r="Q845" s="59"/>
      <c r="R845" s="59"/>
      <c r="S845" s="59"/>
      <c r="T845" s="59"/>
      <c r="U845" s="59"/>
      <c r="V845" s="59"/>
      <c r="W845" s="59"/>
      <c r="X845" s="59"/>
      <c r="Y845" s="59"/>
    </row>
    <row r="846" spans="1:25" ht="18">
      <c r="A846" s="76"/>
      <c r="B846" s="59"/>
      <c r="C846" s="59"/>
      <c r="D846" s="59"/>
      <c r="E846" s="59"/>
      <c r="F846" s="59"/>
      <c r="G846" s="59"/>
      <c r="H846" s="59"/>
      <c r="I846" s="59"/>
      <c r="J846" s="59"/>
      <c r="K846" s="59"/>
      <c r="L846" s="59"/>
      <c r="M846" s="59"/>
      <c r="N846" s="59"/>
      <c r="O846" s="59"/>
      <c r="P846" s="59"/>
      <c r="Q846" s="59"/>
      <c r="R846" s="59"/>
      <c r="S846" s="59"/>
      <c r="T846" s="59"/>
      <c r="U846" s="59"/>
      <c r="V846" s="59"/>
      <c r="W846" s="59"/>
      <c r="X846" s="59"/>
      <c r="Y846" s="59"/>
    </row>
    <row r="847" spans="1:25" ht="18">
      <c r="A847" s="76"/>
      <c r="B847" s="59"/>
      <c r="C847" s="59"/>
      <c r="D847" s="59"/>
      <c r="E847" s="59"/>
      <c r="F847" s="59"/>
      <c r="G847" s="59"/>
      <c r="H847" s="59"/>
      <c r="I847" s="59"/>
      <c r="J847" s="59"/>
      <c r="K847" s="59"/>
      <c r="L847" s="59"/>
      <c r="M847" s="59"/>
      <c r="N847" s="59"/>
      <c r="O847" s="59"/>
      <c r="P847" s="59"/>
      <c r="Q847" s="59"/>
      <c r="R847" s="59"/>
      <c r="S847" s="59"/>
      <c r="T847" s="59"/>
      <c r="U847" s="59"/>
      <c r="V847" s="59"/>
      <c r="W847" s="59"/>
      <c r="X847" s="59"/>
      <c r="Y847" s="59"/>
    </row>
    <row r="848" spans="1:25" ht="18">
      <c r="A848" s="76"/>
      <c r="B848" s="59"/>
      <c r="C848" s="59"/>
      <c r="D848" s="59"/>
      <c r="E848" s="59"/>
      <c r="F848" s="59"/>
      <c r="G848" s="59"/>
      <c r="H848" s="59"/>
      <c r="I848" s="59"/>
      <c r="J848" s="59"/>
      <c r="K848" s="59"/>
      <c r="L848" s="59"/>
      <c r="M848" s="59"/>
      <c r="N848" s="59"/>
      <c r="O848" s="59"/>
      <c r="P848" s="59"/>
      <c r="Q848" s="59"/>
      <c r="R848" s="59"/>
      <c r="S848" s="59"/>
      <c r="T848" s="59"/>
      <c r="U848" s="59"/>
      <c r="V848" s="59"/>
      <c r="W848" s="59"/>
      <c r="X848" s="59"/>
      <c r="Y848" s="59"/>
    </row>
    <row r="849" spans="1:25" ht="18">
      <c r="A849" s="76"/>
      <c r="B849" s="59"/>
      <c r="C849" s="59"/>
      <c r="D849" s="59"/>
      <c r="E849" s="59"/>
      <c r="F849" s="59"/>
      <c r="G849" s="59"/>
      <c r="H849" s="59"/>
      <c r="I849" s="59"/>
      <c r="J849" s="59"/>
      <c r="K849" s="59"/>
      <c r="L849" s="59"/>
      <c r="M849" s="59"/>
      <c r="N849" s="59"/>
      <c r="O849" s="59"/>
      <c r="P849" s="59"/>
      <c r="Q849" s="59"/>
      <c r="R849" s="59"/>
      <c r="S849" s="59"/>
      <c r="T849" s="59"/>
      <c r="U849" s="59"/>
      <c r="V849" s="59"/>
      <c r="W849" s="59"/>
      <c r="X849" s="59"/>
      <c r="Y849" s="59"/>
    </row>
    <row r="850" spans="1:25" ht="18">
      <c r="A850" s="76"/>
      <c r="B850" s="59"/>
      <c r="C850" s="59"/>
      <c r="D850" s="59"/>
      <c r="E850" s="59"/>
      <c r="F850" s="59"/>
      <c r="G850" s="59"/>
      <c r="H850" s="59"/>
      <c r="I850" s="59"/>
      <c r="J850" s="59"/>
      <c r="K850" s="59"/>
      <c r="L850" s="59"/>
      <c r="M850" s="59"/>
      <c r="N850" s="59"/>
      <c r="O850" s="59"/>
      <c r="P850" s="59"/>
      <c r="Q850" s="59"/>
      <c r="R850" s="59"/>
      <c r="S850" s="59"/>
      <c r="T850" s="59"/>
      <c r="U850" s="59"/>
      <c r="V850" s="59"/>
      <c r="W850" s="59"/>
      <c r="X850" s="59"/>
      <c r="Y850" s="59"/>
    </row>
    <row r="851" spans="1:25" ht="18">
      <c r="A851" s="76"/>
      <c r="B851" s="59"/>
      <c r="C851" s="59"/>
      <c r="D851" s="59"/>
      <c r="E851" s="59"/>
      <c r="F851" s="59"/>
      <c r="G851" s="59"/>
      <c r="H851" s="59"/>
      <c r="I851" s="59"/>
      <c r="J851" s="59"/>
      <c r="K851" s="59"/>
      <c r="L851" s="59"/>
      <c r="M851" s="59"/>
      <c r="N851" s="59"/>
      <c r="O851" s="59"/>
      <c r="P851" s="59"/>
      <c r="Q851" s="59"/>
      <c r="R851" s="59"/>
      <c r="S851" s="59"/>
      <c r="T851" s="59"/>
      <c r="U851" s="59"/>
      <c r="V851" s="59"/>
      <c r="W851" s="59"/>
      <c r="X851" s="59"/>
      <c r="Y851" s="59"/>
    </row>
    <row r="852" spans="1:25" ht="18">
      <c r="A852" s="76"/>
      <c r="B852" s="59"/>
      <c r="C852" s="59"/>
      <c r="D852" s="59"/>
      <c r="E852" s="59"/>
      <c r="F852" s="59"/>
      <c r="G852" s="59"/>
      <c r="H852" s="59"/>
      <c r="I852" s="59"/>
      <c r="J852" s="59"/>
      <c r="K852" s="59"/>
      <c r="L852" s="59"/>
      <c r="M852" s="59"/>
      <c r="N852" s="59"/>
      <c r="O852" s="59"/>
      <c r="P852" s="59"/>
      <c r="Q852" s="59"/>
      <c r="R852" s="59"/>
      <c r="S852" s="59"/>
      <c r="T852" s="59"/>
      <c r="U852" s="59"/>
      <c r="V852" s="59"/>
      <c r="W852" s="59"/>
      <c r="X852" s="59"/>
      <c r="Y852" s="59"/>
    </row>
    <row r="853" spans="1:25" ht="18">
      <c r="A853" s="76"/>
      <c r="B853" s="59"/>
      <c r="C853" s="59"/>
      <c r="D853" s="59"/>
      <c r="E853" s="59"/>
      <c r="F853" s="59"/>
      <c r="G853" s="59"/>
      <c r="H853" s="59"/>
      <c r="I853" s="59"/>
      <c r="J853" s="59"/>
      <c r="K853" s="59"/>
      <c r="L853" s="59"/>
      <c r="M853" s="59"/>
      <c r="N853" s="59"/>
      <c r="O853" s="59"/>
      <c r="P853" s="59"/>
      <c r="Q853" s="59"/>
      <c r="R853" s="59"/>
      <c r="S853" s="59"/>
      <c r="T853" s="59"/>
      <c r="U853" s="59"/>
      <c r="V853" s="59"/>
      <c r="W853" s="59"/>
      <c r="X853" s="59"/>
      <c r="Y853" s="59"/>
    </row>
    <row r="854" spans="1:25" ht="18">
      <c r="A854" s="76"/>
      <c r="B854" s="59"/>
      <c r="C854" s="59"/>
      <c r="D854" s="59"/>
      <c r="E854" s="59"/>
      <c r="F854" s="59"/>
      <c r="G854" s="59"/>
      <c r="H854" s="59"/>
      <c r="I854" s="59"/>
      <c r="J854" s="59"/>
      <c r="K854" s="59"/>
      <c r="L854" s="59"/>
      <c r="M854" s="59"/>
      <c r="N854" s="59"/>
      <c r="O854" s="59"/>
      <c r="P854" s="59"/>
      <c r="Q854" s="59"/>
      <c r="R854" s="59"/>
      <c r="S854" s="59"/>
      <c r="T854" s="59"/>
      <c r="U854" s="59"/>
      <c r="V854" s="59"/>
      <c r="W854" s="59"/>
      <c r="X854" s="59"/>
      <c r="Y854" s="59"/>
    </row>
    <row r="855" spans="1:25" ht="18">
      <c r="A855" s="76"/>
      <c r="B855" s="59"/>
      <c r="C855" s="59"/>
      <c r="D855" s="59"/>
      <c r="E855" s="59"/>
      <c r="F855" s="59"/>
      <c r="G855" s="59"/>
      <c r="H855" s="59"/>
      <c r="I855" s="59"/>
      <c r="J855" s="59"/>
      <c r="K855" s="59"/>
      <c r="L855" s="59"/>
      <c r="M855" s="59"/>
      <c r="N855" s="59"/>
      <c r="O855" s="59"/>
      <c r="P855" s="59"/>
      <c r="Q855" s="59"/>
      <c r="R855" s="59"/>
      <c r="S855" s="59"/>
      <c r="T855" s="59"/>
      <c r="U855" s="59"/>
      <c r="V855" s="59"/>
      <c r="W855" s="59"/>
      <c r="X855" s="59"/>
      <c r="Y855" s="59"/>
    </row>
    <row r="856" spans="1:25" ht="18">
      <c r="A856" s="76"/>
      <c r="B856" s="59"/>
      <c r="C856" s="59"/>
      <c r="D856" s="59"/>
      <c r="E856" s="59"/>
      <c r="F856" s="59"/>
      <c r="G856" s="59"/>
      <c r="H856" s="59"/>
      <c r="I856" s="59"/>
      <c r="J856" s="59"/>
      <c r="K856" s="59"/>
      <c r="L856" s="59"/>
      <c r="M856" s="59"/>
      <c r="N856" s="59"/>
      <c r="O856" s="59"/>
      <c r="P856" s="59"/>
      <c r="Q856" s="59"/>
      <c r="R856" s="59"/>
      <c r="S856" s="59"/>
      <c r="T856" s="59"/>
      <c r="U856" s="59"/>
      <c r="V856" s="59"/>
      <c r="W856" s="59"/>
      <c r="X856" s="59"/>
      <c r="Y856" s="59"/>
    </row>
    <row r="857" spans="1:25" ht="18">
      <c r="A857" s="76"/>
      <c r="B857" s="59"/>
      <c r="C857" s="59"/>
      <c r="D857" s="59"/>
      <c r="E857" s="59"/>
      <c r="F857" s="59"/>
      <c r="G857" s="59"/>
      <c r="H857" s="59"/>
      <c r="I857" s="59"/>
      <c r="J857" s="59"/>
      <c r="K857" s="59"/>
      <c r="L857" s="59"/>
      <c r="M857" s="59"/>
      <c r="N857" s="59"/>
      <c r="O857" s="59"/>
      <c r="P857" s="59"/>
      <c r="Q857" s="59"/>
      <c r="R857" s="59"/>
      <c r="S857" s="59"/>
      <c r="T857" s="59"/>
      <c r="U857" s="59"/>
      <c r="V857" s="59"/>
      <c r="W857" s="59"/>
      <c r="X857" s="59"/>
      <c r="Y857" s="59"/>
    </row>
    <row r="858" spans="1:25" ht="18">
      <c r="A858" s="76"/>
      <c r="B858" s="59"/>
      <c r="C858" s="59"/>
      <c r="D858" s="59"/>
      <c r="E858" s="59"/>
      <c r="F858" s="59"/>
      <c r="G858" s="59"/>
      <c r="H858" s="59"/>
      <c r="I858" s="59"/>
      <c r="J858" s="59"/>
      <c r="K858" s="59"/>
      <c r="L858" s="59"/>
      <c r="M858" s="59"/>
      <c r="N858" s="59"/>
      <c r="O858" s="59"/>
      <c r="P858" s="59"/>
      <c r="Q858" s="59"/>
      <c r="R858" s="59"/>
      <c r="S858" s="59"/>
      <c r="T858" s="59"/>
      <c r="U858" s="59"/>
      <c r="V858" s="59"/>
      <c r="W858" s="59"/>
      <c r="X858" s="59"/>
      <c r="Y858" s="59"/>
    </row>
    <row r="859" spans="1:25" ht="18">
      <c r="A859" s="76"/>
      <c r="B859" s="59"/>
      <c r="C859" s="59"/>
      <c r="D859" s="59"/>
      <c r="E859" s="59"/>
      <c r="F859" s="59"/>
      <c r="G859" s="59"/>
      <c r="H859" s="59"/>
      <c r="I859" s="59"/>
      <c r="J859" s="59"/>
      <c r="K859" s="59"/>
      <c r="L859" s="59"/>
      <c r="M859" s="59"/>
      <c r="N859" s="59"/>
      <c r="O859" s="59"/>
      <c r="P859" s="59"/>
      <c r="Q859" s="59"/>
      <c r="R859" s="59"/>
      <c r="S859" s="59"/>
      <c r="T859" s="59"/>
      <c r="U859" s="59"/>
      <c r="V859" s="59"/>
      <c r="W859" s="59"/>
      <c r="X859" s="59"/>
      <c r="Y859" s="59"/>
    </row>
    <row r="860" spans="1:25" ht="18">
      <c r="A860" s="76"/>
      <c r="B860" s="59"/>
      <c r="C860" s="59"/>
      <c r="D860" s="59"/>
      <c r="E860" s="59"/>
      <c r="F860" s="59"/>
      <c r="G860" s="59"/>
      <c r="H860" s="59"/>
      <c r="I860" s="59"/>
      <c r="J860" s="59"/>
      <c r="K860" s="59"/>
      <c r="L860" s="59"/>
      <c r="M860" s="59"/>
      <c r="N860" s="59"/>
      <c r="O860" s="59"/>
      <c r="P860" s="59"/>
      <c r="Q860" s="59"/>
      <c r="R860" s="59"/>
      <c r="S860" s="59"/>
      <c r="T860" s="59"/>
      <c r="U860" s="59"/>
      <c r="V860" s="59"/>
      <c r="W860" s="59"/>
      <c r="X860" s="59"/>
      <c r="Y860" s="59"/>
    </row>
    <row r="861" spans="1:25" ht="18">
      <c r="A861" s="76"/>
      <c r="B861" s="59"/>
      <c r="C861" s="59"/>
      <c r="D861" s="59"/>
      <c r="E861" s="59"/>
      <c r="F861" s="59"/>
      <c r="G861" s="59"/>
      <c r="H861" s="59"/>
      <c r="I861" s="59"/>
      <c r="J861" s="59"/>
      <c r="K861" s="59"/>
      <c r="L861" s="59"/>
      <c r="M861" s="59"/>
      <c r="N861" s="59"/>
      <c r="O861" s="59"/>
      <c r="P861" s="59"/>
      <c r="Q861" s="59"/>
      <c r="R861" s="59"/>
      <c r="S861" s="59"/>
      <c r="T861" s="59"/>
      <c r="U861" s="59"/>
      <c r="V861" s="59"/>
      <c r="W861" s="59"/>
      <c r="X861" s="59"/>
      <c r="Y861" s="59"/>
    </row>
    <row r="862" spans="1:25" ht="18">
      <c r="A862" s="76"/>
      <c r="B862" s="59"/>
      <c r="C862" s="59"/>
      <c r="D862" s="59"/>
      <c r="E862" s="59"/>
      <c r="F862" s="59"/>
      <c r="G862" s="59"/>
      <c r="H862" s="59"/>
      <c r="I862" s="59"/>
      <c r="J862" s="59"/>
      <c r="K862" s="59"/>
      <c r="L862" s="59"/>
      <c r="M862" s="59"/>
      <c r="N862" s="59"/>
      <c r="O862" s="59"/>
      <c r="P862" s="59"/>
      <c r="Q862" s="59"/>
      <c r="R862" s="59"/>
      <c r="S862" s="59"/>
      <c r="T862" s="59"/>
      <c r="U862" s="59"/>
      <c r="V862" s="59"/>
      <c r="W862" s="59"/>
      <c r="X862" s="59"/>
      <c r="Y862" s="59"/>
    </row>
    <row r="863" spans="1:25" ht="18">
      <c r="A863" s="76"/>
      <c r="B863" s="59"/>
      <c r="C863" s="59"/>
      <c r="D863" s="59"/>
      <c r="E863" s="59"/>
      <c r="F863" s="59"/>
      <c r="G863" s="59"/>
      <c r="H863" s="59"/>
      <c r="I863" s="59"/>
      <c r="J863" s="59"/>
      <c r="K863" s="59"/>
      <c r="L863" s="59"/>
      <c r="M863" s="59"/>
      <c r="N863" s="59"/>
      <c r="O863" s="59"/>
      <c r="P863" s="59"/>
      <c r="Q863" s="59"/>
      <c r="R863" s="59"/>
      <c r="S863" s="59"/>
      <c r="T863" s="59"/>
      <c r="U863" s="59"/>
      <c r="V863" s="59"/>
      <c r="W863" s="59"/>
      <c r="X863" s="59"/>
      <c r="Y863" s="59"/>
    </row>
    <row r="864" spans="1:25" ht="18">
      <c r="A864" s="76"/>
      <c r="B864" s="59"/>
      <c r="C864" s="59"/>
      <c r="D864" s="59"/>
      <c r="E864" s="59"/>
      <c r="F864" s="59"/>
      <c r="G864" s="59"/>
      <c r="H864" s="59"/>
      <c r="I864" s="59"/>
      <c r="J864" s="59"/>
      <c r="K864" s="59"/>
      <c r="L864" s="59"/>
      <c r="M864" s="59"/>
      <c r="N864" s="59"/>
      <c r="O864" s="59"/>
      <c r="P864" s="59"/>
      <c r="Q864" s="59"/>
      <c r="R864" s="59"/>
      <c r="S864" s="59"/>
      <c r="T864" s="59"/>
      <c r="U864" s="59"/>
      <c r="V864" s="59"/>
      <c r="W864" s="59"/>
      <c r="X864" s="59"/>
      <c r="Y864" s="59"/>
    </row>
    <row r="865" spans="1:25" ht="18">
      <c r="A865" s="76"/>
      <c r="B865" s="59"/>
      <c r="C865" s="59"/>
      <c r="D865" s="59"/>
      <c r="E865" s="59"/>
      <c r="F865" s="59"/>
      <c r="G865" s="59"/>
      <c r="H865" s="59"/>
      <c r="I865" s="59"/>
      <c r="J865" s="59"/>
      <c r="K865" s="59"/>
      <c r="L865" s="59"/>
      <c r="M865" s="59"/>
      <c r="N865" s="59"/>
      <c r="O865" s="59"/>
      <c r="P865" s="59"/>
      <c r="Q865" s="59"/>
      <c r="R865" s="59"/>
      <c r="S865" s="59"/>
      <c r="T865" s="59"/>
      <c r="U865" s="59"/>
      <c r="V865" s="59"/>
      <c r="W865" s="59"/>
      <c r="X865" s="59"/>
      <c r="Y865" s="59"/>
    </row>
    <row r="866" spans="1:25" ht="18">
      <c r="A866" s="76"/>
      <c r="B866" s="59"/>
      <c r="C866" s="59"/>
      <c r="D866" s="59"/>
      <c r="E866" s="59"/>
      <c r="F866" s="59"/>
      <c r="G866" s="59"/>
      <c r="H866" s="59"/>
      <c r="I866" s="59"/>
      <c r="J866" s="59"/>
      <c r="K866" s="59"/>
      <c r="L866" s="59"/>
      <c r="M866" s="59"/>
      <c r="N866" s="59"/>
      <c r="O866" s="59"/>
      <c r="P866" s="59"/>
      <c r="Q866" s="59"/>
      <c r="R866" s="59"/>
      <c r="S866" s="59"/>
      <c r="T866" s="59"/>
      <c r="U866" s="59"/>
      <c r="V866" s="59"/>
      <c r="W866" s="59"/>
      <c r="X866" s="59"/>
      <c r="Y866" s="59"/>
    </row>
    <row r="867" spans="1:25" ht="18">
      <c r="A867" s="76"/>
      <c r="B867" s="59"/>
      <c r="C867" s="59"/>
      <c r="D867" s="59"/>
      <c r="E867" s="59"/>
      <c r="F867" s="59"/>
      <c r="G867" s="59"/>
      <c r="H867" s="59"/>
      <c r="I867" s="59"/>
      <c r="J867" s="59"/>
      <c r="K867" s="59"/>
      <c r="L867" s="59"/>
      <c r="M867" s="59"/>
      <c r="N867" s="59"/>
      <c r="O867" s="59"/>
      <c r="P867" s="59"/>
      <c r="Q867" s="59"/>
      <c r="R867" s="59"/>
      <c r="S867" s="59"/>
      <c r="T867" s="59"/>
      <c r="U867" s="59"/>
      <c r="V867" s="59"/>
      <c r="W867" s="59"/>
      <c r="X867" s="59"/>
      <c r="Y867" s="59"/>
    </row>
    <row r="868" spans="1:25" ht="18">
      <c r="A868" s="76"/>
      <c r="B868" s="59"/>
      <c r="C868" s="59"/>
      <c r="D868" s="59"/>
      <c r="E868" s="59"/>
      <c r="F868" s="59"/>
      <c r="G868" s="59"/>
      <c r="H868" s="59"/>
      <c r="I868" s="59"/>
      <c r="J868" s="59"/>
      <c r="K868" s="59"/>
      <c r="L868" s="59"/>
      <c r="M868" s="59"/>
      <c r="N868" s="59"/>
      <c r="O868" s="59"/>
      <c r="P868" s="59"/>
      <c r="Q868" s="59"/>
      <c r="R868" s="59"/>
      <c r="S868" s="59"/>
      <c r="T868" s="59"/>
      <c r="U868" s="59"/>
      <c r="V868" s="59"/>
      <c r="W868" s="59"/>
      <c r="X868" s="59"/>
      <c r="Y868" s="59"/>
    </row>
    <row r="869" spans="1:25" ht="18">
      <c r="A869" s="76"/>
      <c r="B869" s="59"/>
      <c r="C869" s="59"/>
      <c r="D869" s="59"/>
      <c r="E869" s="59"/>
      <c r="F869" s="59"/>
      <c r="G869" s="59"/>
      <c r="H869" s="59"/>
      <c r="I869" s="59"/>
      <c r="J869" s="59"/>
      <c r="K869" s="59"/>
      <c r="L869" s="59"/>
      <c r="M869" s="59"/>
      <c r="N869" s="59"/>
      <c r="O869" s="59"/>
      <c r="P869" s="59"/>
      <c r="Q869" s="59"/>
      <c r="R869" s="59"/>
      <c r="S869" s="59"/>
      <c r="T869" s="59"/>
      <c r="U869" s="59"/>
      <c r="V869" s="59"/>
      <c r="W869" s="59"/>
      <c r="X869" s="59"/>
      <c r="Y869" s="59"/>
    </row>
    <row r="870" spans="1:25" ht="18">
      <c r="A870" s="76"/>
      <c r="B870" s="59"/>
      <c r="C870" s="59"/>
      <c r="D870" s="59"/>
      <c r="E870" s="59"/>
      <c r="F870" s="59"/>
      <c r="G870" s="59"/>
      <c r="H870" s="59"/>
      <c r="I870" s="59"/>
      <c r="J870" s="59"/>
      <c r="K870" s="59"/>
      <c r="L870" s="59"/>
      <c r="M870" s="59"/>
      <c r="N870" s="59"/>
      <c r="O870" s="59"/>
      <c r="P870" s="59"/>
      <c r="Q870" s="59"/>
      <c r="R870" s="59"/>
      <c r="S870" s="59"/>
      <c r="T870" s="59"/>
      <c r="U870" s="59"/>
      <c r="V870" s="59"/>
      <c r="W870" s="59"/>
      <c r="X870" s="59"/>
      <c r="Y870" s="59"/>
    </row>
    <row r="871" spans="1:25" ht="18">
      <c r="A871" s="76"/>
      <c r="B871" s="59"/>
      <c r="C871" s="59"/>
      <c r="D871" s="59"/>
      <c r="E871" s="59"/>
      <c r="F871" s="59"/>
      <c r="G871" s="59"/>
      <c r="H871" s="59"/>
      <c r="I871" s="59"/>
      <c r="J871" s="59"/>
      <c r="K871" s="59"/>
      <c r="L871" s="59"/>
      <c r="M871" s="59"/>
      <c r="N871" s="59"/>
      <c r="O871" s="59"/>
      <c r="P871" s="59"/>
      <c r="Q871" s="59"/>
      <c r="R871" s="59"/>
      <c r="S871" s="59"/>
      <c r="T871" s="59"/>
      <c r="U871" s="59"/>
      <c r="V871" s="59"/>
      <c r="W871" s="59"/>
      <c r="X871" s="59"/>
      <c r="Y871" s="59"/>
    </row>
    <row r="872" spans="1:25" ht="18">
      <c r="A872" s="76"/>
      <c r="B872" s="59"/>
      <c r="C872" s="59"/>
      <c r="D872" s="59"/>
      <c r="E872" s="59"/>
      <c r="F872" s="59"/>
      <c r="G872" s="59"/>
      <c r="H872" s="59"/>
      <c r="I872" s="59"/>
      <c r="J872" s="59"/>
      <c r="K872" s="59"/>
      <c r="L872" s="59"/>
      <c r="M872" s="59"/>
      <c r="N872" s="59"/>
      <c r="O872" s="59"/>
      <c r="P872" s="59"/>
      <c r="Q872" s="59"/>
      <c r="R872" s="59"/>
      <c r="S872" s="59"/>
      <c r="T872" s="59"/>
      <c r="U872" s="59"/>
      <c r="V872" s="59"/>
      <c r="W872" s="59"/>
      <c r="X872" s="59"/>
      <c r="Y872" s="59"/>
    </row>
    <row r="873" spans="1:25" ht="18">
      <c r="A873" s="76"/>
      <c r="B873" s="59"/>
      <c r="C873" s="59"/>
      <c r="D873" s="59"/>
      <c r="E873" s="59"/>
      <c r="F873" s="59"/>
      <c r="G873" s="59"/>
      <c r="H873" s="59"/>
      <c r="I873" s="59"/>
      <c r="J873" s="59"/>
      <c r="K873" s="59"/>
      <c r="L873" s="59"/>
      <c r="M873" s="59"/>
      <c r="N873" s="59"/>
      <c r="O873" s="59"/>
      <c r="P873" s="59"/>
      <c r="Q873" s="59"/>
      <c r="R873" s="59"/>
      <c r="S873" s="59"/>
      <c r="T873" s="59"/>
      <c r="U873" s="59"/>
      <c r="V873" s="59"/>
      <c r="W873" s="59"/>
      <c r="X873" s="59"/>
      <c r="Y873" s="59"/>
    </row>
    <row r="874" spans="1:25" ht="18">
      <c r="A874" s="76"/>
      <c r="B874" s="59"/>
      <c r="C874" s="59"/>
      <c r="D874" s="59"/>
      <c r="E874" s="59"/>
      <c r="F874" s="59"/>
      <c r="G874" s="59"/>
      <c r="H874" s="59"/>
      <c r="I874" s="59"/>
      <c r="J874" s="59"/>
      <c r="K874" s="59"/>
      <c r="L874" s="59"/>
      <c r="M874" s="59"/>
      <c r="N874" s="59"/>
      <c r="O874" s="59"/>
      <c r="P874" s="59"/>
      <c r="Q874" s="59"/>
      <c r="R874" s="59"/>
      <c r="S874" s="59"/>
      <c r="T874" s="59"/>
      <c r="U874" s="59"/>
      <c r="V874" s="59"/>
      <c r="W874" s="59"/>
      <c r="X874" s="59"/>
      <c r="Y874" s="59"/>
    </row>
    <row r="875" spans="1:25" ht="18">
      <c r="A875" s="76"/>
      <c r="B875" s="59"/>
      <c r="C875" s="59"/>
      <c r="D875" s="59"/>
      <c r="E875" s="59"/>
      <c r="F875" s="59"/>
      <c r="G875" s="59"/>
      <c r="H875" s="59"/>
      <c r="I875" s="59"/>
      <c r="J875" s="59"/>
      <c r="K875" s="59"/>
      <c r="L875" s="59"/>
      <c r="M875" s="59"/>
      <c r="N875" s="59"/>
      <c r="O875" s="59"/>
      <c r="P875" s="59"/>
      <c r="Q875" s="59"/>
      <c r="R875" s="59"/>
      <c r="S875" s="59"/>
      <c r="T875" s="59"/>
      <c r="U875" s="59"/>
      <c r="V875" s="59"/>
      <c r="W875" s="59"/>
      <c r="X875" s="59"/>
      <c r="Y875" s="59"/>
    </row>
    <row r="876" spans="1:25" ht="18">
      <c r="A876" s="76"/>
      <c r="B876" s="59"/>
      <c r="C876" s="59"/>
      <c r="D876" s="59"/>
      <c r="E876" s="59"/>
      <c r="F876" s="59"/>
      <c r="G876" s="59"/>
      <c r="H876" s="59"/>
      <c r="I876" s="59"/>
      <c r="J876" s="59"/>
      <c r="K876" s="59"/>
      <c r="L876" s="59"/>
      <c r="M876" s="59"/>
      <c r="N876" s="59"/>
      <c r="O876" s="59"/>
      <c r="P876" s="59"/>
      <c r="Q876" s="59"/>
      <c r="R876" s="59"/>
      <c r="S876" s="59"/>
      <c r="T876" s="59"/>
      <c r="U876" s="59"/>
      <c r="V876" s="59"/>
      <c r="W876" s="59"/>
      <c r="X876" s="59"/>
      <c r="Y876" s="59"/>
    </row>
    <row r="877" spans="1:25" ht="18">
      <c r="A877" s="76"/>
      <c r="B877" s="59"/>
      <c r="C877" s="59"/>
      <c r="D877" s="59"/>
      <c r="E877" s="59"/>
      <c r="F877" s="59"/>
      <c r="G877" s="59"/>
      <c r="H877" s="59"/>
      <c r="I877" s="59"/>
      <c r="J877" s="59"/>
      <c r="K877" s="59"/>
      <c r="L877" s="59"/>
      <c r="M877" s="59"/>
      <c r="N877" s="59"/>
      <c r="O877" s="59"/>
      <c r="P877" s="59"/>
      <c r="Q877" s="59"/>
      <c r="R877" s="59"/>
      <c r="S877" s="59"/>
      <c r="T877" s="59"/>
      <c r="U877" s="59"/>
      <c r="V877" s="59"/>
      <c r="W877" s="59"/>
      <c r="X877" s="59"/>
      <c r="Y877" s="59"/>
    </row>
    <row r="878" spans="1:25" ht="18">
      <c r="A878" s="76"/>
      <c r="B878" s="59"/>
      <c r="C878" s="59"/>
      <c r="D878" s="59"/>
      <c r="E878" s="59"/>
      <c r="F878" s="59"/>
      <c r="G878" s="59"/>
      <c r="H878" s="59"/>
      <c r="I878" s="59"/>
      <c r="J878" s="59"/>
      <c r="K878" s="59"/>
      <c r="L878" s="59"/>
      <c r="M878" s="59"/>
      <c r="N878" s="59"/>
      <c r="O878" s="59"/>
      <c r="P878" s="59"/>
      <c r="Q878" s="59"/>
      <c r="R878" s="59"/>
      <c r="S878" s="59"/>
      <c r="T878" s="59"/>
      <c r="U878" s="59"/>
      <c r="V878" s="59"/>
      <c r="W878" s="59"/>
      <c r="X878" s="59"/>
      <c r="Y878" s="59"/>
    </row>
    <row r="879" spans="1:25" ht="18">
      <c r="A879" s="76"/>
      <c r="B879" s="59"/>
      <c r="C879" s="59"/>
      <c r="D879" s="59"/>
      <c r="E879" s="59"/>
      <c r="F879" s="59"/>
      <c r="G879" s="59"/>
      <c r="H879" s="59"/>
      <c r="I879" s="59"/>
      <c r="J879" s="59"/>
      <c r="K879" s="59"/>
      <c r="L879" s="59"/>
      <c r="M879" s="59"/>
      <c r="N879" s="59"/>
      <c r="O879" s="59"/>
      <c r="P879" s="59"/>
      <c r="Q879" s="59"/>
      <c r="R879" s="59"/>
      <c r="S879" s="59"/>
      <c r="T879" s="59"/>
      <c r="U879" s="59"/>
      <c r="V879" s="59"/>
      <c r="W879" s="59"/>
      <c r="X879" s="59"/>
      <c r="Y879" s="59"/>
    </row>
    <row r="880" spans="1:25" ht="18">
      <c r="A880" s="76"/>
      <c r="B880" s="59"/>
      <c r="C880" s="59"/>
      <c r="D880" s="59"/>
      <c r="E880" s="59"/>
      <c r="F880" s="59"/>
      <c r="G880" s="59"/>
      <c r="H880" s="59"/>
      <c r="I880" s="59"/>
      <c r="J880" s="59"/>
      <c r="K880" s="59"/>
      <c r="L880" s="59"/>
      <c r="M880" s="59"/>
      <c r="N880" s="59"/>
      <c r="O880" s="59"/>
      <c r="P880" s="59"/>
      <c r="Q880" s="59"/>
      <c r="R880" s="59"/>
      <c r="S880" s="59"/>
      <c r="T880" s="59"/>
      <c r="U880" s="59"/>
      <c r="V880" s="59"/>
      <c r="W880" s="59"/>
      <c r="X880" s="59"/>
      <c r="Y880" s="59"/>
    </row>
    <row r="881" spans="1:25" ht="18">
      <c r="A881" s="76"/>
      <c r="B881" s="59"/>
      <c r="C881" s="59"/>
      <c r="D881" s="59"/>
      <c r="E881" s="59"/>
      <c r="F881" s="59"/>
      <c r="G881" s="59"/>
      <c r="H881" s="59"/>
      <c r="I881" s="59"/>
      <c r="J881" s="59"/>
      <c r="K881" s="59"/>
      <c r="L881" s="59"/>
      <c r="M881" s="59"/>
      <c r="N881" s="59"/>
      <c r="O881" s="59"/>
      <c r="P881" s="59"/>
      <c r="Q881" s="59"/>
      <c r="R881" s="59"/>
      <c r="S881" s="59"/>
      <c r="T881" s="59"/>
      <c r="U881" s="59"/>
      <c r="V881" s="59"/>
      <c r="W881" s="59"/>
      <c r="X881" s="59"/>
      <c r="Y881" s="59"/>
    </row>
    <row r="882" spans="1:25" ht="18">
      <c r="A882" s="76"/>
      <c r="B882" s="59"/>
      <c r="C882" s="59"/>
      <c r="D882" s="59"/>
      <c r="E882" s="59"/>
      <c r="F882" s="59"/>
      <c r="G882" s="59"/>
      <c r="H882" s="59"/>
      <c r="I882" s="59"/>
      <c r="J882" s="59"/>
      <c r="K882" s="59"/>
      <c r="L882" s="59"/>
      <c r="M882" s="59"/>
      <c r="N882" s="59"/>
      <c r="O882" s="59"/>
      <c r="P882" s="59"/>
      <c r="Q882" s="59"/>
      <c r="R882" s="59"/>
      <c r="S882" s="59"/>
      <c r="T882" s="59"/>
      <c r="U882" s="59"/>
      <c r="V882" s="59"/>
      <c r="W882" s="59"/>
      <c r="X882" s="59"/>
      <c r="Y882" s="59"/>
    </row>
    <row r="883" spans="1:25" ht="18">
      <c r="A883" s="76"/>
      <c r="B883" s="59"/>
      <c r="C883" s="59"/>
      <c r="D883" s="59"/>
      <c r="E883" s="59"/>
      <c r="F883" s="59"/>
      <c r="G883" s="59"/>
      <c r="H883" s="59"/>
      <c r="I883" s="59"/>
      <c r="J883" s="59"/>
      <c r="K883" s="59"/>
      <c r="L883" s="59"/>
      <c r="M883" s="59"/>
      <c r="N883" s="59"/>
      <c r="O883" s="59"/>
      <c r="P883" s="59"/>
      <c r="Q883" s="59"/>
      <c r="R883" s="59"/>
      <c r="S883" s="59"/>
      <c r="T883" s="59"/>
      <c r="U883" s="59"/>
      <c r="V883" s="59"/>
      <c r="W883" s="59"/>
      <c r="X883" s="59"/>
      <c r="Y883" s="59"/>
    </row>
    <row r="884" spans="1:25" ht="18">
      <c r="A884" s="76"/>
      <c r="B884" s="59"/>
      <c r="C884" s="59"/>
      <c r="D884" s="59"/>
      <c r="E884" s="59"/>
      <c r="F884" s="59"/>
      <c r="G884" s="59"/>
      <c r="H884" s="59"/>
      <c r="I884" s="59"/>
      <c r="J884" s="59"/>
      <c r="K884" s="59"/>
      <c r="L884" s="59"/>
      <c r="M884" s="59"/>
      <c r="N884" s="59"/>
      <c r="O884" s="59"/>
      <c r="P884" s="59"/>
      <c r="Q884" s="59"/>
      <c r="R884" s="59"/>
      <c r="S884" s="59"/>
      <c r="T884" s="59"/>
      <c r="U884" s="59"/>
      <c r="V884" s="59"/>
      <c r="W884" s="59"/>
      <c r="X884" s="59"/>
      <c r="Y884" s="59"/>
    </row>
    <row r="885" spans="1:25" ht="18">
      <c r="A885" s="76"/>
      <c r="B885" s="59"/>
      <c r="C885" s="59"/>
      <c r="D885" s="59"/>
      <c r="E885" s="59"/>
      <c r="F885" s="59"/>
      <c r="G885" s="59"/>
      <c r="H885" s="59"/>
      <c r="I885" s="59"/>
      <c r="J885" s="59"/>
      <c r="K885" s="59"/>
      <c r="L885" s="59"/>
      <c r="M885" s="59"/>
      <c r="N885" s="59"/>
      <c r="O885" s="59"/>
      <c r="P885" s="59"/>
      <c r="Q885" s="59"/>
      <c r="R885" s="59"/>
      <c r="S885" s="59"/>
      <c r="T885" s="59"/>
      <c r="U885" s="59"/>
      <c r="V885" s="59"/>
      <c r="W885" s="59"/>
      <c r="X885" s="59"/>
      <c r="Y885" s="59"/>
    </row>
    <row r="886" spans="1:25" ht="18">
      <c r="A886" s="76"/>
      <c r="B886" s="59"/>
      <c r="C886" s="59"/>
      <c r="D886" s="59"/>
      <c r="E886" s="59"/>
      <c r="F886" s="59"/>
      <c r="G886" s="59"/>
      <c r="H886" s="59"/>
      <c r="I886" s="59"/>
      <c r="J886" s="59"/>
      <c r="K886" s="59"/>
      <c r="L886" s="59"/>
      <c r="M886" s="59"/>
      <c r="N886" s="59"/>
      <c r="O886" s="59"/>
      <c r="P886" s="59"/>
      <c r="Q886" s="59"/>
      <c r="R886" s="59"/>
      <c r="S886" s="59"/>
      <c r="T886" s="59"/>
      <c r="U886" s="59"/>
      <c r="V886" s="59"/>
      <c r="W886" s="59"/>
      <c r="X886" s="59"/>
      <c r="Y886" s="59"/>
    </row>
    <row r="887" spans="1:25" ht="18">
      <c r="A887" s="76"/>
      <c r="B887" s="59"/>
      <c r="C887" s="59"/>
      <c r="D887" s="59"/>
      <c r="E887" s="59"/>
      <c r="F887" s="59"/>
      <c r="G887" s="59"/>
      <c r="H887" s="59"/>
      <c r="I887" s="59"/>
      <c r="J887" s="59"/>
      <c r="K887" s="59"/>
      <c r="L887" s="59"/>
      <c r="M887" s="59"/>
      <c r="N887" s="59"/>
      <c r="O887" s="59"/>
      <c r="P887" s="59"/>
      <c r="Q887" s="59"/>
      <c r="R887" s="59"/>
      <c r="S887" s="59"/>
      <c r="T887" s="59"/>
      <c r="U887" s="59"/>
      <c r="V887" s="59"/>
      <c r="W887" s="59"/>
      <c r="X887" s="59"/>
      <c r="Y887" s="59"/>
    </row>
    <row r="888" spans="1:25" ht="18">
      <c r="A888" s="76"/>
      <c r="B888" s="59"/>
      <c r="C888" s="59"/>
      <c r="D888" s="59"/>
      <c r="E888" s="59"/>
      <c r="F888" s="59"/>
      <c r="G888" s="59"/>
      <c r="H888" s="59"/>
      <c r="I888" s="59"/>
      <c r="J888" s="59"/>
      <c r="K888" s="59"/>
      <c r="L888" s="59"/>
      <c r="M888" s="59"/>
      <c r="N888" s="59"/>
      <c r="O888" s="59"/>
      <c r="P888" s="59"/>
      <c r="Q888" s="59"/>
      <c r="R888" s="59"/>
      <c r="S888" s="59"/>
      <c r="T888" s="59"/>
      <c r="U888" s="59"/>
      <c r="V888" s="59"/>
      <c r="W888" s="59"/>
      <c r="X888" s="59"/>
      <c r="Y888" s="59"/>
    </row>
    <row r="889" spans="1:25" ht="18">
      <c r="A889" s="76"/>
      <c r="B889" s="59"/>
      <c r="C889" s="59"/>
      <c r="D889" s="59"/>
      <c r="E889" s="59"/>
      <c r="F889" s="59"/>
      <c r="G889" s="59"/>
      <c r="H889" s="59"/>
      <c r="I889" s="59"/>
      <c r="J889" s="59"/>
      <c r="K889" s="59"/>
      <c r="L889" s="59"/>
      <c r="M889" s="59"/>
      <c r="N889" s="59"/>
      <c r="O889" s="59"/>
      <c r="P889" s="59"/>
      <c r="Q889" s="59"/>
      <c r="R889" s="59"/>
      <c r="S889" s="59"/>
      <c r="T889" s="59"/>
      <c r="U889" s="59"/>
      <c r="V889" s="59"/>
      <c r="W889" s="59"/>
      <c r="X889" s="59"/>
      <c r="Y889" s="59"/>
    </row>
    <row r="890" spans="1:25" ht="18">
      <c r="A890" s="76"/>
      <c r="B890" s="59"/>
      <c r="C890" s="59"/>
      <c r="D890" s="59"/>
      <c r="E890" s="59"/>
      <c r="F890" s="59"/>
      <c r="G890" s="59"/>
      <c r="H890" s="59"/>
      <c r="I890" s="59"/>
      <c r="J890" s="59"/>
      <c r="K890" s="59"/>
      <c r="L890" s="59"/>
      <c r="M890" s="59"/>
      <c r="N890" s="59"/>
      <c r="O890" s="59"/>
      <c r="P890" s="59"/>
      <c r="Q890" s="59"/>
      <c r="R890" s="59"/>
      <c r="S890" s="59"/>
      <c r="T890" s="59"/>
      <c r="U890" s="59"/>
      <c r="V890" s="59"/>
      <c r="W890" s="59"/>
      <c r="X890" s="59"/>
      <c r="Y890" s="59"/>
    </row>
    <row r="891" spans="1:25" ht="18">
      <c r="A891" s="76"/>
      <c r="B891" s="59"/>
      <c r="C891" s="59"/>
      <c r="D891" s="59"/>
      <c r="E891" s="59"/>
      <c r="F891" s="59"/>
      <c r="G891" s="59"/>
      <c r="H891" s="59"/>
      <c r="I891" s="59"/>
      <c r="J891" s="59"/>
      <c r="K891" s="59"/>
      <c r="L891" s="59"/>
      <c r="M891" s="59"/>
      <c r="N891" s="59"/>
      <c r="O891" s="59"/>
      <c r="P891" s="59"/>
      <c r="Q891" s="59"/>
      <c r="R891" s="59"/>
      <c r="S891" s="59"/>
      <c r="T891" s="59"/>
      <c r="U891" s="59"/>
      <c r="V891" s="59"/>
      <c r="W891" s="59"/>
      <c r="X891" s="59"/>
      <c r="Y891" s="59"/>
    </row>
    <row r="892" spans="1:25" ht="18">
      <c r="A892" s="76"/>
      <c r="B892" s="59"/>
      <c r="C892" s="59"/>
      <c r="D892" s="59"/>
      <c r="E892" s="59"/>
      <c r="F892" s="59"/>
      <c r="G892" s="59"/>
      <c r="H892" s="59"/>
      <c r="I892" s="59"/>
      <c r="J892" s="59"/>
      <c r="K892" s="59"/>
      <c r="L892" s="59"/>
      <c r="M892" s="59"/>
      <c r="N892" s="59"/>
      <c r="O892" s="59"/>
      <c r="P892" s="59"/>
      <c r="Q892" s="59"/>
      <c r="R892" s="59"/>
      <c r="S892" s="59"/>
      <c r="T892" s="59"/>
      <c r="U892" s="59"/>
      <c r="V892" s="59"/>
      <c r="W892" s="59"/>
      <c r="X892" s="59"/>
      <c r="Y892" s="59"/>
    </row>
    <row r="893" spans="1:25" ht="18">
      <c r="A893" s="76"/>
      <c r="B893" s="59"/>
      <c r="C893" s="59"/>
      <c r="D893" s="59"/>
      <c r="E893" s="59"/>
      <c r="F893" s="59"/>
      <c r="G893" s="59"/>
      <c r="H893" s="59"/>
      <c r="I893" s="59"/>
      <c r="J893" s="59"/>
      <c r="K893" s="59"/>
      <c r="L893" s="59"/>
      <c r="M893" s="59"/>
      <c r="N893" s="59"/>
      <c r="O893" s="59"/>
      <c r="P893" s="59"/>
      <c r="Q893" s="59"/>
      <c r="R893" s="59"/>
      <c r="S893" s="59"/>
      <c r="T893" s="59"/>
      <c r="U893" s="59"/>
      <c r="V893" s="59"/>
      <c r="W893" s="59"/>
      <c r="X893" s="59"/>
      <c r="Y893" s="59"/>
    </row>
    <row r="894" spans="1:25" ht="18">
      <c r="A894" s="76"/>
      <c r="B894" s="59"/>
      <c r="C894" s="59"/>
      <c r="D894" s="59"/>
      <c r="E894" s="59"/>
      <c r="F894" s="59"/>
      <c r="G894" s="59"/>
      <c r="H894" s="59"/>
      <c r="I894" s="59"/>
      <c r="J894" s="59"/>
      <c r="K894" s="59"/>
      <c r="L894" s="59"/>
      <c r="M894" s="59"/>
      <c r="N894" s="59"/>
      <c r="O894" s="59"/>
      <c r="P894" s="59"/>
      <c r="Q894" s="59"/>
      <c r="R894" s="59"/>
      <c r="S894" s="59"/>
      <c r="T894" s="59"/>
      <c r="U894" s="59"/>
      <c r="V894" s="59"/>
      <c r="W894" s="59"/>
      <c r="X894" s="59"/>
      <c r="Y894" s="59"/>
    </row>
    <row r="895" spans="1:25" ht="18">
      <c r="A895" s="76"/>
      <c r="B895" s="59"/>
      <c r="C895" s="59"/>
      <c r="D895" s="59"/>
      <c r="E895" s="59"/>
      <c r="F895" s="59"/>
      <c r="G895" s="59"/>
      <c r="H895" s="59"/>
      <c r="I895" s="59"/>
      <c r="J895" s="59"/>
      <c r="K895" s="59"/>
      <c r="L895" s="59"/>
      <c r="M895" s="59"/>
      <c r="N895" s="59"/>
      <c r="O895" s="59"/>
      <c r="P895" s="59"/>
      <c r="Q895" s="59"/>
      <c r="R895" s="59"/>
      <c r="S895" s="59"/>
      <c r="T895" s="59"/>
      <c r="U895" s="59"/>
      <c r="V895" s="59"/>
      <c r="W895" s="59"/>
      <c r="X895" s="59"/>
      <c r="Y895" s="59"/>
    </row>
    <row r="896" spans="1:25" ht="18">
      <c r="A896" s="76"/>
      <c r="B896" s="59"/>
      <c r="C896" s="59"/>
      <c r="D896" s="59"/>
      <c r="E896" s="59"/>
      <c r="F896" s="59"/>
      <c r="G896" s="59"/>
      <c r="H896" s="59"/>
      <c r="I896" s="59"/>
      <c r="J896" s="59"/>
      <c r="K896" s="59"/>
      <c r="L896" s="59"/>
      <c r="M896" s="59"/>
      <c r="N896" s="59"/>
      <c r="O896" s="59"/>
      <c r="P896" s="59"/>
      <c r="Q896" s="59"/>
      <c r="R896" s="59"/>
      <c r="S896" s="59"/>
      <c r="T896" s="59"/>
      <c r="U896" s="59"/>
      <c r="V896" s="59"/>
      <c r="W896" s="59"/>
      <c r="X896" s="59"/>
      <c r="Y896" s="59"/>
    </row>
    <row r="897" spans="1:25" ht="18">
      <c r="A897" s="76"/>
      <c r="B897" s="59"/>
      <c r="C897" s="59"/>
      <c r="D897" s="59"/>
      <c r="E897" s="59"/>
      <c r="F897" s="59"/>
      <c r="G897" s="59"/>
      <c r="H897" s="59"/>
      <c r="I897" s="59"/>
      <c r="J897" s="59"/>
      <c r="K897" s="59"/>
      <c r="L897" s="59"/>
      <c r="M897" s="59"/>
      <c r="N897" s="59"/>
      <c r="O897" s="59"/>
      <c r="P897" s="59"/>
      <c r="Q897" s="59"/>
      <c r="R897" s="59"/>
      <c r="S897" s="59"/>
      <c r="T897" s="59"/>
      <c r="U897" s="59"/>
      <c r="V897" s="59"/>
      <c r="W897" s="59"/>
      <c r="X897" s="59"/>
      <c r="Y897" s="59"/>
    </row>
    <row r="898" spans="1:25" ht="18">
      <c r="A898" s="76"/>
      <c r="B898" s="59"/>
      <c r="C898" s="59"/>
      <c r="D898" s="59"/>
      <c r="E898" s="59"/>
      <c r="F898" s="59"/>
      <c r="G898" s="59"/>
      <c r="H898" s="59"/>
      <c r="I898" s="59"/>
      <c r="J898" s="59"/>
      <c r="K898" s="59"/>
      <c r="L898" s="59"/>
      <c r="M898" s="59"/>
      <c r="N898" s="59"/>
      <c r="O898" s="59"/>
      <c r="P898" s="59"/>
      <c r="Q898" s="59"/>
      <c r="R898" s="59"/>
      <c r="S898" s="59"/>
      <c r="T898" s="59"/>
      <c r="U898" s="59"/>
      <c r="V898" s="59"/>
      <c r="W898" s="59"/>
      <c r="X898" s="59"/>
      <c r="Y898" s="59"/>
    </row>
    <row r="899" spans="1:25" ht="18">
      <c r="A899" s="76"/>
      <c r="B899" s="59"/>
      <c r="C899" s="59"/>
      <c r="D899" s="59"/>
      <c r="E899" s="59"/>
      <c r="F899" s="59"/>
      <c r="G899" s="59"/>
      <c r="H899" s="59"/>
      <c r="I899" s="59"/>
      <c r="J899" s="59"/>
      <c r="K899" s="59"/>
      <c r="L899" s="59"/>
      <c r="M899" s="59"/>
      <c r="N899" s="59"/>
      <c r="O899" s="59"/>
      <c r="P899" s="59"/>
      <c r="Q899" s="59"/>
      <c r="R899" s="59"/>
      <c r="S899" s="59"/>
      <c r="T899" s="59"/>
      <c r="U899" s="59"/>
      <c r="V899" s="59"/>
      <c r="W899" s="59"/>
      <c r="X899" s="59"/>
      <c r="Y899" s="59"/>
    </row>
    <row r="900" spans="1:25" ht="18">
      <c r="A900" s="76"/>
      <c r="B900" s="59"/>
      <c r="C900" s="59"/>
      <c r="D900" s="59"/>
      <c r="E900" s="59"/>
      <c r="F900" s="59"/>
      <c r="G900" s="59"/>
      <c r="H900" s="59"/>
      <c r="I900" s="59"/>
      <c r="J900" s="59"/>
      <c r="K900" s="59"/>
      <c r="L900" s="59"/>
      <c r="M900" s="59"/>
      <c r="N900" s="59"/>
      <c r="O900" s="59"/>
      <c r="P900" s="59"/>
      <c r="Q900" s="59"/>
      <c r="R900" s="59"/>
      <c r="S900" s="59"/>
      <c r="T900" s="59"/>
      <c r="U900" s="59"/>
      <c r="V900" s="59"/>
      <c r="W900" s="59"/>
      <c r="X900" s="59"/>
      <c r="Y900" s="59"/>
    </row>
    <row r="901" spans="1:25" ht="18">
      <c r="A901" s="76"/>
      <c r="B901" s="59"/>
      <c r="C901" s="59"/>
      <c r="D901" s="59"/>
      <c r="E901" s="59"/>
      <c r="F901" s="59"/>
      <c r="G901" s="59"/>
      <c r="H901" s="59"/>
      <c r="I901" s="59"/>
      <c r="J901" s="59"/>
      <c r="K901" s="59"/>
      <c r="L901" s="59"/>
      <c r="M901" s="59"/>
      <c r="N901" s="59"/>
      <c r="O901" s="59"/>
      <c r="P901" s="59"/>
      <c r="Q901" s="59"/>
      <c r="R901" s="59"/>
      <c r="S901" s="59"/>
      <c r="T901" s="59"/>
      <c r="U901" s="59"/>
      <c r="V901" s="59"/>
      <c r="W901" s="59"/>
      <c r="X901" s="59"/>
      <c r="Y901" s="59"/>
    </row>
    <row r="902" spans="1:25" ht="18">
      <c r="A902" s="76"/>
      <c r="B902" s="59"/>
      <c r="C902" s="59"/>
      <c r="D902" s="59"/>
      <c r="E902" s="59"/>
      <c r="F902" s="59"/>
      <c r="G902" s="59"/>
      <c r="H902" s="59"/>
      <c r="I902" s="59"/>
      <c r="J902" s="59"/>
      <c r="K902" s="59"/>
      <c r="L902" s="59"/>
      <c r="M902" s="59"/>
      <c r="N902" s="59"/>
      <c r="O902" s="59"/>
      <c r="P902" s="59"/>
      <c r="Q902" s="59"/>
      <c r="R902" s="59"/>
      <c r="S902" s="59"/>
      <c r="T902" s="59"/>
      <c r="U902" s="59"/>
      <c r="V902" s="59"/>
      <c r="W902" s="59"/>
      <c r="X902" s="59"/>
      <c r="Y902" s="59"/>
    </row>
    <row r="903" spans="1:25" ht="18">
      <c r="A903" s="76"/>
      <c r="B903" s="59"/>
      <c r="C903" s="59"/>
      <c r="D903" s="59"/>
      <c r="E903" s="59"/>
      <c r="F903" s="59"/>
      <c r="G903" s="59"/>
      <c r="H903" s="59"/>
      <c r="I903" s="59"/>
      <c r="J903" s="59"/>
      <c r="K903" s="59"/>
      <c r="L903" s="59"/>
      <c r="M903" s="59"/>
      <c r="N903" s="59"/>
      <c r="O903" s="59"/>
      <c r="P903" s="59"/>
      <c r="Q903" s="59"/>
      <c r="R903" s="59"/>
      <c r="S903" s="59"/>
      <c r="T903" s="59"/>
      <c r="U903" s="59"/>
      <c r="V903" s="59"/>
      <c r="W903" s="59"/>
      <c r="X903" s="59"/>
      <c r="Y903" s="59"/>
    </row>
    <row r="904" spans="1:25" ht="18">
      <c r="A904" s="76"/>
      <c r="B904" s="59"/>
      <c r="C904" s="59"/>
      <c r="D904" s="59"/>
      <c r="E904" s="59"/>
      <c r="F904" s="59"/>
      <c r="G904" s="59"/>
      <c r="H904" s="59"/>
      <c r="I904" s="59"/>
      <c r="J904" s="59"/>
      <c r="K904" s="59"/>
      <c r="L904" s="59"/>
      <c r="M904" s="59"/>
      <c r="N904" s="59"/>
      <c r="O904" s="59"/>
      <c r="P904" s="59"/>
      <c r="Q904" s="59"/>
      <c r="R904" s="59"/>
      <c r="S904" s="59"/>
      <c r="T904" s="59"/>
      <c r="U904" s="59"/>
      <c r="V904" s="59"/>
      <c r="W904" s="59"/>
      <c r="X904" s="59"/>
      <c r="Y904" s="59"/>
    </row>
    <row r="905" spans="1:25" ht="18">
      <c r="A905" s="76"/>
      <c r="B905" s="59"/>
      <c r="C905" s="59"/>
      <c r="D905" s="59"/>
      <c r="E905" s="59"/>
      <c r="F905" s="59"/>
      <c r="G905" s="59"/>
      <c r="H905" s="59"/>
      <c r="I905" s="59"/>
      <c r="J905" s="59"/>
      <c r="K905" s="59"/>
      <c r="L905" s="59"/>
      <c r="M905" s="59"/>
      <c r="N905" s="59"/>
      <c r="O905" s="59"/>
      <c r="P905" s="59"/>
      <c r="Q905" s="59"/>
      <c r="R905" s="59"/>
      <c r="S905" s="59"/>
      <c r="T905" s="59"/>
      <c r="U905" s="59"/>
      <c r="V905" s="59"/>
      <c r="W905" s="59"/>
      <c r="X905" s="59"/>
      <c r="Y905" s="59"/>
    </row>
    <row r="906" spans="1:25" ht="18">
      <c r="A906" s="76"/>
      <c r="B906" s="59"/>
      <c r="C906" s="59"/>
      <c r="D906" s="59"/>
      <c r="E906" s="59"/>
      <c r="F906" s="59"/>
      <c r="G906" s="59"/>
      <c r="H906" s="59"/>
      <c r="I906" s="59"/>
      <c r="J906" s="59"/>
      <c r="K906" s="59"/>
      <c r="L906" s="59"/>
      <c r="M906" s="59"/>
      <c r="N906" s="59"/>
      <c r="O906" s="59"/>
      <c r="P906" s="59"/>
      <c r="Q906" s="59"/>
      <c r="R906" s="59"/>
      <c r="S906" s="59"/>
      <c r="T906" s="59"/>
      <c r="U906" s="59"/>
      <c r="V906" s="59"/>
      <c r="W906" s="59"/>
      <c r="X906" s="59"/>
      <c r="Y906" s="59"/>
    </row>
    <row r="907" spans="1:25" ht="18">
      <c r="A907" s="76"/>
      <c r="B907" s="59"/>
      <c r="C907" s="59"/>
      <c r="D907" s="59"/>
      <c r="E907" s="59"/>
      <c r="F907" s="59"/>
      <c r="G907" s="59"/>
      <c r="H907" s="59"/>
      <c r="I907" s="59"/>
      <c r="J907" s="59"/>
      <c r="K907" s="59"/>
      <c r="L907" s="59"/>
      <c r="M907" s="59"/>
      <c r="N907" s="59"/>
      <c r="O907" s="59"/>
      <c r="P907" s="59"/>
      <c r="Q907" s="59"/>
      <c r="R907" s="59"/>
      <c r="S907" s="59"/>
      <c r="T907" s="59"/>
      <c r="U907" s="59"/>
      <c r="V907" s="59"/>
      <c r="W907" s="59"/>
      <c r="X907" s="59"/>
      <c r="Y907" s="59"/>
    </row>
    <row r="908" spans="1:25" ht="18">
      <c r="A908" s="76"/>
      <c r="B908" s="59"/>
      <c r="C908" s="59"/>
      <c r="D908" s="59"/>
      <c r="E908" s="59"/>
      <c r="F908" s="59"/>
      <c r="G908" s="59"/>
      <c r="H908" s="59"/>
      <c r="I908" s="59"/>
      <c r="J908" s="59"/>
      <c r="K908" s="59"/>
      <c r="L908" s="59"/>
      <c r="M908" s="59"/>
      <c r="N908" s="59"/>
      <c r="O908" s="59"/>
      <c r="P908" s="59"/>
      <c r="Q908" s="59"/>
      <c r="R908" s="59"/>
      <c r="S908" s="59"/>
      <c r="T908" s="59"/>
      <c r="U908" s="59"/>
      <c r="V908" s="59"/>
      <c r="W908" s="59"/>
      <c r="X908" s="59"/>
      <c r="Y908" s="59"/>
    </row>
    <row r="909" spans="1:25" ht="18">
      <c r="A909" s="76"/>
      <c r="B909" s="59"/>
      <c r="C909" s="59"/>
      <c r="D909" s="59"/>
      <c r="E909" s="59"/>
      <c r="F909" s="59"/>
      <c r="G909" s="59"/>
      <c r="H909" s="59"/>
      <c r="I909" s="59"/>
      <c r="J909" s="59"/>
      <c r="K909" s="59"/>
      <c r="L909" s="59"/>
      <c r="M909" s="59"/>
      <c r="N909" s="59"/>
      <c r="O909" s="59"/>
      <c r="P909" s="59"/>
      <c r="Q909" s="59"/>
      <c r="R909" s="59"/>
      <c r="S909" s="59"/>
      <c r="T909" s="59"/>
      <c r="U909" s="59"/>
      <c r="V909" s="59"/>
      <c r="W909" s="59"/>
      <c r="X909" s="59"/>
      <c r="Y909" s="59"/>
    </row>
    <row r="910" spans="1:25" ht="18">
      <c r="A910" s="76"/>
      <c r="B910" s="59"/>
      <c r="C910" s="59"/>
      <c r="D910" s="59"/>
      <c r="E910" s="59"/>
      <c r="F910" s="59"/>
      <c r="G910" s="59"/>
      <c r="H910" s="59"/>
      <c r="I910" s="59"/>
      <c r="J910" s="59"/>
      <c r="K910" s="59"/>
      <c r="L910" s="59"/>
      <c r="M910" s="59"/>
      <c r="N910" s="59"/>
      <c r="O910" s="59"/>
      <c r="P910" s="59"/>
      <c r="Q910" s="59"/>
      <c r="R910" s="59"/>
      <c r="S910" s="59"/>
      <c r="T910" s="59"/>
      <c r="U910" s="59"/>
      <c r="V910" s="59"/>
      <c r="W910" s="59"/>
      <c r="X910" s="59"/>
      <c r="Y910" s="59"/>
    </row>
    <row r="911" spans="1:25" ht="18">
      <c r="A911" s="76"/>
      <c r="B911" s="59"/>
      <c r="C911" s="59"/>
      <c r="D911" s="59"/>
      <c r="E911" s="59"/>
      <c r="F911" s="59"/>
      <c r="G911" s="59"/>
      <c r="H911" s="59"/>
      <c r="I911" s="59"/>
      <c r="J911" s="59"/>
      <c r="K911" s="59"/>
      <c r="L911" s="59"/>
      <c r="M911" s="59"/>
      <c r="N911" s="59"/>
      <c r="O911" s="59"/>
      <c r="P911" s="59"/>
      <c r="Q911" s="59"/>
      <c r="R911" s="59"/>
      <c r="S911" s="59"/>
      <c r="T911" s="59"/>
      <c r="U911" s="59"/>
      <c r="V911" s="59"/>
      <c r="W911" s="59"/>
      <c r="X911" s="59"/>
      <c r="Y911" s="59"/>
    </row>
    <row r="912" spans="1:25" ht="18">
      <c r="A912" s="76"/>
      <c r="B912" s="59"/>
      <c r="C912" s="59"/>
      <c r="D912" s="59"/>
      <c r="E912" s="59"/>
      <c r="F912" s="59"/>
      <c r="G912" s="59"/>
      <c r="H912" s="59"/>
      <c r="I912" s="59"/>
      <c r="J912" s="59"/>
      <c r="K912" s="59"/>
      <c r="L912" s="59"/>
      <c r="M912" s="59"/>
      <c r="N912" s="59"/>
      <c r="O912" s="59"/>
      <c r="P912" s="59"/>
      <c r="Q912" s="59"/>
      <c r="R912" s="59"/>
      <c r="S912" s="59"/>
      <c r="T912" s="59"/>
      <c r="U912" s="59"/>
      <c r="V912" s="59"/>
      <c r="W912" s="59"/>
      <c r="X912" s="59"/>
      <c r="Y912" s="59"/>
    </row>
    <row r="913" spans="1:25" ht="18">
      <c r="A913" s="76"/>
      <c r="B913" s="59"/>
      <c r="C913" s="59"/>
      <c r="D913" s="59"/>
      <c r="E913" s="59"/>
      <c r="F913" s="59"/>
      <c r="G913" s="59"/>
      <c r="H913" s="59"/>
      <c r="I913" s="59"/>
      <c r="J913" s="59"/>
      <c r="K913" s="59"/>
      <c r="L913" s="59"/>
      <c r="M913" s="59"/>
      <c r="N913" s="59"/>
      <c r="O913" s="59"/>
      <c r="P913" s="59"/>
      <c r="Q913" s="59"/>
      <c r="R913" s="59"/>
      <c r="S913" s="59"/>
      <c r="T913" s="59"/>
      <c r="U913" s="59"/>
      <c r="V913" s="59"/>
      <c r="W913" s="59"/>
      <c r="X913" s="59"/>
      <c r="Y913" s="59"/>
    </row>
    <row r="914" spans="1:25" ht="18">
      <c r="A914" s="76"/>
      <c r="B914" s="59"/>
      <c r="C914" s="59"/>
      <c r="D914" s="59"/>
      <c r="E914" s="59"/>
      <c r="F914" s="59"/>
      <c r="G914" s="59"/>
      <c r="H914" s="59"/>
      <c r="I914" s="59"/>
      <c r="J914" s="59"/>
      <c r="K914" s="59"/>
      <c r="L914" s="59"/>
      <c r="M914" s="59"/>
      <c r="N914" s="59"/>
      <c r="O914" s="59"/>
      <c r="P914" s="59"/>
      <c r="Q914" s="59"/>
      <c r="R914" s="59"/>
      <c r="S914" s="59"/>
      <c r="T914" s="59"/>
      <c r="U914" s="59"/>
      <c r="V914" s="59"/>
      <c r="W914" s="59"/>
      <c r="X914" s="59"/>
      <c r="Y914" s="59"/>
    </row>
    <row r="915" spans="1:25" ht="18">
      <c r="A915" s="76"/>
      <c r="B915" s="59"/>
      <c r="C915" s="59"/>
      <c r="D915" s="59"/>
      <c r="E915" s="59"/>
      <c r="F915" s="59"/>
      <c r="G915" s="59"/>
      <c r="H915" s="59"/>
      <c r="I915" s="59"/>
      <c r="J915" s="59"/>
      <c r="K915" s="59"/>
      <c r="L915" s="59"/>
      <c r="M915" s="59"/>
      <c r="N915" s="59"/>
      <c r="O915" s="59"/>
      <c r="P915" s="59"/>
      <c r="Q915" s="59"/>
      <c r="R915" s="59"/>
      <c r="S915" s="59"/>
      <c r="T915" s="59"/>
      <c r="U915" s="59"/>
      <c r="V915" s="59"/>
      <c r="W915" s="59"/>
      <c r="X915" s="59"/>
      <c r="Y915" s="59"/>
    </row>
    <row r="916" spans="1:25" ht="18">
      <c r="A916" s="76"/>
      <c r="B916" s="59"/>
      <c r="C916" s="59"/>
      <c r="D916" s="59"/>
      <c r="E916" s="59"/>
      <c r="F916" s="59"/>
      <c r="G916" s="59"/>
      <c r="H916" s="59"/>
      <c r="I916" s="59"/>
      <c r="J916" s="59"/>
      <c r="K916" s="59"/>
      <c r="L916" s="59"/>
      <c r="M916" s="59"/>
      <c r="N916" s="59"/>
      <c r="O916" s="59"/>
      <c r="P916" s="59"/>
      <c r="Q916" s="59"/>
      <c r="R916" s="59"/>
      <c r="S916" s="59"/>
      <c r="T916" s="59"/>
      <c r="U916" s="59"/>
      <c r="V916" s="59"/>
      <c r="W916" s="59"/>
      <c r="X916" s="59"/>
      <c r="Y916" s="59"/>
    </row>
    <row r="917" spans="1:25" ht="18">
      <c r="A917" s="76"/>
      <c r="B917" s="59"/>
      <c r="C917" s="59"/>
      <c r="D917" s="59"/>
      <c r="E917" s="59"/>
      <c r="F917" s="59"/>
      <c r="G917" s="59"/>
      <c r="H917" s="59"/>
      <c r="I917" s="59"/>
      <c r="J917" s="59"/>
      <c r="K917" s="59"/>
      <c r="L917" s="59"/>
      <c r="M917" s="59"/>
      <c r="N917" s="59"/>
      <c r="O917" s="59"/>
      <c r="P917" s="59"/>
      <c r="Q917" s="59"/>
      <c r="R917" s="59"/>
      <c r="S917" s="59"/>
      <c r="T917" s="59"/>
      <c r="U917" s="59"/>
      <c r="V917" s="59"/>
      <c r="W917" s="59"/>
      <c r="X917" s="59"/>
      <c r="Y917" s="59"/>
    </row>
    <row r="918" spans="1:25" ht="18">
      <c r="A918" s="76"/>
      <c r="B918" s="59"/>
      <c r="C918" s="59"/>
      <c r="D918" s="59"/>
      <c r="E918" s="59"/>
      <c r="F918" s="59"/>
      <c r="G918" s="59"/>
      <c r="H918" s="59"/>
      <c r="I918" s="59"/>
      <c r="J918" s="59"/>
      <c r="K918" s="59"/>
      <c r="L918" s="59"/>
      <c r="M918" s="59"/>
      <c r="N918" s="59"/>
      <c r="O918" s="59"/>
      <c r="P918" s="59"/>
      <c r="Q918" s="59"/>
      <c r="R918" s="59"/>
      <c r="S918" s="59"/>
      <c r="T918" s="59"/>
      <c r="U918" s="59"/>
      <c r="V918" s="59"/>
      <c r="W918" s="59"/>
      <c r="X918" s="59"/>
      <c r="Y918" s="59"/>
    </row>
    <row r="919" spans="1:25" ht="18">
      <c r="A919" s="76"/>
      <c r="B919" s="59"/>
      <c r="C919" s="59"/>
      <c r="D919" s="59"/>
      <c r="E919" s="59"/>
      <c r="F919" s="59"/>
      <c r="G919" s="59"/>
      <c r="H919" s="59"/>
      <c r="I919" s="59"/>
      <c r="J919" s="59"/>
      <c r="K919" s="59"/>
      <c r="L919" s="59"/>
      <c r="M919" s="59"/>
      <c r="N919" s="59"/>
      <c r="O919" s="59"/>
      <c r="P919" s="59"/>
      <c r="Q919" s="59"/>
      <c r="R919" s="59"/>
      <c r="S919" s="59"/>
      <c r="T919" s="59"/>
      <c r="U919" s="59"/>
      <c r="V919" s="59"/>
      <c r="W919" s="59"/>
      <c r="X919" s="59"/>
      <c r="Y919" s="59"/>
    </row>
    <row r="920" spans="1:25" ht="18">
      <c r="A920" s="76"/>
      <c r="B920" s="59"/>
      <c r="C920" s="59"/>
      <c r="D920" s="59"/>
      <c r="E920" s="59"/>
      <c r="F920" s="59"/>
      <c r="G920" s="59"/>
      <c r="H920" s="59"/>
      <c r="I920" s="59"/>
      <c r="J920" s="59"/>
      <c r="K920" s="59"/>
      <c r="L920" s="59"/>
      <c r="M920" s="59"/>
      <c r="N920" s="59"/>
      <c r="O920" s="59"/>
      <c r="P920" s="59"/>
      <c r="Q920" s="59"/>
      <c r="R920" s="59"/>
      <c r="S920" s="59"/>
      <c r="T920" s="59"/>
      <c r="U920" s="59"/>
      <c r="V920" s="59"/>
      <c r="W920" s="59"/>
      <c r="X920" s="59"/>
      <c r="Y920" s="59"/>
    </row>
    <row r="921" spans="1:25" ht="18">
      <c r="A921" s="76"/>
      <c r="B921" s="59"/>
      <c r="C921" s="59"/>
      <c r="D921" s="59"/>
      <c r="E921" s="59"/>
      <c r="F921" s="59"/>
      <c r="G921" s="59"/>
      <c r="H921" s="59"/>
      <c r="I921" s="59"/>
      <c r="J921" s="59"/>
      <c r="K921" s="59"/>
      <c r="L921" s="59"/>
      <c r="M921" s="59"/>
      <c r="N921" s="59"/>
      <c r="O921" s="59"/>
      <c r="P921" s="59"/>
      <c r="Q921" s="59"/>
      <c r="R921" s="59"/>
      <c r="S921" s="59"/>
      <c r="T921" s="59"/>
      <c r="U921" s="59"/>
      <c r="V921" s="59"/>
      <c r="W921" s="59"/>
      <c r="X921" s="59"/>
      <c r="Y921" s="59"/>
    </row>
    <row r="922" spans="1:25" ht="18">
      <c r="A922" s="76"/>
      <c r="B922" s="59"/>
      <c r="C922" s="59"/>
      <c r="D922" s="59"/>
      <c r="E922" s="59"/>
      <c r="F922" s="59"/>
      <c r="G922" s="59"/>
      <c r="H922" s="59"/>
      <c r="I922" s="59"/>
      <c r="J922" s="59"/>
      <c r="K922" s="59"/>
      <c r="L922" s="59"/>
      <c r="M922" s="59"/>
      <c r="N922" s="59"/>
      <c r="O922" s="59"/>
      <c r="P922" s="59"/>
      <c r="Q922" s="59"/>
      <c r="R922" s="59"/>
      <c r="S922" s="59"/>
      <c r="T922" s="59"/>
      <c r="U922" s="59"/>
      <c r="V922" s="59"/>
      <c r="W922" s="59"/>
      <c r="X922" s="59"/>
      <c r="Y922" s="59"/>
    </row>
    <row r="923" spans="1:25" ht="18">
      <c r="A923" s="76"/>
      <c r="B923" s="59"/>
      <c r="C923" s="59"/>
      <c r="D923" s="59"/>
      <c r="E923" s="59"/>
      <c r="F923" s="59"/>
      <c r="G923" s="59"/>
      <c r="H923" s="59"/>
      <c r="I923" s="59"/>
      <c r="J923" s="59"/>
      <c r="K923" s="59"/>
      <c r="L923" s="59"/>
      <c r="M923" s="59"/>
      <c r="N923" s="59"/>
      <c r="O923" s="59"/>
      <c r="P923" s="59"/>
      <c r="Q923" s="59"/>
      <c r="R923" s="59"/>
      <c r="S923" s="59"/>
      <c r="T923" s="59"/>
      <c r="U923" s="59"/>
      <c r="V923" s="59"/>
      <c r="W923" s="59"/>
      <c r="X923" s="59"/>
      <c r="Y923" s="59"/>
    </row>
    <row r="924" spans="1:25" ht="18">
      <c r="A924" s="76"/>
      <c r="B924" s="59"/>
      <c r="C924" s="59"/>
      <c r="D924" s="59"/>
      <c r="E924" s="59"/>
      <c r="F924" s="59"/>
      <c r="G924" s="59"/>
      <c r="H924" s="59"/>
      <c r="I924" s="59"/>
      <c r="J924" s="59"/>
      <c r="K924" s="59"/>
      <c r="L924" s="59"/>
      <c r="M924" s="59"/>
      <c r="N924" s="59"/>
      <c r="O924" s="59"/>
      <c r="P924" s="59"/>
      <c r="Q924" s="59"/>
      <c r="R924" s="59"/>
      <c r="S924" s="59"/>
      <c r="T924" s="59"/>
      <c r="U924" s="59"/>
      <c r="V924" s="59"/>
      <c r="W924" s="59"/>
      <c r="X924" s="59"/>
      <c r="Y924" s="59"/>
    </row>
    <row r="925" spans="1:25" ht="18">
      <c r="A925" s="76"/>
      <c r="B925" s="59"/>
      <c r="C925" s="59"/>
      <c r="D925" s="59"/>
      <c r="E925" s="59"/>
      <c r="F925" s="59"/>
      <c r="G925" s="59"/>
      <c r="H925" s="59"/>
      <c r="I925" s="59"/>
      <c r="J925" s="59"/>
      <c r="K925" s="59"/>
      <c r="L925" s="59"/>
      <c r="M925" s="59"/>
      <c r="N925" s="59"/>
      <c r="O925" s="59"/>
      <c r="P925" s="59"/>
      <c r="Q925" s="59"/>
      <c r="R925" s="59"/>
      <c r="S925" s="59"/>
      <c r="T925" s="59"/>
      <c r="U925" s="59"/>
      <c r="V925" s="59"/>
      <c r="W925" s="59"/>
      <c r="X925" s="59"/>
      <c r="Y925" s="59"/>
    </row>
    <row r="926" spans="1:25" ht="18">
      <c r="A926" s="76"/>
      <c r="B926" s="59"/>
      <c r="C926" s="59"/>
      <c r="D926" s="59"/>
      <c r="E926" s="59"/>
      <c r="F926" s="59"/>
      <c r="G926" s="59"/>
      <c r="H926" s="59"/>
      <c r="I926" s="59"/>
      <c r="J926" s="59"/>
      <c r="K926" s="59"/>
      <c r="L926" s="59"/>
      <c r="M926" s="59"/>
      <c r="N926" s="59"/>
      <c r="O926" s="59"/>
      <c r="P926" s="59"/>
      <c r="Q926" s="59"/>
      <c r="R926" s="59"/>
      <c r="S926" s="59"/>
      <c r="T926" s="59"/>
      <c r="U926" s="59"/>
      <c r="V926" s="59"/>
      <c r="W926" s="59"/>
      <c r="X926" s="59"/>
      <c r="Y926" s="59"/>
    </row>
    <row r="927" spans="1:25" ht="18">
      <c r="A927" s="76"/>
      <c r="B927" s="59"/>
      <c r="C927" s="59"/>
      <c r="D927" s="59"/>
      <c r="E927" s="59"/>
      <c r="F927" s="59"/>
      <c r="G927" s="59"/>
      <c r="H927" s="59"/>
      <c r="I927" s="59"/>
      <c r="J927" s="59"/>
      <c r="K927" s="59"/>
      <c r="L927" s="59"/>
      <c r="M927" s="59"/>
      <c r="N927" s="59"/>
      <c r="O927" s="59"/>
      <c r="P927" s="59"/>
      <c r="Q927" s="59"/>
      <c r="R927" s="59"/>
      <c r="S927" s="59"/>
      <c r="T927" s="59"/>
      <c r="U927" s="59"/>
      <c r="V927" s="59"/>
      <c r="W927" s="59"/>
      <c r="X927" s="59"/>
      <c r="Y927" s="59"/>
    </row>
    <row r="928" spans="1:25" ht="18">
      <c r="A928" s="76"/>
      <c r="B928" s="59"/>
      <c r="C928" s="59"/>
      <c r="D928" s="59"/>
      <c r="E928" s="59"/>
      <c r="F928" s="59"/>
      <c r="G928" s="59"/>
      <c r="H928" s="59"/>
      <c r="I928" s="59"/>
      <c r="J928" s="59"/>
      <c r="K928" s="59"/>
      <c r="L928" s="59"/>
      <c r="M928" s="59"/>
      <c r="N928" s="59"/>
      <c r="O928" s="59"/>
      <c r="P928" s="59"/>
      <c r="Q928" s="59"/>
      <c r="R928" s="59"/>
      <c r="S928" s="59"/>
      <c r="T928" s="59"/>
      <c r="U928" s="59"/>
      <c r="V928" s="59"/>
      <c r="W928" s="59"/>
      <c r="X928" s="59"/>
      <c r="Y928" s="59"/>
    </row>
    <row r="929" spans="1:25" ht="18">
      <c r="A929" s="76"/>
      <c r="B929" s="59"/>
      <c r="C929" s="59"/>
      <c r="D929" s="59"/>
      <c r="E929" s="59"/>
      <c r="F929" s="59"/>
      <c r="G929" s="59"/>
      <c r="H929" s="59"/>
      <c r="I929" s="59"/>
      <c r="J929" s="59"/>
      <c r="K929" s="59"/>
      <c r="L929" s="59"/>
      <c r="M929" s="59"/>
      <c r="N929" s="59"/>
      <c r="O929" s="59"/>
      <c r="P929" s="59"/>
      <c r="Q929" s="59"/>
      <c r="R929" s="59"/>
      <c r="S929" s="59"/>
      <c r="T929" s="59"/>
      <c r="U929" s="59"/>
      <c r="V929" s="59"/>
      <c r="W929" s="59"/>
      <c r="X929" s="59"/>
      <c r="Y929" s="59"/>
    </row>
    <row r="930" spans="1:25" ht="18">
      <c r="A930" s="76"/>
      <c r="B930" s="59"/>
      <c r="C930" s="59"/>
      <c r="D930" s="59"/>
      <c r="E930" s="59"/>
      <c r="F930" s="59"/>
      <c r="G930" s="59"/>
      <c r="H930" s="59"/>
      <c r="I930" s="59"/>
      <c r="J930" s="59"/>
      <c r="K930" s="59"/>
      <c r="L930" s="59"/>
      <c r="M930" s="59"/>
      <c r="N930" s="59"/>
      <c r="O930" s="59"/>
      <c r="P930" s="59"/>
      <c r="Q930" s="59"/>
      <c r="R930" s="59"/>
      <c r="S930" s="59"/>
      <c r="T930" s="59"/>
      <c r="U930" s="59"/>
      <c r="V930" s="59"/>
      <c r="W930" s="59"/>
      <c r="X930" s="59"/>
      <c r="Y930" s="59"/>
    </row>
    <row r="931" spans="1:25" ht="18">
      <c r="A931" s="76"/>
      <c r="B931" s="59"/>
      <c r="C931" s="59"/>
      <c r="D931" s="59"/>
      <c r="E931" s="59"/>
      <c r="F931" s="59"/>
      <c r="G931" s="59"/>
      <c r="H931" s="59"/>
      <c r="I931" s="59"/>
      <c r="J931" s="59"/>
      <c r="K931" s="59"/>
      <c r="L931" s="59"/>
      <c r="M931" s="59"/>
      <c r="N931" s="59"/>
      <c r="O931" s="59"/>
      <c r="P931" s="59"/>
      <c r="Q931" s="59"/>
      <c r="R931" s="59"/>
      <c r="S931" s="59"/>
      <c r="T931" s="59"/>
      <c r="U931" s="59"/>
      <c r="V931" s="59"/>
      <c r="W931" s="59"/>
      <c r="X931" s="59"/>
      <c r="Y931" s="59"/>
    </row>
    <row r="932" spans="1:25" ht="18">
      <c r="A932" s="76"/>
      <c r="B932" s="59"/>
      <c r="C932" s="59"/>
      <c r="D932" s="59"/>
      <c r="E932" s="59"/>
      <c r="F932" s="59"/>
      <c r="G932" s="59"/>
      <c r="H932" s="59"/>
      <c r="I932" s="59"/>
      <c r="J932" s="59"/>
      <c r="K932" s="59"/>
      <c r="L932" s="59"/>
      <c r="M932" s="59"/>
      <c r="N932" s="59"/>
      <c r="O932" s="59"/>
      <c r="P932" s="59"/>
      <c r="Q932" s="59"/>
      <c r="R932" s="59"/>
      <c r="S932" s="59"/>
      <c r="T932" s="59"/>
      <c r="U932" s="59"/>
      <c r="V932" s="59"/>
      <c r="W932" s="59"/>
      <c r="X932" s="59"/>
      <c r="Y932" s="59"/>
    </row>
    <row r="933" spans="1:25" ht="18">
      <c r="A933" s="76"/>
      <c r="B933" s="59"/>
      <c r="C933" s="59"/>
      <c r="D933" s="59"/>
      <c r="E933" s="59"/>
      <c r="F933" s="59"/>
      <c r="G933" s="59"/>
      <c r="H933" s="59"/>
      <c r="I933" s="59"/>
      <c r="J933" s="59"/>
      <c r="K933" s="59"/>
      <c r="L933" s="59"/>
      <c r="M933" s="59"/>
      <c r="N933" s="59"/>
      <c r="O933" s="59"/>
      <c r="P933" s="59"/>
      <c r="Q933" s="59"/>
      <c r="R933" s="59"/>
      <c r="S933" s="59"/>
      <c r="T933" s="59"/>
      <c r="U933" s="59"/>
      <c r="V933" s="59"/>
      <c r="W933" s="59"/>
      <c r="X933" s="59"/>
      <c r="Y933" s="59"/>
    </row>
    <row r="934" spans="1:25" ht="18">
      <c r="A934" s="76"/>
      <c r="B934" s="59"/>
      <c r="C934" s="59"/>
      <c r="D934" s="59"/>
      <c r="E934" s="59"/>
      <c r="F934" s="59"/>
      <c r="G934" s="59"/>
      <c r="H934" s="59"/>
      <c r="I934" s="59"/>
      <c r="J934" s="59"/>
      <c r="K934" s="59"/>
      <c r="L934" s="59"/>
      <c r="M934" s="59"/>
      <c r="N934" s="59"/>
      <c r="O934" s="59"/>
      <c r="P934" s="59"/>
      <c r="Q934" s="59"/>
      <c r="R934" s="59"/>
      <c r="S934" s="59"/>
      <c r="T934" s="59"/>
      <c r="U934" s="59"/>
      <c r="V934" s="59"/>
      <c r="W934" s="59"/>
      <c r="X934" s="59"/>
      <c r="Y934" s="59"/>
    </row>
    <row r="935" spans="1:25" ht="18">
      <c r="A935" s="76"/>
      <c r="B935" s="59"/>
      <c r="C935" s="59"/>
      <c r="D935" s="59"/>
      <c r="E935" s="59"/>
      <c r="F935" s="59"/>
      <c r="G935" s="59"/>
      <c r="H935" s="59"/>
      <c r="I935" s="59"/>
      <c r="J935" s="59"/>
      <c r="K935" s="59"/>
      <c r="L935" s="59"/>
      <c r="M935" s="59"/>
      <c r="N935" s="59"/>
      <c r="O935" s="59"/>
      <c r="P935" s="59"/>
      <c r="Q935" s="59"/>
      <c r="R935" s="59"/>
      <c r="S935" s="59"/>
      <c r="T935" s="59"/>
      <c r="U935" s="59"/>
      <c r="V935" s="59"/>
      <c r="W935" s="59"/>
      <c r="X935" s="59"/>
      <c r="Y935" s="59"/>
    </row>
    <row r="936" spans="1:25" ht="18">
      <c r="A936" s="76"/>
      <c r="B936" s="59"/>
      <c r="C936" s="59"/>
      <c r="D936" s="59"/>
      <c r="E936" s="59"/>
      <c r="F936" s="59"/>
      <c r="G936" s="59"/>
      <c r="H936" s="59"/>
      <c r="I936" s="59"/>
      <c r="J936" s="59"/>
      <c r="K936" s="59"/>
      <c r="L936" s="59"/>
      <c r="M936" s="59"/>
      <c r="N936" s="59"/>
      <c r="O936" s="59"/>
      <c r="P936" s="59"/>
      <c r="Q936" s="59"/>
      <c r="R936" s="59"/>
      <c r="S936" s="59"/>
      <c r="T936" s="59"/>
      <c r="U936" s="59"/>
      <c r="V936" s="59"/>
      <c r="W936" s="59"/>
      <c r="X936" s="59"/>
      <c r="Y936" s="59"/>
    </row>
    <row r="937" spans="1:25" ht="18">
      <c r="A937" s="76"/>
      <c r="B937" s="59"/>
      <c r="C937" s="59"/>
      <c r="D937" s="59"/>
      <c r="E937" s="59"/>
      <c r="F937" s="59"/>
      <c r="G937" s="59"/>
      <c r="H937" s="59"/>
      <c r="I937" s="59"/>
      <c r="J937" s="59"/>
      <c r="K937" s="59"/>
      <c r="L937" s="59"/>
      <c r="M937" s="59"/>
      <c r="N937" s="59"/>
      <c r="O937" s="59"/>
      <c r="P937" s="59"/>
      <c r="Q937" s="59"/>
      <c r="R937" s="59"/>
      <c r="S937" s="59"/>
      <c r="T937" s="59"/>
      <c r="U937" s="59"/>
      <c r="V937" s="59"/>
      <c r="W937" s="59"/>
      <c r="X937" s="59"/>
      <c r="Y937" s="59"/>
    </row>
    <row r="938" spans="1:25" ht="18">
      <c r="A938" s="76"/>
      <c r="B938" s="59"/>
      <c r="C938" s="59"/>
      <c r="D938" s="59"/>
      <c r="E938" s="59"/>
      <c r="F938" s="59"/>
      <c r="G938" s="59"/>
      <c r="H938" s="59"/>
      <c r="I938" s="59"/>
      <c r="J938" s="59"/>
      <c r="K938" s="59"/>
      <c r="L938" s="59"/>
      <c r="M938" s="59"/>
      <c r="N938" s="59"/>
      <c r="O938" s="59"/>
      <c r="P938" s="59"/>
      <c r="Q938" s="59"/>
      <c r="R938" s="59"/>
      <c r="S938" s="59"/>
      <c r="T938" s="59"/>
      <c r="U938" s="59"/>
      <c r="V938" s="59"/>
      <c r="W938" s="59"/>
      <c r="X938" s="59"/>
      <c r="Y938" s="59"/>
    </row>
    <row r="939" spans="1:25" ht="18">
      <c r="A939" s="76"/>
      <c r="B939" s="59"/>
      <c r="C939" s="59"/>
      <c r="D939" s="59"/>
      <c r="E939" s="59"/>
      <c r="F939" s="59"/>
      <c r="G939" s="59"/>
      <c r="H939" s="59"/>
      <c r="I939" s="59"/>
      <c r="J939" s="59"/>
      <c r="K939" s="59"/>
      <c r="L939" s="59"/>
      <c r="M939" s="59"/>
      <c r="N939" s="59"/>
      <c r="O939" s="59"/>
      <c r="P939" s="59"/>
      <c r="Q939" s="59"/>
      <c r="R939" s="59"/>
      <c r="S939" s="59"/>
      <c r="T939" s="59"/>
      <c r="U939" s="59"/>
      <c r="V939" s="59"/>
      <c r="W939" s="59"/>
      <c r="X939" s="59"/>
      <c r="Y939" s="59"/>
    </row>
    <row r="940" spans="1:25" ht="18">
      <c r="A940" s="76"/>
      <c r="B940" s="59"/>
      <c r="C940" s="59"/>
      <c r="D940" s="59"/>
      <c r="E940" s="59"/>
      <c r="F940" s="59"/>
      <c r="G940" s="59"/>
      <c r="H940" s="59"/>
      <c r="I940" s="59"/>
      <c r="J940" s="59"/>
      <c r="K940" s="59"/>
      <c r="L940" s="59"/>
      <c r="M940" s="59"/>
      <c r="N940" s="59"/>
      <c r="O940" s="59"/>
      <c r="P940" s="59"/>
      <c r="Q940" s="59"/>
      <c r="R940" s="59"/>
      <c r="S940" s="59"/>
      <c r="T940" s="59"/>
      <c r="U940" s="59"/>
      <c r="V940" s="59"/>
      <c r="W940" s="59"/>
      <c r="X940" s="59"/>
      <c r="Y940" s="59"/>
    </row>
    <row r="941" spans="1:25" ht="18">
      <c r="A941" s="76"/>
      <c r="B941" s="59"/>
      <c r="C941" s="59"/>
      <c r="D941" s="59"/>
      <c r="E941" s="59"/>
      <c r="F941" s="59"/>
      <c r="G941" s="59"/>
      <c r="H941" s="59"/>
      <c r="I941" s="59"/>
      <c r="J941" s="59"/>
      <c r="K941" s="59"/>
      <c r="L941" s="59"/>
      <c r="M941" s="59"/>
      <c r="N941" s="59"/>
      <c r="O941" s="59"/>
      <c r="P941" s="59"/>
      <c r="Q941" s="59"/>
      <c r="R941" s="59"/>
      <c r="S941" s="59"/>
      <c r="T941" s="59"/>
      <c r="U941" s="59"/>
      <c r="V941" s="59"/>
      <c r="W941" s="59"/>
      <c r="X941" s="59"/>
      <c r="Y941" s="59"/>
    </row>
    <row r="942" spans="1:25" ht="18">
      <c r="A942" s="76"/>
      <c r="B942" s="59"/>
      <c r="C942" s="59"/>
      <c r="D942" s="59"/>
      <c r="E942" s="59"/>
      <c r="F942" s="59"/>
      <c r="G942" s="59"/>
      <c r="H942" s="59"/>
      <c r="I942" s="59"/>
      <c r="J942" s="59"/>
      <c r="K942" s="59"/>
      <c r="L942" s="59"/>
      <c r="M942" s="59"/>
      <c r="N942" s="59"/>
      <c r="O942" s="59"/>
      <c r="P942" s="59"/>
      <c r="Q942" s="59"/>
      <c r="R942" s="59"/>
      <c r="S942" s="59"/>
      <c r="T942" s="59"/>
      <c r="U942" s="59"/>
      <c r="V942" s="59"/>
      <c r="W942" s="59"/>
      <c r="X942" s="59"/>
      <c r="Y942" s="59"/>
    </row>
    <row r="943" spans="1:25" ht="18">
      <c r="A943" s="76"/>
      <c r="B943" s="59"/>
      <c r="C943" s="59"/>
      <c r="D943" s="59"/>
      <c r="E943" s="59"/>
      <c r="F943" s="59"/>
      <c r="G943" s="59"/>
      <c r="H943" s="59"/>
      <c r="I943" s="59"/>
      <c r="J943" s="59"/>
      <c r="K943" s="59"/>
      <c r="L943" s="59"/>
      <c r="M943" s="59"/>
      <c r="N943" s="59"/>
      <c r="O943" s="59"/>
      <c r="P943" s="59"/>
      <c r="Q943" s="59"/>
      <c r="R943" s="59"/>
      <c r="S943" s="59"/>
      <c r="T943" s="59"/>
      <c r="U943" s="59"/>
      <c r="V943" s="59"/>
      <c r="W943" s="59"/>
      <c r="X943" s="59"/>
      <c r="Y943" s="59"/>
    </row>
    <row r="944" spans="1:25" ht="18">
      <c r="A944" s="76"/>
      <c r="B944" s="59"/>
      <c r="C944" s="59"/>
      <c r="D944" s="59"/>
      <c r="E944" s="59"/>
      <c r="F944" s="59"/>
      <c r="G944" s="59"/>
      <c r="H944" s="59"/>
      <c r="I944" s="59"/>
      <c r="J944" s="59"/>
      <c r="K944" s="59"/>
      <c r="L944" s="59"/>
      <c r="M944" s="59"/>
      <c r="N944" s="59"/>
      <c r="O944" s="59"/>
      <c r="P944" s="59"/>
      <c r="Q944" s="59"/>
      <c r="R944" s="59"/>
      <c r="S944" s="59"/>
      <c r="T944" s="59"/>
      <c r="U944" s="59"/>
      <c r="V944" s="59"/>
      <c r="W944" s="59"/>
      <c r="X944" s="59"/>
      <c r="Y944" s="59"/>
    </row>
    <row r="945" spans="1:25" ht="18">
      <c r="A945" s="76"/>
      <c r="B945" s="59"/>
      <c r="C945" s="59"/>
      <c r="D945" s="59"/>
      <c r="E945" s="59"/>
      <c r="F945" s="59"/>
      <c r="G945" s="59"/>
      <c r="H945" s="59"/>
      <c r="I945" s="59"/>
      <c r="J945" s="59"/>
      <c r="K945" s="59"/>
      <c r="L945" s="59"/>
      <c r="M945" s="59"/>
      <c r="N945" s="59"/>
      <c r="O945" s="59"/>
      <c r="P945" s="59"/>
      <c r="Q945" s="59"/>
      <c r="R945" s="59"/>
      <c r="S945" s="59"/>
      <c r="T945" s="59"/>
      <c r="U945" s="59"/>
      <c r="V945" s="59"/>
      <c r="W945" s="59"/>
      <c r="X945" s="59"/>
      <c r="Y945" s="59"/>
    </row>
    <row r="946" spans="1:25" ht="18">
      <c r="A946" s="76"/>
      <c r="B946" s="59"/>
      <c r="C946" s="59"/>
      <c r="D946" s="59"/>
      <c r="E946" s="59"/>
      <c r="F946" s="59"/>
      <c r="G946" s="59"/>
      <c r="H946" s="59"/>
      <c r="I946" s="59"/>
      <c r="J946" s="59"/>
      <c r="K946" s="59"/>
      <c r="L946" s="59"/>
      <c r="M946" s="59"/>
      <c r="N946" s="59"/>
      <c r="O946" s="59"/>
      <c r="P946" s="59"/>
      <c r="Q946" s="59"/>
      <c r="R946" s="59"/>
      <c r="S946" s="59"/>
      <c r="T946" s="59"/>
      <c r="U946" s="59"/>
      <c r="V946" s="59"/>
      <c r="W946" s="59"/>
      <c r="X946" s="59"/>
      <c r="Y946" s="59"/>
    </row>
    <row r="947" spans="1:25" ht="18">
      <c r="A947" s="76"/>
      <c r="B947" s="59"/>
      <c r="C947" s="59"/>
      <c r="D947" s="59"/>
      <c r="E947" s="59"/>
      <c r="F947" s="59"/>
      <c r="G947" s="59"/>
      <c r="H947" s="59"/>
      <c r="I947" s="59"/>
      <c r="J947" s="59"/>
      <c r="K947" s="59"/>
      <c r="L947" s="59"/>
      <c r="M947" s="59"/>
      <c r="N947" s="59"/>
      <c r="O947" s="59"/>
      <c r="P947" s="59"/>
      <c r="Q947" s="59"/>
      <c r="R947" s="59"/>
      <c r="S947" s="59"/>
      <c r="T947" s="59"/>
      <c r="U947" s="59"/>
      <c r="V947" s="59"/>
      <c r="W947" s="59"/>
      <c r="X947" s="59"/>
      <c r="Y947" s="59"/>
    </row>
    <row r="948" spans="1:25" ht="18">
      <c r="A948" s="76"/>
      <c r="B948" s="59"/>
      <c r="C948" s="59"/>
      <c r="D948" s="59"/>
      <c r="E948" s="59"/>
      <c r="F948" s="59"/>
      <c r="G948" s="59"/>
      <c r="H948" s="59"/>
      <c r="I948" s="59"/>
      <c r="J948" s="59"/>
      <c r="K948" s="59"/>
      <c r="L948" s="59"/>
      <c r="M948" s="59"/>
      <c r="N948" s="59"/>
      <c r="O948" s="59"/>
      <c r="P948" s="59"/>
      <c r="Q948" s="59"/>
      <c r="R948" s="59"/>
      <c r="S948" s="59"/>
      <c r="T948" s="59"/>
      <c r="U948" s="59"/>
      <c r="V948" s="59"/>
      <c r="W948" s="59"/>
      <c r="X948" s="59"/>
      <c r="Y948" s="59"/>
    </row>
    <row r="949" spans="1:25" ht="18">
      <c r="A949" s="76"/>
      <c r="B949" s="59"/>
      <c r="C949" s="59"/>
      <c r="D949" s="59"/>
      <c r="E949" s="59"/>
      <c r="F949" s="59"/>
      <c r="G949" s="59"/>
      <c r="H949" s="59"/>
      <c r="I949" s="59"/>
      <c r="J949" s="59"/>
      <c r="K949" s="59"/>
      <c r="L949" s="59"/>
      <c r="M949" s="59"/>
      <c r="N949" s="59"/>
      <c r="O949" s="59"/>
      <c r="P949" s="59"/>
      <c r="Q949" s="59"/>
      <c r="R949" s="59"/>
      <c r="S949" s="59"/>
      <c r="T949" s="59"/>
      <c r="U949" s="59"/>
      <c r="V949" s="59"/>
      <c r="W949" s="59"/>
      <c r="X949" s="59"/>
      <c r="Y949" s="59"/>
    </row>
    <row r="950" spans="1:25" ht="18">
      <c r="A950" s="76"/>
      <c r="B950" s="59"/>
      <c r="C950" s="59"/>
      <c r="D950" s="59"/>
      <c r="E950" s="59"/>
      <c r="F950" s="59"/>
      <c r="G950" s="59"/>
      <c r="H950" s="59"/>
      <c r="I950" s="59"/>
      <c r="J950" s="59"/>
      <c r="K950" s="59"/>
      <c r="L950" s="59"/>
      <c r="M950" s="59"/>
      <c r="N950" s="59"/>
      <c r="O950" s="59"/>
      <c r="P950" s="59"/>
      <c r="Q950" s="59"/>
      <c r="R950" s="59"/>
      <c r="S950" s="59"/>
      <c r="T950" s="59"/>
      <c r="U950" s="59"/>
      <c r="V950" s="59"/>
      <c r="W950" s="59"/>
      <c r="X950" s="59"/>
      <c r="Y950" s="59"/>
    </row>
    <row r="951" spans="1:25" ht="18">
      <c r="A951" s="76"/>
      <c r="B951" s="59"/>
      <c r="C951" s="59"/>
      <c r="D951" s="59"/>
      <c r="E951" s="59"/>
      <c r="F951" s="59"/>
      <c r="G951" s="59"/>
      <c r="H951" s="59"/>
      <c r="I951" s="59"/>
      <c r="J951" s="59"/>
      <c r="K951" s="59"/>
      <c r="L951" s="59"/>
      <c r="M951" s="59"/>
      <c r="N951" s="59"/>
      <c r="O951" s="59"/>
      <c r="P951" s="59"/>
      <c r="Q951" s="59"/>
      <c r="R951" s="59"/>
      <c r="S951" s="59"/>
      <c r="T951" s="59"/>
      <c r="U951" s="59"/>
      <c r="V951" s="59"/>
      <c r="W951" s="59"/>
      <c r="X951" s="59"/>
      <c r="Y951" s="59"/>
    </row>
    <row r="952" spans="1:25" ht="18">
      <c r="A952" s="76"/>
      <c r="B952" s="59"/>
      <c r="C952" s="59"/>
      <c r="D952" s="59"/>
      <c r="E952" s="59"/>
      <c r="F952" s="59"/>
      <c r="G952" s="59"/>
      <c r="H952" s="59"/>
      <c r="I952" s="59"/>
      <c r="J952" s="59"/>
      <c r="K952" s="59"/>
      <c r="L952" s="59"/>
      <c r="M952" s="59"/>
      <c r="N952" s="59"/>
      <c r="O952" s="59"/>
      <c r="P952" s="59"/>
      <c r="Q952" s="59"/>
      <c r="R952" s="59"/>
      <c r="S952" s="59"/>
      <c r="T952" s="59"/>
      <c r="U952" s="59"/>
      <c r="V952" s="59"/>
      <c r="W952" s="59"/>
      <c r="X952" s="59"/>
      <c r="Y952" s="59"/>
    </row>
    <row r="953" spans="1:25" ht="18">
      <c r="A953" s="76"/>
      <c r="B953" s="59"/>
      <c r="C953" s="59"/>
      <c r="D953" s="59"/>
      <c r="E953" s="59"/>
      <c r="F953" s="59"/>
      <c r="G953" s="59"/>
      <c r="H953" s="59"/>
      <c r="I953" s="59"/>
      <c r="J953" s="59"/>
      <c r="K953" s="59"/>
      <c r="L953" s="59"/>
      <c r="M953" s="59"/>
      <c r="N953" s="59"/>
      <c r="O953" s="59"/>
      <c r="P953" s="59"/>
      <c r="Q953" s="59"/>
      <c r="R953" s="59"/>
      <c r="S953" s="59"/>
      <c r="T953" s="59"/>
      <c r="U953" s="59"/>
      <c r="V953" s="59"/>
      <c r="W953" s="59"/>
      <c r="X953" s="59"/>
      <c r="Y953" s="59"/>
    </row>
    <row r="954" spans="1:25" ht="18">
      <c r="A954" s="76"/>
      <c r="B954" s="59"/>
      <c r="C954" s="59"/>
      <c r="D954" s="59"/>
      <c r="E954" s="59"/>
      <c r="F954" s="59"/>
      <c r="G954" s="59"/>
      <c r="H954" s="59"/>
      <c r="I954" s="59"/>
      <c r="J954" s="59"/>
      <c r="K954" s="59"/>
      <c r="L954" s="59"/>
      <c r="M954" s="59"/>
      <c r="N954" s="59"/>
      <c r="O954" s="59"/>
      <c r="P954" s="59"/>
      <c r="Q954" s="59"/>
      <c r="R954" s="59"/>
      <c r="S954" s="59"/>
      <c r="T954" s="59"/>
      <c r="U954" s="59"/>
      <c r="V954" s="59"/>
      <c r="W954" s="59"/>
      <c r="X954" s="59"/>
      <c r="Y954" s="59"/>
    </row>
    <row r="955" spans="1:25" ht="18">
      <c r="A955" s="76"/>
      <c r="B955" s="59"/>
      <c r="C955" s="59"/>
      <c r="D955" s="59"/>
      <c r="E955" s="59"/>
      <c r="F955" s="59"/>
      <c r="G955" s="59"/>
      <c r="H955" s="59"/>
      <c r="I955" s="59"/>
      <c r="J955" s="59"/>
      <c r="K955" s="59"/>
      <c r="L955" s="59"/>
      <c r="M955" s="59"/>
      <c r="N955" s="59"/>
      <c r="O955" s="59"/>
      <c r="P955" s="59"/>
      <c r="Q955" s="59"/>
      <c r="R955" s="59"/>
      <c r="S955" s="59"/>
      <c r="T955" s="59"/>
      <c r="U955" s="59"/>
      <c r="V955" s="59"/>
      <c r="W955" s="59"/>
      <c r="X955" s="59"/>
      <c r="Y955" s="59"/>
    </row>
    <row r="956" spans="1:25" ht="18">
      <c r="A956" s="76"/>
      <c r="B956" s="59"/>
      <c r="C956" s="59"/>
      <c r="D956" s="59"/>
      <c r="E956" s="59"/>
      <c r="F956" s="59"/>
      <c r="G956" s="59"/>
      <c r="H956" s="59"/>
      <c r="I956" s="59"/>
      <c r="J956" s="59"/>
      <c r="K956" s="59"/>
      <c r="L956" s="59"/>
      <c r="M956" s="59"/>
      <c r="N956" s="59"/>
      <c r="O956" s="59"/>
      <c r="P956" s="59"/>
      <c r="Q956" s="59"/>
      <c r="R956" s="59"/>
      <c r="S956" s="59"/>
      <c r="T956" s="59"/>
      <c r="U956" s="59"/>
      <c r="V956" s="59"/>
      <c r="W956" s="59"/>
      <c r="X956" s="59"/>
      <c r="Y956" s="59"/>
    </row>
    <row r="957" spans="1:25" ht="18">
      <c r="A957" s="76"/>
      <c r="B957" s="59"/>
      <c r="C957" s="59"/>
      <c r="D957" s="59"/>
      <c r="E957" s="59"/>
      <c r="F957" s="59"/>
      <c r="G957" s="59"/>
      <c r="H957" s="59"/>
      <c r="I957" s="59"/>
      <c r="J957" s="59"/>
      <c r="K957" s="59"/>
      <c r="L957" s="59"/>
      <c r="M957" s="59"/>
      <c r="N957" s="59"/>
      <c r="O957" s="59"/>
      <c r="P957" s="59"/>
      <c r="Q957" s="59"/>
      <c r="R957" s="59"/>
      <c r="S957" s="59"/>
      <c r="T957" s="59"/>
      <c r="U957" s="59"/>
      <c r="V957" s="59"/>
      <c r="W957" s="59"/>
      <c r="X957" s="59"/>
      <c r="Y957" s="59"/>
    </row>
    <row r="958" spans="1:25" ht="18">
      <c r="A958" s="76"/>
      <c r="B958" s="59"/>
      <c r="C958" s="59"/>
      <c r="D958" s="59"/>
      <c r="E958" s="59"/>
      <c r="F958" s="59"/>
      <c r="G958" s="59"/>
      <c r="H958" s="59"/>
      <c r="I958" s="59"/>
      <c r="J958" s="59"/>
      <c r="K958" s="59"/>
      <c r="L958" s="59"/>
      <c r="M958" s="59"/>
      <c r="N958" s="59"/>
      <c r="O958" s="59"/>
      <c r="P958" s="59"/>
      <c r="Q958" s="59"/>
      <c r="R958" s="59"/>
      <c r="S958" s="59"/>
      <c r="T958" s="59"/>
      <c r="U958" s="59"/>
      <c r="V958" s="59"/>
      <c r="W958" s="59"/>
      <c r="X958" s="59"/>
      <c r="Y958" s="59"/>
    </row>
    <row r="959" spans="1:25" ht="18">
      <c r="A959" s="76"/>
      <c r="B959" s="59"/>
      <c r="C959" s="59"/>
      <c r="D959" s="59"/>
      <c r="E959" s="59"/>
      <c r="F959" s="59"/>
      <c r="G959" s="59"/>
      <c r="H959" s="59"/>
      <c r="I959" s="59"/>
      <c r="J959" s="59"/>
      <c r="K959" s="59"/>
      <c r="L959" s="59"/>
      <c r="M959" s="59"/>
      <c r="N959" s="59"/>
      <c r="O959" s="59"/>
      <c r="P959" s="59"/>
      <c r="Q959" s="59"/>
      <c r="R959" s="59"/>
      <c r="S959" s="59"/>
      <c r="T959" s="59"/>
      <c r="U959" s="59"/>
      <c r="V959" s="59"/>
      <c r="W959" s="59"/>
      <c r="X959" s="59"/>
      <c r="Y959" s="59"/>
    </row>
    <row r="960" spans="1:25" ht="18">
      <c r="A960" s="76"/>
      <c r="B960" s="59"/>
      <c r="C960" s="59"/>
      <c r="D960" s="59"/>
      <c r="E960" s="59"/>
      <c r="F960" s="59"/>
      <c r="G960" s="59"/>
      <c r="H960" s="59"/>
      <c r="I960" s="59"/>
      <c r="J960" s="59"/>
      <c r="K960" s="59"/>
      <c r="L960" s="59"/>
      <c r="M960" s="59"/>
      <c r="N960" s="59"/>
      <c r="O960" s="59"/>
      <c r="P960" s="59"/>
      <c r="Q960" s="59"/>
      <c r="R960" s="59"/>
      <c r="S960" s="59"/>
      <c r="T960" s="59"/>
      <c r="U960" s="59"/>
      <c r="V960" s="59"/>
      <c r="W960" s="59"/>
      <c r="X960" s="59"/>
      <c r="Y960" s="59"/>
    </row>
    <row r="961" spans="1:25" ht="18">
      <c r="A961" s="76"/>
      <c r="B961" s="59"/>
      <c r="C961" s="59"/>
      <c r="D961" s="59"/>
      <c r="E961" s="59"/>
      <c r="F961" s="59"/>
      <c r="G961" s="59"/>
      <c r="H961" s="59"/>
      <c r="I961" s="59"/>
      <c r="J961" s="59"/>
      <c r="K961" s="59"/>
      <c r="L961" s="59"/>
      <c r="M961" s="59"/>
      <c r="N961" s="59"/>
      <c r="O961" s="59"/>
      <c r="P961" s="59"/>
      <c r="Q961" s="59"/>
      <c r="R961" s="59"/>
      <c r="S961" s="59"/>
      <c r="T961" s="59"/>
      <c r="U961" s="59"/>
      <c r="V961" s="59"/>
      <c r="W961" s="59"/>
      <c r="X961" s="59"/>
      <c r="Y961" s="59"/>
    </row>
    <row r="962" spans="1:25" ht="18">
      <c r="A962" s="76"/>
      <c r="B962" s="59"/>
      <c r="C962" s="59"/>
      <c r="D962" s="59"/>
      <c r="E962" s="59"/>
      <c r="F962" s="59"/>
      <c r="G962" s="59"/>
      <c r="H962" s="59"/>
      <c r="I962" s="59"/>
      <c r="J962" s="59"/>
      <c r="K962" s="59"/>
      <c r="L962" s="59"/>
      <c r="M962" s="59"/>
      <c r="N962" s="59"/>
      <c r="O962" s="59"/>
      <c r="P962" s="59"/>
      <c r="Q962" s="59"/>
      <c r="R962" s="59"/>
      <c r="S962" s="59"/>
      <c r="T962" s="59"/>
      <c r="U962" s="59"/>
      <c r="V962" s="59"/>
      <c r="W962" s="59"/>
      <c r="X962" s="59"/>
      <c r="Y962" s="59"/>
    </row>
    <row r="963" spans="1:25" ht="18">
      <c r="A963" s="76"/>
      <c r="B963" s="59"/>
      <c r="C963" s="59"/>
      <c r="D963" s="59"/>
      <c r="E963" s="59"/>
      <c r="F963" s="59"/>
      <c r="G963" s="59"/>
      <c r="H963" s="59"/>
      <c r="I963" s="59"/>
      <c r="J963" s="59"/>
      <c r="K963" s="59"/>
      <c r="L963" s="59"/>
      <c r="M963" s="59"/>
      <c r="N963" s="59"/>
      <c r="O963" s="59"/>
      <c r="P963" s="59"/>
      <c r="Q963" s="59"/>
      <c r="R963" s="59"/>
      <c r="S963" s="59"/>
      <c r="T963" s="59"/>
      <c r="U963" s="59"/>
      <c r="V963" s="59"/>
      <c r="W963" s="59"/>
      <c r="X963" s="59"/>
      <c r="Y963" s="59"/>
    </row>
    <row r="964" spans="1:25" ht="18">
      <c r="A964" s="76"/>
      <c r="B964" s="59"/>
      <c r="C964" s="59"/>
      <c r="D964" s="59"/>
      <c r="E964" s="59"/>
      <c r="F964" s="59"/>
      <c r="G964" s="59"/>
      <c r="H964" s="59"/>
      <c r="I964" s="59"/>
      <c r="J964" s="59"/>
      <c r="K964" s="59"/>
      <c r="L964" s="59"/>
      <c r="M964" s="59"/>
      <c r="N964" s="59"/>
      <c r="O964" s="59"/>
      <c r="P964" s="59"/>
      <c r="Q964" s="59"/>
      <c r="R964" s="59"/>
      <c r="S964" s="59"/>
      <c r="T964" s="59"/>
      <c r="U964" s="59"/>
      <c r="V964" s="59"/>
      <c r="W964" s="59"/>
      <c r="X964" s="59"/>
      <c r="Y964" s="59"/>
    </row>
    <row r="965" spans="1:25" ht="18">
      <c r="A965" s="76"/>
      <c r="B965" s="59"/>
      <c r="C965" s="59"/>
      <c r="D965" s="59"/>
      <c r="E965" s="59"/>
      <c r="F965" s="59"/>
      <c r="G965" s="59"/>
      <c r="H965" s="59"/>
      <c r="I965" s="59"/>
      <c r="J965" s="59"/>
      <c r="K965" s="59"/>
      <c r="L965" s="59"/>
      <c r="M965" s="59"/>
      <c r="N965" s="59"/>
      <c r="O965" s="59"/>
      <c r="P965" s="59"/>
      <c r="Q965" s="59"/>
      <c r="R965" s="59"/>
      <c r="S965" s="59"/>
      <c r="T965" s="59"/>
      <c r="U965" s="59"/>
      <c r="V965" s="59"/>
      <c r="W965" s="59"/>
      <c r="X965" s="59"/>
      <c r="Y965" s="59"/>
    </row>
    <row r="966" spans="1:25" ht="18">
      <c r="A966" s="76"/>
      <c r="B966" s="59"/>
      <c r="C966" s="59"/>
      <c r="D966" s="59"/>
      <c r="E966" s="59"/>
      <c r="F966" s="59"/>
      <c r="G966" s="59"/>
      <c r="H966" s="59"/>
      <c r="I966" s="59"/>
      <c r="J966" s="59"/>
      <c r="K966" s="59"/>
      <c r="L966" s="59"/>
      <c r="M966" s="59"/>
      <c r="N966" s="59"/>
      <c r="O966" s="59"/>
      <c r="P966" s="59"/>
      <c r="Q966" s="59"/>
      <c r="R966" s="59"/>
      <c r="S966" s="59"/>
      <c r="T966" s="59"/>
      <c r="U966" s="59"/>
      <c r="V966" s="59"/>
      <c r="W966" s="59"/>
      <c r="X966" s="59"/>
      <c r="Y966" s="59"/>
    </row>
    <row r="967" spans="1:25" ht="18">
      <c r="A967" s="76"/>
      <c r="B967" s="59"/>
      <c r="C967" s="59"/>
      <c r="D967" s="59"/>
      <c r="E967" s="59"/>
      <c r="F967" s="59"/>
      <c r="G967" s="59"/>
      <c r="H967" s="59"/>
      <c r="I967" s="59"/>
      <c r="J967" s="59"/>
      <c r="K967" s="59"/>
      <c r="L967" s="59"/>
      <c r="M967" s="59"/>
      <c r="N967" s="59"/>
      <c r="O967" s="59"/>
      <c r="P967" s="59"/>
      <c r="Q967" s="59"/>
      <c r="R967" s="59"/>
      <c r="S967" s="59"/>
      <c r="T967" s="59"/>
      <c r="U967" s="59"/>
      <c r="V967" s="59"/>
      <c r="W967" s="59"/>
      <c r="X967" s="59"/>
      <c r="Y967" s="59"/>
    </row>
    <row r="968" spans="1:25" ht="18">
      <c r="A968" s="76"/>
      <c r="B968" s="59"/>
      <c r="C968" s="59"/>
      <c r="D968" s="59"/>
      <c r="E968" s="59"/>
      <c r="F968" s="59"/>
      <c r="G968" s="59"/>
      <c r="H968" s="59"/>
      <c r="I968" s="59"/>
      <c r="J968" s="59"/>
      <c r="K968" s="59"/>
      <c r="L968" s="59"/>
      <c r="M968" s="59"/>
      <c r="N968" s="59"/>
      <c r="O968" s="59"/>
      <c r="P968" s="59"/>
      <c r="Q968" s="59"/>
      <c r="R968" s="59"/>
      <c r="S968" s="59"/>
      <c r="T968" s="59"/>
      <c r="U968" s="59"/>
      <c r="V968" s="59"/>
      <c r="W968" s="59"/>
      <c r="X968" s="59"/>
      <c r="Y968" s="59"/>
    </row>
    <row r="969" spans="1:25" ht="18">
      <c r="A969" s="76"/>
      <c r="B969" s="59"/>
      <c r="C969" s="59"/>
      <c r="D969" s="59"/>
      <c r="E969" s="59"/>
      <c r="F969" s="59"/>
      <c r="G969" s="59"/>
      <c r="H969" s="59"/>
      <c r="I969" s="59"/>
      <c r="J969" s="59"/>
      <c r="K969" s="59"/>
      <c r="L969" s="59"/>
      <c r="M969" s="59"/>
      <c r="N969" s="59"/>
      <c r="O969" s="59"/>
      <c r="P969" s="59"/>
      <c r="Q969" s="59"/>
      <c r="R969" s="59"/>
      <c r="S969" s="59"/>
      <c r="T969" s="59"/>
      <c r="U969" s="59"/>
      <c r="V969" s="59"/>
      <c r="W969" s="59"/>
      <c r="X969" s="59"/>
      <c r="Y969" s="59"/>
    </row>
    <row r="970" spans="1:25" ht="18">
      <c r="A970" s="76"/>
      <c r="B970" s="59"/>
      <c r="C970" s="59"/>
      <c r="D970" s="59"/>
      <c r="E970" s="59"/>
      <c r="F970" s="59"/>
      <c r="G970" s="59"/>
      <c r="H970" s="59"/>
      <c r="I970" s="59"/>
      <c r="J970" s="59"/>
      <c r="K970" s="59"/>
      <c r="L970" s="59"/>
      <c r="M970" s="59"/>
      <c r="N970" s="59"/>
      <c r="O970" s="59"/>
      <c r="P970" s="59"/>
      <c r="Q970" s="59"/>
      <c r="R970" s="59"/>
      <c r="S970" s="59"/>
      <c r="T970" s="59"/>
      <c r="U970" s="59"/>
      <c r="V970" s="59"/>
      <c r="W970" s="59"/>
      <c r="X970" s="59"/>
      <c r="Y970" s="59"/>
    </row>
    <row r="971" spans="1:25" ht="18">
      <c r="A971" s="76"/>
      <c r="B971" s="59"/>
      <c r="C971" s="59"/>
      <c r="D971" s="59"/>
      <c r="E971" s="59"/>
      <c r="F971" s="59"/>
      <c r="G971" s="59"/>
      <c r="H971" s="59"/>
      <c r="I971" s="59"/>
      <c r="J971" s="59"/>
      <c r="K971" s="59"/>
      <c r="L971" s="59"/>
      <c r="M971" s="59"/>
      <c r="N971" s="59"/>
      <c r="O971" s="59"/>
      <c r="P971" s="59"/>
      <c r="Q971" s="59"/>
      <c r="R971" s="59"/>
      <c r="S971" s="59"/>
      <c r="T971" s="59"/>
      <c r="U971" s="59"/>
      <c r="V971" s="59"/>
      <c r="W971" s="59"/>
      <c r="X971" s="59"/>
      <c r="Y971" s="59"/>
    </row>
    <row r="972" spans="1:25" ht="18">
      <c r="A972" s="76"/>
      <c r="B972" s="59"/>
      <c r="C972" s="59"/>
      <c r="D972" s="59"/>
      <c r="E972" s="59"/>
      <c r="F972" s="59"/>
      <c r="G972" s="59"/>
      <c r="H972" s="59"/>
      <c r="I972" s="59"/>
      <c r="J972" s="59"/>
      <c r="K972" s="59"/>
      <c r="L972" s="59"/>
      <c r="M972" s="59"/>
      <c r="N972" s="59"/>
      <c r="O972" s="59"/>
      <c r="P972" s="59"/>
      <c r="Q972" s="59"/>
      <c r="R972" s="59"/>
      <c r="S972" s="59"/>
      <c r="T972" s="59"/>
      <c r="U972" s="59"/>
      <c r="V972" s="59"/>
      <c r="W972" s="59"/>
      <c r="X972" s="59"/>
      <c r="Y972" s="59"/>
    </row>
    <row r="973" spans="1:25" ht="18">
      <c r="A973" s="76"/>
      <c r="B973" s="59"/>
      <c r="C973" s="59"/>
      <c r="D973" s="59"/>
      <c r="E973" s="59"/>
      <c r="F973" s="59"/>
      <c r="G973" s="59"/>
      <c r="H973" s="59"/>
      <c r="I973" s="59"/>
      <c r="J973" s="59"/>
      <c r="K973" s="59"/>
      <c r="L973" s="59"/>
      <c r="M973" s="59"/>
      <c r="N973" s="59"/>
      <c r="O973" s="59"/>
      <c r="P973" s="59"/>
      <c r="Q973" s="59"/>
      <c r="R973" s="59"/>
      <c r="S973" s="59"/>
      <c r="T973" s="59"/>
      <c r="U973" s="59"/>
      <c r="V973" s="59"/>
      <c r="W973" s="59"/>
      <c r="X973" s="59"/>
      <c r="Y973" s="59"/>
    </row>
    <row r="974" spans="1:25" ht="18">
      <c r="A974" s="76"/>
      <c r="B974" s="59"/>
      <c r="C974" s="59"/>
      <c r="D974" s="59"/>
      <c r="E974" s="59"/>
      <c r="F974" s="59"/>
      <c r="G974" s="59"/>
      <c r="H974" s="59"/>
      <c r="I974" s="59"/>
      <c r="J974" s="59"/>
      <c r="K974" s="59"/>
      <c r="L974" s="59"/>
      <c r="M974" s="59"/>
      <c r="N974" s="59"/>
      <c r="O974" s="59"/>
      <c r="P974" s="59"/>
      <c r="Q974" s="59"/>
      <c r="R974" s="59"/>
      <c r="S974" s="59"/>
      <c r="T974" s="59"/>
      <c r="U974" s="59"/>
      <c r="V974" s="59"/>
      <c r="W974" s="59"/>
      <c r="X974" s="59"/>
      <c r="Y974" s="59"/>
    </row>
    <row r="975" spans="1:25" ht="18">
      <c r="A975" s="76"/>
      <c r="B975" s="59"/>
      <c r="C975" s="59"/>
      <c r="D975" s="59"/>
      <c r="E975" s="59"/>
      <c r="F975" s="59"/>
      <c r="G975" s="59"/>
      <c r="H975" s="59"/>
      <c r="I975" s="59"/>
      <c r="J975" s="59"/>
      <c r="K975" s="59"/>
      <c r="L975" s="59"/>
      <c r="M975" s="59"/>
      <c r="N975" s="59"/>
      <c r="O975" s="59"/>
      <c r="P975" s="59"/>
      <c r="Q975" s="59"/>
      <c r="R975" s="59"/>
      <c r="S975" s="59"/>
      <c r="T975" s="59"/>
      <c r="U975" s="59"/>
      <c r="V975" s="59"/>
      <c r="W975" s="59"/>
      <c r="X975" s="59"/>
      <c r="Y975" s="59"/>
    </row>
    <row r="976" spans="1:25" ht="18">
      <c r="A976" s="76"/>
      <c r="B976" s="59"/>
      <c r="C976" s="59"/>
      <c r="D976" s="59"/>
      <c r="E976" s="59"/>
      <c r="F976" s="59"/>
      <c r="G976" s="59"/>
      <c r="H976" s="59"/>
      <c r="I976" s="59"/>
      <c r="J976" s="59"/>
      <c r="K976" s="59"/>
      <c r="L976" s="59"/>
      <c r="M976" s="59"/>
      <c r="N976" s="59"/>
      <c r="O976" s="59"/>
      <c r="P976" s="59"/>
      <c r="Q976" s="59"/>
      <c r="R976" s="59"/>
      <c r="S976" s="59"/>
      <c r="T976" s="59"/>
      <c r="U976" s="59"/>
      <c r="V976" s="59"/>
      <c r="W976" s="59"/>
      <c r="X976" s="59"/>
      <c r="Y976" s="59"/>
    </row>
    <row r="977" spans="1:25" ht="18">
      <c r="A977" s="76"/>
      <c r="B977" s="59"/>
      <c r="C977" s="59"/>
      <c r="D977" s="59"/>
      <c r="E977" s="59"/>
      <c r="F977" s="59"/>
      <c r="G977" s="59"/>
      <c r="H977" s="59"/>
      <c r="I977" s="59"/>
      <c r="J977" s="59"/>
      <c r="K977" s="59"/>
      <c r="L977" s="59"/>
      <c r="M977" s="59"/>
      <c r="N977" s="59"/>
      <c r="O977" s="59"/>
      <c r="P977" s="59"/>
      <c r="Q977" s="59"/>
      <c r="R977" s="59"/>
      <c r="S977" s="59"/>
      <c r="T977" s="59"/>
      <c r="U977" s="59"/>
      <c r="V977" s="59"/>
      <c r="W977" s="59"/>
      <c r="X977" s="59"/>
      <c r="Y977" s="59"/>
    </row>
    <row r="978" spans="1:25" ht="18">
      <c r="A978" s="76"/>
      <c r="B978" s="59"/>
      <c r="C978" s="59"/>
      <c r="D978" s="59"/>
      <c r="E978" s="59"/>
      <c r="F978" s="59"/>
      <c r="G978" s="59"/>
      <c r="H978" s="59"/>
      <c r="I978" s="59"/>
      <c r="J978" s="59"/>
      <c r="K978" s="59"/>
      <c r="L978" s="59"/>
      <c r="M978" s="59"/>
      <c r="N978" s="59"/>
      <c r="O978" s="59"/>
      <c r="P978" s="59"/>
      <c r="Q978" s="59"/>
      <c r="R978" s="59"/>
      <c r="S978" s="59"/>
      <c r="T978" s="59"/>
      <c r="U978" s="59"/>
      <c r="V978" s="59"/>
      <c r="W978" s="59"/>
      <c r="X978" s="59"/>
      <c r="Y978" s="59"/>
    </row>
    <row r="979" spans="1:25" ht="18">
      <c r="A979" s="76"/>
      <c r="B979" s="59"/>
      <c r="C979" s="59"/>
      <c r="D979" s="59"/>
      <c r="E979" s="59"/>
      <c r="F979" s="59"/>
      <c r="G979" s="59"/>
      <c r="H979" s="59"/>
      <c r="I979" s="59"/>
      <c r="J979" s="59"/>
      <c r="K979" s="59"/>
      <c r="L979" s="59"/>
      <c r="M979" s="59"/>
      <c r="N979" s="59"/>
      <c r="O979" s="59"/>
      <c r="P979" s="59"/>
      <c r="Q979" s="59"/>
      <c r="R979" s="59"/>
      <c r="S979" s="59"/>
      <c r="T979" s="59"/>
      <c r="U979" s="59"/>
      <c r="V979" s="59"/>
      <c r="W979" s="59"/>
      <c r="X979" s="59"/>
      <c r="Y979" s="59"/>
    </row>
    <row r="980" spans="1:25" ht="18">
      <c r="A980" s="76"/>
      <c r="B980" s="59"/>
      <c r="C980" s="59"/>
      <c r="D980" s="59"/>
      <c r="E980" s="59"/>
      <c r="F980" s="59"/>
      <c r="G980" s="59"/>
      <c r="H980" s="59"/>
      <c r="I980" s="59"/>
      <c r="J980" s="59"/>
      <c r="K980" s="59"/>
      <c r="L980" s="59"/>
      <c r="M980" s="59"/>
      <c r="N980" s="59"/>
      <c r="O980" s="59"/>
      <c r="P980" s="59"/>
      <c r="Q980" s="59"/>
      <c r="R980" s="59"/>
      <c r="S980" s="59"/>
      <c r="T980" s="59"/>
      <c r="U980" s="59"/>
      <c r="V980" s="59"/>
      <c r="W980" s="59"/>
      <c r="X980" s="59"/>
      <c r="Y980" s="59"/>
    </row>
    <row r="981" spans="1:25" ht="18">
      <c r="A981" s="76"/>
      <c r="B981" s="59"/>
      <c r="C981" s="59"/>
      <c r="D981" s="59"/>
      <c r="E981" s="59"/>
      <c r="F981" s="59"/>
      <c r="G981" s="59"/>
      <c r="H981" s="59"/>
      <c r="I981" s="59"/>
      <c r="J981" s="59"/>
      <c r="K981" s="59"/>
      <c r="L981" s="59"/>
      <c r="M981" s="59"/>
      <c r="N981" s="59"/>
      <c r="O981" s="59"/>
      <c r="P981" s="59"/>
      <c r="Q981" s="59"/>
      <c r="R981" s="59"/>
      <c r="S981" s="59"/>
      <c r="T981" s="59"/>
      <c r="U981" s="59"/>
      <c r="V981" s="59"/>
      <c r="W981" s="59"/>
      <c r="X981" s="59"/>
      <c r="Y981" s="59"/>
    </row>
    <row r="982" spans="1:25" ht="18">
      <c r="A982" s="76"/>
      <c r="B982" s="59"/>
      <c r="C982" s="59"/>
      <c r="D982" s="59"/>
      <c r="E982" s="59"/>
      <c r="F982" s="59"/>
      <c r="G982" s="59"/>
      <c r="H982" s="59"/>
      <c r="I982" s="59"/>
      <c r="J982" s="59"/>
      <c r="K982" s="59"/>
      <c r="L982" s="59"/>
      <c r="M982" s="59"/>
      <c r="N982" s="59"/>
      <c r="O982" s="59"/>
      <c r="P982" s="59"/>
      <c r="Q982" s="59"/>
      <c r="R982" s="59"/>
      <c r="S982" s="59"/>
      <c r="T982" s="59"/>
      <c r="U982" s="59"/>
      <c r="V982" s="59"/>
      <c r="W982" s="59"/>
      <c r="X982" s="59"/>
      <c r="Y982" s="59"/>
    </row>
    <row r="983" spans="1:25" ht="18">
      <c r="A983" s="76"/>
      <c r="B983" s="59"/>
      <c r="C983" s="59"/>
      <c r="D983" s="59"/>
      <c r="E983" s="59"/>
      <c r="F983" s="59"/>
      <c r="G983" s="59"/>
      <c r="H983" s="59"/>
      <c r="I983" s="59"/>
      <c r="J983" s="59"/>
      <c r="K983" s="59"/>
      <c r="L983" s="59"/>
      <c r="M983" s="59"/>
      <c r="N983" s="59"/>
      <c r="O983" s="59"/>
      <c r="P983" s="59"/>
      <c r="Q983" s="59"/>
      <c r="R983" s="59"/>
      <c r="S983" s="59"/>
      <c r="T983" s="59"/>
      <c r="U983" s="59"/>
      <c r="V983" s="59"/>
      <c r="W983" s="59"/>
      <c r="X983" s="59"/>
      <c r="Y983" s="59"/>
    </row>
    <row r="984" spans="1:25" ht="18">
      <c r="A984" s="76"/>
      <c r="B984" s="59"/>
      <c r="C984" s="59"/>
      <c r="D984" s="59"/>
      <c r="E984" s="59"/>
      <c r="F984" s="59"/>
      <c r="G984" s="59"/>
      <c r="H984" s="59"/>
      <c r="I984" s="59"/>
      <c r="J984" s="59"/>
      <c r="K984" s="59"/>
      <c r="L984" s="59"/>
      <c r="M984" s="59"/>
      <c r="N984" s="59"/>
      <c r="O984" s="59"/>
      <c r="P984" s="59"/>
      <c r="Q984" s="59"/>
      <c r="R984" s="59"/>
      <c r="S984" s="59"/>
      <c r="T984" s="59"/>
      <c r="U984" s="59"/>
      <c r="V984" s="59"/>
      <c r="W984" s="59"/>
      <c r="X984" s="59"/>
      <c r="Y984" s="59"/>
    </row>
    <row r="985" spans="1:25" ht="18">
      <c r="A985" s="76"/>
      <c r="B985" s="59"/>
      <c r="C985" s="59"/>
      <c r="D985" s="59"/>
      <c r="E985" s="59"/>
      <c r="F985" s="59"/>
      <c r="G985" s="59"/>
      <c r="H985" s="59"/>
      <c r="I985" s="59"/>
      <c r="J985" s="59"/>
      <c r="K985" s="59"/>
      <c r="L985" s="59"/>
      <c r="M985" s="59"/>
      <c r="N985" s="59"/>
      <c r="O985" s="59"/>
      <c r="P985" s="59"/>
      <c r="Q985" s="59"/>
      <c r="R985" s="59"/>
      <c r="S985" s="59"/>
      <c r="T985" s="59"/>
      <c r="U985" s="59"/>
      <c r="V985" s="59"/>
      <c r="W985" s="59"/>
      <c r="X985" s="59"/>
      <c r="Y985" s="59"/>
    </row>
    <row r="986" spans="1:25" ht="18">
      <c r="A986" s="76"/>
      <c r="B986" s="59"/>
      <c r="C986" s="59"/>
      <c r="D986" s="59"/>
      <c r="E986" s="59"/>
      <c r="F986" s="59"/>
      <c r="G986" s="59"/>
      <c r="H986" s="59"/>
      <c r="I986" s="59"/>
      <c r="J986" s="59"/>
      <c r="K986" s="59"/>
      <c r="L986" s="59"/>
      <c r="M986" s="59"/>
      <c r="N986" s="59"/>
      <c r="O986" s="59"/>
      <c r="P986" s="59"/>
      <c r="Q986" s="59"/>
      <c r="R986" s="59"/>
      <c r="S986" s="59"/>
      <c r="T986" s="59"/>
      <c r="U986" s="59"/>
      <c r="V986" s="59"/>
      <c r="W986" s="59"/>
      <c r="X986" s="59"/>
      <c r="Y986" s="59"/>
    </row>
    <row r="987" spans="1:25" ht="18">
      <c r="A987" s="76"/>
      <c r="B987" s="59"/>
      <c r="C987" s="59"/>
      <c r="D987" s="59"/>
      <c r="E987" s="59"/>
      <c r="F987" s="59"/>
      <c r="G987" s="59"/>
      <c r="H987" s="59"/>
      <c r="I987" s="59"/>
      <c r="J987" s="59"/>
      <c r="K987" s="59"/>
      <c r="L987" s="59"/>
      <c r="M987" s="59"/>
      <c r="N987" s="59"/>
      <c r="O987" s="59"/>
      <c r="P987" s="59"/>
      <c r="Q987" s="59"/>
      <c r="R987" s="59"/>
      <c r="S987" s="59"/>
      <c r="T987" s="59"/>
      <c r="U987" s="59"/>
      <c r="V987" s="59"/>
      <c r="W987" s="59"/>
      <c r="X987" s="59"/>
      <c r="Y987" s="59"/>
    </row>
    <row r="988" spans="1:25" ht="18">
      <c r="A988" s="76"/>
      <c r="B988" s="59"/>
      <c r="C988" s="59"/>
      <c r="D988" s="59"/>
      <c r="E988" s="59"/>
      <c r="F988" s="59"/>
      <c r="G988" s="59"/>
      <c r="H988" s="59"/>
      <c r="I988" s="59"/>
      <c r="J988" s="59"/>
      <c r="K988" s="59"/>
      <c r="L988" s="59"/>
      <c r="M988" s="59"/>
      <c r="N988" s="59"/>
      <c r="O988" s="59"/>
      <c r="P988" s="59"/>
      <c r="Q988" s="59"/>
      <c r="R988" s="59"/>
      <c r="S988" s="59"/>
      <c r="T988" s="59"/>
      <c r="U988" s="59"/>
      <c r="V988" s="59"/>
      <c r="W988" s="59"/>
      <c r="X988" s="59"/>
      <c r="Y988" s="59"/>
    </row>
    <row r="989" spans="1:25" ht="18">
      <c r="A989" s="76"/>
      <c r="B989" s="59"/>
      <c r="C989" s="59"/>
      <c r="D989" s="59"/>
      <c r="E989" s="59"/>
      <c r="F989" s="59"/>
      <c r="G989" s="59"/>
      <c r="H989" s="59"/>
      <c r="I989" s="59"/>
      <c r="J989" s="59"/>
      <c r="K989" s="59"/>
      <c r="L989" s="59"/>
      <c r="M989" s="59"/>
      <c r="N989" s="59"/>
      <c r="O989" s="59"/>
      <c r="P989" s="59"/>
      <c r="Q989" s="59"/>
      <c r="R989" s="59"/>
      <c r="S989" s="59"/>
      <c r="T989" s="59"/>
      <c r="U989" s="59"/>
      <c r="V989" s="59"/>
      <c r="W989" s="59"/>
      <c r="X989" s="59"/>
      <c r="Y989" s="59"/>
    </row>
    <row r="990" spans="1:25" ht="18">
      <c r="A990" s="76"/>
      <c r="B990" s="59"/>
      <c r="C990" s="59"/>
      <c r="D990" s="59"/>
      <c r="E990" s="59"/>
      <c r="F990" s="59"/>
      <c r="G990" s="59"/>
      <c r="H990" s="59"/>
      <c r="I990" s="59"/>
      <c r="J990" s="59"/>
      <c r="K990" s="59"/>
      <c r="L990" s="59"/>
      <c r="M990" s="59"/>
      <c r="N990" s="59"/>
      <c r="O990" s="59"/>
      <c r="P990" s="59"/>
      <c r="Q990" s="59"/>
      <c r="R990" s="59"/>
      <c r="S990" s="59"/>
      <c r="T990" s="59"/>
      <c r="U990" s="59"/>
      <c r="V990" s="59"/>
      <c r="W990" s="59"/>
      <c r="X990" s="59"/>
      <c r="Y990" s="59"/>
    </row>
    <row r="991" spans="1:25" ht="18">
      <c r="A991" s="76"/>
      <c r="B991" s="59"/>
      <c r="C991" s="59"/>
      <c r="D991" s="59"/>
      <c r="E991" s="59"/>
      <c r="F991" s="59"/>
      <c r="G991" s="59"/>
      <c r="H991" s="59"/>
      <c r="I991" s="59"/>
      <c r="J991" s="59"/>
      <c r="K991" s="59"/>
      <c r="L991" s="59"/>
      <c r="M991" s="59"/>
      <c r="N991" s="59"/>
      <c r="O991" s="59"/>
      <c r="P991" s="59"/>
      <c r="Q991" s="59"/>
      <c r="R991" s="59"/>
      <c r="S991" s="59"/>
      <c r="T991" s="59"/>
      <c r="U991" s="59"/>
      <c r="V991" s="59"/>
      <c r="W991" s="59"/>
      <c r="X991" s="59"/>
      <c r="Y991" s="59"/>
    </row>
    <row r="992" spans="1:25" ht="18">
      <c r="A992" s="76"/>
      <c r="B992" s="59"/>
      <c r="C992" s="59"/>
      <c r="D992" s="59"/>
      <c r="E992" s="59"/>
      <c r="F992" s="59"/>
      <c r="G992" s="59"/>
      <c r="H992" s="59"/>
      <c r="I992" s="59"/>
      <c r="J992" s="59"/>
      <c r="K992" s="59"/>
      <c r="L992" s="59"/>
      <c r="M992" s="59"/>
      <c r="N992" s="59"/>
      <c r="O992" s="59"/>
      <c r="P992" s="59"/>
      <c r="Q992" s="59"/>
      <c r="R992" s="59"/>
      <c r="S992" s="59"/>
      <c r="T992" s="59"/>
      <c r="U992" s="59"/>
      <c r="V992" s="59"/>
      <c r="W992" s="59"/>
      <c r="X992" s="59"/>
      <c r="Y992" s="59"/>
    </row>
    <row r="993" spans="1:25" ht="18">
      <c r="A993" s="76"/>
      <c r="B993" s="59"/>
      <c r="C993" s="59"/>
      <c r="D993" s="59"/>
      <c r="E993" s="59"/>
      <c r="F993" s="59"/>
      <c r="G993" s="59"/>
      <c r="H993" s="59"/>
      <c r="I993" s="59"/>
      <c r="J993" s="59"/>
      <c r="K993" s="59"/>
      <c r="L993" s="59"/>
      <c r="M993" s="59"/>
      <c r="N993" s="59"/>
      <c r="O993" s="59"/>
      <c r="P993" s="59"/>
      <c r="Q993" s="59"/>
      <c r="R993" s="59"/>
      <c r="S993" s="59"/>
      <c r="T993" s="59"/>
      <c r="U993" s="59"/>
      <c r="V993" s="59"/>
      <c r="W993" s="59"/>
      <c r="X993" s="59"/>
      <c r="Y993" s="59"/>
    </row>
    <row r="994" spans="1:25" ht="18">
      <c r="A994" s="76"/>
      <c r="B994" s="59"/>
      <c r="C994" s="59"/>
      <c r="D994" s="59"/>
      <c r="E994" s="59"/>
      <c r="F994" s="59"/>
      <c r="G994" s="59"/>
      <c r="H994" s="59"/>
      <c r="I994" s="59"/>
      <c r="J994" s="59"/>
      <c r="K994" s="59"/>
      <c r="L994" s="59"/>
      <c r="M994" s="59"/>
      <c r="N994" s="59"/>
      <c r="O994" s="59"/>
      <c r="P994" s="59"/>
      <c r="Q994" s="59"/>
      <c r="R994" s="59"/>
      <c r="S994" s="59"/>
      <c r="T994" s="59"/>
      <c r="U994" s="59"/>
      <c r="V994" s="59"/>
      <c r="W994" s="59"/>
      <c r="X994" s="59"/>
      <c r="Y994" s="59"/>
    </row>
    <row r="995" spans="1:25" ht="18">
      <c r="A995" s="76"/>
      <c r="B995" s="59"/>
      <c r="C995" s="59"/>
      <c r="D995" s="59"/>
      <c r="E995" s="59"/>
      <c r="F995" s="59"/>
      <c r="G995" s="59"/>
      <c r="H995" s="59"/>
      <c r="I995" s="59"/>
      <c r="J995" s="59"/>
      <c r="K995" s="59"/>
      <c r="L995" s="59"/>
      <c r="M995" s="59"/>
      <c r="N995" s="59"/>
      <c r="O995" s="59"/>
      <c r="P995" s="59"/>
      <c r="Q995" s="59"/>
      <c r="R995" s="59"/>
      <c r="S995" s="59"/>
      <c r="T995" s="59"/>
      <c r="U995" s="59"/>
      <c r="V995" s="59"/>
      <c r="W995" s="59"/>
      <c r="X995" s="59"/>
      <c r="Y995" s="59"/>
    </row>
    <row r="996" spans="1:25" ht="18">
      <c r="A996" s="76"/>
      <c r="B996" s="59"/>
      <c r="C996" s="59"/>
      <c r="D996" s="59"/>
      <c r="E996" s="59"/>
      <c r="F996" s="59"/>
      <c r="H996" s="59"/>
      <c r="I996" s="59"/>
      <c r="J996" s="59"/>
      <c r="K996" s="59"/>
      <c r="L996" s="59"/>
      <c r="M996" s="59"/>
      <c r="N996" s="59"/>
      <c r="O996" s="59"/>
      <c r="P996" s="59"/>
      <c r="Q996" s="59"/>
      <c r="R996" s="59"/>
      <c r="S996" s="59"/>
      <c r="T996" s="59"/>
      <c r="U996" s="59"/>
      <c r="V996" s="59"/>
      <c r="W996" s="59"/>
      <c r="X996" s="59"/>
      <c r="Y996" s="59"/>
    </row>
    <row r="997" spans="1:25" ht="18">
      <c r="A997" s="76"/>
      <c r="B997" s="59"/>
      <c r="C997" s="59"/>
      <c r="D997" s="59"/>
      <c r="E997" s="59"/>
      <c r="F997" s="59"/>
      <c r="H997" s="59"/>
      <c r="I997" s="59"/>
      <c r="J997" s="59"/>
      <c r="K997" s="59"/>
      <c r="L997" s="59"/>
      <c r="M997" s="59"/>
      <c r="N997" s="59"/>
      <c r="O997" s="59"/>
      <c r="P997" s="59"/>
      <c r="Q997" s="59"/>
      <c r="R997" s="59"/>
      <c r="S997" s="59"/>
      <c r="T997" s="59"/>
      <c r="U997" s="59"/>
      <c r="V997" s="59"/>
      <c r="W997" s="59"/>
      <c r="X997" s="59"/>
      <c r="Y997" s="59"/>
    </row>
    <row r="998" spans="1:25" ht="18">
      <c r="A998" s="76"/>
      <c r="B998" s="59"/>
      <c r="C998" s="59"/>
      <c r="D998" s="59"/>
      <c r="E998" s="59"/>
      <c r="F998" s="59"/>
      <c r="H998" s="59"/>
      <c r="I998" s="59"/>
      <c r="J998" s="59"/>
      <c r="K998" s="59"/>
      <c r="L998" s="59"/>
      <c r="M998" s="59"/>
      <c r="N998" s="59"/>
      <c r="O998" s="59"/>
      <c r="P998" s="59"/>
      <c r="Q998" s="59"/>
      <c r="R998" s="59"/>
      <c r="S998" s="59"/>
      <c r="T998" s="59"/>
      <c r="U998" s="59"/>
      <c r="V998" s="59"/>
      <c r="W998" s="59"/>
      <c r="X998" s="59"/>
      <c r="Y998" s="59"/>
    </row>
  </sheetData>
  <hyperlinks>
    <hyperlink ref="A1" location="Index!A1" display="Index!A1"/>
  </hyperlink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5E0B3"/>
  </sheetPr>
  <dimension ref="A1:Y988"/>
  <sheetViews>
    <sheetView workbookViewId="0">
      <selection activeCell="A5" sqref="A5"/>
    </sheetView>
  </sheetViews>
  <sheetFormatPr defaultColWidth="14.33203125" defaultRowHeight="14.25"/>
  <cols>
    <col min="1" max="1" width="23.6640625" bestFit="1" customWidth="1"/>
    <col min="2" max="2" width="17.6640625" customWidth="1"/>
    <col min="3" max="4" width="17.6640625" bestFit="1" customWidth="1"/>
    <col min="5" max="5" width="24.6640625" bestFit="1" customWidth="1"/>
    <col min="6" max="7" width="17.6640625" bestFit="1" customWidth="1"/>
    <col min="8" max="25" width="11.33203125" customWidth="1"/>
  </cols>
  <sheetData>
    <row r="1" spans="1:25" ht="18.399999999999999" thickBot="1">
      <c r="A1" s="765" t="s">
        <v>0</v>
      </c>
      <c r="B1" s="2"/>
      <c r="C1" s="2"/>
      <c r="D1" s="2"/>
      <c r="E1" s="2"/>
      <c r="F1" s="2"/>
      <c r="G1" s="2"/>
      <c r="H1" s="2"/>
      <c r="I1" s="2"/>
      <c r="J1" s="2"/>
      <c r="K1" s="2"/>
      <c r="L1" s="2"/>
      <c r="M1" s="2"/>
      <c r="N1" s="2"/>
      <c r="O1" s="2"/>
      <c r="P1" s="2"/>
      <c r="Q1" s="2"/>
      <c r="R1" s="2"/>
      <c r="S1" s="2"/>
      <c r="T1" s="2"/>
      <c r="U1" s="2"/>
      <c r="V1" s="2"/>
      <c r="W1" s="2"/>
      <c r="X1" s="2"/>
      <c r="Y1" s="2"/>
    </row>
    <row r="2" spans="1:25" ht="18">
      <c r="A2" s="1109" t="s">
        <v>522</v>
      </c>
      <c r="B2" s="1130">
        <f>(COGS!B13*0.15)+C26</f>
        <v>24071.998</v>
      </c>
      <c r="C2" s="409"/>
      <c r="D2" s="2"/>
      <c r="E2" s="2"/>
      <c r="F2" s="2"/>
      <c r="G2" s="2"/>
      <c r="H2" s="2"/>
      <c r="I2" s="2"/>
      <c r="J2" s="2"/>
      <c r="K2" s="2"/>
      <c r="L2" s="2"/>
      <c r="M2" s="2"/>
      <c r="N2" s="2"/>
      <c r="O2" s="2"/>
      <c r="P2" s="2"/>
      <c r="Q2" s="2"/>
      <c r="R2" s="2"/>
      <c r="S2" s="2"/>
      <c r="T2" s="2"/>
      <c r="U2" s="2"/>
      <c r="V2" s="2"/>
      <c r="W2" s="2"/>
      <c r="X2" s="2"/>
      <c r="Y2" s="2"/>
    </row>
    <row r="3" spans="1:25" ht="18">
      <c r="A3" s="1131" t="s">
        <v>586</v>
      </c>
      <c r="B3" s="1132">
        <f>SUM('IT Costs'!I14:I21)</f>
        <v>54907</v>
      </c>
      <c r="C3" s="410"/>
      <c r="D3" s="2"/>
      <c r="E3" s="2"/>
      <c r="F3" s="2"/>
      <c r="G3" s="2"/>
      <c r="H3" s="2"/>
      <c r="I3" s="2"/>
      <c r="J3" s="2"/>
      <c r="K3" s="2"/>
      <c r="L3" s="2"/>
      <c r="M3" s="2"/>
      <c r="N3" s="2"/>
      <c r="O3" s="2"/>
      <c r="P3" s="2"/>
      <c r="Q3" s="2"/>
      <c r="R3" s="2"/>
      <c r="S3" s="2"/>
      <c r="T3" s="2"/>
      <c r="U3" s="2"/>
      <c r="V3" s="2"/>
      <c r="W3" s="2"/>
      <c r="X3" s="2"/>
      <c r="Y3" s="2"/>
    </row>
    <row r="4" spans="1:25" ht="18.399999999999999" thickBot="1">
      <c r="A4" s="1133" t="s">
        <v>92</v>
      </c>
      <c r="B4" s="1134">
        <f>SUM(B2:B3)</f>
        <v>78978.997999999992</v>
      </c>
      <c r="C4" s="409"/>
      <c r="D4" s="2"/>
      <c r="E4" s="2"/>
      <c r="F4" s="2"/>
      <c r="G4" s="2"/>
      <c r="H4" s="2"/>
      <c r="I4" s="2"/>
      <c r="J4" s="2"/>
      <c r="K4" s="2"/>
      <c r="L4" s="2"/>
      <c r="M4" s="2"/>
      <c r="N4" s="2"/>
      <c r="O4" s="2"/>
      <c r="P4" s="2"/>
      <c r="Q4" s="2"/>
      <c r="R4" s="2"/>
      <c r="S4" s="2"/>
      <c r="T4" s="2"/>
      <c r="U4" s="2"/>
      <c r="V4" s="2"/>
      <c r="W4" s="2"/>
      <c r="X4" s="2"/>
      <c r="Y4" s="2"/>
    </row>
    <row r="5" spans="1:25" ht="18">
      <c r="A5" s="2"/>
      <c r="B5" s="2"/>
      <c r="C5" s="2"/>
      <c r="D5" s="2"/>
      <c r="E5" s="2"/>
      <c r="F5" s="2"/>
      <c r="G5" s="2"/>
      <c r="H5" s="2"/>
      <c r="I5" s="2"/>
      <c r="J5" s="2"/>
      <c r="K5" s="2"/>
      <c r="L5" s="2"/>
      <c r="M5" s="2"/>
      <c r="N5" s="2"/>
      <c r="O5" s="2"/>
      <c r="P5" s="2"/>
      <c r="Q5" s="2"/>
      <c r="R5" s="2"/>
      <c r="S5" s="2"/>
      <c r="T5" s="2"/>
      <c r="U5" s="2"/>
      <c r="V5" s="2"/>
      <c r="W5" s="2"/>
      <c r="X5" s="2"/>
      <c r="Y5" s="2"/>
    </row>
    <row r="6" spans="1:25" ht="18.399999999999999" thickBot="1">
      <c r="A6" s="2"/>
      <c r="B6" s="2"/>
      <c r="C6" s="2"/>
      <c r="D6" s="2"/>
      <c r="E6" s="2"/>
      <c r="F6" s="2"/>
      <c r="G6" s="2"/>
      <c r="H6" s="2"/>
      <c r="I6" s="2"/>
      <c r="J6" s="2"/>
      <c r="K6" s="2"/>
      <c r="L6" s="2"/>
      <c r="M6" s="2"/>
      <c r="N6" s="2"/>
      <c r="O6" s="2"/>
      <c r="P6" s="2"/>
      <c r="Q6" s="2"/>
      <c r="R6" s="2"/>
      <c r="S6" s="2"/>
      <c r="T6" s="2"/>
      <c r="U6" s="2"/>
      <c r="V6" s="2"/>
      <c r="W6" s="2"/>
      <c r="X6" s="2"/>
      <c r="Y6" s="2"/>
    </row>
    <row r="7" spans="1:25" ht="18">
      <c r="A7" s="1117"/>
      <c r="B7" s="1118" t="s">
        <v>457</v>
      </c>
      <c r="C7" s="1118" t="s">
        <v>4</v>
      </c>
      <c r="D7" s="1118" t="s">
        <v>61</v>
      </c>
      <c r="E7" s="1118" t="s">
        <v>63</v>
      </c>
      <c r="F7" s="1118" t="s">
        <v>65</v>
      </c>
      <c r="G7" s="1119" t="s">
        <v>67</v>
      </c>
      <c r="H7" s="2"/>
      <c r="I7" s="2"/>
      <c r="J7" s="2"/>
      <c r="K7" s="2"/>
      <c r="L7" s="2"/>
      <c r="M7" s="2"/>
      <c r="N7" s="2"/>
      <c r="O7" s="2"/>
      <c r="P7" s="2"/>
      <c r="Q7" s="2"/>
      <c r="R7" s="2"/>
      <c r="S7" s="2"/>
      <c r="T7" s="2"/>
      <c r="U7" s="2"/>
      <c r="V7" s="2"/>
      <c r="W7" s="2"/>
      <c r="X7" s="2"/>
      <c r="Y7" s="2"/>
    </row>
    <row r="8" spans="1:25" ht="18">
      <c r="A8" s="1120" t="s">
        <v>523</v>
      </c>
      <c r="B8" s="864">
        <f>B4</f>
        <v>78978.997999999992</v>
      </c>
      <c r="C8" s="864"/>
      <c r="D8" s="864"/>
      <c r="E8" s="864"/>
      <c r="F8" s="864"/>
      <c r="G8" s="1121"/>
      <c r="H8" s="2"/>
      <c r="I8" s="2"/>
      <c r="J8" s="2"/>
      <c r="K8" s="2"/>
      <c r="L8" s="2"/>
      <c r="M8" s="2"/>
      <c r="N8" s="2"/>
      <c r="O8" s="2"/>
      <c r="P8" s="2"/>
      <c r="Q8" s="2"/>
      <c r="R8" s="2"/>
      <c r="S8" s="2"/>
      <c r="T8" s="2"/>
      <c r="U8" s="2"/>
      <c r="V8" s="2"/>
      <c r="W8" s="2"/>
      <c r="X8" s="2"/>
      <c r="Y8" s="2"/>
    </row>
    <row r="9" spans="1:25" ht="18">
      <c r="A9" s="1120"/>
      <c r="B9" s="864"/>
      <c r="C9" s="864"/>
      <c r="D9" s="864"/>
      <c r="E9" s="864"/>
      <c r="F9" s="864"/>
      <c r="G9" s="1121"/>
      <c r="H9" s="2"/>
      <c r="I9" s="2"/>
      <c r="J9" s="2"/>
      <c r="K9" s="2"/>
      <c r="L9" s="2"/>
      <c r="M9" s="2"/>
      <c r="N9" s="2"/>
      <c r="O9" s="2"/>
      <c r="P9" s="2"/>
      <c r="Q9" s="2"/>
      <c r="R9" s="2"/>
      <c r="S9" s="2"/>
      <c r="T9" s="2"/>
      <c r="U9" s="2"/>
      <c r="V9" s="2"/>
      <c r="W9" s="2"/>
      <c r="X9" s="2"/>
      <c r="Y9" s="2"/>
    </row>
    <row r="10" spans="1:25" ht="18">
      <c r="A10" s="1120" t="s">
        <v>524</v>
      </c>
      <c r="B10" s="864">
        <f>B4</f>
        <v>78978.997999999992</v>
      </c>
      <c r="C10" s="864"/>
      <c r="D10" s="864"/>
      <c r="E10" s="864"/>
      <c r="F10" s="864"/>
      <c r="G10" s="1121"/>
      <c r="H10" s="2"/>
      <c r="I10" s="2"/>
      <c r="J10" s="2"/>
      <c r="K10" s="2"/>
      <c r="L10" s="2"/>
      <c r="M10" s="2"/>
      <c r="N10" s="2"/>
      <c r="O10" s="2"/>
      <c r="P10" s="2"/>
      <c r="Q10" s="2"/>
      <c r="R10" s="2"/>
      <c r="S10" s="2"/>
      <c r="T10" s="2"/>
      <c r="U10" s="2"/>
      <c r="V10" s="2"/>
      <c r="W10" s="2"/>
      <c r="X10" s="2"/>
      <c r="Y10" s="2"/>
    </row>
    <row r="11" spans="1:25" ht="18.399999999999999" thickBot="1">
      <c r="A11" s="1122" t="s">
        <v>525</v>
      </c>
      <c r="B11" s="867"/>
      <c r="C11" s="867">
        <f>$B$10/'FE Assumptions'!$B$68</f>
        <v>15795.799599999998</v>
      </c>
      <c r="D11" s="867">
        <f>$B$10/'FE Assumptions'!$B$68</f>
        <v>15795.799599999998</v>
      </c>
      <c r="E11" s="867">
        <f>$B$10/'FE Assumptions'!$B$68</f>
        <v>15795.799599999998</v>
      </c>
      <c r="F11" s="867">
        <f>$B$10/'FE Assumptions'!$B$68</f>
        <v>15795.799599999998</v>
      </c>
      <c r="G11" s="1123">
        <f>$B$10/'FE Assumptions'!$B$68</f>
        <v>15795.799599999998</v>
      </c>
      <c r="H11" s="2"/>
      <c r="I11" s="2"/>
      <c r="J11" s="2"/>
      <c r="K11" s="2"/>
      <c r="L11" s="2"/>
      <c r="M11" s="2"/>
      <c r="N11" s="2"/>
      <c r="O11" s="2"/>
      <c r="P11" s="2"/>
      <c r="Q11" s="2"/>
      <c r="R11" s="2"/>
      <c r="S11" s="2"/>
      <c r="T11" s="2"/>
      <c r="U11" s="2"/>
      <c r="V11" s="2"/>
      <c r="W11" s="2"/>
      <c r="X11" s="2"/>
      <c r="Y11" s="2"/>
    </row>
    <row r="12" spans="1:25" ht="18.399999999999999" thickTop="1">
      <c r="A12" s="1124" t="s">
        <v>526</v>
      </c>
      <c r="B12" s="866"/>
      <c r="C12" s="866">
        <f t="shared" ref="C12:G12" si="0">B12+C11</f>
        <v>15795.799599999998</v>
      </c>
      <c r="D12" s="866">
        <f t="shared" si="0"/>
        <v>31591.599199999997</v>
      </c>
      <c r="E12" s="866">
        <f t="shared" si="0"/>
        <v>47387.398799999995</v>
      </c>
      <c r="F12" s="866">
        <f t="shared" si="0"/>
        <v>63183.198399999994</v>
      </c>
      <c r="G12" s="1125">
        <f t="shared" si="0"/>
        <v>78978.997999999992</v>
      </c>
      <c r="H12" s="2"/>
      <c r="I12" s="2"/>
      <c r="J12" s="2"/>
      <c r="K12" s="2"/>
      <c r="L12" s="2"/>
      <c r="M12" s="2"/>
      <c r="N12" s="2"/>
      <c r="O12" s="2"/>
      <c r="P12" s="2"/>
      <c r="Q12" s="2"/>
      <c r="R12" s="2"/>
      <c r="S12" s="2"/>
      <c r="T12" s="2"/>
      <c r="U12" s="2"/>
      <c r="V12" s="2"/>
      <c r="W12" s="2"/>
      <c r="X12" s="2"/>
      <c r="Y12" s="2"/>
    </row>
    <row r="13" spans="1:25" s="740" customFormat="1" ht="18">
      <c r="A13" s="1120"/>
      <c r="B13" s="864"/>
      <c r="C13" s="864"/>
      <c r="D13" s="864"/>
      <c r="E13" s="864"/>
      <c r="F13" s="864"/>
      <c r="G13" s="1121"/>
      <c r="H13" s="2"/>
      <c r="I13" s="2"/>
      <c r="J13" s="2"/>
      <c r="K13" s="2"/>
      <c r="L13" s="2"/>
      <c r="M13" s="2"/>
      <c r="N13" s="2"/>
      <c r="O13" s="2"/>
      <c r="P13" s="2"/>
      <c r="Q13" s="2"/>
      <c r="R13" s="2"/>
      <c r="S13" s="2"/>
      <c r="T13" s="2"/>
      <c r="U13" s="2"/>
      <c r="V13" s="2"/>
      <c r="W13" s="2"/>
      <c r="X13" s="2"/>
      <c r="Y13" s="2"/>
    </row>
    <row r="14" spans="1:25" ht="18">
      <c r="A14" s="1120" t="s">
        <v>527</v>
      </c>
      <c r="B14" s="864"/>
      <c r="C14" s="865">
        <v>0</v>
      </c>
      <c r="D14" s="865">
        <v>0</v>
      </c>
      <c r="E14" s="864">
        <f>G26</f>
        <v>9139.2640647040025</v>
      </c>
      <c r="F14" s="865">
        <v>0</v>
      </c>
      <c r="G14" s="1126">
        <v>0</v>
      </c>
      <c r="H14" s="2"/>
      <c r="I14" s="2"/>
      <c r="J14" s="2"/>
      <c r="K14" s="2"/>
      <c r="L14" s="2"/>
      <c r="M14" s="2"/>
      <c r="N14" s="2"/>
      <c r="O14" s="2"/>
      <c r="P14" s="2"/>
      <c r="Q14" s="2"/>
      <c r="R14" s="2"/>
      <c r="S14" s="2"/>
      <c r="T14" s="2"/>
      <c r="U14" s="2"/>
      <c r="V14" s="2"/>
      <c r="W14" s="2"/>
      <c r="X14" s="2"/>
      <c r="Y14" s="2"/>
    </row>
    <row r="15" spans="1:25" ht="18.399999999999999" thickBot="1">
      <c r="A15" s="1122" t="s">
        <v>528</v>
      </c>
      <c r="B15" s="867"/>
      <c r="C15" s="869">
        <v>0</v>
      </c>
      <c r="D15" s="867">
        <f>C14/'FE Assumptions'!$B$68</f>
        <v>0</v>
      </c>
      <c r="E15" s="867">
        <f>D15+(D14/'FE Assumptions'!$B$68)</f>
        <v>0</v>
      </c>
      <c r="F15" s="867">
        <f>E15+(E14/'FE Assumptions'!$B$68)</f>
        <v>1827.8528129408005</v>
      </c>
      <c r="G15" s="1123">
        <f>F15+(F14/'FE Assumptions'!$B$68)</f>
        <v>1827.8528129408005</v>
      </c>
      <c r="H15" s="2"/>
      <c r="I15" s="2"/>
      <c r="J15" s="2"/>
      <c r="K15" s="2"/>
      <c r="L15" s="2"/>
      <c r="M15" s="2"/>
      <c r="N15" s="2"/>
      <c r="O15" s="2"/>
      <c r="P15" s="2"/>
      <c r="Q15" s="2"/>
      <c r="R15" s="2"/>
      <c r="S15" s="2"/>
      <c r="T15" s="2"/>
      <c r="U15" s="2"/>
      <c r="V15" s="2"/>
      <c r="W15" s="2"/>
      <c r="X15" s="2"/>
      <c r="Y15" s="2"/>
    </row>
    <row r="16" spans="1:25" ht="18.399999999999999" thickTop="1">
      <c r="A16" s="1124" t="s">
        <v>529</v>
      </c>
      <c r="B16" s="866"/>
      <c r="C16" s="868">
        <v>0</v>
      </c>
      <c r="D16" s="866">
        <f>D15</f>
        <v>0</v>
      </c>
      <c r="E16" s="866">
        <f t="shared" ref="E16:G16" si="1">E15+D16</f>
        <v>0</v>
      </c>
      <c r="F16" s="866">
        <f t="shared" si="1"/>
        <v>1827.8528129408005</v>
      </c>
      <c r="G16" s="1125">
        <f t="shared" si="1"/>
        <v>3655.705625881601</v>
      </c>
      <c r="H16" s="2"/>
      <c r="I16" s="2"/>
      <c r="J16" s="2"/>
      <c r="K16" s="2"/>
      <c r="L16" s="2"/>
      <c r="M16" s="2"/>
      <c r="N16" s="2"/>
      <c r="O16" s="2"/>
      <c r="P16" s="2"/>
      <c r="Q16" s="2"/>
      <c r="R16" s="2"/>
      <c r="S16" s="2"/>
      <c r="T16" s="2"/>
      <c r="U16" s="2"/>
      <c r="V16" s="2"/>
      <c r="W16" s="2"/>
      <c r="X16" s="2"/>
      <c r="Y16" s="2"/>
    </row>
    <row r="17" spans="1:25" s="740" customFormat="1" ht="18">
      <c r="A17" s="1120"/>
      <c r="B17" s="864"/>
      <c r="C17" s="865"/>
      <c r="D17" s="864"/>
      <c r="E17" s="864"/>
      <c r="F17" s="864"/>
      <c r="G17" s="1121"/>
      <c r="H17" s="2"/>
      <c r="I17" s="2"/>
      <c r="J17" s="2"/>
      <c r="K17" s="2"/>
      <c r="L17" s="2"/>
      <c r="M17" s="2"/>
      <c r="N17" s="2"/>
      <c r="O17" s="2"/>
      <c r="P17" s="2"/>
      <c r="Q17" s="2"/>
      <c r="R17" s="2"/>
      <c r="S17" s="2"/>
      <c r="T17" s="2"/>
      <c r="U17" s="2"/>
      <c r="V17" s="2"/>
      <c r="W17" s="2"/>
      <c r="X17" s="2"/>
      <c r="Y17" s="2"/>
    </row>
    <row r="18" spans="1:25" ht="18">
      <c r="A18" s="1120" t="s">
        <v>530</v>
      </c>
      <c r="B18" s="864">
        <f>B10+B14</f>
        <v>78978.997999999992</v>
      </c>
      <c r="C18" s="864">
        <f>B18+C14</f>
        <v>78978.997999999992</v>
      </c>
      <c r="D18" s="864">
        <f>C18+D14</f>
        <v>78978.997999999992</v>
      </c>
      <c r="E18" s="864">
        <f>D18+E14</f>
        <v>88118.262064704002</v>
      </c>
      <c r="F18" s="864">
        <f>E18+F14</f>
        <v>88118.262064704002</v>
      </c>
      <c r="G18" s="1121">
        <f>F18+G14</f>
        <v>88118.262064704002</v>
      </c>
      <c r="H18" s="2"/>
      <c r="I18" s="2"/>
      <c r="J18" s="2"/>
      <c r="K18" s="2"/>
      <c r="L18" s="2"/>
      <c r="M18" s="2"/>
      <c r="N18" s="2"/>
      <c r="O18" s="2"/>
      <c r="P18" s="2"/>
      <c r="Q18" s="2"/>
      <c r="R18" s="2"/>
      <c r="S18" s="2"/>
      <c r="T18" s="2"/>
      <c r="U18" s="2"/>
      <c r="V18" s="2"/>
      <c r="W18" s="2"/>
      <c r="X18" s="2"/>
      <c r="Y18" s="2"/>
    </row>
    <row r="19" spans="1:25" ht="18.399999999999999" thickBot="1">
      <c r="A19" s="1122" t="s">
        <v>531</v>
      </c>
      <c r="B19" s="867">
        <f t="shared" ref="B19:G19" si="2">B12+B16</f>
        <v>0</v>
      </c>
      <c r="C19" s="867">
        <f t="shared" si="2"/>
        <v>15795.799599999998</v>
      </c>
      <c r="D19" s="867">
        <f t="shared" si="2"/>
        <v>31591.599199999997</v>
      </c>
      <c r="E19" s="867">
        <f t="shared" si="2"/>
        <v>47387.398799999995</v>
      </c>
      <c r="F19" s="867">
        <f t="shared" si="2"/>
        <v>65011.051212940794</v>
      </c>
      <c r="G19" s="1123">
        <f t="shared" si="2"/>
        <v>82634.703625881593</v>
      </c>
      <c r="H19" s="2"/>
      <c r="I19" s="2"/>
      <c r="J19" s="2"/>
      <c r="K19" s="2"/>
      <c r="L19" s="2"/>
      <c r="M19" s="2"/>
      <c r="N19" s="2"/>
      <c r="O19" s="2"/>
      <c r="P19" s="2"/>
      <c r="Q19" s="2"/>
      <c r="R19" s="2"/>
      <c r="S19" s="2"/>
      <c r="T19" s="2"/>
      <c r="U19" s="2"/>
      <c r="V19" s="2"/>
      <c r="W19" s="2"/>
      <c r="X19" s="2"/>
      <c r="Y19" s="2"/>
    </row>
    <row r="20" spans="1:25" ht="18.75" thickTop="1" thickBot="1">
      <c r="A20" s="1127" t="s">
        <v>532</v>
      </c>
      <c r="B20" s="1128"/>
      <c r="C20" s="1128">
        <f t="shared" ref="C20:G20" si="3">C19+B19</f>
        <v>15795.799599999998</v>
      </c>
      <c r="D20" s="1128">
        <f t="shared" si="3"/>
        <v>47387.398799999995</v>
      </c>
      <c r="E20" s="1128">
        <f t="shared" si="3"/>
        <v>78978.997999999992</v>
      </c>
      <c r="F20" s="1128">
        <f t="shared" si="3"/>
        <v>112398.4500129408</v>
      </c>
      <c r="G20" s="1129">
        <f t="shared" si="3"/>
        <v>147645.75483882238</v>
      </c>
      <c r="H20" s="2"/>
      <c r="I20" s="2"/>
      <c r="J20" s="2"/>
      <c r="K20" s="2"/>
      <c r="L20" s="2"/>
      <c r="M20" s="2"/>
      <c r="N20" s="2"/>
      <c r="O20" s="2"/>
      <c r="P20" s="2"/>
      <c r="Q20" s="2"/>
      <c r="R20" s="2"/>
      <c r="S20" s="2"/>
      <c r="T20" s="2"/>
      <c r="U20" s="2"/>
      <c r="V20" s="2"/>
      <c r="W20" s="2"/>
      <c r="X20" s="2"/>
      <c r="Y20" s="2"/>
    </row>
    <row r="21" spans="1:25" ht="18">
      <c r="A21" s="2"/>
      <c r="B21" s="2"/>
      <c r="C21" s="2"/>
      <c r="D21" s="2"/>
      <c r="E21" s="2"/>
      <c r="F21" s="2"/>
      <c r="G21" s="2"/>
      <c r="H21" s="2"/>
      <c r="I21" s="2"/>
      <c r="J21" s="2"/>
      <c r="K21" s="2"/>
      <c r="L21" s="2"/>
      <c r="M21" s="2"/>
      <c r="N21" s="2"/>
      <c r="O21" s="2"/>
      <c r="P21" s="2"/>
      <c r="Q21" s="2"/>
      <c r="R21" s="2"/>
      <c r="S21" s="2"/>
      <c r="T21" s="2"/>
      <c r="U21" s="2"/>
      <c r="V21" s="2"/>
      <c r="W21" s="2"/>
      <c r="X21" s="2"/>
      <c r="Y21" s="2"/>
    </row>
    <row r="22" spans="1:25" ht="18.399999999999999" thickBot="1">
      <c r="A22" s="2"/>
      <c r="B22" s="2"/>
      <c r="C22" s="2"/>
      <c r="D22" s="2"/>
      <c r="E22" s="2"/>
      <c r="F22" s="2"/>
      <c r="G22" s="2"/>
      <c r="H22" s="2"/>
      <c r="I22" s="2"/>
      <c r="J22" s="2"/>
      <c r="K22" s="2"/>
      <c r="L22" s="2"/>
      <c r="M22" s="2"/>
      <c r="N22" s="2"/>
      <c r="O22" s="2"/>
      <c r="P22" s="2"/>
      <c r="Q22" s="2"/>
      <c r="R22" s="2"/>
      <c r="S22" s="2"/>
      <c r="T22" s="2"/>
      <c r="U22" s="2"/>
      <c r="V22" s="2"/>
      <c r="W22" s="2"/>
      <c r="X22" s="2"/>
      <c r="Y22" s="2"/>
    </row>
    <row r="23" spans="1:25" ht="18">
      <c r="A23" s="1334" t="s">
        <v>533</v>
      </c>
      <c r="B23" s="1335"/>
      <c r="C23" s="1336"/>
      <c r="D23" s="2"/>
      <c r="E23" s="1334" t="s">
        <v>534</v>
      </c>
      <c r="F23" s="1335"/>
      <c r="G23" s="1336"/>
      <c r="H23" s="2"/>
      <c r="I23" s="2"/>
      <c r="J23" s="2"/>
      <c r="K23" s="2"/>
      <c r="L23" s="2"/>
      <c r="M23" s="2"/>
      <c r="N23" s="2"/>
      <c r="O23" s="2"/>
      <c r="P23" s="2"/>
      <c r="Q23" s="2"/>
      <c r="R23" s="2"/>
      <c r="S23" s="2"/>
      <c r="T23" s="2"/>
      <c r="U23" s="2"/>
      <c r="V23" s="2"/>
      <c r="W23" s="2"/>
      <c r="X23" s="2"/>
      <c r="Y23" s="2"/>
    </row>
    <row r="24" spans="1:25" ht="18">
      <c r="A24" s="1135" t="s">
        <v>535</v>
      </c>
      <c r="B24" s="1136" t="s">
        <v>536</v>
      </c>
      <c r="C24" s="1137" t="s">
        <v>457</v>
      </c>
      <c r="D24" s="2"/>
      <c r="E24" s="1135" t="s">
        <v>535</v>
      </c>
      <c r="F24" s="1136" t="s">
        <v>536</v>
      </c>
      <c r="G24" s="1144" t="s">
        <v>63</v>
      </c>
      <c r="H24" s="2"/>
      <c r="I24" s="2"/>
      <c r="J24" s="2"/>
      <c r="K24" s="2"/>
      <c r="L24" s="2"/>
      <c r="M24" s="2"/>
      <c r="N24" s="2"/>
      <c r="O24" s="2"/>
      <c r="P24" s="2"/>
      <c r="Q24" s="2"/>
      <c r="R24" s="2"/>
      <c r="S24" s="2"/>
      <c r="T24" s="2"/>
      <c r="U24" s="2"/>
      <c r="V24" s="2"/>
      <c r="W24" s="2"/>
      <c r="X24" s="2"/>
      <c r="Y24" s="2"/>
    </row>
    <row r="25" spans="1:25" ht="18">
      <c r="A25" s="1138">
        <v>1</v>
      </c>
      <c r="B25" s="1139">
        <f>Capacity!B6</f>
        <v>8500</v>
      </c>
      <c r="C25" s="1140">
        <f>B25*A25</f>
        <v>8500</v>
      </c>
      <c r="D25" s="2"/>
      <c r="E25" s="1138">
        <v>1</v>
      </c>
      <c r="F25" s="1139">
        <f>Capacity!E6</f>
        <v>9139.2640647040025</v>
      </c>
      <c r="G25" s="1140">
        <f>F25*E25</f>
        <v>9139.2640647040025</v>
      </c>
      <c r="H25" s="2"/>
      <c r="I25" s="2"/>
      <c r="J25" s="2"/>
      <c r="K25" s="2"/>
      <c r="L25" s="2"/>
      <c r="M25" s="2"/>
      <c r="N25" s="2"/>
      <c r="O25" s="2"/>
      <c r="P25" s="2"/>
      <c r="Q25" s="2"/>
      <c r="R25" s="2"/>
      <c r="S25" s="2"/>
      <c r="T25" s="2"/>
      <c r="U25" s="2"/>
      <c r="V25" s="2"/>
      <c r="W25" s="2"/>
      <c r="X25" s="2"/>
      <c r="Y25" s="2"/>
    </row>
    <row r="26" spans="1:25" ht="18.399999999999999" thickBot="1">
      <c r="A26" s="1141" t="s">
        <v>537</v>
      </c>
      <c r="B26" s="1142"/>
      <c r="C26" s="1143">
        <f>SUM(C25)</f>
        <v>8500</v>
      </c>
      <c r="D26" s="2"/>
      <c r="E26" s="1141" t="s">
        <v>538</v>
      </c>
      <c r="F26" s="1142"/>
      <c r="G26" s="1143">
        <f>SUM(G25)</f>
        <v>9139.2640647040025</v>
      </c>
      <c r="H26" s="2"/>
      <c r="I26" s="2"/>
      <c r="J26" s="2"/>
      <c r="K26" s="2"/>
      <c r="L26" s="2"/>
      <c r="M26" s="2"/>
      <c r="N26" s="2"/>
      <c r="O26" s="2"/>
      <c r="P26" s="2"/>
      <c r="Q26" s="2"/>
      <c r="R26" s="2"/>
      <c r="S26" s="2"/>
      <c r="T26" s="2"/>
      <c r="U26" s="2"/>
      <c r="V26" s="2"/>
      <c r="W26" s="2"/>
      <c r="X26" s="2"/>
      <c r="Y26" s="2"/>
    </row>
    <row r="27" spans="1:25" ht="18">
      <c r="A27" s="2"/>
      <c r="B27" s="2"/>
      <c r="C27" s="2"/>
      <c r="D27" s="2"/>
      <c r="E27" s="2"/>
      <c r="F27" s="2"/>
      <c r="G27" s="2"/>
      <c r="H27" s="2"/>
      <c r="I27" s="2"/>
      <c r="J27" s="2"/>
      <c r="K27" s="2"/>
      <c r="L27" s="2"/>
      <c r="M27" s="2"/>
      <c r="N27" s="2"/>
      <c r="O27" s="2"/>
      <c r="P27" s="2"/>
      <c r="Q27" s="2"/>
      <c r="R27" s="2"/>
      <c r="S27" s="2"/>
      <c r="T27" s="2"/>
      <c r="U27" s="2"/>
      <c r="V27" s="2"/>
      <c r="W27" s="2"/>
      <c r="X27" s="2"/>
      <c r="Y27" s="2"/>
    </row>
    <row r="28" spans="1:25" ht="18">
      <c r="A28" s="2"/>
      <c r="B28" s="2"/>
      <c r="C28" s="2"/>
      <c r="D28" s="2"/>
      <c r="E28" s="2"/>
      <c r="F28" s="2"/>
      <c r="G28" s="2"/>
      <c r="H28" s="2"/>
      <c r="I28" s="2"/>
      <c r="J28" s="2"/>
      <c r="K28" s="2"/>
      <c r="L28" s="2"/>
      <c r="M28" s="2"/>
      <c r="N28" s="2"/>
      <c r="O28" s="2"/>
      <c r="P28" s="2"/>
      <c r="Q28" s="2"/>
      <c r="R28" s="2"/>
      <c r="S28" s="2"/>
      <c r="T28" s="2"/>
      <c r="U28" s="2"/>
      <c r="V28" s="2"/>
      <c r="W28" s="2"/>
      <c r="X28" s="2"/>
      <c r="Y28" s="2"/>
    </row>
    <row r="29" spans="1:25" ht="18">
      <c r="A29" s="411"/>
      <c r="B29" s="412" t="s">
        <v>457</v>
      </c>
      <c r="C29" s="412" t="s">
        <v>4</v>
      </c>
      <c r="D29" s="412" t="s">
        <v>61</v>
      </c>
      <c r="E29" s="412" t="s">
        <v>63</v>
      </c>
      <c r="F29" s="412" t="s">
        <v>65</v>
      </c>
      <c r="G29" s="412" t="s">
        <v>67</v>
      </c>
      <c r="H29" s="2"/>
      <c r="I29" s="2"/>
      <c r="J29" s="2"/>
      <c r="K29" s="2"/>
      <c r="L29" s="2"/>
      <c r="M29" s="2"/>
      <c r="N29" s="2"/>
      <c r="O29" s="2"/>
      <c r="P29" s="2"/>
      <c r="Q29" s="2"/>
      <c r="R29" s="2"/>
      <c r="S29" s="2"/>
      <c r="T29" s="2"/>
      <c r="U29" s="2"/>
      <c r="V29" s="2"/>
      <c r="W29" s="2"/>
      <c r="X29" s="2"/>
      <c r="Y29" s="2"/>
    </row>
    <row r="30" spans="1:25" ht="18">
      <c r="A30" s="755" t="s">
        <v>539</v>
      </c>
      <c r="B30" s="756">
        <f>'IT Costs'!L18</f>
        <v>240000</v>
      </c>
      <c r="C30" s="756">
        <f t="shared" ref="C30:G30" si="4">B30</f>
        <v>240000</v>
      </c>
      <c r="D30" s="756">
        <f t="shared" si="4"/>
        <v>240000</v>
      </c>
      <c r="E30" s="756">
        <f t="shared" si="4"/>
        <v>240000</v>
      </c>
      <c r="F30" s="756">
        <f t="shared" si="4"/>
        <v>240000</v>
      </c>
      <c r="G30" s="757">
        <f t="shared" si="4"/>
        <v>240000</v>
      </c>
      <c r="H30" s="2"/>
      <c r="I30" s="2"/>
      <c r="J30" s="2"/>
      <c r="K30" s="2"/>
      <c r="L30" s="2"/>
      <c r="M30" s="2"/>
      <c r="N30" s="2"/>
      <c r="O30" s="2"/>
      <c r="P30" s="2"/>
      <c r="Q30" s="2"/>
      <c r="R30" s="2"/>
      <c r="S30" s="2"/>
      <c r="T30" s="2"/>
      <c r="U30" s="2"/>
      <c r="V30" s="2"/>
      <c r="W30" s="2"/>
      <c r="X30" s="2"/>
      <c r="Y30" s="2"/>
    </row>
    <row r="31" spans="1:25" ht="18.399999999999999" thickBot="1">
      <c r="A31" s="874" t="s">
        <v>540</v>
      </c>
      <c r="B31" s="875">
        <v>0</v>
      </c>
      <c r="C31" s="876">
        <f>$B$30/'FE Assumptions'!$B$69</f>
        <v>24000</v>
      </c>
      <c r="D31" s="876">
        <f>$B$30/'FE Assumptions'!$B$69</f>
        <v>24000</v>
      </c>
      <c r="E31" s="876">
        <f>$B$30/'FE Assumptions'!$B$69</f>
        <v>24000</v>
      </c>
      <c r="F31" s="876">
        <f>$B$30/'FE Assumptions'!$B$69</f>
        <v>24000</v>
      </c>
      <c r="G31" s="877">
        <f>$B$30/'FE Assumptions'!$B$69</f>
        <v>24000</v>
      </c>
      <c r="H31" s="413"/>
      <c r="I31" s="2"/>
      <c r="J31" s="2"/>
      <c r="K31" s="2"/>
      <c r="L31" s="2"/>
      <c r="M31" s="2"/>
      <c r="N31" s="2"/>
      <c r="O31" s="2"/>
      <c r="P31" s="2"/>
      <c r="Q31" s="2"/>
      <c r="R31" s="2"/>
      <c r="S31" s="2"/>
      <c r="T31" s="2"/>
      <c r="U31" s="2"/>
      <c r="V31" s="2"/>
      <c r="W31" s="2"/>
      <c r="X31" s="2"/>
      <c r="Y31" s="2"/>
    </row>
    <row r="32" spans="1:25" ht="18.399999999999999" thickTop="1">
      <c r="A32" s="870" t="s">
        <v>541</v>
      </c>
      <c r="B32" s="871">
        <v>0</v>
      </c>
      <c r="C32" s="872">
        <f t="shared" ref="C32:G32" si="5">C31+B32</f>
        <v>24000</v>
      </c>
      <c r="D32" s="872">
        <f t="shared" si="5"/>
        <v>48000</v>
      </c>
      <c r="E32" s="872">
        <f t="shared" si="5"/>
        <v>72000</v>
      </c>
      <c r="F32" s="872">
        <f t="shared" si="5"/>
        <v>96000</v>
      </c>
      <c r="G32" s="873">
        <f t="shared" si="5"/>
        <v>120000</v>
      </c>
      <c r="H32" s="2"/>
      <c r="I32" s="2"/>
      <c r="J32" s="2"/>
      <c r="K32" s="2"/>
      <c r="L32" s="2"/>
      <c r="M32" s="2"/>
      <c r="N32" s="2"/>
      <c r="O32" s="2"/>
      <c r="P32" s="2"/>
      <c r="Q32" s="2"/>
      <c r="R32" s="2"/>
      <c r="S32" s="2"/>
      <c r="T32" s="2"/>
      <c r="U32" s="2"/>
      <c r="V32" s="2"/>
      <c r="W32" s="2"/>
      <c r="X32" s="2"/>
      <c r="Y32" s="2"/>
    </row>
    <row r="33" spans="1:25" ht="18">
      <c r="A33" s="2"/>
      <c r="B33" s="2"/>
      <c r="C33" s="2"/>
      <c r="D33" s="2"/>
      <c r="E33" s="2"/>
      <c r="F33" s="2"/>
      <c r="G33" s="2"/>
      <c r="H33" s="2"/>
      <c r="I33" s="2"/>
      <c r="J33" s="2"/>
      <c r="K33" s="2"/>
      <c r="L33" s="2"/>
      <c r="M33" s="2"/>
      <c r="N33" s="2"/>
      <c r="O33" s="2"/>
      <c r="P33" s="2"/>
      <c r="Q33" s="2"/>
      <c r="R33" s="2"/>
      <c r="S33" s="2"/>
      <c r="T33" s="2"/>
      <c r="U33" s="2"/>
      <c r="V33" s="2"/>
      <c r="W33" s="2"/>
      <c r="X33" s="2"/>
      <c r="Y33" s="2"/>
    </row>
    <row r="34" spans="1:25" ht="18">
      <c r="A34" s="2"/>
      <c r="B34" s="2"/>
      <c r="C34" s="2"/>
      <c r="D34" s="2"/>
      <c r="E34" s="2"/>
      <c r="F34" s="2"/>
      <c r="G34" s="2"/>
      <c r="H34" s="2"/>
      <c r="I34" s="2"/>
      <c r="J34" s="2"/>
      <c r="K34" s="2"/>
      <c r="L34" s="2"/>
      <c r="M34" s="2"/>
      <c r="N34" s="2"/>
      <c r="O34" s="2"/>
      <c r="P34" s="2"/>
      <c r="Q34" s="2"/>
      <c r="R34" s="2"/>
      <c r="S34" s="2"/>
      <c r="T34" s="2"/>
      <c r="U34" s="2"/>
      <c r="V34" s="2"/>
      <c r="W34" s="2"/>
      <c r="X34" s="2"/>
      <c r="Y34" s="2"/>
    </row>
    <row r="35" spans="1:25" ht="18">
      <c r="A35" s="2"/>
      <c r="B35" s="2"/>
      <c r="C35" s="2"/>
      <c r="D35" s="2"/>
      <c r="E35" s="2"/>
      <c r="F35" s="2"/>
      <c r="G35" s="2"/>
      <c r="H35" s="2"/>
      <c r="I35" s="2"/>
      <c r="J35" s="2"/>
      <c r="K35" s="2"/>
      <c r="L35" s="2"/>
      <c r="M35" s="2"/>
      <c r="N35" s="2"/>
      <c r="O35" s="2"/>
      <c r="P35" s="2"/>
      <c r="Q35" s="2"/>
      <c r="R35" s="2"/>
      <c r="S35" s="2"/>
      <c r="T35" s="2"/>
      <c r="U35" s="2"/>
      <c r="V35" s="2"/>
      <c r="W35" s="2"/>
      <c r="X35" s="2"/>
      <c r="Y35" s="2"/>
    </row>
    <row r="36" spans="1:25" ht="18">
      <c r="A36" s="2"/>
      <c r="B36" s="2"/>
      <c r="C36" s="2"/>
      <c r="D36" s="2"/>
      <c r="E36" s="2"/>
      <c r="F36" s="2"/>
      <c r="G36" s="2"/>
      <c r="H36" s="2"/>
      <c r="I36" s="2"/>
      <c r="J36" s="2"/>
      <c r="K36" s="2"/>
      <c r="L36" s="2"/>
      <c r="M36" s="2"/>
      <c r="N36" s="2"/>
      <c r="O36" s="2"/>
      <c r="P36" s="2"/>
      <c r="Q36" s="2"/>
      <c r="R36" s="2"/>
      <c r="S36" s="2"/>
      <c r="T36" s="2"/>
      <c r="U36" s="2"/>
      <c r="V36" s="2"/>
      <c r="W36" s="2"/>
      <c r="X36" s="2"/>
      <c r="Y36" s="2"/>
    </row>
    <row r="37" spans="1:25" ht="18">
      <c r="A37" s="2"/>
      <c r="B37" s="2"/>
      <c r="C37" s="2"/>
      <c r="D37" s="2"/>
      <c r="E37" s="2"/>
      <c r="F37" s="2"/>
      <c r="G37" s="2"/>
      <c r="H37" s="2"/>
      <c r="I37" s="2"/>
      <c r="J37" s="2"/>
      <c r="K37" s="2"/>
      <c r="L37" s="2"/>
      <c r="M37" s="2"/>
      <c r="N37" s="2"/>
      <c r="O37" s="2"/>
      <c r="P37" s="2"/>
      <c r="Q37" s="2"/>
      <c r="R37" s="2"/>
      <c r="S37" s="2"/>
      <c r="T37" s="2"/>
      <c r="U37" s="2"/>
      <c r="V37" s="2"/>
      <c r="W37" s="2"/>
      <c r="X37" s="2"/>
      <c r="Y37" s="2"/>
    </row>
    <row r="38" spans="1:25" ht="18">
      <c r="A38" s="2"/>
      <c r="B38" s="2"/>
      <c r="C38" s="2"/>
      <c r="D38" s="2"/>
      <c r="E38" s="2"/>
      <c r="F38" s="2"/>
      <c r="G38" s="2"/>
      <c r="H38" s="2"/>
      <c r="I38" s="2"/>
      <c r="J38" s="2"/>
      <c r="K38" s="2"/>
      <c r="L38" s="2"/>
      <c r="M38" s="2"/>
      <c r="N38" s="2"/>
      <c r="O38" s="2"/>
      <c r="P38" s="2"/>
      <c r="Q38" s="2"/>
      <c r="R38" s="2"/>
      <c r="S38" s="2"/>
      <c r="T38" s="2"/>
      <c r="U38" s="2"/>
      <c r="V38" s="2"/>
      <c r="W38" s="2"/>
      <c r="X38" s="2"/>
      <c r="Y38" s="2"/>
    </row>
    <row r="39" spans="1:25" ht="18">
      <c r="A39" s="2"/>
      <c r="B39" s="2"/>
      <c r="C39" s="2"/>
      <c r="D39" s="2"/>
      <c r="E39" s="2"/>
      <c r="F39" s="2"/>
      <c r="G39" s="2"/>
      <c r="H39" s="2"/>
      <c r="I39" s="2"/>
      <c r="J39" s="2"/>
      <c r="K39" s="2"/>
      <c r="L39" s="2"/>
      <c r="M39" s="2"/>
      <c r="N39" s="2"/>
      <c r="O39" s="2"/>
      <c r="P39" s="2"/>
      <c r="Q39" s="2"/>
      <c r="R39" s="2"/>
      <c r="S39" s="2"/>
      <c r="T39" s="2"/>
      <c r="U39" s="2"/>
      <c r="V39" s="2"/>
      <c r="W39" s="2"/>
      <c r="X39" s="2"/>
      <c r="Y39" s="2"/>
    </row>
    <row r="40" spans="1:25" ht="18">
      <c r="A40" s="2"/>
      <c r="B40" s="2"/>
      <c r="C40" s="2"/>
      <c r="D40" s="2"/>
      <c r="E40" s="2"/>
      <c r="F40" s="2"/>
      <c r="G40" s="2"/>
      <c r="H40" s="2"/>
      <c r="I40" s="2"/>
      <c r="J40" s="2"/>
      <c r="K40" s="2"/>
      <c r="L40" s="2"/>
      <c r="M40" s="2"/>
      <c r="N40" s="2"/>
      <c r="O40" s="2"/>
      <c r="P40" s="2"/>
      <c r="Q40" s="2"/>
      <c r="R40" s="2"/>
      <c r="S40" s="2"/>
      <c r="T40" s="2"/>
      <c r="U40" s="2"/>
      <c r="V40" s="2"/>
      <c r="W40" s="2"/>
      <c r="X40" s="2"/>
      <c r="Y40" s="2"/>
    </row>
    <row r="41" spans="1:25" ht="18">
      <c r="A41" s="2"/>
      <c r="B41" s="2"/>
      <c r="C41" s="2"/>
      <c r="D41" s="2"/>
      <c r="E41" s="2"/>
      <c r="F41" s="2"/>
      <c r="G41" s="2"/>
      <c r="H41" s="2"/>
      <c r="I41" s="2"/>
      <c r="J41" s="2"/>
      <c r="K41" s="2"/>
      <c r="L41" s="2"/>
      <c r="M41" s="2"/>
      <c r="N41" s="2"/>
      <c r="O41" s="2"/>
      <c r="P41" s="2"/>
      <c r="Q41" s="2"/>
      <c r="R41" s="2"/>
      <c r="S41" s="2"/>
      <c r="T41" s="2"/>
      <c r="U41" s="2"/>
      <c r="V41" s="2"/>
      <c r="W41" s="2"/>
      <c r="X41" s="2"/>
      <c r="Y41" s="2"/>
    </row>
    <row r="42" spans="1:25" ht="18">
      <c r="A42" s="2"/>
      <c r="B42" s="2"/>
      <c r="C42" s="2"/>
      <c r="D42" s="2"/>
      <c r="E42" s="2"/>
      <c r="F42" s="2"/>
      <c r="G42" s="2"/>
      <c r="H42" s="2"/>
      <c r="I42" s="2"/>
      <c r="J42" s="2"/>
      <c r="K42" s="2"/>
      <c r="L42" s="2"/>
      <c r="M42" s="2"/>
      <c r="N42" s="2"/>
      <c r="O42" s="2"/>
      <c r="P42" s="2"/>
      <c r="Q42" s="2"/>
      <c r="R42" s="2"/>
      <c r="S42" s="2"/>
      <c r="T42" s="2"/>
      <c r="U42" s="2"/>
      <c r="V42" s="2"/>
      <c r="W42" s="2"/>
      <c r="X42" s="2"/>
      <c r="Y42" s="2"/>
    </row>
    <row r="43" spans="1:25" ht="18">
      <c r="A43" s="2"/>
      <c r="B43" s="2"/>
      <c r="C43" s="2"/>
      <c r="D43" s="2"/>
      <c r="E43" s="2"/>
      <c r="F43" s="2"/>
      <c r="G43" s="2"/>
      <c r="H43" s="2"/>
      <c r="I43" s="2"/>
      <c r="J43" s="2"/>
      <c r="K43" s="2"/>
      <c r="L43" s="2"/>
      <c r="M43" s="2"/>
      <c r="N43" s="2"/>
      <c r="O43" s="2"/>
      <c r="P43" s="2"/>
      <c r="Q43" s="2"/>
      <c r="R43" s="2"/>
      <c r="S43" s="2"/>
      <c r="T43" s="2"/>
      <c r="U43" s="2"/>
      <c r="V43" s="2"/>
      <c r="W43" s="2"/>
      <c r="X43" s="2"/>
      <c r="Y43" s="2"/>
    </row>
    <row r="44" spans="1:25" ht="18">
      <c r="A44" s="2"/>
      <c r="B44" s="2"/>
      <c r="C44" s="2"/>
      <c r="D44" s="2"/>
      <c r="E44" s="2"/>
      <c r="F44" s="2"/>
      <c r="G44" s="2"/>
      <c r="H44" s="2"/>
      <c r="I44" s="2"/>
      <c r="J44" s="2"/>
      <c r="K44" s="2"/>
      <c r="L44" s="2"/>
      <c r="M44" s="2"/>
      <c r="N44" s="2"/>
      <c r="O44" s="2"/>
      <c r="P44" s="2"/>
      <c r="Q44" s="2"/>
      <c r="R44" s="2"/>
      <c r="S44" s="2"/>
      <c r="T44" s="2"/>
      <c r="U44" s="2"/>
      <c r="V44" s="2"/>
      <c r="W44" s="2"/>
      <c r="X44" s="2"/>
      <c r="Y44" s="2"/>
    </row>
    <row r="45" spans="1:25" ht="18">
      <c r="A45" s="2"/>
      <c r="B45" s="2"/>
      <c r="C45" s="2"/>
      <c r="D45" s="2"/>
      <c r="E45" s="2"/>
      <c r="F45" s="2"/>
      <c r="G45" s="2"/>
      <c r="H45" s="2"/>
      <c r="I45" s="2"/>
      <c r="J45" s="2"/>
      <c r="K45" s="2"/>
      <c r="L45" s="2"/>
      <c r="M45" s="2"/>
      <c r="N45" s="2"/>
      <c r="O45" s="2"/>
      <c r="P45" s="2"/>
      <c r="Q45" s="2"/>
      <c r="R45" s="2"/>
      <c r="S45" s="2"/>
      <c r="T45" s="2"/>
      <c r="U45" s="2"/>
      <c r="V45" s="2"/>
      <c r="W45" s="2"/>
      <c r="X45" s="2"/>
      <c r="Y45" s="2"/>
    </row>
    <row r="46" spans="1:25" ht="18">
      <c r="A46" s="2"/>
      <c r="B46" s="2"/>
      <c r="C46" s="2"/>
      <c r="D46" s="2"/>
      <c r="E46" s="2"/>
      <c r="F46" s="2"/>
      <c r="G46" s="2"/>
      <c r="H46" s="2"/>
      <c r="I46" s="2"/>
      <c r="J46" s="2"/>
      <c r="K46" s="2"/>
      <c r="L46" s="2"/>
      <c r="M46" s="2"/>
      <c r="N46" s="2"/>
      <c r="O46" s="2"/>
      <c r="P46" s="2"/>
      <c r="Q46" s="2"/>
      <c r="R46" s="2"/>
      <c r="S46" s="2"/>
      <c r="T46" s="2"/>
      <c r="U46" s="2"/>
      <c r="V46" s="2"/>
      <c r="W46" s="2"/>
      <c r="X46" s="2"/>
      <c r="Y46" s="2"/>
    </row>
    <row r="47" spans="1:25" ht="18">
      <c r="A47" s="2"/>
      <c r="B47" s="2"/>
      <c r="C47" s="2"/>
      <c r="D47" s="2"/>
      <c r="E47" s="2"/>
      <c r="F47" s="2"/>
      <c r="G47" s="2"/>
      <c r="H47" s="2"/>
      <c r="I47" s="2"/>
      <c r="J47" s="2"/>
      <c r="K47" s="2"/>
      <c r="L47" s="2"/>
      <c r="M47" s="2"/>
      <c r="N47" s="2"/>
      <c r="O47" s="2"/>
      <c r="P47" s="2"/>
      <c r="Q47" s="2"/>
      <c r="R47" s="2"/>
      <c r="S47" s="2"/>
      <c r="T47" s="2"/>
      <c r="U47" s="2"/>
      <c r="V47" s="2"/>
      <c r="W47" s="2"/>
      <c r="X47" s="2"/>
      <c r="Y47" s="2"/>
    </row>
    <row r="48" spans="1:25" ht="18">
      <c r="A48" s="2"/>
      <c r="B48" s="2"/>
      <c r="C48" s="2"/>
      <c r="D48" s="2"/>
      <c r="E48" s="2"/>
      <c r="F48" s="2"/>
      <c r="G48" s="2"/>
      <c r="H48" s="2"/>
      <c r="I48" s="2"/>
      <c r="J48" s="2"/>
      <c r="K48" s="2"/>
      <c r="L48" s="2"/>
      <c r="M48" s="2"/>
      <c r="N48" s="2"/>
      <c r="O48" s="2"/>
      <c r="P48" s="2"/>
      <c r="Q48" s="2"/>
      <c r="R48" s="2"/>
      <c r="S48" s="2"/>
      <c r="T48" s="2"/>
      <c r="U48" s="2"/>
      <c r="V48" s="2"/>
      <c r="W48" s="2"/>
      <c r="X48" s="2"/>
      <c r="Y48" s="2"/>
    </row>
    <row r="49" spans="1:25" ht="18">
      <c r="A49" s="2"/>
      <c r="B49" s="2"/>
      <c r="C49" s="2"/>
      <c r="D49" s="2"/>
      <c r="E49" s="2"/>
      <c r="F49" s="2"/>
      <c r="G49" s="2"/>
      <c r="H49" s="2"/>
      <c r="I49" s="2"/>
      <c r="J49" s="2"/>
      <c r="K49" s="2"/>
      <c r="L49" s="2"/>
      <c r="M49" s="2"/>
      <c r="N49" s="2"/>
      <c r="O49" s="2"/>
      <c r="P49" s="2"/>
      <c r="Q49" s="2"/>
      <c r="R49" s="2"/>
      <c r="S49" s="2"/>
      <c r="T49" s="2"/>
      <c r="U49" s="2"/>
      <c r="V49" s="2"/>
      <c r="W49" s="2"/>
      <c r="X49" s="2"/>
      <c r="Y49" s="2"/>
    </row>
    <row r="50" spans="1:25" ht="18">
      <c r="A50" s="2"/>
      <c r="B50" s="2"/>
      <c r="C50" s="2"/>
      <c r="D50" s="2"/>
      <c r="E50" s="2"/>
      <c r="F50" s="2"/>
      <c r="G50" s="2"/>
      <c r="H50" s="2"/>
      <c r="I50" s="2"/>
      <c r="J50" s="2"/>
      <c r="K50" s="2"/>
      <c r="L50" s="2"/>
      <c r="M50" s="2"/>
      <c r="N50" s="2"/>
      <c r="O50" s="2"/>
      <c r="P50" s="2"/>
      <c r="Q50" s="2"/>
      <c r="R50" s="2"/>
      <c r="S50" s="2"/>
      <c r="T50" s="2"/>
      <c r="U50" s="2"/>
      <c r="V50" s="2"/>
      <c r="W50" s="2"/>
      <c r="X50" s="2"/>
      <c r="Y50" s="2"/>
    </row>
    <row r="51" spans="1:25" ht="18">
      <c r="A51" s="2"/>
      <c r="B51" s="2"/>
      <c r="C51" s="2"/>
      <c r="D51" s="2"/>
      <c r="E51" s="2"/>
      <c r="F51" s="2"/>
      <c r="G51" s="2"/>
      <c r="H51" s="2"/>
      <c r="I51" s="2"/>
      <c r="J51" s="2"/>
      <c r="K51" s="2"/>
      <c r="L51" s="2"/>
      <c r="M51" s="2"/>
      <c r="N51" s="2"/>
      <c r="O51" s="2"/>
      <c r="P51" s="2"/>
      <c r="Q51" s="2"/>
      <c r="R51" s="2"/>
      <c r="S51" s="2"/>
      <c r="T51" s="2"/>
      <c r="U51" s="2"/>
      <c r="V51" s="2"/>
      <c r="W51" s="2"/>
      <c r="X51" s="2"/>
      <c r="Y51" s="2"/>
    </row>
    <row r="52" spans="1:25" ht="18">
      <c r="A52" s="2"/>
      <c r="B52" s="2"/>
      <c r="C52" s="2"/>
      <c r="D52" s="2"/>
      <c r="E52" s="2"/>
      <c r="F52" s="2"/>
      <c r="G52" s="2"/>
      <c r="H52" s="2"/>
      <c r="I52" s="2"/>
      <c r="J52" s="2"/>
      <c r="K52" s="2"/>
      <c r="L52" s="2"/>
      <c r="M52" s="2"/>
      <c r="N52" s="2"/>
      <c r="O52" s="2"/>
      <c r="P52" s="2"/>
      <c r="Q52" s="2"/>
      <c r="R52" s="2"/>
      <c r="S52" s="2"/>
      <c r="T52" s="2"/>
      <c r="U52" s="2"/>
      <c r="V52" s="2"/>
      <c r="W52" s="2"/>
      <c r="X52" s="2"/>
      <c r="Y52" s="2"/>
    </row>
    <row r="53" spans="1:25" ht="18">
      <c r="A53" s="2"/>
      <c r="B53" s="2"/>
      <c r="C53" s="2"/>
      <c r="D53" s="2"/>
      <c r="E53" s="2"/>
      <c r="F53" s="2"/>
      <c r="G53" s="2"/>
      <c r="H53" s="2"/>
      <c r="I53" s="2"/>
      <c r="J53" s="2"/>
      <c r="K53" s="2"/>
      <c r="L53" s="2"/>
      <c r="M53" s="2"/>
      <c r="N53" s="2"/>
      <c r="O53" s="2"/>
      <c r="P53" s="2"/>
      <c r="Q53" s="2"/>
      <c r="R53" s="2"/>
      <c r="S53" s="2"/>
      <c r="T53" s="2"/>
      <c r="U53" s="2"/>
      <c r="V53" s="2"/>
      <c r="W53" s="2"/>
      <c r="X53" s="2"/>
      <c r="Y53" s="2"/>
    </row>
    <row r="54" spans="1:25" ht="18">
      <c r="A54" s="2"/>
      <c r="B54" s="2"/>
      <c r="C54" s="2"/>
      <c r="D54" s="2"/>
      <c r="E54" s="2"/>
      <c r="F54" s="2"/>
      <c r="G54" s="2"/>
      <c r="H54" s="2"/>
      <c r="I54" s="2"/>
      <c r="J54" s="2"/>
      <c r="K54" s="2"/>
      <c r="L54" s="2"/>
      <c r="M54" s="2"/>
      <c r="N54" s="2"/>
      <c r="O54" s="2"/>
      <c r="P54" s="2"/>
      <c r="Q54" s="2"/>
      <c r="R54" s="2"/>
      <c r="S54" s="2"/>
      <c r="T54" s="2"/>
      <c r="U54" s="2"/>
      <c r="V54" s="2"/>
      <c r="W54" s="2"/>
      <c r="X54" s="2"/>
      <c r="Y54" s="2"/>
    </row>
    <row r="55" spans="1:25" ht="18">
      <c r="A55" s="2"/>
      <c r="B55" s="2"/>
      <c r="C55" s="2"/>
      <c r="D55" s="2"/>
      <c r="E55" s="2"/>
      <c r="F55" s="2"/>
      <c r="G55" s="2"/>
      <c r="H55" s="2"/>
      <c r="I55" s="2"/>
      <c r="J55" s="2"/>
      <c r="K55" s="2"/>
      <c r="L55" s="2"/>
      <c r="M55" s="2"/>
      <c r="N55" s="2"/>
      <c r="O55" s="2"/>
      <c r="P55" s="2"/>
      <c r="Q55" s="2"/>
      <c r="R55" s="2"/>
      <c r="S55" s="2"/>
      <c r="T55" s="2"/>
      <c r="U55" s="2"/>
      <c r="V55" s="2"/>
      <c r="W55" s="2"/>
      <c r="X55" s="2"/>
      <c r="Y55" s="2"/>
    </row>
    <row r="56" spans="1:25" ht="18">
      <c r="A56" s="2"/>
      <c r="B56" s="2"/>
      <c r="C56" s="2"/>
      <c r="D56" s="2"/>
      <c r="E56" s="2"/>
      <c r="F56" s="2"/>
      <c r="G56" s="2"/>
      <c r="H56" s="2"/>
      <c r="I56" s="2"/>
      <c r="J56" s="2"/>
      <c r="K56" s="2"/>
      <c r="L56" s="2"/>
      <c r="M56" s="2"/>
      <c r="N56" s="2"/>
      <c r="O56" s="2"/>
      <c r="P56" s="2"/>
      <c r="Q56" s="2"/>
      <c r="R56" s="2"/>
      <c r="S56" s="2"/>
      <c r="T56" s="2"/>
      <c r="U56" s="2"/>
      <c r="V56" s="2"/>
      <c r="W56" s="2"/>
      <c r="X56" s="2"/>
      <c r="Y56" s="2"/>
    </row>
    <row r="57" spans="1:25" ht="18">
      <c r="A57" s="2"/>
      <c r="B57" s="2"/>
      <c r="C57" s="2"/>
      <c r="D57" s="2"/>
      <c r="E57" s="2"/>
      <c r="F57" s="2"/>
      <c r="G57" s="2"/>
      <c r="H57" s="2"/>
      <c r="I57" s="2"/>
      <c r="J57" s="2"/>
      <c r="K57" s="2"/>
      <c r="L57" s="2"/>
      <c r="M57" s="2"/>
      <c r="N57" s="2"/>
      <c r="O57" s="2"/>
      <c r="P57" s="2"/>
      <c r="Q57" s="2"/>
      <c r="R57" s="2"/>
      <c r="S57" s="2"/>
      <c r="T57" s="2"/>
      <c r="U57" s="2"/>
      <c r="V57" s="2"/>
      <c r="W57" s="2"/>
      <c r="X57" s="2"/>
      <c r="Y57" s="2"/>
    </row>
    <row r="58" spans="1:25" ht="18">
      <c r="A58" s="2"/>
      <c r="B58" s="2"/>
      <c r="C58" s="2"/>
      <c r="D58" s="2"/>
      <c r="E58" s="2"/>
      <c r="F58" s="2"/>
      <c r="G58" s="2"/>
      <c r="H58" s="2"/>
      <c r="I58" s="2"/>
      <c r="J58" s="2"/>
      <c r="K58" s="2"/>
      <c r="L58" s="2"/>
      <c r="M58" s="2"/>
      <c r="N58" s="2"/>
      <c r="O58" s="2"/>
      <c r="P58" s="2"/>
      <c r="Q58" s="2"/>
      <c r="R58" s="2"/>
      <c r="S58" s="2"/>
      <c r="T58" s="2"/>
      <c r="U58" s="2"/>
      <c r="V58" s="2"/>
      <c r="W58" s="2"/>
      <c r="X58" s="2"/>
      <c r="Y58" s="2"/>
    </row>
    <row r="59" spans="1:25" ht="18">
      <c r="A59" s="2"/>
      <c r="B59" s="2"/>
      <c r="C59" s="2"/>
      <c r="D59" s="2"/>
      <c r="E59" s="2"/>
      <c r="F59" s="2"/>
      <c r="G59" s="2"/>
      <c r="H59" s="2"/>
      <c r="I59" s="2"/>
      <c r="J59" s="2"/>
      <c r="K59" s="2"/>
      <c r="L59" s="2"/>
      <c r="M59" s="2"/>
      <c r="N59" s="2"/>
      <c r="O59" s="2"/>
      <c r="P59" s="2"/>
      <c r="Q59" s="2"/>
      <c r="R59" s="2"/>
      <c r="S59" s="2"/>
      <c r="T59" s="2"/>
      <c r="U59" s="2"/>
      <c r="V59" s="2"/>
      <c r="W59" s="2"/>
      <c r="X59" s="2"/>
      <c r="Y59" s="2"/>
    </row>
    <row r="60" spans="1:25" ht="18">
      <c r="A60" s="2"/>
      <c r="B60" s="2"/>
      <c r="C60" s="2"/>
      <c r="D60" s="2"/>
      <c r="E60" s="2"/>
      <c r="F60" s="2"/>
      <c r="G60" s="2"/>
      <c r="H60" s="2"/>
      <c r="I60" s="2"/>
      <c r="J60" s="2"/>
      <c r="K60" s="2"/>
      <c r="L60" s="2"/>
      <c r="M60" s="2"/>
      <c r="N60" s="2"/>
      <c r="O60" s="2"/>
      <c r="P60" s="2"/>
      <c r="Q60" s="2"/>
      <c r="R60" s="2"/>
      <c r="S60" s="2"/>
      <c r="T60" s="2"/>
      <c r="U60" s="2"/>
      <c r="V60" s="2"/>
      <c r="W60" s="2"/>
      <c r="X60" s="2"/>
      <c r="Y60" s="2"/>
    </row>
    <row r="61" spans="1:25" ht="18">
      <c r="A61" s="2"/>
      <c r="B61" s="2"/>
      <c r="C61" s="2"/>
      <c r="D61" s="2"/>
      <c r="E61" s="2"/>
      <c r="F61" s="2"/>
      <c r="G61" s="2"/>
      <c r="H61" s="2"/>
      <c r="I61" s="2"/>
      <c r="J61" s="2"/>
      <c r="K61" s="2"/>
      <c r="L61" s="2"/>
      <c r="M61" s="2"/>
      <c r="N61" s="2"/>
      <c r="O61" s="2"/>
      <c r="P61" s="2"/>
      <c r="Q61" s="2"/>
      <c r="R61" s="2"/>
      <c r="S61" s="2"/>
      <c r="T61" s="2"/>
      <c r="U61" s="2"/>
      <c r="V61" s="2"/>
      <c r="W61" s="2"/>
      <c r="X61" s="2"/>
      <c r="Y61" s="2"/>
    </row>
    <row r="62" spans="1:25" ht="18">
      <c r="A62" s="2"/>
      <c r="B62" s="2"/>
      <c r="C62" s="2"/>
      <c r="D62" s="2"/>
      <c r="E62" s="2"/>
      <c r="F62" s="2"/>
      <c r="G62" s="2"/>
      <c r="H62" s="2"/>
      <c r="I62" s="2"/>
      <c r="J62" s="2"/>
      <c r="K62" s="2"/>
      <c r="L62" s="2"/>
      <c r="M62" s="2"/>
      <c r="N62" s="2"/>
      <c r="O62" s="2"/>
      <c r="P62" s="2"/>
      <c r="Q62" s="2"/>
      <c r="R62" s="2"/>
      <c r="S62" s="2"/>
      <c r="T62" s="2"/>
      <c r="U62" s="2"/>
      <c r="V62" s="2"/>
      <c r="W62" s="2"/>
      <c r="X62" s="2"/>
      <c r="Y62" s="2"/>
    </row>
    <row r="63" spans="1:25" ht="18">
      <c r="A63" s="2"/>
      <c r="B63" s="2"/>
      <c r="C63" s="2"/>
      <c r="D63" s="2"/>
      <c r="E63" s="2"/>
      <c r="F63" s="2"/>
      <c r="G63" s="2"/>
      <c r="H63" s="2"/>
      <c r="I63" s="2"/>
      <c r="J63" s="2"/>
      <c r="K63" s="2"/>
      <c r="L63" s="2"/>
      <c r="M63" s="2"/>
      <c r="N63" s="2"/>
      <c r="O63" s="2"/>
      <c r="P63" s="2"/>
      <c r="Q63" s="2"/>
      <c r="R63" s="2"/>
      <c r="S63" s="2"/>
      <c r="T63" s="2"/>
      <c r="U63" s="2"/>
      <c r="V63" s="2"/>
      <c r="W63" s="2"/>
      <c r="X63" s="2"/>
      <c r="Y63" s="2"/>
    </row>
    <row r="64" spans="1:25" ht="18">
      <c r="A64" s="2"/>
      <c r="B64" s="2"/>
      <c r="C64" s="2"/>
      <c r="D64" s="2"/>
      <c r="E64" s="2"/>
      <c r="F64" s="2"/>
      <c r="G64" s="2"/>
      <c r="H64" s="2"/>
      <c r="I64" s="2"/>
      <c r="J64" s="2"/>
      <c r="K64" s="2"/>
      <c r="L64" s="2"/>
      <c r="M64" s="2"/>
      <c r="N64" s="2"/>
      <c r="O64" s="2"/>
      <c r="P64" s="2"/>
      <c r="Q64" s="2"/>
      <c r="R64" s="2"/>
      <c r="S64" s="2"/>
      <c r="T64" s="2"/>
      <c r="U64" s="2"/>
      <c r="V64" s="2"/>
      <c r="W64" s="2"/>
      <c r="X64" s="2"/>
      <c r="Y64" s="2"/>
    </row>
    <row r="65" spans="1:25" ht="18">
      <c r="A65" s="2"/>
      <c r="B65" s="2"/>
      <c r="C65" s="2"/>
      <c r="D65" s="2"/>
      <c r="E65" s="2"/>
      <c r="F65" s="2"/>
      <c r="G65" s="2"/>
      <c r="H65" s="2"/>
      <c r="I65" s="2"/>
      <c r="J65" s="2"/>
      <c r="K65" s="2"/>
      <c r="L65" s="2"/>
      <c r="M65" s="2"/>
      <c r="N65" s="2"/>
      <c r="O65" s="2"/>
      <c r="P65" s="2"/>
      <c r="Q65" s="2"/>
      <c r="R65" s="2"/>
      <c r="S65" s="2"/>
      <c r="T65" s="2"/>
      <c r="U65" s="2"/>
      <c r="V65" s="2"/>
      <c r="W65" s="2"/>
      <c r="X65" s="2"/>
      <c r="Y65" s="2"/>
    </row>
    <row r="66" spans="1:25" ht="18">
      <c r="A66" s="2"/>
      <c r="B66" s="2"/>
      <c r="C66" s="2"/>
      <c r="D66" s="2"/>
      <c r="E66" s="2"/>
      <c r="F66" s="2"/>
      <c r="G66" s="2"/>
      <c r="H66" s="2"/>
      <c r="I66" s="2"/>
      <c r="J66" s="2"/>
      <c r="K66" s="2"/>
      <c r="L66" s="2"/>
      <c r="M66" s="2"/>
      <c r="N66" s="2"/>
      <c r="O66" s="2"/>
      <c r="P66" s="2"/>
      <c r="Q66" s="2"/>
      <c r="R66" s="2"/>
      <c r="S66" s="2"/>
      <c r="T66" s="2"/>
      <c r="U66" s="2"/>
      <c r="V66" s="2"/>
      <c r="W66" s="2"/>
      <c r="X66" s="2"/>
      <c r="Y66" s="2"/>
    </row>
    <row r="67" spans="1:25" ht="18">
      <c r="A67" s="2"/>
      <c r="B67" s="2"/>
      <c r="C67" s="2"/>
      <c r="D67" s="2"/>
      <c r="E67" s="2"/>
      <c r="F67" s="2"/>
      <c r="G67" s="2"/>
      <c r="H67" s="2"/>
      <c r="I67" s="2"/>
      <c r="J67" s="2"/>
      <c r="K67" s="2"/>
      <c r="L67" s="2"/>
      <c r="M67" s="2"/>
      <c r="N67" s="2"/>
      <c r="O67" s="2"/>
      <c r="P67" s="2"/>
      <c r="Q67" s="2"/>
      <c r="R67" s="2"/>
      <c r="S67" s="2"/>
      <c r="T67" s="2"/>
      <c r="U67" s="2"/>
      <c r="V67" s="2"/>
      <c r="W67" s="2"/>
      <c r="X67" s="2"/>
      <c r="Y67" s="2"/>
    </row>
    <row r="68" spans="1:25" ht="18">
      <c r="A68" s="2"/>
      <c r="B68" s="2"/>
      <c r="C68" s="2"/>
      <c r="D68" s="2"/>
      <c r="E68" s="2"/>
      <c r="F68" s="2"/>
      <c r="G68" s="2"/>
      <c r="H68" s="2"/>
      <c r="I68" s="2"/>
      <c r="J68" s="2"/>
      <c r="K68" s="2"/>
      <c r="L68" s="2"/>
      <c r="M68" s="2"/>
      <c r="N68" s="2"/>
      <c r="O68" s="2"/>
      <c r="P68" s="2"/>
      <c r="Q68" s="2"/>
      <c r="R68" s="2"/>
      <c r="S68" s="2"/>
      <c r="T68" s="2"/>
      <c r="U68" s="2"/>
      <c r="V68" s="2"/>
      <c r="W68" s="2"/>
      <c r="X68" s="2"/>
      <c r="Y68" s="2"/>
    </row>
    <row r="69" spans="1:25" ht="18">
      <c r="A69" s="2"/>
      <c r="B69" s="2"/>
      <c r="C69" s="2"/>
      <c r="D69" s="2"/>
      <c r="E69" s="2"/>
      <c r="F69" s="2"/>
      <c r="G69" s="2"/>
      <c r="H69" s="2"/>
      <c r="I69" s="2"/>
      <c r="J69" s="2"/>
      <c r="K69" s="2"/>
      <c r="L69" s="2"/>
      <c r="M69" s="2"/>
      <c r="N69" s="2"/>
      <c r="O69" s="2"/>
      <c r="P69" s="2"/>
      <c r="Q69" s="2"/>
      <c r="R69" s="2"/>
      <c r="S69" s="2"/>
      <c r="T69" s="2"/>
      <c r="U69" s="2"/>
      <c r="V69" s="2"/>
      <c r="W69" s="2"/>
      <c r="X69" s="2"/>
      <c r="Y69" s="2"/>
    </row>
    <row r="70" spans="1:25" ht="18">
      <c r="A70" s="2"/>
      <c r="B70" s="2"/>
      <c r="C70" s="2"/>
      <c r="D70" s="2"/>
      <c r="E70" s="2"/>
      <c r="F70" s="2"/>
      <c r="G70" s="2"/>
      <c r="H70" s="2"/>
      <c r="I70" s="2"/>
      <c r="J70" s="2"/>
      <c r="K70" s="2"/>
      <c r="L70" s="2"/>
      <c r="M70" s="2"/>
      <c r="N70" s="2"/>
      <c r="O70" s="2"/>
      <c r="P70" s="2"/>
      <c r="Q70" s="2"/>
      <c r="R70" s="2"/>
      <c r="S70" s="2"/>
      <c r="T70" s="2"/>
      <c r="U70" s="2"/>
      <c r="V70" s="2"/>
      <c r="W70" s="2"/>
      <c r="X70" s="2"/>
      <c r="Y70" s="2"/>
    </row>
    <row r="71" spans="1:25" ht="18">
      <c r="A71" s="2"/>
      <c r="B71" s="2"/>
      <c r="C71" s="2"/>
      <c r="D71" s="2"/>
      <c r="E71" s="2"/>
      <c r="F71" s="2"/>
      <c r="G71" s="2"/>
      <c r="H71" s="2"/>
      <c r="I71" s="2"/>
      <c r="J71" s="2"/>
      <c r="K71" s="2"/>
      <c r="L71" s="2"/>
      <c r="M71" s="2"/>
      <c r="N71" s="2"/>
      <c r="O71" s="2"/>
      <c r="P71" s="2"/>
      <c r="Q71" s="2"/>
      <c r="R71" s="2"/>
      <c r="S71" s="2"/>
      <c r="T71" s="2"/>
      <c r="U71" s="2"/>
      <c r="V71" s="2"/>
      <c r="W71" s="2"/>
      <c r="X71" s="2"/>
      <c r="Y71" s="2"/>
    </row>
    <row r="72" spans="1:25" ht="18">
      <c r="A72" s="2"/>
      <c r="B72" s="2"/>
      <c r="C72" s="2"/>
      <c r="D72" s="2"/>
      <c r="E72" s="2"/>
      <c r="F72" s="2"/>
      <c r="G72" s="2"/>
      <c r="H72" s="2"/>
      <c r="I72" s="2"/>
      <c r="J72" s="2"/>
      <c r="K72" s="2"/>
      <c r="L72" s="2"/>
      <c r="M72" s="2"/>
      <c r="N72" s="2"/>
      <c r="O72" s="2"/>
      <c r="P72" s="2"/>
      <c r="Q72" s="2"/>
      <c r="R72" s="2"/>
      <c r="S72" s="2"/>
      <c r="T72" s="2"/>
      <c r="U72" s="2"/>
      <c r="V72" s="2"/>
      <c r="W72" s="2"/>
      <c r="X72" s="2"/>
      <c r="Y72" s="2"/>
    </row>
    <row r="73" spans="1:25" ht="18">
      <c r="A73" s="2"/>
      <c r="B73" s="2"/>
      <c r="C73" s="2"/>
      <c r="D73" s="2"/>
      <c r="E73" s="2"/>
      <c r="F73" s="2"/>
      <c r="G73" s="2"/>
      <c r="H73" s="2"/>
      <c r="I73" s="2"/>
      <c r="J73" s="2"/>
      <c r="K73" s="2"/>
      <c r="L73" s="2"/>
      <c r="M73" s="2"/>
      <c r="N73" s="2"/>
      <c r="O73" s="2"/>
      <c r="P73" s="2"/>
      <c r="Q73" s="2"/>
      <c r="R73" s="2"/>
      <c r="S73" s="2"/>
      <c r="T73" s="2"/>
      <c r="U73" s="2"/>
      <c r="V73" s="2"/>
      <c r="W73" s="2"/>
      <c r="X73" s="2"/>
      <c r="Y73" s="2"/>
    </row>
    <row r="74" spans="1:25" ht="18">
      <c r="A74" s="2"/>
      <c r="B74" s="2"/>
      <c r="C74" s="2"/>
      <c r="D74" s="2"/>
      <c r="E74" s="2"/>
      <c r="F74" s="2"/>
      <c r="G74" s="2"/>
      <c r="H74" s="2"/>
      <c r="I74" s="2"/>
      <c r="J74" s="2"/>
      <c r="K74" s="2"/>
      <c r="L74" s="2"/>
      <c r="M74" s="2"/>
      <c r="N74" s="2"/>
      <c r="O74" s="2"/>
      <c r="P74" s="2"/>
      <c r="Q74" s="2"/>
      <c r="R74" s="2"/>
      <c r="S74" s="2"/>
      <c r="T74" s="2"/>
      <c r="U74" s="2"/>
      <c r="V74" s="2"/>
      <c r="W74" s="2"/>
      <c r="X74" s="2"/>
      <c r="Y74" s="2"/>
    </row>
    <row r="75" spans="1:25" ht="18">
      <c r="A75" s="2"/>
      <c r="B75" s="2"/>
      <c r="C75" s="2"/>
      <c r="D75" s="2"/>
      <c r="E75" s="2"/>
      <c r="F75" s="2"/>
      <c r="G75" s="2"/>
      <c r="H75" s="2"/>
      <c r="I75" s="2"/>
      <c r="J75" s="2"/>
      <c r="K75" s="2"/>
      <c r="L75" s="2"/>
      <c r="M75" s="2"/>
      <c r="N75" s="2"/>
      <c r="O75" s="2"/>
      <c r="P75" s="2"/>
      <c r="Q75" s="2"/>
      <c r="R75" s="2"/>
      <c r="S75" s="2"/>
      <c r="T75" s="2"/>
      <c r="U75" s="2"/>
      <c r="V75" s="2"/>
      <c r="W75" s="2"/>
      <c r="X75" s="2"/>
      <c r="Y75" s="2"/>
    </row>
    <row r="76" spans="1:25" ht="18">
      <c r="A76" s="2"/>
      <c r="B76" s="2"/>
      <c r="C76" s="2"/>
      <c r="D76" s="2"/>
      <c r="E76" s="2"/>
      <c r="F76" s="2"/>
      <c r="G76" s="2"/>
      <c r="H76" s="2"/>
      <c r="I76" s="2"/>
      <c r="J76" s="2"/>
      <c r="K76" s="2"/>
      <c r="L76" s="2"/>
      <c r="M76" s="2"/>
      <c r="N76" s="2"/>
      <c r="O76" s="2"/>
      <c r="P76" s="2"/>
      <c r="Q76" s="2"/>
      <c r="R76" s="2"/>
      <c r="S76" s="2"/>
      <c r="T76" s="2"/>
      <c r="U76" s="2"/>
      <c r="V76" s="2"/>
      <c r="W76" s="2"/>
      <c r="X76" s="2"/>
      <c r="Y76" s="2"/>
    </row>
    <row r="77" spans="1:25" ht="18">
      <c r="A77" s="2"/>
      <c r="B77" s="2"/>
      <c r="C77" s="2"/>
      <c r="D77" s="2"/>
      <c r="E77" s="2"/>
      <c r="F77" s="2"/>
      <c r="G77" s="2"/>
      <c r="H77" s="2"/>
      <c r="I77" s="2"/>
      <c r="J77" s="2"/>
      <c r="K77" s="2"/>
      <c r="L77" s="2"/>
      <c r="M77" s="2"/>
      <c r="N77" s="2"/>
      <c r="O77" s="2"/>
      <c r="P77" s="2"/>
      <c r="Q77" s="2"/>
      <c r="R77" s="2"/>
      <c r="S77" s="2"/>
      <c r="T77" s="2"/>
      <c r="U77" s="2"/>
      <c r="V77" s="2"/>
      <c r="W77" s="2"/>
      <c r="X77" s="2"/>
      <c r="Y77" s="2"/>
    </row>
    <row r="78" spans="1:25" ht="18">
      <c r="A78" s="2"/>
      <c r="B78" s="2"/>
      <c r="C78" s="2"/>
      <c r="D78" s="2"/>
      <c r="E78" s="2"/>
      <c r="F78" s="2"/>
      <c r="G78" s="2"/>
      <c r="H78" s="2"/>
      <c r="I78" s="2"/>
      <c r="J78" s="2"/>
      <c r="K78" s="2"/>
      <c r="L78" s="2"/>
      <c r="M78" s="2"/>
      <c r="N78" s="2"/>
      <c r="O78" s="2"/>
      <c r="P78" s="2"/>
      <c r="Q78" s="2"/>
      <c r="R78" s="2"/>
      <c r="S78" s="2"/>
      <c r="T78" s="2"/>
      <c r="U78" s="2"/>
      <c r="V78" s="2"/>
      <c r="W78" s="2"/>
      <c r="X78" s="2"/>
      <c r="Y78" s="2"/>
    </row>
    <row r="79" spans="1:25" ht="18">
      <c r="A79" s="2"/>
      <c r="B79" s="2"/>
      <c r="C79" s="2"/>
      <c r="D79" s="2"/>
      <c r="E79" s="2"/>
      <c r="F79" s="2"/>
      <c r="G79" s="2"/>
      <c r="H79" s="2"/>
      <c r="I79" s="2"/>
      <c r="J79" s="2"/>
      <c r="K79" s="2"/>
      <c r="L79" s="2"/>
      <c r="M79" s="2"/>
      <c r="N79" s="2"/>
      <c r="O79" s="2"/>
      <c r="P79" s="2"/>
      <c r="Q79" s="2"/>
      <c r="R79" s="2"/>
      <c r="S79" s="2"/>
      <c r="T79" s="2"/>
      <c r="U79" s="2"/>
      <c r="V79" s="2"/>
      <c r="W79" s="2"/>
      <c r="X79" s="2"/>
      <c r="Y79" s="2"/>
    </row>
    <row r="80" spans="1:25" ht="18">
      <c r="A80" s="2"/>
      <c r="B80" s="2"/>
      <c r="C80" s="2"/>
      <c r="D80" s="2"/>
      <c r="E80" s="2"/>
      <c r="F80" s="2"/>
      <c r="G80" s="2"/>
      <c r="H80" s="2"/>
      <c r="I80" s="2"/>
      <c r="J80" s="2"/>
      <c r="K80" s="2"/>
      <c r="L80" s="2"/>
      <c r="M80" s="2"/>
      <c r="N80" s="2"/>
      <c r="O80" s="2"/>
      <c r="P80" s="2"/>
      <c r="Q80" s="2"/>
      <c r="R80" s="2"/>
      <c r="S80" s="2"/>
      <c r="T80" s="2"/>
      <c r="U80" s="2"/>
      <c r="V80" s="2"/>
      <c r="W80" s="2"/>
      <c r="X80" s="2"/>
      <c r="Y80" s="2"/>
    </row>
    <row r="81" spans="1:25" ht="18">
      <c r="A81" s="2"/>
      <c r="B81" s="2"/>
      <c r="C81" s="2"/>
      <c r="D81" s="2"/>
      <c r="E81" s="2"/>
      <c r="F81" s="2"/>
      <c r="G81" s="2"/>
      <c r="H81" s="2"/>
      <c r="I81" s="2"/>
      <c r="J81" s="2"/>
      <c r="K81" s="2"/>
      <c r="L81" s="2"/>
      <c r="M81" s="2"/>
      <c r="N81" s="2"/>
      <c r="O81" s="2"/>
      <c r="P81" s="2"/>
      <c r="Q81" s="2"/>
      <c r="R81" s="2"/>
      <c r="S81" s="2"/>
      <c r="T81" s="2"/>
      <c r="U81" s="2"/>
      <c r="V81" s="2"/>
      <c r="W81" s="2"/>
      <c r="X81" s="2"/>
      <c r="Y81" s="2"/>
    </row>
    <row r="82" spans="1:25" ht="18">
      <c r="A82" s="2"/>
      <c r="B82" s="2"/>
      <c r="C82" s="2"/>
      <c r="D82" s="2"/>
      <c r="E82" s="2"/>
      <c r="F82" s="2"/>
      <c r="G82" s="2"/>
      <c r="H82" s="2"/>
      <c r="I82" s="2"/>
      <c r="J82" s="2"/>
      <c r="K82" s="2"/>
      <c r="L82" s="2"/>
      <c r="M82" s="2"/>
      <c r="N82" s="2"/>
      <c r="O82" s="2"/>
      <c r="P82" s="2"/>
      <c r="Q82" s="2"/>
      <c r="R82" s="2"/>
      <c r="S82" s="2"/>
      <c r="T82" s="2"/>
      <c r="U82" s="2"/>
      <c r="V82" s="2"/>
      <c r="W82" s="2"/>
      <c r="X82" s="2"/>
      <c r="Y82" s="2"/>
    </row>
    <row r="83" spans="1:25" ht="18">
      <c r="A83" s="2"/>
      <c r="B83" s="2"/>
      <c r="C83" s="2"/>
      <c r="D83" s="2"/>
      <c r="E83" s="2"/>
      <c r="F83" s="2"/>
      <c r="G83" s="2"/>
      <c r="H83" s="2"/>
      <c r="I83" s="2"/>
      <c r="J83" s="2"/>
      <c r="K83" s="2"/>
      <c r="L83" s="2"/>
      <c r="M83" s="2"/>
      <c r="N83" s="2"/>
      <c r="O83" s="2"/>
      <c r="P83" s="2"/>
      <c r="Q83" s="2"/>
      <c r="R83" s="2"/>
      <c r="S83" s="2"/>
      <c r="T83" s="2"/>
      <c r="U83" s="2"/>
      <c r="V83" s="2"/>
      <c r="W83" s="2"/>
      <c r="X83" s="2"/>
      <c r="Y83" s="2"/>
    </row>
    <row r="84" spans="1:25" ht="18">
      <c r="A84" s="2"/>
      <c r="B84" s="2"/>
      <c r="C84" s="2"/>
      <c r="D84" s="2"/>
      <c r="E84" s="2"/>
      <c r="F84" s="2"/>
      <c r="G84" s="2"/>
      <c r="H84" s="2"/>
      <c r="I84" s="2"/>
      <c r="J84" s="2"/>
      <c r="K84" s="2"/>
      <c r="L84" s="2"/>
      <c r="M84" s="2"/>
      <c r="N84" s="2"/>
      <c r="O84" s="2"/>
      <c r="P84" s="2"/>
      <c r="Q84" s="2"/>
      <c r="R84" s="2"/>
      <c r="S84" s="2"/>
      <c r="T84" s="2"/>
      <c r="U84" s="2"/>
      <c r="V84" s="2"/>
      <c r="W84" s="2"/>
      <c r="X84" s="2"/>
      <c r="Y84" s="2"/>
    </row>
    <row r="85" spans="1:25" ht="18">
      <c r="A85" s="2"/>
      <c r="B85" s="2"/>
      <c r="C85" s="2"/>
      <c r="D85" s="2"/>
      <c r="E85" s="2"/>
      <c r="F85" s="2"/>
      <c r="G85" s="2"/>
      <c r="H85" s="2"/>
      <c r="I85" s="2"/>
      <c r="J85" s="2"/>
      <c r="K85" s="2"/>
      <c r="L85" s="2"/>
      <c r="M85" s="2"/>
      <c r="N85" s="2"/>
      <c r="O85" s="2"/>
      <c r="P85" s="2"/>
      <c r="Q85" s="2"/>
      <c r="R85" s="2"/>
      <c r="S85" s="2"/>
      <c r="T85" s="2"/>
      <c r="U85" s="2"/>
      <c r="V85" s="2"/>
      <c r="W85" s="2"/>
      <c r="X85" s="2"/>
      <c r="Y85" s="2"/>
    </row>
    <row r="86" spans="1:25" ht="18">
      <c r="A86" s="2"/>
      <c r="B86" s="2"/>
      <c r="C86" s="2"/>
      <c r="D86" s="2"/>
      <c r="E86" s="2"/>
      <c r="F86" s="2"/>
      <c r="G86" s="2"/>
      <c r="H86" s="2"/>
      <c r="I86" s="2"/>
      <c r="J86" s="2"/>
      <c r="K86" s="2"/>
      <c r="L86" s="2"/>
      <c r="M86" s="2"/>
      <c r="N86" s="2"/>
      <c r="O86" s="2"/>
      <c r="P86" s="2"/>
      <c r="Q86" s="2"/>
      <c r="R86" s="2"/>
      <c r="S86" s="2"/>
      <c r="T86" s="2"/>
      <c r="U86" s="2"/>
      <c r="V86" s="2"/>
      <c r="W86" s="2"/>
      <c r="X86" s="2"/>
      <c r="Y86" s="2"/>
    </row>
    <row r="87" spans="1:25" ht="18">
      <c r="A87" s="2"/>
      <c r="B87" s="2"/>
      <c r="C87" s="2"/>
      <c r="D87" s="2"/>
      <c r="E87" s="2"/>
      <c r="F87" s="2"/>
      <c r="G87" s="2"/>
      <c r="H87" s="2"/>
      <c r="I87" s="2"/>
      <c r="J87" s="2"/>
      <c r="K87" s="2"/>
      <c r="L87" s="2"/>
      <c r="M87" s="2"/>
      <c r="N87" s="2"/>
      <c r="O87" s="2"/>
      <c r="P87" s="2"/>
      <c r="Q87" s="2"/>
      <c r="R87" s="2"/>
      <c r="S87" s="2"/>
      <c r="T87" s="2"/>
      <c r="U87" s="2"/>
      <c r="V87" s="2"/>
      <c r="W87" s="2"/>
      <c r="X87" s="2"/>
      <c r="Y87" s="2"/>
    </row>
    <row r="88" spans="1:25" ht="18">
      <c r="A88" s="2"/>
      <c r="B88" s="2"/>
      <c r="C88" s="2"/>
      <c r="D88" s="2"/>
      <c r="E88" s="2"/>
      <c r="F88" s="2"/>
      <c r="G88" s="2"/>
      <c r="H88" s="2"/>
      <c r="I88" s="2"/>
      <c r="J88" s="2"/>
      <c r="K88" s="2"/>
      <c r="L88" s="2"/>
      <c r="M88" s="2"/>
      <c r="N88" s="2"/>
      <c r="O88" s="2"/>
      <c r="P88" s="2"/>
      <c r="Q88" s="2"/>
      <c r="R88" s="2"/>
      <c r="S88" s="2"/>
      <c r="T88" s="2"/>
      <c r="U88" s="2"/>
      <c r="V88" s="2"/>
      <c r="W88" s="2"/>
      <c r="X88" s="2"/>
      <c r="Y88" s="2"/>
    </row>
    <row r="89" spans="1:25" ht="18">
      <c r="A89" s="2"/>
      <c r="B89" s="2"/>
      <c r="C89" s="2"/>
      <c r="D89" s="2"/>
      <c r="E89" s="2"/>
      <c r="F89" s="2"/>
      <c r="G89" s="2"/>
      <c r="H89" s="2"/>
      <c r="I89" s="2"/>
      <c r="J89" s="2"/>
      <c r="K89" s="2"/>
      <c r="L89" s="2"/>
      <c r="M89" s="2"/>
      <c r="N89" s="2"/>
      <c r="O89" s="2"/>
      <c r="P89" s="2"/>
      <c r="Q89" s="2"/>
      <c r="R89" s="2"/>
      <c r="S89" s="2"/>
      <c r="T89" s="2"/>
      <c r="U89" s="2"/>
      <c r="V89" s="2"/>
      <c r="W89" s="2"/>
      <c r="X89" s="2"/>
      <c r="Y89" s="2"/>
    </row>
    <row r="90" spans="1:25" ht="18">
      <c r="A90" s="2"/>
      <c r="B90" s="2"/>
      <c r="C90" s="2"/>
      <c r="D90" s="2"/>
      <c r="E90" s="2"/>
      <c r="F90" s="2"/>
      <c r="G90" s="2"/>
      <c r="H90" s="2"/>
      <c r="I90" s="2"/>
      <c r="J90" s="2"/>
      <c r="K90" s="2"/>
      <c r="L90" s="2"/>
      <c r="M90" s="2"/>
      <c r="N90" s="2"/>
      <c r="O90" s="2"/>
      <c r="P90" s="2"/>
      <c r="Q90" s="2"/>
      <c r="R90" s="2"/>
      <c r="S90" s="2"/>
      <c r="T90" s="2"/>
      <c r="U90" s="2"/>
      <c r="V90" s="2"/>
      <c r="W90" s="2"/>
      <c r="X90" s="2"/>
      <c r="Y90" s="2"/>
    </row>
    <row r="91" spans="1:25" ht="18">
      <c r="A91" s="2"/>
      <c r="B91" s="2"/>
      <c r="C91" s="2"/>
      <c r="D91" s="2"/>
      <c r="E91" s="2"/>
      <c r="F91" s="2"/>
      <c r="G91" s="2"/>
      <c r="H91" s="2"/>
      <c r="I91" s="2"/>
      <c r="J91" s="2"/>
      <c r="K91" s="2"/>
      <c r="L91" s="2"/>
      <c r="M91" s="2"/>
      <c r="N91" s="2"/>
      <c r="O91" s="2"/>
      <c r="P91" s="2"/>
      <c r="Q91" s="2"/>
      <c r="R91" s="2"/>
      <c r="S91" s="2"/>
      <c r="T91" s="2"/>
      <c r="U91" s="2"/>
      <c r="V91" s="2"/>
      <c r="W91" s="2"/>
      <c r="X91" s="2"/>
      <c r="Y91" s="2"/>
    </row>
    <row r="92" spans="1:25" ht="18">
      <c r="A92" s="2"/>
      <c r="B92" s="2"/>
      <c r="C92" s="2"/>
      <c r="D92" s="2"/>
      <c r="E92" s="2"/>
      <c r="F92" s="2"/>
      <c r="G92" s="2"/>
      <c r="H92" s="2"/>
      <c r="I92" s="2"/>
      <c r="J92" s="2"/>
      <c r="K92" s="2"/>
      <c r="L92" s="2"/>
      <c r="M92" s="2"/>
      <c r="N92" s="2"/>
      <c r="O92" s="2"/>
      <c r="P92" s="2"/>
      <c r="Q92" s="2"/>
      <c r="R92" s="2"/>
      <c r="S92" s="2"/>
      <c r="T92" s="2"/>
      <c r="U92" s="2"/>
      <c r="V92" s="2"/>
      <c r="W92" s="2"/>
      <c r="X92" s="2"/>
      <c r="Y92" s="2"/>
    </row>
    <row r="93" spans="1:25" ht="18">
      <c r="A93" s="2"/>
      <c r="B93" s="2"/>
      <c r="C93" s="2"/>
      <c r="D93" s="2"/>
      <c r="E93" s="2"/>
      <c r="F93" s="2"/>
      <c r="G93" s="2"/>
      <c r="H93" s="2"/>
      <c r="I93" s="2"/>
      <c r="J93" s="2"/>
      <c r="K93" s="2"/>
      <c r="L93" s="2"/>
      <c r="M93" s="2"/>
      <c r="N93" s="2"/>
      <c r="O93" s="2"/>
      <c r="P93" s="2"/>
      <c r="Q93" s="2"/>
      <c r="R93" s="2"/>
      <c r="S93" s="2"/>
      <c r="T93" s="2"/>
      <c r="U93" s="2"/>
      <c r="V93" s="2"/>
      <c r="W93" s="2"/>
      <c r="X93" s="2"/>
      <c r="Y93" s="2"/>
    </row>
    <row r="94" spans="1:25" ht="18">
      <c r="A94" s="2"/>
      <c r="B94" s="2"/>
      <c r="C94" s="2"/>
      <c r="D94" s="2"/>
      <c r="E94" s="2"/>
      <c r="F94" s="2"/>
      <c r="G94" s="2"/>
      <c r="H94" s="2"/>
      <c r="I94" s="2"/>
      <c r="J94" s="2"/>
      <c r="K94" s="2"/>
      <c r="L94" s="2"/>
      <c r="M94" s="2"/>
      <c r="N94" s="2"/>
      <c r="O94" s="2"/>
      <c r="P94" s="2"/>
      <c r="Q94" s="2"/>
      <c r="R94" s="2"/>
      <c r="S94" s="2"/>
      <c r="T94" s="2"/>
      <c r="U94" s="2"/>
      <c r="V94" s="2"/>
      <c r="W94" s="2"/>
      <c r="X94" s="2"/>
      <c r="Y94" s="2"/>
    </row>
    <row r="95" spans="1:25" ht="18">
      <c r="A95" s="2"/>
      <c r="B95" s="2"/>
      <c r="C95" s="2"/>
      <c r="D95" s="2"/>
      <c r="E95" s="2"/>
      <c r="F95" s="2"/>
      <c r="G95" s="2"/>
      <c r="H95" s="2"/>
      <c r="I95" s="2"/>
      <c r="J95" s="2"/>
      <c r="K95" s="2"/>
      <c r="L95" s="2"/>
      <c r="M95" s="2"/>
      <c r="N95" s="2"/>
      <c r="O95" s="2"/>
      <c r="P95" s="2"/>
      <c r="Q95" s="2"/>
      <c r="R95" s="2"/>
      <c r="S95" s="2"/>
      <c r="T95" s="2"/>
      <c r="U95" s="2"/>
      <c r="V95" s="2"/>
      <c r="W95" s="2"/>
      <c r="X95" s="2"/>
      <c r="Y95" s="2"/>
    </row>
    <row r="96" spans="1:25" ht="18">
      <c r="A96" s="2"/>
      <c r="B96" s="2"/>
      <c r="C96" s="2"/>
      <c r="D96" s="2"/>
      <c r="E96" s="2"/>
      <c r="F96" s="2"/>
      <c r="G96" s="2"/>
      <c r="H96" s="2"/>
      <c r="I96" s="2"/>
      <c r="J96" s="2"/>
      <c r="K96" s="2"/>
      <c r="L96" s="2"/>
      <c r="M96" s="2"/>
      <c r="N96" s="2"/>
      <c r="O96" s="2"/>
      <c r="P96" s="2"/>
      <c r="Q96" s="2"/>
      <c r="R96" s="2"/>
      <c r="S96" s="2"/>
      <c r="T96" s="2"/>
      <c r="U96" s="2"/>
      <c r="V96" s="2"/>
      <c r="W96" s="2"/>
      <c r="X96" s="2"/>
      <c r="Y96" s="2"/>
    </row>
    <row r="97" spans="1:25" ht="18">
      <c r="A97" s="2"/>
      <c r="B97" s="2"/>
      <c r="C97" s="2"/>
      <c r="D97" s="2"/>
      <c r="E97" s="2"/>
      <c r="F97" s="2"/>
      <c r="G97" s="2"/>
      <c r="H97" s="2"/>
      <c r="I97" s="2"/>
      <c r="J97" s="2"/>
      <c r="K97" s="2"/>
      <c r="L97" s="2"/>
      <c r="M97" s="2"/>
      <c r="N97" s="2"/>
      <c r="O97" s="2"/>
      <c r="P97" s="2"/>
      <c r="Q97" s="2"/>
      <c r="R97" s="2"/>
      <c r="S97" s="2"/>
      <c r="T97" s="2"/>
      <c r="U97" s="2"/>
      <c r="V97" s="2"/>
      <c r="W97" s="2"/>
      <c r="X97" s="2"/>
      <c r="Y97" s="2"/>
    </row>
    <row r="98" spans="1:25" ht="18">
      <c r="A98" s="2"/>
      <c r="B98" s="2"/>
      <c r="C98" s="2"/>
      <c r="D98" s="2"/>
      <c r="E98" s="2"/>
      <c r="F98" s="2"/>
      <c r="G98" s="2"/>
      <c r="H98" s="2"/>
      <c r="I98" s="2"/>
      <c r="J98" s="2"/>
      <c r="K98" s="2"/>
      <c r="L98" s="2"/>
      <c r="M98" s="2"/>
      <c r="N98" s="2"/>
      <c r="O98" s="2"/>
      <c r="P98" s="2"/>
      <c r="Q98" s="2"/>
      <c r="R98" s="2"/>
      <c r="S98" s="2"/>
      <c r="T98" s="2"/>
      <c r="U98" s="2"/>
      <c r="V98" s="2"/>
      <c r="W98" s="2"/>
      <c r="X98" s="2"/>
      <c r="Y98" s="2"/>
    </row>
    <row r="99" spans="1:25" ht="18">
      <c r="A99" s="2"/>
      <c r="B99" s="2"/>
      <c r="C99" s="2"/>
      <c r="D99" s="2"/>
      <c r="E99" s="2"/>
      <c r="F99" s="2"/>
      <c r="G99" s="2"/>
      <c r="H99" s="2"/>
      <c r="I99" s="2"/>
      <c r="J99" s="2"/>
      <c r="K99" s="2"/>
      <c r="L99" s="2"/>
      <c r="M99" s="2"/>
      <c r="N99" s="2"/>
      <c r="O99" s="2"/>
      <c r="P99" s="2"/>
      <c r="Q99" s="2"/>
      <c r="R99" s="2"/>
      <c r="S99" s="2"/>
      <c r="T99" s="2"/>
      <c r="U99" s="2"/>
      <c r="V99" s="2"/>
      <c r="W99" s="2"/>
      <c r="X99" s="2"/>
      <c r="Y99" s="2"/>
    </row>
    <row r="100" spans="1:25" ht="18">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8">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8">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8">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8">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8">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8">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8">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8">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8">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8">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8">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8">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8">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8">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8">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8">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8">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8">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8">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8">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8">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8">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8">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8">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8">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8">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8">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8">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8">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8">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8">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8">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8">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8">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8">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8">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8">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8">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8">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8">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8">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8">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8">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8">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8">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8">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8">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8">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8">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8">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8">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8">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8">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8">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8">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8">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8">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8">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8">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8">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8">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8">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8">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8">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8">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8">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8">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8">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8">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8">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8">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8">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8">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8">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8">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8">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8">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8">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8">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8">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8">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8">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8">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8">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8">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8">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8">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8">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8">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8">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8">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8">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8">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8">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8">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8">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8">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8">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8">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8">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8">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8">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8">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8">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8">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8">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8">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8">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8">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8">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8">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8">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8">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8">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8">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8">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8">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8">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8">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8">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8">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8">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8">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8">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8">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8">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8">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8">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8">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8">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8">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8">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8">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8">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8">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8">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8">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8">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8">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8">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8">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8">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8">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8">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8">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8">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8">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8">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8">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8">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8">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8">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8">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8">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8">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8">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8">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8">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8">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8">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8">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8">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8">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8">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8">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8">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8">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8">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8">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8">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8">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8">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8">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8">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8">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8">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8">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8">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8">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8">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8">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8">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8">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8">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8">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8">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8">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8">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8">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8">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8">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8">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8">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8">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8">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8">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8">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8">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8">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8">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8">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8">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8">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8">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8">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8">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8">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8">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8">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8">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8">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8">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8">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8">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8">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8">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8">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8">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8">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8">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8">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8">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8">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8">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8">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8">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8">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8">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8">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8">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8">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8">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8">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8">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8">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8">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8">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8">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8">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8">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8">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8">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8">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8">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8">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8">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8">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8">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8">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8">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8">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8">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8">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8">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8">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8">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8">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8">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8">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8">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8">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8">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8">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8">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8">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8">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8">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8">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8">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8">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8">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8">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8">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8">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8">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8">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8">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8">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8">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8">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8">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8">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8">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8">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8">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8">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8">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8">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8">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8">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8">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8">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8">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8">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8">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8">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8">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8">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8">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8">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8">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8">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8">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8">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8">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8">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8">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8">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8">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8">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8">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8">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8">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8">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8">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8">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8">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8">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8">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8">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8">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8">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8">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8">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8">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8">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8">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8">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8">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8">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8">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8">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8">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8">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8">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8">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8">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8">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8">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8">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8">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8">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8">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8">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8">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8">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8">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8">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8">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8">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8">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8">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8">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8">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8">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8">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8">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8">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8">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8">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8">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8">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8">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8">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8">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8">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8">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8">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8">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8">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8">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8">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8">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8">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8">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8">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8">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8">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8">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8">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8">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8">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8">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8">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8">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8">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8">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8">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8">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8">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8">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8">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8">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8">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8">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8">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8">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8">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8">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8">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8">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8">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8">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8">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8">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8">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8">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8">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8">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8">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8">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8">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8">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8">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8">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8">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8">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8">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8">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8">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8">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8">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8">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8">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8">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8">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8">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8">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8">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8">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8">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8">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8">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8">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8">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8">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8">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8">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8">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8">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8">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8">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8">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8">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8">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8">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8">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8">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8">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8">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8">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8">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8">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8">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8">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8">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8">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8">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8">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8">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8">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8">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8">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8">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8">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8">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8">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8">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8">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8">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8">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8">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8">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8">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8">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8">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8">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8">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8">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8">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8">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8">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8">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8">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8">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8">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8">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8">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8">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8">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8">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8">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8">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8">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8">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8">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8">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8">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8">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8">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8">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8">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8">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8">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8">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8">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8">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8">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8">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8">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8">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8">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8">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8">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8">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8">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8">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8">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8">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8">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8">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8">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8">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8">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8">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8">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8">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8">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8">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8">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8">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8">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8">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8">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8">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8">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8">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8">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8">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8">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8">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8">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8">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8">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8">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8">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8">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8">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8">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8">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8">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8">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8">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8">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8">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8">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8">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8">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8">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8">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8">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8">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8">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8">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8">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8">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8">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8">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8">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8">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8">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8">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8">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8">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8">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8">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8">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8">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8">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8">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8">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8">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8">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8">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8">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8">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8">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8">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8">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8">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8">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8">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8">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8">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8">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8">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8">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8">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8">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8">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8">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8">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8">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8">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8">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8">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8">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8">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8">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8">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8">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8">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8">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8">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8">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8">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8">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8">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8">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8">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8">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8">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8">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8">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8">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8">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8">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8">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8">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8">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8">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8">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8">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8">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8">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8">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8">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8">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8">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8">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8">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8">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8">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8">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8">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8">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8">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8">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8">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8">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8">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8">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8">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8">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8">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8">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8">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8">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8">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8">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8">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8">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8">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8">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8">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8">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8">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8">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8">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8">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8">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8">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8">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8">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8">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8">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8">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8">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8">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8">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8">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8">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8">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8">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8">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8">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8">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8">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8">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8">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8">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8">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8">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8">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8">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8">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8">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8">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8">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8">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8">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8">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8">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8">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8">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8">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8">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8">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8">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8">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8">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8">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8">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8">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8">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8">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8">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8">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8">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8">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8">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8">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8">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8">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8">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8">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8">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8">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8">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8">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8">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8">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8">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8">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8">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8">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8">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8">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8">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8">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8">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8">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8">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8">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8">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8">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8">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8">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8">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8">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8">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8">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8">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8">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8">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8">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8">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8">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8">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8">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8">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8">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8">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8">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8">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8">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8">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8">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8">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8">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8">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8">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8">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8">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8">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8">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8">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8">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8">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8">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8">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8">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8">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8">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8">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8">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8">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8">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8">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8">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8">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8">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8">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8">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8">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8">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8">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8">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8">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8">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8">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8">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8">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8">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8">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8">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8">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8">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8">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8">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8">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8">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8">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8">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8">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8">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8">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8">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8">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8">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8">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8">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8">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8">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8">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8">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8">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8">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8">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8">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8">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8">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8">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8">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8">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8">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8">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8">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8">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8">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8">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8">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8">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8">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8">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8">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8">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8">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8">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8">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8">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8">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8">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8">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8">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8">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8">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8">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8">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8">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8">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8">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8">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8">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8">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8">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8">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8">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8">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8">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8">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8">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8">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8">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8">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8">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8">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8">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8">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8">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8">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8">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8">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8">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8">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8">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8">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8">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sheetData>
  <mergeCells count="2">
    <mergeCell ref="A23:C23"/>
    <mergeCell ref="E23:G23"/>
  </mergeCells>
  <hyperlinks>
    <hyperlink ref="A1" location="Index!A1" display="Index!A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6D7A8"/>
  </sheetPr>
  <dimension ref="A1:T1018"/>
  <sheetViews>
    <sheetView zoomScale="70" workbookViewId="0"/>
  </sheetViews>
  <sheetFormatPr defaultColWidth="14.33203125" defaultRowHeight="14.25"/>
  <cols>
    <col min="1" max="1" width="26" bestFit="1" customWidth="1"/>
    <col min="2" max="6" width="16.6640625" bestFit="1" customWidth="1"/>
    <col min="7" max="7" width="14.6640625" bestFit="1" customWidth="1"/>
    <col min="8" max="8" width="16.6640625" bestFit="1" customWidth="1"/>
    <col min="9" max="9" width="30" customWidth="1"/>
    <col min="10" max="10" width="30" bestFit="1" customWidth="1"/>
    <col min="11" max="13" width="11" customWidth="1"/>
    <col min="14" max="15" width="9" bestFit="1" customWidth="1"/>
  </cols>
  <sheetData>
    <row r="1" spans="1:20" ht="16.899999999999999">
      <c r="A1" s="1210" t="s">
        <v>0</v>
      </c>
      <c r="B1" s="111"/>
      <c r="C1" s="111"/>
      <c r="D1" s="111"/>
      <c r="E1" s="111"/>
      <c r="F1" s="111"/>
      <c r="G1" s="111"/>
      <c r="H1" s="111"/>
      <c r="I1" s="111"/>
      <c r="J1" s="80"/>
      <c r="K1" s="80"/>
      <c r="L1" s="80"/>
      <c r="M1" s="80"/>
      <c r="N1" s="80"/>
      <c r="O1" s="80"/>
      <c r="P1" s="80"/>
      <c r="Q1" s="80"/>
      <c r="R1" s="80"/>
      <c r="S1" s="80"/>
      <c r="T1" s="80"/>
    </row>
    <row r="2" spans="1:20" s="1189" customFormat="1" ht="16.149999999999999" thickBot="1">
      <c r="A2" s="1196" t="s">
        <v>936</v>
      </c>
      <c r="B2" s="1197"/>
      <c r="C2" s="1197"/>
      <c r="D2" s="1197"/>
      <c r="E2" s="1197"/>
      <c r="F2" s="1197"/>
      <c r="G2" s="1197"/>
      <c r="H2" s="1197"/>
      <c r="I2"/>
      <c r="J2"/>
      <c r="K2"/>
      <c r="L2" s="80"/>
      <c r="M2" s="80"/>
      <c r="N2" s="80"/>
      <c r="O2" s="80"/>
      <c r="P2" s="80"/>
      <c r="Q2" s="80"/>
      <c r="R2" s="80"/>
      <c r="S2" s="80"/>
      <c r="T2" s="80"/>
    </row>
    <row r="3" spans="1:20" ht="18">
      <c r="A3" s="1212" t="s">
        <v>17</v>
      </c>
      <c r="B3" s="1213">
        <v>0</v>
      </c>
      <c r="C3" s="1213">
        <v>1</v>
      </c>
      <c r="D3" s="1213">
        <v>2</v>
      </c>
      <c r="E3" s="1213">
        <v>3</v>
      </c>
      <c r="F3" s="1213">
        <v>4</v>
      </c>
      <c r="G3" s="1213">
        <v>5</v>
      </c>
      <c r="H3" s="1214"/>
      <c r="J3" s="1212" t="s">
        <v>949</v>
      </c>
      <c r="K3" s="1209" t="s">
        <v>474</v>
      </c>
      <c r="L3" s="1209" t="s">
        <v>476</v>
      </c>
      <c r="M3" s="1274" t="s">
        <v>948</v>
      </c>
      <c r="N3" s="80"/>
      <c r="O3" s="80"/>
      <c r="P3" s="80"/>
      <c r="Q3" s="80"/>
      <c r="R3" s="80"/>
      <c r="S3" s="80"/>
      <c r="T3" s="80"/>
    </row>
    <row r="4" spans="1:20" ht="18">
      <c r="A4" s="1215" t="s">
        <v>542</v>
      </c>
      <c r="B4" s="1216">
        <v>2017</v>
      </c>
      <c r="C4" s="1216">
        <v>2018</v>
      </c>
      <c r="D4" s="1216">
        <v>2019</v>
      </c>
      <c r="E4" s="1216">
        <v>2020</v>
      </c>
      <c r="F4" s="1216">
        <v>2021</v>
      </c>
      <c r="G4" s="1216">
        <v>2022</v>
      </c>
      <c r="H4" s="1217" t="s">
        <v>543</v>
      </c>
      <c r="I4" s="111"/>
      <c r="J4" s="1250" t="s">
        <v>946</v>
      </c>
      <c r="K4" s="1271">
        <f>H52</f>
        <v>0.3841666666666666</v>
      </c>
      <c r="L4" s="1271">
        <f>H82</f>
        <v>0.5498333333333334</v>
      </c>
      <c r="M4" s="1271">
        <f>H14</f>
        <v>0.71054759302339676</v>
      </c>
    </row>
    <row r="5" spans="1:20" ht="18">
      <c r="A5" s="1218" t="s">
        <v>544</v>
      </c>
      <c r="B5" s="1219">
        <f>('FE Balance Sheet'!C24)+'FE Balance Sheet'!C22-'FE Balance Sheet'!C4</f>
        <v>696046.00359462923</v>
      </c>
      <c r="C5" s="1219">
        <f>('FE Balance Sheet'!D24)+'FE Balance Sheet'!D22-'FE Balance Sheet'!D4</f>
        <v>2478482.8235840048</v>
      </c>
      <c r="D5" s="1219">
        <f>('FE Balance Sheet'!E24)+'FE Balance Sheet'!E22-'FE Balance Sheet'!E4</f>
        <v>2951826.4159293687</v>
      </c>
      <c r="E5" s="1219">
        <f>('FE Balance Sheet'!F24)+'FE Balance Sheet'!F22-'FE Balance Sheet'!F4</f>
        <v>4261808.8911263281</v>
      </c>
      <c r="F5" s="1219">
        <f>('FE Balance Sheet'!G24)+'FE Balance Sheet'!G22-'FE Balance Sheet'!G4</f>
        <v>5907781.3783063404</v>
      </c>
      <c r="G5" s="1219">
        <f>('FE Balance Sheet'!H24)+'FE Balance Sheet'!H22-'FE Balance Sheet'!H4</f>
        <v>6957372.4828376453</v>
      </c>
      <c r="H5" s="1220">
        <f t="shared" ref="H5:H6" si="0">AVERAGE(B5:G5)</f>
        <v>3875552.9992297194</v>
      </c>
      <c r="I5" s="111"/>
      <c r="J5" s="1218" t="s">
        <v>425</v>
      </c>
      <c r="K5" s="1271">
        <f>H50</f>
        <v>0.35175000000000001</v>
      </c>
      <c r="L5" s="1271">
        <f>H80</f>
        <v>0.15283333333333335</v>
      </c>
      <c r="M5" s="1271">
        <f>H11</f>
        <v>0.38681337428444895</v>
      </c>
      <c r="N5" s="80"/>
      <c r="O5" s="80"/>
      <c r="P5" s="80"/>
      <c r="Q5" s="80"/>
      <c r="R5" s="80"/>
      <c r="S5" s="80"/>
      <c r="T5" s="80"/>
    </row>
    <row r="6" spans="1:20" ht="18">
      <c r="A6" s="1218" t="s">
        <v>545</v>
      </c>
      <c r="B6" s="1219">
        <f>ROUND('FE Income Statement'!C$20,0)</f>
        <v>-286777</v>
      </c>
      <c r="C6" s="1219">
        <f>ROUND('FE Income Statement'!D$20,0)</f>
        <v>508161</v>
      </c>
      <c r="D6" s="1219">
        <f>ROUND('FE Income Statement'!E$20,0)</f>
        <v>781377</v>
      </c>
      <c r="E6" s="1219">
        <f>ROUND('FE Income Statement'!F$20,0)</f>
        <v>1715073</v>
      </c>
      <c r="F6" s="1219">
        <f>ROUND('FE Income Statement'!G$20,0)</f>
        <v>2520979</v>
      </c>
      <c r="G6" s="1219">
        <f>ROUND('FE Income Statement'!H$20,0)</f>
        <v>2969149</v>
      </c>
      <c r="H6" s="1220">
        <f t="shared" si="0"/>
        <v>1367993.6666666667</v>
      </c>
      <c r="I6" s="111"/>
      <c r="J6" s="1218" t="s">
        <v>591</v>
      </c>
      <c r="K6" s="1272">
        <f>H62</f>
        <v>1.8199999999999998</v>
      </c>
      <c r="L6" s="1272">
        <f>H92</f>
        <v>2.7333333333333329</v>
      </c>
      <c r="M6" s="1272">
        <f>H25</f>
        <v>1.5400542857551913</v>
      </c>
      <c r="N6" s="80"/>
      <c r="O6" s="80"/>
      <c r="P6" s="80"/>
      <c r="Q6" s="80"/>
      <c r="R6" s="80"/>
      <c r="S6" s="80"/>
      <c r="T6" s="80"/>
    </row>
    <row r="7" spans="1:20" ht="18.399999999999999" thickBot="1">
      <c r="A7" s="1218" t="s">
        <v>546</v>
      </c>
      <c r="B7" s="1219">
        <f>'FE Income Statement'!C$20+SUM('FE Income Statement'!C$16:C$18)</f>
        <v>-286777.105125</v>
      </c>
      <c r="C7" s="1219">
        <f>'FE Income Statement'!D$20+SUM('FE Income Statement'!D$16:D$18)</f>
        <v>547956.55719964067</v>
      </c>
      <c r="D7" s="1219">
        <f>'FE Income Statement'!E$20+SUM('FE Income Statement'!E$16:E$18)</f>
        <v>821173.12608880503</v>
      </c>
      <c r="E7" s="1219">
        <f>'FE Income Statement'!F$20+SUM('FE Income Statement'!F$16:F$18)</f>
        <v>1756696.9473154393</v>
      </c>
      <c r="F7" s="1219">
        <f>'FE Income Statement'!G$20+SUM('FE Income Statement'!G$16:G$18)</f>
        <v>2562602.6200373708</v>
      </c>
      <c r="G7" s="1219">
        <f>'FE Income Statement'!H$20+SUM('FE Income Statement'!H$16:H$18)</f>
        <v>3010773.0797163649</v>
      </c>
      <c r="H7" s="1220">
        <f t="shared" ref="H7:H9" si="1">AVERAGE(B7:G7)</f>
        <v>1402070.8708721034</v>
      </c>
      <c r="I7" s="111"/>
      <c r="J7" s="1236" t="s">
        <v>947</v>
      </c>
      <c r="K7" s="1273">
        <f>H48</f>
        <v>-38.581111519234746</v>
      </c>
      <c r="L7" s="1273">
        <f>H78</f>
        <v>13.7</v>
      </c>
      <c r="M7" s="1273">
        <f>H9</f>
        <v>2.1221492197583083</v>
      </c>
      <c r="N7" s="80"/>
      <c r="O7" s="80"/>
      <c r="P7" s="80"/>
      <c r="Q7" s="80"/>
      <c r="R7" s="80"/>
      <c r="S7" s="80"/>
      <c r="T7" s="80"/>
    </row>
    <row r="8" spans="1:20" ht="18">
      <c r="A8" s="1218" t="s">
        <v>547</v>
      </c>
      <c r="B8" s="1221">
        <f t="shared" ref="B8:G8" si="2">B5/B6</f>
        <v>-2.4271332903079021</v>
      </c>
      <c r="C8" s="1221">
        <f t="shared" si="2"/>
        <v>4.8773574193690674</v>
      </c>
      <c r="D8" s="1221">
        <f t="shared" si="2"/>
        <v>3.7777237056240058</v>
      </c>
      <c r="E8" s="1221">
        <f t="shared" si="2"/>
        <v>2.4849139897405697</v>
      </c>
      <c r="F8" s="1221">
        <f t="shared" si="2"/>
        <v>2.3434472791349474</v>
      </c>
      <c r="G8" s="1221">
        <f t="shared" si="2"/>
        <v>2.3432210653078189</v>
      </c>
      <c r="H8" s="1222">
        <f t="shared" si="1"/>
        <v>2.2332550281447512</v>
      </c>
      <c r="I8" s="111"/>
      <c r="J8" s="80"/>
      <c r="K8" s="80"/>
      <c r="L8" s="80"/>
      <c r="M8" s="80"/>
      <c r="N8" s="80"/>
      <c r="O8" s="80"/>
      <c r="P8" s="80"/>
      <c r="Q8" s="80"/>
      <c r="R8" s="80"/>
      <c r="S8" s="80"/>
      <c r="T8" s="80"/>
    </row>
    <row r="9" spans="1:20" ht="18">
      <c r="A9" s="1218" t="s">
        <v>548</v>
      </c>
      <c r="B9" s="1221">
        <f t="shared" ref="B9:G9" si="3">B5/B7</f>
        <v>-2.4271324005842017</v>
      </c>
      <c r="C9" s="1221">
        <f t="shared" si="3"/>
        <v>4.5231374477028163</v>
      </c>
      <c r="D9" s="1221">
        <f t="shared" si="3"/>
        <v>3.5946456625885075</v>
      </c>
      <c r="E9" s="1221">
        <f t="shared" si="3"/>
        <v>2.4260353486918542</v>
      </c>
      <c r="F9" s="1221">
        <f t="shared" si="3"/>
        <v>2.3053833365003689</v>
      </c>
      <c r="G9" s="1221">
        <f t="shared" si="3"/>
        <v>2.3108259236505053</v>
      </c>
      <c r="H9" s="1222">
        <f t="shared" si="1"/>
        <v>2.1221492197583083</v>
      </c>
      <c r="I9" s="111"/>
      <c r="J9" s="80"/>
      <c r="K9" s="80"/>
      <c r="L9" s="80"/>
      <c r="M9" s="80"/>
      <c r="N9" s="80"/>
      <c r="O9" s="80"/>
      <c r="P9" s="80"/>
      <c r="Q9" s="80"/>
      <c r="R9" s="80"/>
      <c r="S9" s="80"/>
      <c r="T9" s="80"/>
    </row>
    <row r="10" spans="1:20" ht="18">
      <c r="A10" s="1218" t="s">
        <v>428</v>
      </c>
      <c r="B10" s="1223"/>
      <c r="C10" s="1223">
        <f>'FE Income Statement'!D39</f>
        <v>0.10921028889484111</v>
      </c>
      <c r="D10" s="1223">
        <f>'FE Income Statement'!E39</f>
        <v>0.12672145043908473</v>
      </c>
      <c r="E10" s="1223">
        <f>'FE Income Statement'!F39</f>
        <v>0.16396735379055791</v>
      </c>
      <c r="F10" s="1223">
        <f>'FE Income Statement'!G39</f>
        <v>0.16376360203558168</v>
      </c>
      <c r="G10" s="1223">
        <f>'FE Income Statement'!H39</f>
        <v>0.16103545112794215</v>
      </c>
      <c r="H10" s="1224">
        <f t="shared" ref="H10:H20" si="4">AVERAGE(B10:G10)</f>
        <v>0.14493962925760151</v>
      </c>
      <c r="I10" s="111"/>
      <c r="J10" s="80"/>
      <c r="K10" s="80"/>
      <c r="L10" s="80"/>
      <c r="M10" s="80"/>
      <c r="N10" s="80"/>
      <c r="O10" s="80"/>
      <c r="P10" s="80"/>
      <c r="Q10" s="80"/>
      <c r="R10" s="80"/>
      <c r="S10" s="80"/>
      <c r="T10" s="80"/>
    </row>
    <row r="11" spans="1:20" ht="18">
      <c r="A11" s="1218" t="s">
        <v>549</v>
      </c>
      <c r="B11" s="1223"/>
      <c r="C11" s="1223">
        <f>'FE Income Statement'!D38</f>
        <v>0.26851583953502733</v>
      </c>
      <c r="D11" s="1223">
        <f>'FE Income Statement'!E38</f>
        <v>0.32081719270053216</v>
      </c>
      <c r="E11" s="1223">
        <f>'FE Income Statement'!F38</f>
        <v>0.43026606831047426</v>
      </c>
      <c r="F11" s="1223">
        <f>'FE Income Statement'!G38</f>
        <v>0.45446315282015637</v>
      </c>
      <c r="G11" s="1223">
        <f>'FE Income Statement'!H38</f>
        <v>0.46000461805605453</v>
      </c>
      <c r="H11" s="1224">
        <f t="shared" si="4"/>
        <v>0.38681337428444895</v>
      </c>
      <c r="J11" s="80"/>
      <c r="K11" s="80"/>
      <c r="L11" s="80"/>
      <c r="M11" s="80"/>
      <c r="N11" s="80"/>
      <c r="O11" s="80"/>
      <c r="P11" s="80"/>
      <c r="Q11" s="80"/>
      <c r="R11" s="80"/>
      <c r="S11" s="80"/>
      <c r="T11" s="80"/>
    </row>
    <row r="12" spans="1:20" ht="18">
      <c r="A12" s="1218" t="s">
        <v>430</v>
      </c>
      <c r="B12" s="1223"/>
      <c r="C12" s="1223">
        <f>'FE Income Statement'!D40</f>
        <v>6.0259152228967772E-2</v>
      </c>
      <c r="D12" s="1223">
        <f>'FE Income Statement'!E40</f>
        <v>6.9783874373279792E-2</v>
      </c>
      <c r="E12" s="1223">
        <f>'FE Income Statement'!F40</f>
        <v>8.7549007323229538E-2</v>
      </c>
      <c r="F12" s="1223">
        <f>'FE Income Statement'!G40</f>
        <v>8.6320059896885709E-2</v>
      </c>
      <c r="G12" s="1223">
        <f>'FE Income Statement'!H40</f>
        <v>8.4463176208559546E-2</v>
      </c>
      <c r="H12" s="1224">
        <f t="shared" si="4"/>
        <v>7.7675054006184477E-2</v>
      </c>
      <c r="I12" s="111"/>
      <c r="J12" s="80"/>
      <c r="K12" s="80"/>
      <c r="L12" s="80"/>
      <c r="M12" s="80"/>
      <c r="N12" s="80"/>
      <c r="O12" s="80"/>
      <c r="P12" s="80"/>
      <c r="Q12" s="80"/>
      <c r="R12" s="80"/>
      <c r="S12" s="80"/>
      <c r="T12" s="80"/>
    </row>
    <row r="13" spans="1:20" ht="36">
      <c r="A13" s="1218" t="s">
        <v>856</v>
      </c>
      <c r="B13" s="1225"/>
      <c r="C13" s="1223">
        <f>'FE Income Statement'!D34</f>
        <v>0.17672800643617551</v>
      </c>
      <c r="D13" s="1223">
        <f>'FE Income Statement'!E34</f>
        <v>0.16211151235653543</v>
      </c>
      <c r="E13" s="1223">
        <f>'FE Income Statement'!F34</f>
        <v>0.16890887640029875</v>
      </c>
      <c r="F13" s="1223">
        <f>'FE Income Statement'!G34</f>
        <v>0.15206435498174309</v>
      </c>
      <c r="G13" s="1223">
        <f>'FE Income Statement'!H34</f>
        <v>0.14269976958545405</v>
      </c>
      <c r="H13" s="1224">
        <f t="shared" si="4"/>
        <v>0.16050250395204135</v>
      </c>
      <c r="I13" s="111"/>
      <c r="J13" s="80"/>
      <c r="K13" s="80"/>
      <c r="L13" s="80"/>
      <c r="M13" s="80"/>
      <c r="N13" s="80"/>
      <c r="O13" s="80"/>
      <c r="P13" s="80"/>
      <c r="Q13" s="80"/>
      <c r="R13" s="80"/>
      <c r="S13" s="80"/>
      <c r="T13" s="80"/>
    </row>
    <row r="14" spans="1:20" s="739" customFormat="1" ht="36">
      <c r="A14" s="1218" t="s">
        <v>858</v>
      </c>
      <c r="B14" s="1225"/>
      <c r="C14" s="1223">
        <f>('FE Income Statement'!D3-SUM('FE Income Statement'!D5:D6))/'FE Income Statement'!D3</f>
        <v>0.71868447912296474</v>
      </c>
      <c r="D14" s="1223">
        <f>('FE Income Statement'!E3-SUM('FE Income Statement'!E5:E6))/'FE Income Statement'!E3</f>
        <v>0.69772485388032346</v>
      </c>
      <c r="E14" s="1223">
        <f>('FE Income Statement'!F3-SUM('FE Income Statement'!F5:F6))/'FE Income Statement'!F3</f>
        <v>0.7245210854671188</v>
      </c>
      <c r="F14" s="1223">
        <f>('FE Income Statement'!G3-SUM('FE Income Statement'!G5:G6))/'FE Income Statement'!G3</f>
        <v>0.7130017698120602</v>
      </c>
      <c r="G14" s="1223">
        <f>('FE Income Statement'!H3-SUM('FE Income Statement'!H5:H6))/'FE Income Statement'!H3</f>
        <v>0.6988057768345165</v>
      </c>
      <c r="H14" s="1224">
        <f t="shared" si="4"/>
        <v>0.71054759302339676</v>
      </c>
      <c r="I14" s="111"/>
      <c r="J14" s="80"/>
      <c r="K14" s="80"/>
      <c r="L14" s="80"/>
      <c r="M14" s="80"/>
      <c r="N14" s="80"/>
      <c r="O14" s="80"/>
      <c r="P14" s="80"/>
      <c r="Q14" s="80"/>
      <c r="R14" s="80"/>
      <c r="S14" s="80"/>
      <c r="T14" s="80"/>
    </row>
    <row r="15" spans="1:20" ht="36">
      <c r="A15" s="1226" t="s">
        <v>857</v>
      </c>
      <c r="B15" s="1225"/>
      <c r="C15" s="1223">
        <f>'FE Income Statement'!D33</f>
        <v>0.82327199356382452</v>
      </c>
      <c r="D15" s="1223">
        <f>'FE Income Statement'!E33</f>
        <v>0.83788848764346457</v>
      </c>
      <c r="E15" s="1223">
        <f>'FE Income Statement'!F33</f>
        <v>0.83109112359970128</v>
      </c>
      <c r="F15" s="1223">
        <f>'FE Income Statement'!G33</f>
        <v>0.84793564501825691</v>
      </c>
      <c r="G15" s="1223">
        <f>'FE Income Statement'!H33</f>
        <v>0.85730023041454595</v>
      </c>
      <c r="H15" s="1224">
        <f t="shared" si="4"/>
        <v>0.83949749604795854</v>
      </c>
      <c r="I15" s="111"/>
      <c r="J15" s="426"/>
      <c r="K15" s="80"/>
      <c r="L15" s="80"/>
      <c r="M15" s="80"/>
      <c r="N15" s="80"/>
      <c r="O15" s="80"/>
      <c r="P15" s="80"/>
      <c r="Q15" s="80"/>
      <c r="R15" s="80"/>
      <c r="S15" s="80"/>
      <c r="T15" s="80"/>
    </row>
    <row r="16" spans="1:20" s="739" customFormat="1" ht="36">
      <c r="A16" s="1226" t="s">
        <v>859</v>
      </c>
      <c r="B16" s="1225"/>
      <c r="C16" s="1223">
        <f>(SUM('FE Income Statement'!D5:D6))/'FE Income Statement'!D3</f>
        <v>0.28131552087703521</v>
      </c>
      <c r="D16" s="1223">
        <f>(SUM('FE Income Statement'!E5:E6))/'FE Income Statement'!E3</f>
        <v>0.30227514611967654</v>
      </c>
      <c r="E16" s="1223">
        <f>(SUM('FE Income Statement'!F5:F6))/'FE Income Statement'!F3</f>
        <v>0.2754789145328812</v>
      </c>
      <c r="F16" s="1223">
        <f>(SUM('FE Income Statement'!G5:G6))/'FE Income Statement'!G3</f>
        <v>0.2869982301879398</v>
      </c>
      <c r="G16" s="1223">
        <f>(SUM('FE Income Statement'!H5:H6))/'FE Income Statement'!H3</f>
        <v>0.30119422316548344</v>
      </c>
      <c r="H16" s="1224">
        <f t="shared" si="4"/>
        <v>0.28945240697660324</v>
      </c>
      <c r="I16" s="111"/>
      <c r="J16" s="426"/>
      <c r="K16" s="80"/>
      <c r="L16" s="80"/>
      <c r="M16" s="80"/>
      <c r="N16" s="80"/>
      <c r="O16" s="80"/>
      <c r="P16" s="80"/>
      <c r="Q16" s="80"/>
      <c r="R16" s="80"/>
      <c r="S16" s="80"/>
      <c r="T16" s="80"/>
    </row>
    <row r="17" spans="1:20" ht="18">
      <c r="A17" s="1218" t="s">
        <v>559</v>
      </c>
      <c r="B17" s="1225"/>
      <c r="C17" s="1223">
        <f>'FE Income Statement'!D36</f>
        <v>0.11646885420720773</v>
      </c>
      <c r="D17" s="1223">
        <f>'FE Income Statement'!E36</f>
        <v>9.2327637983255648E-2</v>
      </c>
      <c r="E17" s="1223">
        <f>'FE Income Statement'!F36</f>
        <v>8.1359869077069213E-2</v>
      </c>
      <c r="F17" s="1223">
        <f>'FE Income Statement'!G36</f>
        <v>6.5744295084857393E-2</v>
      </c>
      <c r="G17" s="1223">
        <f>'FE Income Statement'!H36</f>
        <v>5.8236593376894512E-2</v>
      </c>
      <c r="H17" s="1224">
        <f t="shared" si="4"/>
        <v>8.2827449945856904E-2</v>
      </c>
      <c r="I17" s="111"/>
      <c r="J17" s="426"/>
      <c r="K17" s="80"/>
      <c r="L17" s="80"/>
      <c r="M17" s="80"/>
      <c r="N17" s="80"/>
      <c r="O17" s="80"/>
      <c r="P17" s="80"/>
      <c r="Q17" s="80"/>
      <c r="R17" s="80"/>
      <c r="S17" s="80"/>
      <c r="T17" s="80"/>
    </row>
    <row r="18" spans="1:20" ht="36">
      <c r="A18" s="1218" t="s">
        <v>565</v>
      </c>
      <c r="B18" s="1225"/>
      <c r="C18" s="1223">
        <f>'FE Income Statement'!D37</f>
        <v>2.3573694867315916E-2</v>
      </c>
      <c r="D18" s="1223">
        <f>'FE Income Statement'!E37</f>
        <v>1.7341334030596837E-2</v>
      </c>
      <c r="E18" s="1223">
        <f>'FE Income Statement'!F37</f>
        <v>1.7593108238933439E-2</v>
      </c>
      <c r="F18" s="1223">
        <f>'FE Income Statement'!G37</f>
        <v>1.2067449110030116E-2</v>
      </c>
      <c r="G18" s="1223">
        <f>'FE Income Statement'!H37</f>
        <v>1.0117983697607441E-2</v>
      </c>
      <c r="H18" s="1224">
        <f t="shared" si="4"/>
        <v>1.6138713988896748E-2</v>
      </c>
      <c r="I18" s="111"/>
      <c r="J18" s="426"/>
      <c r="K18" s="80"/>
      <c r="L18" s="80"/>
      <c r="M18" s="80"/>
      <c r="N18" s="80"/>
      <c r="O18" s="80"/>
      <c r="P18" s="80"/>
      <c r="Q18" s="80"/>
      <c r="R18" s="80"/>
      <c r="S18" s="80"/>
      <c r="T18" s="80"/>
    </row>
    <row r="19" spans="1:20" s="739" customFormat="1" ht="18">
      <c r="A19" s="1218" t="s">
        <v>864</v>
      </c>
      <c r="B19" s="1225"/>
      <c r="C19" s="1223">
        <f>'FE Assumptions'!$B$56</f>
        <v>0.23266530273565322</v>
      </c>
      <c r="D19" s="1223">
        <f>'FE Assumptions'!$B$56</f>
        <v>0.23266530273565322</v>
      </c>
      <c r="E19" s="1223">
        <f>'FE Assumptions'!$B$56</f>
        <v>0.23266530273565322</v>
      </c>
      <c r="F19" s="1223">
        <f>'FE Assumptions'!$B$56</f>
        <v>0.23266530273565322</v>
      </c>
      <c r="G19" s="1223">
        <f>'FE Assumptions'!$B$56</f>
        <v>0.23266530273565322</v>
      </c>
      <c r="H19" s="1224">
        <f t="shared" si="4"/>
        <v>0.23266530273565325</v>
      </c>
      <c r="I19" s="111"/>
      <c r="J19" s="426"/>
      <c r="K19" s="80"/>
      <c r="L19" s="80"/>
      <c r="M19" s="80"/>
      <c r="N19" s="80"/>
      <c r="O19" s="80"/>
      <c r="P19" s="80"/>
      <c r="Q19" s="80"/>
      <c r="R19" s="80"/>
      <c r="S19" s="80"/>
      <c r="T19" s="80"/>
    </row>
    <row r="20" spans="1:20" s="739" customFormat="1" ht="18">
      <c r="A20" s="1218" t="s">
        <v>863</v>
      </c>
      <c r="B20" s="1225"/>
      <c r="C20" s="1223">
        <f>'FE Assumptions'!$B$57</f>
        <v>0.25070457414902148</v>
      </c>
      <c r="D20" s="1223">
        <f>'FE Assumptions'!$B$57</f>
        <v>0.25070457414902148</v>
      </c>
      <c r="E20" s="1223">
        <f>'FE Assumptions'!$B$57</f>
        <v>0.25070457414902148</v>
      </c>
      <c r="F20" s="1223">
        <f>'FE Assumptions'!$B$57</f>
        <v>0.25070457414902148</v>
      </c>
      <c r="G20" s="1223">
        <f>'FE Assumptions'!$B$57</f>
        <v>0.25070457414902148</v>
      </c>
      <c r="H20" s="1224">
        <f t="shared" si="4"/>
        <v>0.25070457414902148</v>
      </c>
      <c r="I20" s="111"/>
      <c r="J20" s="426"/>
      <c r="K20" s="80"/>
      <c r="L20" s="80"/>
      <c r="M20" s="80"/>
      <c r="N20" s="80"/>
      <c r="O20" s="80"/>
      <c r="P20" s="80"/>
      <c r="Q20" s="80"/>
      <c r="R20" s="80"/>
      <c r="S20" s="80"/>
      <c r="T20" s="80"/>
    </row>
    <row r="21" spans="1:20" ht="18">
      <c r="A21" s="1218" t="s">
        <v>569</v>
      </c>
      <c r="B21" s="1225"/>
      <c r="C21" s="1227">
        <f>ROUND(C19*'FE Assumptions'!$B$73,2)</f>
        <v>84.92</v>
      </c>
      <c r="D21" s="1227">
        <f>ROUND(D19*'FE Assumptions'!$B$73,2)</f>
        <v>84.92</v>
      </c>
      <c r="E21" s="1227">
        <f>ROUND(E19*'FE Assumptions'!$B$73,2)</f>
        <v>84.92</v>
      </c>
      <c r="F21" s="1227">
        <f>ROUND(F19*'FE Assumptions'!$B$73,2)</f>
        <v>84.92</v>
      </c>
      <c r="G21" s="1227">
        <f>ROUND(G19*'FE Assumptions'!$B$73,2)</f>
        <v>84.92</v>
      </c>
      <c r="H21" s="1228">
        <f>AVERAGE(C21:G21)</f>
        <v>84.92</v>
      </c>
      <c r="I21" s="111"/>
      <c r="J21" s="426"/>
      <c r="K21" s="80"/>
      <c r="L21" s="80"/>
      <c r="M21" s="80"/>
      <c r="N21" s="80"/>
      <c r="O21" s="80"/>
      <c r="P21" s="80"/>
      <c r="Q21" s="80"/>
      <c r="R21" s="80"/>
      <c r="S21" s="80"/>
      <c r="T21" s="80"/>
    </row>
    <row r="22" spans="1:20" ht="18">
      <c r="A22" s="1218" t="s">
        <v>575</v>
      </c>
      <c r="B22" s="1225"/>
      <c r="C22" s="1225">
        <f>ROUND(C20*'FE Assumptions'!$B$73,2)</f>
        <v>91.51</v>
      </c>
      <c r="D22" s="1225">
        <f>ROUND(D20*'FE Assumptions'!$B$73,2)</f>
        <v>91.51</v>
      </c>
      <c r="E22" s="1225">
        <f>ROUND(E20*'FE Assumptions'!$B$73,2)</f>
        <v>91.51</v>
      </c>
      <c r="F22" s="1225">
        <f>ROUND(F20*'FE Assumptions'!$B$73,2)</f>
        <v>91.51</v>
      </c>
      <c r="G22" s="1225">
        <f>ROUND(G20*'FE Assumptions'!$B$73,2)</f>
        <v>91.51</v>
      </c>
      <c r="H22" s="1228">
        <f t="shared" ref="H22:H32" si="5">AVERAGE(B22:G22)</f>
        <v>91.51</v>
      </c>
      <c r="I22" s="111"/>
      <c r="J22" s="426"/>
      <c r="K22" s="80"/>
      <c r="L22" s="80"/>
      <c r="M22" s="80"/>
      <c r="N22" s="80"/>
      <c r="O22" s="80"/>
      <c r="P22" s="80"/>
      <c r="Q22" s="80"/>
      <c r="R22" s="80"/>
      <c r="S22" s="80"/>
      <c r="T22" s="80"/>
    </row>
    <row r="23" spans="1:20" ht="18">
      <c r="A23" s="1218" t="s">
        <v>585</v>
      </c>
      <c r="B23" s="1225"/>
      <c r="C23" s="1229">
        <f>'FE Balance Sheet'!D40</f>
        <v>4.1254077037106525</v>
      </c>
      <c r="D23" s="1229">
        <f>'FE Balance Sheet'!E40</f>
        <v>5.3413966744989816</v>
      </c>
      <c r="E23" s="1229">
        <f>'FE Balance Sheet'!F40</f>
        <v>5.0507152182848154</v>
      </c>
      <c r="F23" s="1229">
        <f>'FE Balance Sheet'!G40</f>
        <v>4.9706690887507925</v>
      </c>
      <c r="G23" s="1229">
        <f>'FE Balance Sheet'!H40</f>
        <v>5.0254865242724645</v>
      </c>
      <c r="H23" s="1228">
        <f t="shared" si="5"/>
        <v>4.9027350419035418</v>
      </c>
      <c r="I23" s="111"/>
      <c r="J23" s="80"/>
      <c r="K23" s="80"/>
      <c r="L23" s="80"/>
      <c r="M23" s="80"/>
      <c r="N23" s="80"/>
      <c r="O23" s="80"/>
      <c r="P23" s="80"/>
      <c r="Q23" s="80"/>
      <c r="R23" s="80"/>
      <c r="S23" s="80"/>
      <c r="T23" s="80"/>
    </row>
    <row r="24" spans="1:20" ht="18">
      <c r="A24" s="1218" t="s">
        <v>590</v>
      </c>
      <c r="B24" s="1225"/>
      <c r="C24" s="1230">
        <f>('FE Balance Sheet'!D4+'FE Balance Sheet'!D7)/'FE Balance Sheet'!D22</f>
        <v>1.3695153413758243</v>
      </c>
      <c r="D24" s="1230">
        <f>('FE Balance Sheet'!E4+'FE Balance Sheet'!E7)/'FE Balance Sheet'!E22</f>
        <v>1.3456249175104784</v>
      </c>
      <c r="E24" s="1230">
        <f>('FE Balance Sheet'!F4+'FE Balance Sheet'!F7)/'FE Balance Sheet'!F22</f>
        <v>1.3566305729455168</v>
      </c>
      <c r="F24" s="1230">
        <f>('FE Balance Sheet'!G4+'FE Balance Sheet'!G7)/'FE Balance Sheet'!G22</f>
        <v>1.3296806595083237</v>
      </c>
      <c r="G24" s="1230">
        <f>('FE Balance Sheet'!H4+'FE Balance Sheet'!H7)/'FE Balance Sheet'!H22</f>
        <v>1.3151561009155841</v>
      </c>
      <c r="H24" s="1231">
        <f t="shared" si="5"/>
        <v>1.3433215184511456</v>
      </c>
      <c r="I24" s="111"/>
      <c r="J24" s="80"/>
      <c r="K24" s="80"/>
      <c r="L24" s="80"/>
      <c r="M24" s="80"/>
      <c r="N24" s="80"/>
      <c r="O24" s="80"/>
      <c r="P24" s="80"/>
      <c r="Q24" s="80"/>
      <c r="R24" s="80"/>
      <c r="S24" s="80"/>
      <c r="T24" s="80"/>
    </row>
    <row r="25" spans="1:20" ht="18">
      <c r="A25" s="1218" t="s">
        <v>591</v>
      </c>
      <c r="B25" s="1225"/>
      <c r="C25" s="1230">
        <f>'FE Balance Sheet'!D10/'FE Balance Sheet'!D22</f>
        <v>1.5251392357650357</v>
      </c>
      <c r="D25" s="1230">
        <f>'FE Balance Sheet'!E10/'FE Balance Sheet'!E22</f>
        <v>1.5511046364574221</v>
      </c>
      <c r="E25" s="1230">
        <f>'FE Balance Sheet'!F10/'FE Balance Sheet'!F22</f>
        <v>1.565036918013633</v>
      </c>
      <c r="F25" s="1230">
        <f>'FE Balance Sheet'!G10/'FE Balance Sheet'!G22</f>
        <v>1.5367214116077068</v>
      </c>
      <c r="G25" s="1230">
        <f>'FE Balance Sheet'!H10/'FE Balance Sheet'!H22</f>
        <v>1.5222692269321592</v>
      </c>
      <c r="H25" s="1231">
        <f t="shared" si="5"/>
        <v>1.5400542857551913</v>
      </c>
      <c r="I25" s="111"/>
      <c r="J25" s="80"/>
      <c r="K25" s="80"/>
      <c r="L25" s="80"/>
      <c r="M25" s="80"/>
      <c r="N25" s="80"/>
      <c r="O25" s="80"/>
      <c r="P25" s="80"/>
      <c r="Q25" s="80"/>
      <c r="R25" s="80"/>
      <c r="S25" s="80"/>
      <c r="T25" s="80"/>
    </row>
    <row r="26" spans="1:20" ht="54">
      <c r="A26" s="1218" t="s">
        <v>593</v>
      </c>
      <c r="B26" s="1225"/>
      <c r="C26" s="1230">
        <f>'FE Income Statement'!D3/'FE Balance Sheet'!D18</f>
        <v>1.4794058391989606</v>
      </c>
      <c r="D26" s="1230">
        <f>'FE Income Statement'!E3/'FE Balance Sheet'!E18</f>
        <v>1.4722547122329217</v>
      </c>
      <c r="E26" s="1230">
        <f>'FE Income Statement'!F3/'FE Balance Sheet'!F18</f>
        <v>1.5001677335745454</v>
      </c>
      <c r="F26" s="1230">
        <f>'FE Income Statement'!G3/'FE Balance Sheet'!G18</f>
        <v>1.4897702947514768</v>
      </c>
      <c r="G26" s="1230">
        <f>'FE Income Statement'!H3/'FE Balance Sheet'!H18</f>
        <v>1.4907178430774157</v>
      </c>
      <c r="H26" s="1231">
        <f t="shared" si="5"/>
        <v>1.4864632845670642</v>
      </c>
      <c r="I26" s="111"/>
      <c r="J26" s="80"/>
      <c r="K26" s="80"/>
      <c r="L26" s="80"/>
      <c r="M26" s="80"/>
      <c r="N26" s="80"/>
      <c r="O26" s="80"/>
      <c r="P26" s="80"/>
      <c r="Q26" s="80"/>
      <c r="R26" s="80"/>
      <c r="S26" s="80"/>
      <c r="T26" s="80"/>
    </row>
    <row r="27" spans="1:20" ht="54">
      <c r="A27" s="1218" t="s">
        <v>594</v>
      </c>
      <c r="B27" s="1225"/>
      <c r="C27" s="1230">
        <f>('FE Income Statement'!D4+'FE Income Statement'!D3)/'FE Balance Sheet'!D18</f>
        <v>2.8744545601691058</v>
      </c>
      <c r="D27" s="1230">
        <f>('FE Income Statement'!E4+'FE Income Statement'!E3)/'FE Balance Sheet'!E18</f>
        <v>2.8801159123634861</v>
      </c>
      <c r="E27" s="1230">
        <f>('FE Income Statement'!F4+'FE Income Statement'!F3)/'FE Balance Sheet'!F18</f>
        <v>2.9704419577402796</v>
      </c>
      <c r="F27" s="1230">
        <f>('FE Income Statement'!G4+'FE Income Statement'!G3)/'FE Balance Sheet'!G18</f>
        <v>3.0089887103069239</v>
      </c>
      <c r="G27" s="1230">
        <f>('FE Income Statement'!H4+'FE Income Statement'!H3)/'FE Balance Sheet'!H18</f>
        <v>3.0239109278170195</v>
      </c>
      <c r="H27" s="1231">
        <f t="shared" si="5"/>
        <v>2.9515824136793634</v>
      </c>
      <c r="I27" s="111"/>
      <c r="J27" s="80"/>
      <c r="K27" s="80"/>
      <c r="L27" s="80"/>
      <c r="M27" s="80"/>
      <c r="N27" s="80"/>
      <c r="O27" s="80"/>
      <c r="P27" s="80"/>
      <c r="Q27" s="80"/>
      <c r="R27" s="80"/>
      <c r="S27" s="80"/>
      <c r="T27" s="80"/>
    </row>
    <row r="28" spans="1:20" ht="18">
      <c r="A28" s="1218" t="s">
        <v>595</v>
      </c>
      <c r="B28" s="1225"/>
      <c r="C28" s="1230">
        <f>'FE Balance Sheet'!D7/(('FE Balance Sheet'!$D$7+'FE Balance Sheet'!$H$7)/2)</f>
        <v>0.38695462696550459</v>
      </c>
      <c r="D28" s="1230">
        <f>'FE Balance Sheet'!E7/(('FE Balance Sheet'!$D$7+'FE Balance Sheet'!$H$7)/2)</f>
        <v>0.5137923873994269</v>
      </c>
      <c r="E28" s="1230">
        <f>'FE Balance Sheet'!F7/(('FE Balance Sheet'!$D$7+'FE Balance Sheet'!$H$7)/2)</f>
        <v>0.8989041726268111</v>
      </c>
      <c r="F28" s="1230">
        <f>'FE Balance Sheet'!G7/(('FE Balance Sheet'!$D$7+'FE Balance Sheet'!$H$7)/2)</f>
        <v>1.3401068505252791</v>
      </c>
      <c r="G28" s="1230">
        <f>'FE Balance Sheet'!H7/(('FE Balance Sheet'!$D$7+'FE Balance Sheet'!$H$7)/2)</f>
        <v>1.6130453730344954</v>
      </c>
      <c r="H28" s="1231">
        <f t="shared" si="5"/>
        <v>0.95056068211030331</v>
      </c>
      <c r="I28" s="111"/>
      <c r="J28" s="80"/>
      <c r="K28" s="80"/>
      <c r="L28" s="80"/>
      <c r="M28" s="80"/>
      <c r="N28" s="80"/>
      <c r="O28" s="80"/>
      <c r="P28" s="80"/>
      <c r="Q28" s="80"/>
      <c r="R28" s="80"/>
      <c r="S28" s="80"/>
      <c r="T28" s="80"/>
    </row>
    <row r="29" spans="1:20" ht="36">
      <c r="A29" s="1218" t="s">
        <v>596</v>
      </c>
      <c r="B29" s="1225"/>
      <c r="C29" s="1230">
        <f>('FE Income Statement'!D5+'FE Income Statement'!D6)/'FE Balance Sheet'!D9</f>
        <v>15.559950906064691</v>
      </c>
      <c r="D29" s="1230">
        <f>('FE Income Statement'!E5+'FE Income Statement'!E6)/'FE Balance Sheet'!E9</f>
        <v>12.601644843846392</v>
      </c>
      <c r="E29" s="1230">
        <f>('FE Income Statement'!F5+'FE Income Statement'!F6)/'FE Balance Sheet'!F9</f>
        <v>12.097578568986162</v>
      </c>
      <c r="F29" s="1230">
        <f>('FE Income Statement'!G5+'FE Income Statement'!G6)/'FE Balance Sheet'!G9</f>
        <v>12.30532507217619</v>
      </c>
      <c r="G29" s="1230">
        <f>('FE Income Statement'!H5+'FE Income Statement'!H6)/'FE Balance Sheet'!H9</f>
        <v>12.579254521422074</v>
      </c>
      <c r="H29" s="1231">
        <f t="shared" si="5"/>
        <v>13.028750782499102</v>
      </c>
      <c r="I29" s="111"/>
      <c r="J29" s="80"/>
      <c r="K29" s="80"/>
      <c r="L29" s="80"/>
      <c r="M29" s="80"/>
      <c r="N29" s="80"/>
      <c r="O29" s="80"/>
      <c r="P29" s="80"/>
      <c r="Q29" s="80"/>
      <c r="R29" s="80"/>
      <c r="S29" s="80"/>
      <c r="T29" s="80"/>
    </row>
    <row r="30" spans="1:20" ht="33" customHeight="1">
      <c r="A30" s="1218" t="s">
        <v>597</v>
      </c>
      <c r="B30" s="1225"/>
      <c r="C30" s="1230">
        <f>('FE Income Statement'!D8)/'FE Balance Sheet'!D9</f>
        <v>88.476103748896364</v>
      </c>
      <c r="D30" s="1230">
        <f>('FE Income Statement'!E8)/'FE Balance Sheet'!E9</f>
        <v>68.334187150449125</v>
      </c>
      <c r="E30" s="1230">
        <f>('FE Income Statement'!F8)/'FE Balance Sheet'!F9</f>
        <v>72.26699273770403</v>
      </c>
      <c r="F30" s="1230">
        <f>('FE Income Statement'!G8)/'FE Balance Sheet'!G9</f>
        <v>73.430758210406296</v>
      </c>
      <c r="G30" s="1230">
        <f>('FE Income Statement'!H8)/'FE Balance Sheet'!H9</f>
        <v>72.629783850199615</v>
      </c>
      <c r="H30" s="1231">
        <f t="shared" si="5"/>
        <v>75.027565139531077</v>
      </c>
      <c r="I30" s="111"/>
      <c r="J30" s="80"/>
      <c r="K30" s="80"/>
      <c r="L30" s="80"/>
      <c r="M30" s="80"/>
      <c r="N30" s="80"/>
      <c r="O30" s="80"/>
      <c r="P30" s="80"/>
      <c r="Q30" s="80"/>
      <c r="R30" s="80"/>
      <c r="S30" s="80"/>
      <c r="T30" s="80"/>
    </row>
    <row r="31" spans="1:20" ht="36">
      <c r="A31" s="1218" t="s">
        <v>598</v>
      </c>
      <c r="B31" s="1225"/>
      <c r="C31" s="1230">
        <f>'FE Balance Sheet'!D21/(('FE Balance Sheet'!$D$21+'FE Balance Sheet'!$H$21)/2)</f>
        <v>0.37447127535287639</v>
      </c>
      <c r="D31" s="1230">
        <f>'FE Balance Sheet'!E21/(('FE Balance Sheet'!$D$21+'FE Balance Sheet'!$H$21)/2)</f>
        <v>0.50604485386688458</v>
      </c>
      <c r="E31" s="1230">
        <f>'FE Balance Sheet'!F21/(('FE Balance Sheet'!$D$21+'FE Balance Sheet'!$H$21)/2)</f>
        <v>0.87816710381118035</v>
      </c>
      <c r="F31" s="1230">
        <f>'FE Balance Sheet'!G21/(('FE Balance Sheet'!$D$21+'FE Balance Sheet'!$H$21)/2)</f>
        <v>1.3357261968937584</v>
      </c>
      <c r="G31" s="1230">
        <f>'FE Balance Sheet'!H21/(('FE Balance Sheet'!$D$21+'FE Balance Sheet'!$H$21)/2)</f>
        <v>1.6255287246471235</v>
      </c>
      <c r="H31" s="1231">
        <f t="shared" si="5"/>
        <v>0.94398763091436455</v>
      </c>
      <c r="I31" s="111"/>
      <c r="J31" s="80"/>
      <c r="K31" s="80"/>
      <c r="L31" s="80"/>
      <c r="M31" s="80"/>
      <c r="N31" s="80"/>
      <c r="O31" s="80"/>
      <c r="P31" s="80"/>
      <c r="Q31" s="80"/>
      <c r="R31" s="80"/>
      <c r="S31" s="80"/>
      <c r="T31" s="80"/>
    </row>
    <row r="32" spans="1:20" ht="54">
      <c r="A32" s="1218" t="s">
        <v>599</v>
      </c>
      <c r="B32" s="1225"/>
      <c r="C32" s="1230">
        <f>'FE Income Statement'!D$3/'FE Balance Sheet'!D$17</f>
        <v>15.546084262051892</v>
      </c>
      <c r="D32" s="1230">
        <f>'FE Income Statement'!E$3/'FE Balance Sheet'!E$17</f>
        <v>23.909921573122851</v>
      </c>
      <c r="E32" s="1230">
        <f>'FE Income Statement'!F$3/'FE Balance Sheet'!F$17</f>
        <v>47.817120542891963</v>
      </c>
      <c r="F32" s="1230">
        <f>'FE Income Statement'!G$3/'FE Balance Sheet'!G$17</f>
        <v>87.486000932276497</v>
      </c>
      <c r="G32" s="1230">
        <f>'FE Income Statement'!H$3/'FE Balance Sheet'!H$17</f>
        <v>140.1444511989686</v>
      </c>
      <c r="H32" s="1231">
        <f t="shared" si="5"/>
        <v>62.980715701862366</v>
      </c>
      <c r="I32" s="437"/>
      <c r="J32" s="80"/>
      <c r="K32" s="80"/>
      <c r="L32" s="80"/>
      <c r="M32" s="80"/>
      <c r="N32" s="80"/>
      <c r="O32" s="80"/>
      <c r="P32" s="80"/>
      <c r="Q32" s="80"/>
      <c r="R32" s="80"/>
      <c r="S32" s="80"/>
      <c r="T32" s="80"/>
    </row>
    <row r="33" spans="1:20" ht="33.75" customHeight="1">
      <c r="A33" s="1218" t="s">
        <v>600</v>
      </c>
      <c r="B33" s="1225"/>
      <c r="C33" s="1230">
        <f>'FE Income Statement'!D$3/'FE Balance Sheet'!D$4</f>
        <v>10.293471740335505</v>
      </c>
      <c r="D33" s="1230">
        <f>'FE Income Statement'!E$3/'FE Balance Sheet'!E$4</f>
        <v>10.223579585203272</v>
      </c>
      <c r="E33" s="1230">
        <f>'FE Income Statement'!F$3/'FE Balance Sheet'!F$4</f>
        <v>10.100636571372538</v>
      </c>
      <c r="F33" s="1230">
        <f>'FE Income Statement'!G$3/'FE Balance Sheet'!G$4</f>
        <v>9.9021328305317358</v>
      </c>
      <c r="G33" s="1230">
        <f>'FE Income Statement'!H$3/'FE Balance Sheet'!H$4</f>
        <v>9.859535407371105</v>
      </c>
      <c r="H33" s="1231">
        <f t="shared" ref="H33:H35" si="6">AVERAGE(C33:G33)</f>
        <v>10.07587122696283</v>
      </c>
      <c r="I33" s="111"/>
      <c r="J33" s="80"/>
      <c r="K33" s="80"/>
      <c r="L33" s="80"/>
      <c r="M33" s="80"/>
      <c r="N33" s="80"/>
      <c r="O33" s="80"/>
      <c r="P33" s="80"/>
      <c r="Q33" s="80"/>
      <c r="R33" s="80"/>
      <c r="S33" s="80"/>
      <c r="T33" s="80"/>
    </row>
    <row r="34" spans="1:20" ht="18">
      <c r="A34" s="1218" t="s">
        <v>592</v>
      </c>
      <c r="B34" s="1225"/>
      <c r="C34" s="1232">
        <f>('FE Balance Sheet'!D10-'FE Balance Sheet'!D22)/'FE Balance Sheet'!D18</f>
        <v>0.31155556699333647</v>
      </c>
      <c r="D34" s="1232">
        <f>('FE Balance Sheet'!E10-'FE Balance Sheet'!E22)/'FE Balance Sheet'!E18</f>
        <v>0.3334206645682683</v>
      </c>
      <c r="E34" s="1232">
        <f>('FE Balance Sheet'!F10-'FE Balance Sheet'!F22)/'FE Balance Sheet'!F18</f>
        <v>0.34971060054742026</v>
      </c>
      <c r="F34" s="1232">
        <f>('FE Balance Sheet'!G10-'FE Balance Sheet'!G22)/'FE Balance Sheet'!G18</f>
        <v>0.34331646288220852</v>
      </c>
      <c r="G34" s="1232">
        <f>('FE Balance Sheet'!H10-'FE Balance Sheet'!H22)/'FE Balance Sheet'!H18</f>
        <v>0.33943656951113932</v>
      </c>
      <c r="H34" s="1233">
        <f>AVERAGE(B34:G34)</f>
        <v>0.33548797290047461</v>
      </c>
      <c r="I34" s="111"/>
      <c r="J34" s="80"/>
      <c r="K34" s="80"/>
      <c r="L34" s="80"/>
      <c r="M34" s="80"/>
      <c r="N34" s="80"/>
      <c r="O34" s="80"/>
      <c r="P34" s="80"/>
      <c r="Q34" s="80"/>
      <c r="R34" s="80"/>
      <c r="S34" s="80"/>
      <c r="T34" s="80"/>
    </row>
    <row r="35" spans="1:20" ht="54">
      <c r="A35" s="1218" t="s">
        <v>601</v>
      </c>
      <c r="B35" s="1223"/>
      <c r="C35" s="1223">
        <f>'FE Cash Flow'!D$15/'FE Income Statement'!D$3</f>
        <v>-0.19769358560711611</v>
      </c>
      <c r="D35" s="1223">
        <f>'FE Cash Flow'!E$15/'FE Income Statement'!E$3</f>
        <v>-5.2685970137926148E-2</v>
      </c>
      <c r="E35" s="1223">
        <f>'FE Cash Flow'!F$15/'FE Income Statement'!F$3</f>
        <v>1.5184798860270358E-2</v>
      </c>
      <c r="F35" s="1223">
        <f>'FE Cash Flow'!G$15/'FE Income Statement'!G$3</f>
        <v>7.1764539705988697E-3</v>
      </c>
      <c r="G35" s="1223">
        <f>'FE Cash Flow'!H$15/'FE Income Statement'!H$3</f>
        <v>3.4923567786031978E-2</v>
      </c>
      <c r="H35" s="1224">
        <f t="shared" si="6"/>
        <v>-3.8618947025628216E-2</v>
      </c>
      <c r="I35" s="111"/>
      <c r="J35" s="80"/>
      <c r="K35" s="80"/>
      <c r="L35" s="80"/>
      <c r="M35" s="80"/>
      <c r="N35" s="80"/>
      <c r="O35" s="80"/>
      <c r="P35" s="80"/>
      <c r="Q35" s="80"/>
      <c r="R35" s="80"/>
      <c r="S35" s="80"/>
      <c r="T35" s="80"/>
    </row>
    <row r="36" spans="1:20" ht="54">
      <c r="A36" s="1218" t="s">
        <v>602</v>
      </c>
      <c r="B36" s="1223"/>
      <c r="C36" s="1223">
        <f>'FE Cash Flow'!D$15/('FE Income Statement'!D$4+'FE Income Statement'!D$3)</f>
        <v>-0.10174766683462237</v>
      </c>
      <c r="D36" s="1223">
        <f>'FE Cash Flow'!E$15/('FE Income Statement'!E$4+'FE Income Statement'!E$3)</f>
        <v>-2.6931960436436551E-2</v>
      </c>
      <c r="E36" s="1223">
        <f>'FE Cash Flow'!F$15/('FE Income Statement'!F$4+'FE Income Statement'!F$3)</f>
        <v>7.6688067348491401E-3</v>
      </c>
      <c r="F36" s="1223">
        <f>'FE Cash Flow'!G$15/('FE Income Statement'!G$4+'FE Income Statement'!G$3)</f>
        <v>3.5531100234533451E-3</v>
      </c>
      <c r="G36" s="1223">
        <f>'FE Cash Flow'!H$15/('FE Income Statement'!H$4+'FE Income Statement'!H$3)</f>
        <v>1.7216507656905359E-2</v>
      </c>
      <c r="H36" s="1224">
        <f t="shared" ref="H36:H41" si="7">AVERAGE(B36:G36)</f>
        <v>-2.0048240571170214E-2</v>
      </c>
      <c r="I36" s="111"/>
      <c r="J36" s="80"/>
      <c r="K36" s="80"/>
      <c r="L36" s="80"/>
      <c r="M36" s="80"/>
      <c r="N36" s="80"/>
      <c r="O36" s="80"/>
      <c r="P36" s="80"/>
      <c r="Q36" s="80"/>
      <c r="R36" s="80"/>
      <c r="S36" s="80"/>
      <c r="T36" s="80"/>
    </row>
    <row r="37" spans="1:20" ht="18">
      <c r="A37" s="1218" t="s">
        <v>603</v>
      </c>
      <c r="B37" s="1223">
        <f>'FE Cash Flow'!C29</f>
        <v>1.7000000000000001E-2</v>
      </c>
      <c r="C37" s="1234"/>
      <c r="D37" s="1234"/>
      <c r="E37" s="1234"/>
      <c r="F37" s="1234"/>
      <c r="G37" s="1234"/>
      <c r="H37" s="1224">
        <f t="shared" si="7"/>
        <v>1.7000000000000001E-2</v>
      </c>
      <c r="I37" s="111"/>
      <c r="J37" s="80"/>
      <c r="K37" s="80"/>
      <c r="L37" s="80"/>
      <c r="M37" s="80"/>
      <c r="N37" s="80"/>
      <c r="O37" s="80"/>
      <c r="P37" s="80"/>
      <c r="Q37" s="80"/>
      <c r="R37" s="80"/>
      <c r="S37" s="80"/>
      <c r="T37" s="80"/>
    </row>
    <row r="38" spans="1:20" ht="18">
      <c r="A38" s="1218" t="s">
        <v>604</v>
      </c>
      <c r="B38" s="1234">
        <f>'FE Cash Flow'!$C$27</f>
        <v>2.0099999999999998</v>
      </c>
      <c r="C38" s="1234"/>
      <c r="D38" s="1234"/>
      <c r="E38" s="1234"/>
      <c r="F38" s="1234"/>
      <c r="G38" s="1234"/>
      <c r="H38" s="1235">
        <f t="shared" si="7"/>
        <v>2.0099999999999998</v>
      </c>
      <c r="I38" s="111"/>
      <c r="J38" s="80"/>
      <c r="K38" s="80"/>
      <c r="L38" s="80"/>
      <c r="M38" s="80"/>
      <c r="N38" s="80"/>
      <c r="O38" s="80"/>
      <c r="P38" s="80"/>
      <c r="Q38" s="80"/>
      <c r="R38" s="80"/>
      <c r="S38" s="80"/>
      <c r="T38" s="80"/>
    </row>
    <row r="39" spans="1:20" ht="18">
      <c r="A39" s="1218" t="s">
        <v>605</v>
      </c>
      <c r="B39" s="1223">
        <f>'FE Cash Flow'!C32</f>
        <v>6.7000000000000004E-2</v>
      </c>
      <c r="C39" s="1234"/>
      <c r="D39" s="1234"/>
      <c r="E39" s="1234"/>
      <c r="F39" s="1234"/>
      <c r="G39" s="1234"/>
      <c r="H39" s="1224">
        <f t="shared" si="7"/>
        <v>6.7000000000000004E-2</v>
      </c>
      <c r="I39" s="111"/>
      <c r="J39" s="80"/>
      <c r="K39" s="80"/>
      <c r="L39" s="80"/>
      <c r="M39" s="80"/>
      <c r="N39" s="80"/>
      <c r="O39" s="80"/>
      <c r="P39" s="80"/>
      <c r="Q39" s="80"/>
      <c r="R39" s="80"/>
      <c r="S39" s="80"/>
      <c r="T39" s="80"/>
    </row>
    <row r="40" spans="1:20" ht="36">
      <c r="A40" s="1218" t="s">
        <v>606</v>
      </c>
      <c r="B40" s="1223">
        <f>'FE Cash Flow'!C33</f>
        <v>0.11650000000000001</v>
      </c>
      <c r="C40" s="1234"/>
      <c r="D40" s="1234"/>
      <c r="E40" s="1234"/>
      <c r="F40" s="1234"/>
      <c r="G40" s="1234"/>
      <c r="H40" s="1224">
        <f t="shared" si="7"/>
        <v>0.11650000000000001</v>
      </c>
      <c r="I40" s="111"/>
      <c r="J40" s="80"/>
      <c r="K40" s="80"/>
      <c r="L40" s="80"/>
      <c r="M40" s="80"/>
      <c r="N40" s="80"/>
      <c r="O40" s="80"/>
      <c r="P40" s="80"/>
      <c r="Q40" s="80"/>
      <c r="R40" s="80"/>
      <c r="S40" s="80"/>
      <c r="T40" s="80"/>
    </row>
    <row r="41" spans="1:20" ht="36.4" thickBot="1">
      <c r="A41" s="1236" t="s">
        <v>607</v>
      </c>
      <c r="B41" s="1237">
        <f>B37+(B38*B39)+B40</f>
        <v>0.26816999999999996</v>
      </c>
      <c r="C41" s="1238"/>
      <c r="D41" s="1238"/>
      <c r="E41" s="1238"/>
      <c r="F41" s="1238"/>
      <c r="G41" s="1238"/>
      <c r="H41" s="1239">
        <f t="shared" si="7"/>
        <v>0.26816999999999996</v>
      </c>
      <c r="I41" s="111"/>
      <c r="J41" s="80"/>
      <c r="K41" s="80"/>
      <c r="L41" s="80"/>
      <c r="M41" s="80"/>
      <c r="N41" s="80"/>
      <c r="O41" s="80"/>
      <c r="P41" s="80"/>
      <c r="Q41" s="80"/>
      <c r="R41" s="80"/>
      <c r="S41" s="80"/>
      <c r="T41" s="80"/>
    </row>
    <row r="42" spans="1:20" ht="18.399999999999999" thickBot="1">
      <c r="A42" s="31"/>
      <c r="B42" s="2"/>
      <c r="C42" s="2"/>
      <c r="D42" s="2"/>
      <c r="E42" s="2"/>
      <c r="F42" s="2"/>
      <c r="G42" s="2"/>
      <c r="H42" s="2"/>
      <c r="I42" s="80"/>
      <c r="J42" s="80"/>
      <c r="K42" s="80"/>
      <c r="L42" s="80"/>
      <c r="M42" s="80"/>
      <c r="N42" s="80"/>
      <c r="O42" s="80"/>
      <c r="P42" s="80"/>
      <c r="Q42" s="80"/>
      <c r="R42" s="80"/>
      <c r="S42" s="80"/>
      <c r="T42" s="80"/>
    </row>
    <row r="43" spans="1:20" ht="18">
      <c r="A43" s="1212" t="s">
        <v>951</v>
      </c>
      <c r="B43" s="1213">
        <v>2017</v>
      </c>
      <c r="C43" s="1213">
        <v>2016</v>
      </c>
      <c r="D43" s="1213">
        <v>2015</v>
      </c>
      <c r="E43" s="1213">
        <v>2014</v>
      </c>
      <c r="F43" s="1213">
        <v>2013</v>
      </c>
      <c r="G43" s="1213">
        <v>2012</v>
      </c>
      <c r="H43" s="1240" t="s">
        <v>543</v>
      </c>
      <c r="I43" s="80"/>
      <c r="J43" s="80"/>
      <c r="K43" s="80"/>
      <c r="L43" s="80"/>
      <c r="M43" s="80"/>
      <c r="N43" s="80"/>
      <c r="O43" s="80"/>
      <c r="P43" s="80"/>
      <c r="Q43" s="80"/>
      <c r="R43" s="80"/>
      <c r="S43" s="80"/>
      <c r="T43" s="80"/>
    </row>
    <row r="44" spans="1:20" ht="18">
      <c r="A44" s="1218" t="s">
        <v>544</v>
      </c>
      <c r="B44" s="1241">
        <v>768600000</v>
      </c>
      <c r="C44" s="1223"/>
      <c r="D44" s="1223"/>
      <c r="E44" s="1223"/>
      <c r="F44" s="1223"/>
      <c r="G44" s="1223"/>
      <c r="H44" s="1242">
        <f>AVERAGE(B44:G44)</f>
        <v>768600000</v>
      </c>
      <c r="I44" s="80"/>
      <c r="J44" s="80"/>
      <c r="K44" s="80"/>
      <c r="L44" s="80"/>
      <c r="M44" s="80"/>
      <c r="N44" s="80"/>
      <c r="O44" s="80"/>
      <c r="P44" s="80"/>
      <c r="Q44" s="80"/>
      <c r="R44" s="80"/>
      <c r="S44" s="80"/>
      <c r="T44" s="80"/>
    </row>
    <row r="45" spans="1:20" ht="18">
      <c r="A45" s="1218" t="s">
        <v>545</v>
      </c>
      <c r="B45" s="1243">
        <v>-362800000</v>
      </c>
      <c r="C45" s="1243">
        <v>-92200000</v>
      </c>
      <c r="D45" s="1243">
        <v>336400000</v>
      </c>
      <c r="E45" s="1243">
        <v>161300000</v>
      </c>
      <c r="F45" s="1243">
        <v>-7200000</v>
      </c>
      <c r="G45" s="1241"/>
      <c r="H45" s="1242">
        <f t="shared" ref="H45:H46" si="8">AVERAGE(B45:G45)</f>
        <v>7100000</v>
      </c>
      <c r="I45" s="414"/>
      <c r="J45" s="80"/>
      <c r="K45" s="80"/>
      <c r="L45" s="80"/>
      <c r="M45" s="80"/>
      <c r="N45" s="80"/>
      <c r="O45" s="80"/>
      <c r="P45" s="80"/>
      <c r="Q45" s="80"/>
      <c r="R45" s="80"/>
      <c r="S45" s="80"/>
      <c r="T45" s="80"/>
    </row>
    <row r="46" spans="1:20" ht="18">
      <c r="A46" s="1218" t="s">
        <v>546</v>
      </c>
      <c r="B46" s="1243">
        <v>-317700000</v>
      </c>
      <c r="C46" s="1243">
        <v>-54000000</v>
      </c>
      <c r="D46" s="1243">
        <v>356100000</v>
      </c>
      <c r="E46" s="1243">
        <v>167500000</v>
      </c>
      <c r="F46" s="1243">
        <v>-4200000</v>
      </c>
      <c r="G46" s="1241"/>
      <c r="H46" s="1242">
        <f t="shared" si="8"/>
        <v>29540000</v>
      </c>
      <c r="I46" s="414"/>
      <c r="J46" s="80"/>
      <c r="K46" s="80"/>
      <c r="L46" s="80"/>
      <c r="M46" s="80"/>
      <c r="N46" s="80"/>
      <c r="O46" s="80"/>
      <c r="P46" s="80"/>
      <c r="Q46" s="80"/>
      <c r="R46" s="80"/>
      <c r="S46" s="80"/>
      <c r="T46" s="80"/>
    </row>
    <row r="47" spans="1:20" ht="18">
      <c r="A47" s="1218" t="s">
        <v>547</v>
      </c>
      <c r="B47" s="1244">
        <f t="shared" ref="B47:F48" si="9">$B$44/B45</f>
        <v>-2.1185226019845644</v>
      </c>
      <c r="C47" s="1244">
        <f t="shared" si="9"/>
        <v>-8.3362255965292835</v>
      </c>
      <c r="D47" s="1244">
        <f t="shared" si="9"/>
        <v>2.284780023781213</v>
      </c>
      <c r="E47" s="1244">
        <f t="shared" si="9"/>
        <v>4.765034097954123</v>
      </c>
      <c r="F47" s="1244">
        <f t="shared" si="9"/>
        <v>-106.75</v>
      </c>
      <c r="G47" s="1245"/>
      <c r="H47" s="1231">
        <f>AVERAGE(B47:G47)</f>
        <v>-22.030986815355703</v>
      </c>
      <c r="I47" s="80"/>
      <c r="J47" s="80"/>
      <c r="K47" s="80"/>
      <c r="L47" s="80"/>
      <c r="M47" s="80"/>
      <c r="N47" s="80"/>
      <c r="O47" s="80"/>
      <c r="P47" s="80"/>
      <c r="Q47" s="80"/>
      <c r="R47" s="80"/>
      <c r="S47" s="80"/>
      <c r="T47" s="80"/>
    </row>
    <row r="48" spans="1:20" ht="18">
      <c r="A48" s="1218" t="s">
        <v>548</v>
      </c>
      <c r="B48" s="1244">
        <f t="shared" si="9"/>
        <v>-2.4192634560906514</v>
      </c>
      <c r="C48" s="1244">
        <f t="shared" si="9"/>
        <v>-14.233333333333333</v>
      </c>
      <c r="D48" s="1244">
        <f t="shared" si="9"/>
        <v>2.1583824768323505</v>
      </c>
      <c r="E48" s="1244">
        <f t="shared" si="9"/>
        <v>4.5886567164179102</v>
      </c>
      <c r="F48" s="1244">
        <f t="shared" si="9"/>
        <v>-183</v>
      </c>
      <c r="G48" s="1246"/>
      <c r="H48" s="1231">
        <f>AVERAGE(B48:G48)</f>
        <v>-38.581111519234746</v>
      </c>
      <c r="I48" s="80"/>
      <c r="J48" s="80"/>
      <c r="K48" s="80"/>
      <c r="L48" s="80"/>
      <c r="M48" s="80"/>
      <c r="N48" s="80"/>
      <c r="O48" s="80"/>
      <c r="P48" s="80"/>
      <c r="Q48" s="80"/>
      <c r="R48" s="80"/>
      <c r="S48" s="80"/>
      <c r="T48" s="80"/>
    </row>
    <row r="49" spans="1:20" ht="18">
      <c r="A49" s="1218" t="s">
        <v>428</v>
      </c>
      <c r="B49" s="1247">
        <v>0.14399999999999999</v>
      </c>
      <c r="C49" s="1247">
        <v>3.5000000000000003E-2</v>
      </c>
      <c r="D49" s="1247">
        <v>0.19500000000000001</v>
      </c>
      <c r="E49" s="1247">
        <v>0.23300000000000001</v>
      </c>
      <c r="F49" s="1232"/>
      <c r="G49" s="1232"/>
      <c r="H49" s="1233">
        <f t="shared" ref="H49:H62" si="10">AVERAGE(B49:G49)</f>
        <v>0.15175</v>
      </c>
      <c r="I49" s="80"/>
      <c r="J49" s="80"/>
      <c r="K49" s="80"/>
      <c r="L49" s="80"/>
      <c r="M49" s="80"/>
      <c r="N49" s="80"/>
      <c r="O49" s="80"/>
      <c r="P49" s="80"/>
      <c r="Q49" s="80"/>
      <c r="R49" s="80"/>
      <c r="S49" s="80"/>
      <c r="T49" s="80"/>
    </row>
    <row r="50" spans="1:20" ht="18">
      <c r="A50" s="1218" t="s">
        <v>425</v>
      </c>
      <c r="B50" s="1248">
        <v>-0.38800000000000001</v>
      </c>
      <c r="C50" s="1248">
        <v>-0.104</v>
      </c>
      <c r="D50" s="1248">
        <v>0.308</v>
      </c>
      <c r="E50" s="1248">
        <v>1.591</v>
      </c>
      <c r="F50" s="1249"/>
      <c r="G50" s="1249"/>
      <c r="H50" s="1233">
        <f t="shared" si="10"/>
        <v>0.35175000000000001</v>
      </c>
      <c r="I50" s="80"/>
      <c r="J50" s="95"/>
      <c r="K50" s="82"/>
      <c r="L50" s="82"/>
      <c r="M50" s="82"/>
      <c r="N50" s="82"/>
      <c r="O50" s="82"/>
      <c r="P50" s="82"/>
      <c r="Q50" s="82"/>
      <c r="R50" s="80"/>
      <c r="S50" s="80"/>
      <c r="T50" s="80"/>
    </row>
    <row r="51" spans="1:20" ht="18">
      <c r="A51" s="1218" t="s">
        <v>430</v>
      </c>
      <c r="B51" s="1248">
        <v>-0.23400000000000001</v>
      </c>
      <c r="C51" s="1248">
        <v>-4.7E-2</v>
      </c>
      <c r="D51" s="1248">
        <v>9.5000000000000001E-2</v>
      </c>
      <c r="E51" s="1248">
        <v>0.17699999999999999</v>
      </c>
      <c r="F51" s="1248">
        <v>-0.19</v>
      </c>
      <c r="G51" s="1248">
        <v>-5.5E-2</v>
      </c>
      <c r="H51" s="1233">
        <f t="shared" si="10"/>
        <v>-4.2333333333333341E-2</v>
      </c>
      <c r="I51" s="80"/>
      <c r="J51" s="95"/>
      <c r="K51" s="95"/>
      <c r="L51" s="95"/>
      <c r="M51" s="95"/>
      <c r="N51" s="95"/>
      <c r="O51" s="95"/>
      <c r="P51" s="443"/>
      <c r="Q51" s="443"/>
      <c r="R51" s="80"/>
      <c r="S51" s="80"/>
      <c r="T51" s="80"/>
    </row>
    <row r="52" spans="1:20" ht="18">
      <c r="A52" s="1250" t="s">
        <v>416</v>
      </c>
      <c r="B52" s="1251">
        <v>0.36299999999999999</v>
      </c>
      <c r="C52" s="1251">
        <v>0.39900000000000002</v>
      </c>
      <c r="D52" s="1251">
        <v>0.48499999999999999</v>
      </c>
      <c r="E52" s="1251">
        <v>0.48</v>
      </c>
      <c r="F52" s="1251">
        <v>0.22900000000000001</v>
      </c>
      <c r="G52" s="1251">
        <v>0.34899999999999998</v>
      </c>
      <c r="H52" s="1224">
        <f t="shared" si="10"/>
        <v>0.3841666666666666</v>
      </c>
      <c r="I52" s="80"/>
      <c r="J52" s="448"/>
      <c r="K52" s="449"/>
      <c r="L52" s="80"/>
      <c r="M52" s="80"/>
      <c r="N52" s="80"/>
      <c r="O52" s="80"/>
      <c r="P52" s="80"/>
      <c r="Q52" s="82"/>
      <c r="R52" s="80"/>
      <c r="S52" s="80"/>
      <c r="T52" s="80"/>
    </row>
    <row r="53" spans="1:20" ht="18">
      <c r="A53" s="1252" t="s">
        <v>413</v>
      </c>
      <c r="B53" s="1253">
        <f t="shared" ref="B53:G53" si="11">1-B52</f>
        <v>0.63700000000000001</v>
      </c>
      <c r="C53" s="1253">
        <f t="shared" si="11"/>
        <v>0.60099999999999998</v>
      </c>
      <c r="D53" s="1253">
        <f t="shared" si="11"/>
        <v>0.51500000000000001</v>
      </c>
      <c r="E53" s="1253">
        <f t="shared" si="11"/>
        <v>0.52</v>
      </c>
      <c r="F53" s="1253">
        <f t="shared" si="11"/>
        <v>0.77100000000000002</v>
      </c>
      <c r="G53" s="1253">
        <f t="shared" si="11"/>
        <v>0.65100000000000002</v>
      </c>
      <c r="H53" s="1224">
        <f t="shared" si="10"/>
        <v>0.61583333333333334</v>
      </c>
      <c r="I53" s="80"/>
      <c r="J53" s="448"/>
      <c r="K53" s="449"/>
      <c r="L53" s="80"/>
      <c r="M53" s="80"/>
      <c r="N53" s="80"/>
      <c r="O53" s="80"/>
      <c r="P53" s="80"/>
      <c r="Q53" s="82"/>
      <c r="R53" s="80"/>
      <c r="S53" s="80"/>
      <c r="T53" s="80"/>
    </row>
    <row r="54" spans="1:20" ht="18">
      <c r="A54" s="1254" t="s">
        <v>449</v>
      </c>
      <c r="B54" s="1251">
        <v>0.379</v>
      </c>
      <c r="C54" s="1251">
        <v>0.29399999999999998</v>
      </c>
      <c r="D54" s="1251">
        <v>0.223</v>
      </c>
      <c r="E54" s="1251">
        <v>0.191</v>
      </c>
      <c r="F54" s="1251">
        <v>0.152</v>
      </c>
      <c r="G54" s="1251">
        <v>0.186</v>
      </c>
      <c r="H54" s="1224">
        <f t="shared" si="10"/>
        <v>0.23749999999999996</v>
      </c>
      <c r="I54" s="80"/>
      <c r="J54" s="448"/>
      <c r="K54" s="449"/>
      <c r="L54" s="80"/>
      <c r="M54" s="80"/>
      <c r="N54" s="80"/>
      <c r="O54" s="80"/>
      <c r="P54" s="80"/>
      <c r="Q54" s="82"/>
      <c r="R54" s="80"/>
      <c r="S54" s="80"/>
      <c r="T54" s="80"/>
    </row>
    <row r="55" spans="1:20" ht="36">
      <c r="A55" s="1250" t="s">
        <v>422</v>
      </c>
      <c r="B55" s="1255"/>
      <c r="C55" s="1251">
        <v>0.22645770914957364</v>
      </c>
      <c r="D55" s="1251">
        <v>0.17906350914962324</v>
      </c>
      <c r="E55" s="1251">
        <v>0.15025489669975853</v>
      </c>
      <c r="F55" s="1251">
        <v>9.8856510512725926E-2</v>
      </c>
      <c r="G55" s="1251">
        <v>0.13350785340314134</v>
      </c>
      <c r="H55" s="1224">
        <f t="shared" si="10"/>
        <v>0.15762809578296452</v>
      </c>
      <c r="I55" s="80"/>
      <c r="J55" s="448"/>
      <c r="K55" s="449"/>
      <c r="L55" s="80"/>
      <c r="M55" s="80"/>
      <c r="N55" s="80"/>
      <c r="O55" s="80"/>
      <c r="P55" s="80"/>
      <c r="Q55" s="82"/>
      <c r="R55" s="80"/>
      <c r="S55" s="80"/>
      <c r="T55" s="80"/>
    </row>
    <row r="56" spans="1:20" ht="18">
      <c r="A56" s="1250" t="s">
        <v>864</v>
      </c>
      <c r="B56" s="1247">
        <v>0.16126042632066728</v>
      </c>
      <c r="C56" s="1247">
        <v>0.22023507720672966</v>
      </c>
      <c r="D56" s="1247">
        <v>0.25258342303552206</v>
      </c>
      <c r="E56" s="1247">
        <v>0.32049906090689562</v>
      </c>
      <c r="F56" s="1247">
        <v>0.29730726669125779</v>
      </c>
      <c r="G56" s="1247"/>
      <c r="H56" s="1256">
        <f>AVERAGE(B56:G56)</f>
        <v>0.25037705083221445</v>
      </c>
      <c r="I56" s="80"/>
      <c r="J56" s="448"/>
      <c r="K56" s="449"/>
      <c r="L56" s="80"/>
      <c r="M56" s="80"/>
      <c r="N56" s="80"/>
      <c r="O56" s="80"/>
      <c r="P56" s="80"/>
      <c r="Q56" s="82"/>
      <c r="R56" s="80"/>
      <c r="S56" s="80"/>
      <c r="T56" s="80"/>
    </row>
    <row r="57" spans="1:20" ht="18">
      <c r="A57" s="1250" t="s">
        <v>863</v>
      </c>
      <c r="B57" s="1251">
        <v>0.17318327350344426</v>
      </c>
      <c r="C57" s="1251">
        <v>0.24053349685727429</v>
      </c>
      <c r="D57" s="1251">
        <v>0.27254676559724111</v>
      </c>
      <c r="E57" s="1251">
        <v>0.50464156781846303</v>
      </c>
      <c r="F57" s="1251">
        <v>0.33907221425155432</v>
      </c>
      <c r="G57" s="1251"/>
      <c r="H57" s="1256">
        <f>AVERAGE(B57:G57)</f>
        <v>0.30599546360559537</v>
      </c>
      <c r="I57" s="80"/>
      <c r="J57" s="448"/>
      <c r="K57" s="449"/>
      <c r="L57" s="80"/>
      <c r="M57" s="80"/>
      <c r="N57" s="80"/>
      <c r="O57" s="80"/>
      <c r="P57" s="80"/>
      <c r="Q57" s="80"/>
      <c r="R57" s="80"/>
      <c r="S57" s="80"/>
      <c r="T57" s="80"/>
    </row>
    <row r="58" spans="1:20" ht="18">
      <c r="A58" s="1218" t="s">
        <v>569</v>
      </c>
      <c r="B58" s="1257">
        <f>261/1618.5*'FE Assumptions'!$B$73</f>
        <v>58.860055607043556</v>
      </c>
      <c r="C58" s="1257">
        <f>261/1618.5*'FE Assumptions'!$B$73</f>
        <v>58.860055607043556</v>
      </c>
      <c r="D58" s="1257">
        <f>261/1618.5*'FE Assumptions'!$B$73</f>
        <v>58.860055607043556</v>
      </c>
      <c r="E58" s="1257">
        <f>261/1618.5*'FE Assumptions'!$B$73</f>
        <v>58.860055607043556</v>
      </c>
      <c r="F58" s="1257">
        <f>261/1618.5*'FE Assumptions'!$B$73</f>
        <v>58.860055607043556</v>
      </c>
      <c r="G58" s="1257">
        <f>261/1618.5*'FE Assumptions'!$B$73</f>
        <v>58.860055607043556</v>
      </c>
      <c r="H58" s="1228">
        <f t="shared" si="10"/>
        <v>58.860055607043556</v>
      </c>
      <c r="I58" s="80"/>
      <c r="J58" s="448"/>
      <c r="K58" s="449"/>
      <c r="L58" s="80"/>
      <c r="M58" s="80"/>
      <c r="N58" s="80"/>
      <c r="O58" s="80"/>
      <c r="P58" s="80"/>
      <c r="Q58" s="80"/>
      <c r="R58" s="80"/>
      <c r="S58" s="80"/>
      <c r="T58" s="80"/>
    </row>
    <row r="59" spans="1:20" ht="18">
      <c r="A59" s="1218" t="s">
        <v>575</v>
      </c>
      <c r="B59" s="1258">
        <f>0.173183273503444*'FE Assumptions'!$B$73</f>
        <v>63.21189482875706</v>
      </c>
      <c r="C59" s="1258">
        <f>0.173183273503444*'FE Assumptions'!$B$73</f>
        <v>63.21189482875706</v>
      </c>
      <c r="D59" s="1258">
        <f>0.173183273503444*'FE Assumptions'!$B$73</f>
        <v>63.21189482875706</v>
      </c>
      <c r="E59" s="1258">
        <f>0.173183273503444*'FE Assumptions'!$B$73</f>
        <v>63.21189482875706</v>
      </c>
      <c r="F59" s="1258">
        <f>0.173183273503444*'FE Assumptions'!$B$73</f>
        <v>63.21189482875706</v>
      </c>
      <c r="G59" s="1258">
        <f>0.173183273503444*'FE Assumptions'!$B$73</f>
        <v>63.21189482875706</v>
      </c>
      <c r="H59" s="1228">
        <f t="shared" si="10"/>
        <v>63.21189482875706</v>
      </c>
      <c r="I59" s="414"/>
      <c r="J59" s="95"/>
      <c r="K59" s="449"/>
      <c r="L59" s="80"/>
      <c r="M59" s="80"/>
      <c r="N59" s="80"/>
      <c r="O59" s="80"/>
      <c r="P59" s="80"/>
      <c r="Q59" s="80"/>
      <c r="R59" s="80"/>
      <c r="S59" s="80"/>
      <c r="T59" s="80"/>
    </row>
    <row r="60" spans="1:20" ht="18">
      <c r="A60" s="1218" t="s">
        <v>585</v>
      </c>
      <c r="B60" s="1227">
        <v>62.5</v>
      </c>
      <c r="C60" s="1227">
        <v>57.3</v>
      </c>
      <c r="D60" s="1227">
        <v>55.9</v>
      </c>
      <c r="E60" s="1227">
        <v>80.7</v>
      </c>
      <c r="F60" s="1227"/>
      <c r="G60" s="1227"/>
      <c r="H60" s="1228">
        <f t="shared" si="10"/>
        <v>64.099999999999994</v>
      </c>
      <c r="I60" s="414"/>
      <c r="J60" s="448"/>
      <c r="K60" s="449"/>
      <c r="L60" s="80"/>
      <c r="M60" s="80"/>
      <c r="N60" s="80"/>
      <c r="O60" s="80"/>
      <c r="P60" s="80"/>
      <c r="Q60" s="80"/>
      <c r="R60" s="80"/>
      <c r="S60" s="80"/>
      <c r="T60" s="80"/>
    </row>
    <row r="61" spans="1:20" ht="18">
      <c r="A61" s="1218" t="s">
        <v>590</v>
      </c>
      <c r="B61" s="1230">
        <v>1.8</v>
      </c>
      <c r="C61" s="1230">
        <v>1.6</v>
      </c>
      <c r="D61" s="1230">
        <v>2.2000000000000002</v>
      </c>
      <c r="E61" s="1230">
        <v>0.9</v>
      </c>
      <c r="F61" s="1230">
        <v>0.8</v>
      </c>
      <c r="G61" s="1230"/>
      <c r="H61" s="1231">
        <f t="shared" si="10"/>
        <v>1.4600000000000002</v>
      </c>
      <c r="I61" s="80"/>
      <c r="J61" s="465"/>
      <c r="K61" s="466"/>
      <c r="L61" s="467"/>
      <c r="M61" s="468"/>
      <c r="N61" s="468"/>
      <c r="O61" s="80"/>
      <c r="P61" s="80"/>
      <c r="Q61" s="80"/>
      <c r="R61" s="80"/>
      <c r="S61" s="80"/>
      <c r="T61" s="80"/>
    </row>
    <row r="62" spans="1:20" ht="18">
      <c r="A62" s="1218" t="s">
        <v>591</v>
      </c>
      <c r="B62" s="1230">
        <v>2.2000000000000002</v>
      </c>
      <c r="C62" s="1230">
        <v>1.9</v>
      </c>
      <c r="D62" s="1230">
        <v>2.7</v>
      </c>
      <c r="E62" s="1230">
        <v>1.2</v>
      </c>
      <c r="F62" s="1230">
        <v>1.1000000000000001</v>
      </c>
      <c r="G62" s="1230"/>
      <c r="H62" s="1231">
        <f t="shared" si="10"/>
        <v>1.8199999999999998</v>
      </c>
      <c r="I62" s="80"/>
      <c r="J62" s="465"/>
      <c r="K62" s="466"/>
      <c r="L62" s="467"/>
      <c r="M62" s="468"/>
      <c r="N62" s="468"/>
      <c r="O62" s="80"/>
      <c r="P62" s="80"/>
      <c r="Q62" s="80"/>
      <c r="R62" s="80"/>
      <c r="S62" s="80"/>
      <c r="T62" s="80"/>
    </row>
    <row r="63" spans="1:20" ht="18">
      <c r="A63" s="1218" t="s">
        <v>623</v>
      </c>
      <c r="B63" s="1230">
        <v>1</v>
      </c>
      <c r="C63" s="1230">
        <v>1.3</v>
      </c>
      <c r="D63" s="1230">
        <v>1.7</v>
      </c>
      <c r="E63" s="1230">
        <v>1.7</v>
      </c>
      <c r="F63" s="1230"/>
      <c r="G63" s="1230"/>
      <c r="H63" s="1231">
        <f t="shared" ref="H63:H64" si="12">AVERAGE(B63:D63)</f>
        <v>1.3333333333333333</v>
      </c>
      <c r="I63" s="80"/>
      <c r="J63" s="448"/>
      <c r="K63" s="449"/>
      <c r="L63" s="80"/>
      <c r="M63" s="80"/>
      <c r="N63" s="80"/>
      <c r="O63" s="80"/>
      <c r="P63" s="80"/>
      <c r="Q63" s="80"/>
      <c r="R63" s="80"/>
      <c r="S63" s="80"/>
      <c r="T63" s="80"/>
    </row>
    <row r="64" spans="1:20" ht="18">
      <c r="A64" s="1218" t="s">
        <v>595</v>
      </c>
      <c r="B64" s="1259">
        <v>4.5</v>
      </c>
      <c r="C64" s="1259">
        <v>4.5999999999999996</v>
      </c>
      <c r="D64" s="1260">
        <v>5.2</v>
      </c>
      <c r="E64" s="1260">
        <v>4.7</v>
      </c>
      <c r="F64" s="1230"/>
      <c r="G64" s="1230"/>
      <c r="H64" s="1261">
        <f t="shared" si="12"/>
        <v>4.7666666666666666</v>
      </c>
      <c r="I64" s="80"/>
      <c r="J64" s="448"/>
      <c r="K64" s="449"/>
      <c r="L64" s="80"/>
      <c r="M64" s="80"/>
      <c r="N64" s="80"/>
      <c r="O64" s="80"/>
      <c r="P64" s="80"/>
      <c r="Q64" s="80"/>
      <c r="R64" s="80"/>
      <c r="S64" s="80"/>
      <c r="T64" s="80"/>
    </row>
    <row r="65" spans="1:20" ht="18">
      <c r="A65" s="1218" t="s">
        <v>451</v>
      </c>
      <c r="B65" s="1244">
        <v>5.8</v>
      </c>
      <c r="C65" s="1244">
        <v>6.4</v>
      </c>
      <c r="D65" s="1244">
        <v>6.5</v>
      </c>
      <c r="E65" s="1244">
        <v>4.5</v>
      </c>
      <c r="F65" s="1230"/>
      <c r="G65" s="1230"/>
      <c r="H65" s="1262">
        <f t="shared" ref="H65:H71" si="13">AVERAGE(B65:G65)</f>
        <v>5.8</v>
      </c>
      <c r="I65" s="80"/>
      <c r="J65" s="95"/>
      <c r="K65" s="80"/>
      <c r="L65" s="80"/>
      <c r="M65" s="80"/>
      <c r="N65" s="80"/>
      <c r="O65" s="80"/>
      <c r="P65" s="80"/>
      <c r="Q65" s="80"/>
      <c r="R65" s="80"/>
      <c r="S65" s="80"/>
      <c r="T65" s="80"/>
    </row>
    <row r="66" spans="1:20" ht="36">
      <c r="A66" s="1218" t="s">
        <v>598</v>
      </c>
      <c r="B66" s="1230">
        <v>1.4314354450681637</v>
      </c>
      <c r="C66" s="1230">
        <v>2.516439454691259</v>
      </c>
      <c r="D66" s="1230">
        <v>2.0914194065757821</v>
      </c>
      <c r="E66" s="1230">
        <v>1.5693664795509221</v>
      </c>
      <c r="F66" s="1230">
        <v>0.56856455493183644</v>
      </c>
      <c r="G66" s="1230">
        <v>0</v>
      </c>
      <c r="H66" s="1231">
        <v>1.3628708901363271</v>
      </c>
      <c r="I66" s="80"/>
      <c r="J66" s="80"/>
      <c r="K66" s="80"/>
      <c r="L66" s="80"/>
      <c r="M66" s="80"/>
      <c r="N66" s="80"/>
      <c r="O66" s="80"/>
      <c r="P66" s="80"/>
      <c r="Q66" s="80"/>
      <c r="R66" s="80"/>
      <c r="S66" s="80"/>
      <c r="T66" s="80"/>
    </row>
    <row r="67" spans="1:20" ht="36">
      <c r="A67" s="1218" t="s">
        <v>629</v>
      </c>
      <c r="B67" s="1230">
        <v>11.677489177489178</v>
      </c>
      <c r="C67" s="1230">
        <v>18.718723037100947</v>
      </c>
      <c r="D67" s="1230">
        <v>25.769764216366159</v>
      </c>
      <c r="E67" s="1230">
        <v>20.591160220994475</v>
      </c>
      <c r="F67" s="1230">
        <v>25.336448598130843</v>
      </c>
      <c r="G67" s="1230"/>
      <c r="H67" s="1231">
        <f t="shared" si="13"/>
        <v>20.418717050016319</v>
      </c>
      <c r="I67" s="414"/>
      <c r="J67" s="476"/>
      <c r="K67" s="476"/>
      <c r="L67" s="476"/>
      <c r="M67" s="477"/>
      <c r="N67" s="477"/>
      <c r="O67" s="477"/>
      <c r="P67" s="80"/>
      <c r="Q67" s="80"/>
      <c r="R67" s="80"/>
      <c r="S67" s="80"/>
      <c r="T67" s="80"/>
    </row>
    <row r="68" spans="1:20" ht="18" customHeight="1">
      <c r="A68" s="1218" t="s">
        <v>631</v>
      </c>
      <c r="B68" s="1230">
        <v>5.7659422871392945</v>
      </c>
      <c r="C68" s="1230">
        <v>7.2004646531695977</v>
      </c>
      <c r="D68" s="1230">
        <v>3.4677118327734231</v>
      </c>
      <c r="E68" s="1230">
        <v>3.8108384458077711</v>
      </c>
      <c r="F68" s="1230">
        <v>3.3182374541003674</v>
      </c>
      <c r="G68" s="1230"/>
      <c r="H68" s="1231">
        <f t="shared" si="13"/>
        <v>4.7126389345980915</v>
      </c>
      <c r="I68" s="414"/>
      <c r="J68" s="477"/>
      <c r="K68" s="477"/>
      <c r="L68" s="477"/>
      <c r="M68" s="477"/>
      <c r="N68" s="479"/>
      <c r="O68" s="80"/>
      <c r="P68" s="80"/>
      <c r="Q68" s="80"/>
      <c r="R68" s="80"/>
      <c r="S68" s="80"/>
      <c r="T68" s="80"/>
    </row>
    <row r="69" spans="1:20" ht="18">
      <c r="A69" s="1218" t="s">
        <v>592</v>
      </c>
      <c r="B69" s="1232">
        <v>0.84744947064485088</v>
      </c>
      <c r="C69" s="1232">
        <v>0.8134270959235248</v>
      </c>
      <c r="D69" s="1232">
        <v>0.89223882562043322</v>
      </c>
      <c r="E69" s="1232">
        <v>0.88959090191123047</v>
      </c>
      <c r="F69" s="1232">
        <v>0.97183708838821492</v>
      </c>
      <c r="G69" s="1232"/>
      <c r="H69" s="1233">
        <f>AVERAGE(B69:G69)</f>
        <v>0.88290867649765092</v>
      </c>
      <c r="I69" s="414"/>
      <c r="J69" s="477"/>
      <c r="K69" s="477"/>
      <c r="L69" s="477"/>
      <c r="M69" s="477"/>
      <c r="N69" s="479"/>
      <c r="O69" s="80"/>
      <c r="P69" s="80"/>
      <c r="Q69" s="80"/>
      <c r="R69" s="80"/>
      <c r="S69" s="80"/>
      <c r="T69" s="80"/>
    </row>
    <row r="70" spans="1:20" ht="18">
      <c r="A70" s="1218" t="s">
        <v>646</v>
      </c>
      <c r="B70" s="1248">
        <v>-4.581151832460733E-2</v>
      </c>
      <c r="C70" s="1248">
        <v>-0.86499446698635185</v>
      </c>
      <c r="D70" s="1248">
        <v>0.45639924872551652</v>
      </c>
      <c r="E70" s="1248">
        <v>6.1302475780409045E-2</v>
      </c>
      <c r="F70" s="1248">
        <v>3.1620188983636777E-2</v>
      </c>
      <c r="G70" s="1248">
        <v>-9.8856966326845851E-4</v>
      </c>
      <c r="H70" s="1233">
        <f t="shared" si="13"/>
        <v>-6.041210691411087E-2</v>
      </c>
      <c r="I70" s="80"/>
      <c r="J70" s="80"/>
      <c r="K70" s="80"/>
      <c r="L70" s="80"/>
      <c r="M70" s="80"/>
      <c r="N70" s="80"/>
      <c r="O70" s="80"/>
      <c r="P70" s="80"/>
      <c r="Q70" s="80"/>
      <c r="R70" s="80"/>
      <c r="S70" s="80"/>
      <c r="T70" s="80"/>
    </row>
    <row r="71" spans="1:20" ht="18.399999999999999" thickBot="1">
      <c r="A71" s="1236" t="s">
        <v>604</v>
      </c>
      <c r="B71" s="1238">
        <f>'FE Cash Flow'!C25</f>
        <v>2.52</v>
      </c>
      <c r="C71" s="1238"/>
      <c r="D71" s="1238"/>
      <c r="E71" s="1238"/>
      <c r="F71" s="1238"/>
      <c r="G71" s="1238"/>
      <c r="H71" s="1263">
        <f t="shared" si="13"/>
        <v>2.52</v>
      </c>
      <c r="I71" s="80"/>
      <c r="J71" s="80"/>
      <c r="K71" s="80"/>
      <c r="L71" s="80"/>
      <c r="M71" s="80"/>
      <c r="N71" s="80"/>
      <c r="O71" s="80"/>
      <c r="P71" s="80"/>
      <c r="Q71" s="80"/>
      <c r="R71" s="80"/>
      <c r="S71" s="80"/>
      <c r="T71" s="80"/>
    </row>
    <row r="72" spans="1:20" ht="18.399999999999999" thickBot="1">
      <c r="A72" s="1264"/>
      <c r="B72" s="1265"/>
      <c r="C72" s="1265"/>
      <c r="D72" s="1265"/>
      <c r="E72" s="1265"/>
      <c r="F72" s="1265"/>
      <c r="G72" s="1265"/>
      <c r="H72" s="1108"/>
      <c r="I72" s="80"/>
      <c r="J72" s="80"/>
      <c r="K72" s="80"/>
      <c r="L72" s="80"/>
      <c r="M72" s="80"/>
      <c r="N72" s="80"/>
      <c r="O72" s="80"/>
      <c r="P72" s="80"/>
      <c r="Q72" s="80"/>
      <c r="R72" s="80"/>
      <c r="S72" s="80"/>
      <c r="T72" s="80"/>
    </row>
    <row r="73" spans="1:20" ht="18">
      <c r="A73" s="1212" t="s">
        <v>634</v>
      </c>
      <c r="B73" s="1213">
        <v>2017</v>
      </c>
      <c r="C73" s="1213">
        <v>2016</v>
      </c>
      <c r="D73" s="1213">
        <v>2015</v>
      </c>
      <c r="E73" s="1213">
        <v>2014</v>
      </c>
      <c r="F73" s="1213">
        <v>2013</v>
      </c>
      <c r="G73" s="1213">
        <v>2012</v>
      </c>
      <c r="H73" s="1240" t="s">
        <v>543</v>
      </c>
      <c r="I73" s="414"/>
      <c r="J73" s="448"/>
      <c r="K73" s="449"/>
      <c r="L73" s="482"/>
      <c r="M73" s="482"/>
      <c r="N73" s="482"/>
      <c r="O73" s="482"/>
      <c r="P73" s="482"/>
      <c r="Q73" s="482"/>
      <c r="R73" s="80"/>
      <c r="S73" s="80"/>
      <c r="T73" s="80"/>
    </row>
    <row r="74" spans="1:20" ht="18">
      <c r="A74" s="1218" t="s">
        <v>544</v>
      </c>
      <c r="B74" s="1219">
        <v>10245600</v>
      </c>
      <c r="C74" s="1219"/>
      <c r="D74" s="1219"/>
      <c r="E74" s="1219"/>
      <c r="F74" s="1219"/>
      <c r="G74" s="1219"/>
      <c r="H74" s="1220">
        <f t="shared" ref="H74:H100" si="14">AVERAGE(B74:G74)</f>
        <v>10245600</v>
      </c>
      <c r="I74" s="414"/>
      <c r="J74" s="448"/>
      <c r="K74" s="449"/>
      <c r="L74" s="482"/>
      <c r="M74" s="482"/>
      <c r="N74" s="482"/>
      <c r="O74" s="482"/>
      <c r="P74" s="482"/>
      <c r="Q74" s="482"/>
      <c r="R74" s="80"/>
      <c r="S74" s="80"/>
      <c r="T74" s="80"/>
    </row>
    <row r="75" spans="1:20" ht="18">
      <c r="A75" s="1218" t="s">
        <v>545</v>
      </c>
      <c r="B75" s="1266">
        <v>649300000</v>
      </c>
      <c r="C75" s="1266">
        <v>623900000</v>
      </c>
      <c r="D75" s="1266">
        <v>549600000</v>
      </c>
      <c r="E75" s="1266">
        <v>690600000</v>
      </c>
      <c r="F75" s="1266">
        <v>574000000</v>
      </c>
      <c r="G75" s="1267"/>
      <c r="H75" s="1220">
        <f t="shared" si="14"/>
        <v>617480000</v>
      </c>
      <c r="I75" s="414"/>
      <c r="J75" s="448"/>
      <c r="K75" s="449"/>
      <c r="L75" s="482"/>
      <c r="M75" s="482"/>
      <c r="N75" s="482"/>
      <c r="O75" s="482"/>
      <c r="P75" s="482"/>
      <c r="Q75" s="482"/>
      <c r="R75" s="80"/>
      <c r="S75" s="80"/>
      <c r="T75" s="80"/>
    </row>
    <row r="76" spans="1:20" ht="18">
      <c r="A76" s="1218" t="s">
        <v>546</v>
      </c>
      <c r="B76" s="1266">
        <v>736800000</v>
      </c>
      <c r="C76" s="1266">
        <v>710200000</v>
      </c>
      <c r="D76" s="1266">
        <v>627900000</v>
      </c>
      <c r="E76" s="1266">
        <v>767600000</v>
      </c>
      <c r="F76" s="1266">
        <v>652800000</v>
      </c>
      <c r="G76" s="1266"/>
      <c r="H76" s="1268">
        <f t="shared" si="14"/>
        <v>699060000</v>
      </c>
      <c r="I76" s="414"/>
      <c r="J76" s="448"/>
      <c r="K76" s="449"/>
      <c r="L76" s="482"/>
      <c r="M76" s="482"/>
      <c r="N76" s="482"/>
      <c r="O76" s="482"/>
      <c r="P76" s="482"/>
      <c r="Q76" s="482"/>
      <c r="R76" s="80"/>
      <c r="S76" s="80"/>
      <c r="T76" s="80"/>
    </row>
    <row r="77" spans="1:20" ht="18">
      <c r="A77" s="1218" t="s">
        <v>547</v>
      </c>
      <c r="B77" s="1230">
        <v>14.9</v>
      </c>
      <c r="C77" s="1230">
        <v>15.23</v>
      </c>
      <c r="D77" s="1230">
        <v>15.59</v>
      </c>
      <c r="E77" s="1230">
        <v>15.8</v>
      </c>
      <c r="F77" s="1230">
        <v>16.5</v>
      </c>
      <c r="G77" s="1230"/>
      <c r="H77" s="1231">
        <f t="shared" si="14"/>
        <v>15.603999999999999</v>
      </c>
      <c r="I77" s="80"/>
      <c r="J77" s="448"/>
      <c r="K77" s="449"/>
      <c r="L77" s="80"/>
      <c r="M77" s="80"/>
      <c r="N77" s="80"/>
      <c r="O77" s="80"/>
      <c r="P77" s="80"/>
      <c r="Q77" s="80"/>
      <c r="R77" s="80"/>
      <c r="S77" s="80"/>
      <c r="T77" s="80"/>
    </row>
    <row r="78" spans="1:20" ht="18">
      <c r="A78" s="1218" t="s">
        <v>548</v>
      </c>
      <c r="B78" s="1230">
        <v>13.16</v>
      </c>
      <c r="C78" s="1230">
        <v>13.33</v>
      </c>
      <c r="D78" s="1230">
        <v>13.61</v>
      </c>
      <c r="E78" s="1230">
        <v>13.9</v>
      </c>
      <c r="F78" s="1230">
        <v>14.5</v>
      </c>
      <c r="G78" s="1230"/>
      <c r="H78" s="1231">
        <f t="shared" si="14"/>
        <v>13.7</v>
      </c>
      <c r="I78" s="80"/>
      <c r="J78" s="80"/>
      <c r="K78" s="449"/>
      <c r="L78" s="80"/>
      <c r="M78" s="80"/>
      <c r="N78" s="80"/>
      <c r="O78" s="80"/>
      <c r="P78" s="80"/>
      <c r="Q78" s="80"/>
      <c r="R78" s="80"/>
      <c r="S78" s="80"/>
      <c r="T78" s="80"/>
    </row>
    <row r="79" spans="1:20" ht="18">
      <c r="A79" s="1218" t="s">
        <v>428</v>
      </c>
      <c r="B79" s="1251">
        <v>8.5999999999999993E-2</v>
      </c>
      <c r="C79" s="1251">
        <v>8.5999999999999993E-2</v>
      </c>
      <c r="D79" s="1251">
        <v>7.4999999999999997E-2</v>
      </c>
      <c r="E79" s="1251">
        <v>0.09</v>
      </c>
      <c r="F79" s="1251">
        <v>7.3999999999999996E-2</v>
      </c>
      <c r="G79" s="1251">
        <v>8.1000000000000003E-2</v>
      </c>
      <c r="H79" s="1269">
        <f t="shared" si="14"/>
        <v>8.2000000000000003E-2</v>
      </c>
      <c r="I79" s="80"/>
      <c r="J79" s="80"/>
      <c r="K79" s="449"/>
      <c r="L79" s="80"/>
      <c r="M79" s="80"/>
      <c r="N79" s="80"/>
      <c r="O79" s="80"/>
      <c r="P79" s="80"/>
      <c r="Q79" s="80"/>
      <c r="R79" s="80"/>
      <c r="S79" s="80"/>
      <c r="T79" s="80"/>
    </row>
    <row r="80" spans="1:20" ht="18">
      <c r="A80" s="1218" t="s">
        <v>425</v>
      </c>
      <c r="B80" s="1253">
        <v>0.19800000000000001</v>
      </c>
      <c r="C80" s="1253">
        <v>0.151</v>
      </c>
      <c r="D80" s="1253">
        <v>0.13500000000000001</v>
      </c>
      <c r="E80" s="1253">
        <v>0.10299999999999999</v>
      </c>
      <c r="F80" s="1253">
        <v>0.17</v>
      </c>
      <c r="G80" s="1253">
        <v>0.16</v>
      </c>
      <c r="H80" s="1270">
        <f t="shared" si="14"/>
        <v>0.15283333333333335</v>
      </c>
      <c r="I80" s="80"/>
      <c r="J80" s="448"/>
      <c r="K80" s="449"/>
      <c r="L80" s="482"/>
      <c r="M80" s="482"/>
      <c r="N80" s="482"/>
      <c r="O80" s="482"/>
      <c r="P80" s="482"/>
      <c r="Q80" s="482"/>
      <c r="R80" s="80"/>
      <c r="S80" s="80"/>
      <c r="T80" s="80"/>
    </row>
    <row r="81" spans="1:20" ht="18">
      <c r="A81" s="1218" t="s">
        <v>430</v>
      </c>
      <c r="B81" s="1253">
        <v>0.22600000000000001</v>
      </c>
      <c r="C81" s="1253">
        <v>0.16900000000000001</v>
      </c>
      <c r="D81" s="1253">
        <v>0.16200000000000001</v>
      </c>
      <c r="E81" s="1253">
        <v>0.127</v>
      </c>
      <c r="F81" s="1253">
        <v>0.23300000000000001</v>
      </c>
      <c r="G81" s="1253">
        <v>0.2</v>
      </c>
      <c r="H81" s="1224">
        <f t="shared" si="14"/>
        <v>0.18616666666666667</v>
      </c>
      <c r="I81" s="80"/>
      <c r="J81" s="448"/>
      <c r="K81" s="449"/>
      <c r="L81" s="482"/>
      <c r="M81" s="482"/>
      <c r="N81" s="482"/>
      <c r="O81" s="482"/>
      <c r="P81" s="482"/>
      <c r="Q81" s="482"/>
      <c r="R81" s="80"/>
      <c r="S81" s="80"/>
      <c r="T81" s="80"/>
    </row>
    <row r="82" spans="1:20" ht="18">
      <c r="A82" s="1250" t="s">
        <v>416</v>
      </c>
      <c r="B82" s="1251">
        <v>0.57299999999999995</v>
      </c>
      <c r="C82" s="1251">
        <v>0.55600000000000005</v>
      </c>
      <c r="D82" s="1251">
        <v>0.54600000000000004</v>
      </c>
      <c r="E82" s="1251">
        <v>0.55900000000000005</v>
      </c>
      <c r="F82" s="1251">
        <v>0.53500000000000003</v>
      </c>
      <c r="G82" s="1251">
        <v>0.53</v>
      </c>
      <c r="H82" s="1224">
        <f t="shared" si="14"/>
        <v>0.5498333333333334</v>
      </c>
      <c r="I82" s="80"/>
      <c r="J82" s="448"/>
      <c r="K82" s="449"/>
      <c r="L82" s="482"/>
      <c r="M82" s="482"/>
      <c r="N82" s="482"/>
      <c r="O82" s="482"/>
      <c r="P82" s="482"/>
      <c r="Q82" s="482"/>
      <c r="R82" s="80"/>
      <c r="S82" s="80"/>
      <c r="T82" s="80"/>
    </row>
    <row r="83" spans="1:20" ht="18">
      <c r="A83" s="1252" t="s">
        <v>413</v>
      </c>
      <c r="B83" s="1253">
        <f t="shared" ref="B83:G83" si="15">1-B82</f>
        <v>0.42700000000000005</v>
      </c>
      <c r="C83" s="1253">
        <f t="shared" si="15"/>
        <v>0.44399999999999995</v>
      </c>
      <c r="D83" s="1253">
        <f t="shared" si="15"/>
        <v>0.45399999999999996</v>
      </c>
      <c r="E83" s="1253">
        <f t="shared" si="15"/>
        <v>0.44099999999999995</v>
      </c>
      <c r="F83" s="1253">
        <f t="shared" si="15"/>
        <v>0.46499999999999997</v>
      </c>
      <c r="G83" s="1253">
        <f t="shared" si="15"/>
        <v>0.47</v>
      </c>
      <c r="H83" s="1224">
        <f t="shared" si="14"/>
        <v>0.4501666666666666</v>
      </c>
      <c r="I83" s="80"/>
      <c r="J83" s="448"/>
      <c r="K83" s="449"/>
      <c r="L83" s="482"/>
      <c r="M83" s="482"/>
      <c r="N83" s="482"/>
      <c r="O83" s="482"/>
      <c r="P83" s="482"/>
      <c r="Q83" s="482"/>
      <c r="R83" s="80"/>
      <c r="S83" s="80"/>
      <c r="T83" s="80"/>
    </row>
    <row r="84" spans="1:20" ht="18">
      <c r="A84" s="1254" t="s">
        <v>449</v>
      </c>
      <c r="B84" s="1251">
        <v>0.19500000000000001</v>
      </c>
      <c r="C84" s="1251">
        <v>0.19500000000000001</v>
      </c>
      <c r="D84" s="1251">
        <v>0.19900000000000001</v>
      </c>
      <c r="E84" s="1251">
        <v>0.18099999999999999</v>
      </c>
      <c r="F84" s="1251">
        <v>0.17799999999999999</v>
      </c>
      <c r="G84" s="1251">
        <v>0.187</v>
      </c>
      <c r="H84" s="1224">
        <f t="shared" si="14"/>
        <v>0.18916666666666668</v>
      </c>
      <c r="I84" s="80"/>
      <c r="J84" s="80"/>
      <c r="K84" s="449"/>
      <c r="L84" s="80"/>
      <c r="M84" s="80"/>
      <c r="N84" s="80"/>
      <c r="O84" s="80"/>
      <c r="P84" s="80"/>
      <c r="Q84" s="80"/>
      <c r="R84" s="80"/>
      <c r="S84" s="80"/>
      <c r="T84" s="80"/>
    </row>
    <row r="85" spans="1:20" ht="36">
      <c r="A85" s="1250" t="s">
        <v>422</v>
      </c>
      <c r="B85" s="1255"/>
      <c r="C85" s="1251">
        <v>5.8667638387385299E-2</v>
      </c>
      <c r="D85" s="1251">
        <v>5.9284473282984071E-2</v>
      </c>
      <c r="E85" s="1251">
        <v>5.1067683840178353E-2</v>
      </c>
      <c r="F85" s="1251">
        <v>4.2896766594475472E-2</v>
      </c>
      <c r="G85" s="1251">
        <v>5.11102109953235E-2</v>
      </c>
      <c r="H85" s="1224">
        <f t="shared" si="14"/>
        <v>5.2605354620069336E-2</v>
      </c>
      <c r="I85" s="80"/>
      <c r="J85" s="448"/>
      <c r="K85" s="449"/>
      <c r="L85" s="80"/>
      <c r="M85" s="80"/>
      <c r="N85" s="80"/>
      <c r="O85" s="80"/>
      <c r="P85" s="80"/>
      <c r="Q85" s="80"/>
      <c r="R85" s="80"/>
      <c r="S85" s="80"/>
      <c r="T85" s="80"/>
    </row>
    <row r="86" spans="1:20" ht="18">
      <c r="A86" s="1250" t="s">
        <v>864</v>
      </c>
      <c r="B86" s="1223">
        <v>0.14951132612035431</v>
      </c>
      <c r="C86" s="1223">
        <v>0.1746115877695697</v>
      </c>
      <c r="D86" s="1223">
        <v>0.18845512888699784</v>
      </c>
      <c r="E86" s="1223">
        <v>0.19862751245340859</v>
      </c>
      <c r="F86" s="1223">
        <v>0.21452182833694289</v>
      </c>
      <c r="G86" s="1223">
        <v>0.22229995949478959</v>
      </c>
      <c r="H86" s="1224">
        <f t="shared" si="14"/>
        <v>0.19133789051034381</v>
      </c>
      <c r="I86" s="80"/>
      <c r="J86" s="80"/>
      <c r="K86" s="449"/>
      <c r="L86" s="80"/>
      <c r="M86" s="80"/>
      <c r="N86" s="80"/>
      <c r="O86" s="80"/>
      <c r="P86" s="80"/>
      <c r="Q86" s="80"/>
      <c r="R86" s="80"/>
      <c r="S86" s="80"/>
      <c r="T86" s="80"/>
    </row>
    <row r="87" spans="1:20" ht="18">
      <c r="A87" s="1250" t="s">
        <v>863</v>
      </c>
      <c r="B87" s="1223">
        <v>0.12155119558553035</v>
      </c>
      <c r="C87" s="1223">
        <v>0.12874318572175342</v>
      </c>
      <c r="D87" s="1223">
        <v>0.13959113607990015</v>
      </c>
      <c r="E87" s="1223">
        <v>0.11775390933501816</v>
      </c>
      <c r="F87" s="1223">
        <v>0.11971255920300507</v>
      </c>
      <c r="G87" s="1223">
        <v>0.10280300657688694</v>
      </c>
      <c r="H87" s="1224">
        <f t="shared" si="14"/>
        <v>0.121692498750349</v>
      </c>
      <c r="I87" s="80"/>
      <c r="J87" s="448"/>
      <c r="K87" s="80"/>
      <c r="L87" s="80"/>
      <c r="M87" s="80"/>
      <c r="N87" s="80"/>
      <c r="O87" s="80"/>
      <c r="P87" s="80"/>
      <c r="Q87" s="80"/>
      <c r="R87" s="80"/>
      <c r="S87" s="80"/>
      <c r="T87" s="80"/>
    </row>
    <row r="88" spans="1:20" ht="18">
      <c r="A88" s="1218" t="s">
        <v>569</v>
      </c>
      <c r="B88" s="1257">
        <f>0.149511326120354*'FE Assumptions'!$B$73</f>
        <v>54.571634033929215</v>
      </c>
      <c r="C88" s="1257">
        <f>0.149511326120354*'FE Assumptions'!$B$73</f>
        <v>54.571634033929215</v>
      </c>
      <c r="D88" s="1257">
        <f>0.149511326120354*'FE Assumptions'!$B$73</f>
        <v>54.571634033929215</v>
      </c>
      <c r="E88" s="1257">
        <f>0.149511326120354*'FE Assumptions'!$B$73</f>
        <v>54.571634033929215</v>
      </c>
      <c r="F88" s="1257">
        <f>0.149511326120354*'FE Assumptions'!$B$73</f>
        <v>54.571634033929215</v>
      </c>
      <c r="G88" s="1257">
        <f>0.149511326120354*'FE Assumptions'!$B$73</f>
        <v>54.571634033929215</v>
      </c>
      <c r="H88" s="1228">
        <f t="shared" si="14"/>
        <v>54.571634033929222</v>
      </c>
      <c r="I88" s="80"/>
      <c r="J88" s="448"/>
      <c r="K88" s="80"/>
      <c r="L88" s="80"/>
      <c r="M88" s="80"/>
      <c r="N88" s="80"/>
      <c r="O88" s="80"/>
      <c r="P88" s="80"/>
      <c r="Q88" s="80"/>
      <c r="R88" s="80"/>
      <c r="S88" s="80"/>
      <c r="T88" s="80"/>
    </row>
    <row r="89" spans="1:20" ht="18">
      <c r="A89" s="1218" t="s">
        <v>575</v>
      </c>
      <c r="B89" s="1258">
        <f>0.12155119558553*'FE Assumptions'!$B$73</f>
        <v>44.366186388718447</v>
      </c>
      <c r="C89" s="1258">
        <f>0.12155119558553*'FE Assumptions'!$B$73</f>
        <v>44.366186388718447</v>
      </c>
      <c r="D89" s="1258">
        <f>0.12155119558553*'FE Assumptions'!$B$73</f>
        <v>44.366186388718447</v>
      </c>
      <c r="E89" s="1258">
        <f>0.12155119558553*'FE Assumptions'!$B$73</f>
        <v>44.366186388718447</v>
      </c>
      <c r="F89" s="1258">
        <f>0.12155119558553*'FE Assumptions'!$B$73</f>
        <v>44.366186388718447</v>
      </c>
      <c r="G89" s="1258">
        <f>0.12155119558553*'FE Assumptions'!$B$73</f>
        <v>44.366186388718447</v>
      </c>
      <c r="H89" s="1228">
        <f t="shared" si="14"/>
        <v>44.366186388718454</v>
      </c>
      <c r="I89" s="80"/>
      <c r="J89" s="487"/>
      <c r="K89" s="487"/>
      <c r="L89" s="80"/>
      <c r="M89" s="80"/>
      <c r="N89" s="80"/>
    </row>
    <row r="90" spans="1:20" ht="18">
      <c r="A90" s="1218" t="s">
        <v>585</v>
      </c>
      <c r="B90" s="1227">
        <v>157.80000000000001</v>
      </c>
      <c r="C90" s="1227">
        <v>136.5</v>
      </c>
      <c r="D90" s="1227">
        <v>130.80000000000001</v>
      </c>
      <c r="E90" s="1227">
        <v>115.4</v>
      </c>
      <c r="F90" s="1227">
        <v>114.8</v>
      </c>
      <c r="G90" s="1227">
        <v>112.2</v>
      </c>
      <c r="H90" s="1228">
        <f t="shared" si="14"/>
        <v>127.91666666666667</v>
      </c>
      <c r="I90" s="80"/>
      <c r="J90" s="80"/>
      <c r="K90" s="80"/>
      <c r="L90" s="80"/>
      <c r="M90" s="80"/>
      <c r="N90" s="80"/>
    </row>
    <row r="91" spans="1:20" ht="18">
      <c r="A91" s="1218" t="s">
        <v>590</v>
      </c>
      <c r="B91" s="1230">
        <v>1.9</v>
      </c>
      <c r="C91" s="1230">
        <v>2.1</v>
      </c>
      <c r="D91" s="1230">
        <v>1.8</v>
      </c>
      <c r="E91" s="1230">
        <v>1.9</v>
      </c>
      <c r="F91" s="1230">
        <v>2.1</v>
      </c>
      <c r="G91" s="1230">
        <v>2.2000000000000002</v>
      </c>
      <c r="H91" s="1231">
        <f t="shared" si="14"/>
        <v>2</v>
      </c>
      <c r="I91" s="80"/>
      <c r="J91" s="80"/>
      <c r="K91" s="80"/>
      <c r="L91" s="80"/>
      <c r="M91" s="80"/>
      <c r="N91" s="80"/>
    </row>
    <row r="92" spans="1:20" ht="18">
      <c r="A92" s="1218" t="s">
        <v>591</v>
      </c>
      <c r="B92" s="1230">
        <v>2.8</v>
      </c>
      <c r="C92" s="1230">
        <v>2.9</v>
      </c>
      <c r="D92" s="1230">
        <v>2.6</v>
      </c>
      <c r="E92" s="1230">
        <v>2.4</v>
      </c>
      <c r="F92" s="1230">
        <v>2.9</v>
      </c>
      <c r="G92" s="1230">
        <v>2.8</v>
      </c>
      <c r="H92" s="1231">
        <f t="shared" si="14"/>
        <v>2.7333333333333329</v>
      </c>
      <c r="I92" s="80"/>
      <c r="J92" s="80"/>
      <c r="K92" s="80"/>
      <c r="L92" s="80"/>
      <c r="M92" s="80"/>
      <c r="N92" s="80"/>
    </row>
    <row r="93" spans="1:20" ht="18">
      <c r="A93" s="1218" t="s">
        <v>623</v>
      </c>
      <c r="B93" s="1230">
        <v>0.6</v>
      </c>
      <c r="C93" s="1230">
        <v>0.7</v>
      </c>
      <c r="D93" s="1230">
        <v>0.6</v>
      </c>
      <c r="E93" s="1230">
        <v>0.6</v>
      </c>
      <c r="F93" s="1230">
        <v>0.5</v>
      </c>
      <c r="G93" s="1230">
        <v>0.6</v>
      </c>
      <c r="H93" s="1231">
        <f t="shared" si="14"/>
        <v>0.6</v>
      </c>
      <c r="I93" s="414"/>
      <c r="J93" s="80"/>
      <c r="K93" s="80"/>
      <c r="L93" s="80"/>
      <c r="M93" s="80"/>
      <c r="N93" s="80"/>
    </row>
    <row r="94" spans="1:20" ht="18">
      <c r="A94" s="1218" t="s">
        <v>595</v>
      </c>
      <c r="B94" s="1260">
        <v>6.7</v>
      </c>
      <c r="C94" s="1260">
        <v>5.7</v>
      </c>
      <c r="D94" s="1260">
        <v>5.0999999999999996</v>
      </c>
      <c r="E94" s="1260">
        <v>5.0999999999999996</v>
      </c>
      <c r="F94" s="1260">
        <v>4.5</v>
      </c>
      <c r="G94" s="1260">
        <v>4.5</v>
      </c>
      <c r="H94" s="1261">
        <f t="shared" si="14"/>
        <v>5.2666666666666666</v>
      </c>
      <c r="I94" s="414"/>
      <c r="J94" s="80"/>
      <c r="K94" s="80"/>
      <c r="L94" s="80"/>
      <c r="M94" s="80"/>
      <c r="N94" s="80"/>
    </row>
    <row r="95" spans="1:20" ht="18">
      <c r="A95" s="1218" t="s">
        <v>451</v>
      </c>
      <c r="B95" s="1244">
        <v>2.4</v>
      </c>
      <c r="C95" s="1244">
        <v>2.7</v>
      </c>
      <c r="D95" s="1244">
        <v>2.8</v>
      </c>
      <c r="E95" s="1244">
        <v>3.2</v>
      </c>
      <c r="F95" s="1244">
        <v>3.2</v>
      </c>
      <c r="G95" s="1244">
        <v>3.2</v>
      </c>
      <c r="H95" s="1262">
        <f t="shared" si="14"/>
        <v>2.9166666666666665</v>
      </c>
      <c r="I95" s="414"/>
      <c r="J95" s="80"/>
      <c r="K95" s="80"/>
      <c r="L95" s="80"/>
      <c r="M95" s="80"/>
      <c r="N95" s="80"/>
    </row>
    <row r="96" spans="1:20" ht="36">
      <c r="A96" s="1218" t="s">
        <v>598</v>
      </c>
      <c r="B96" s="1230">
        <v>1.094170403587444</v>
      </c>
      <c r="C96" s="1230">
        <v>1.1893756467747501</v>
      </c>
      <c r="D96" s="1230">
        <v>1.2342186961021042</v>
      </c>
      <c r="E96" s="1230">
        <v>1.0286305622628493</v>
      </c>
      <c r="F96" s="1230">
        <v>1.0113832355984822</v>
      </c>
      <c r="G96" s="1230">
        <v>0.90582959641255623</v>
      </c>
      <c r="H96" s="1231">
        <f t="shared" si="14"/>
        <v>1.0772680234563643</v>
      </c>
      <c r="I96" s="414"/>
      <c r="J96" s="80"/>
      <c r="K96" s="80"/>
      <c r="L96" s="80"/>
      <c r="M96" s="80"/>
      <c r="N96" s="80"/>
    </row>
    <row r="97" spans="1:20" ht="36">
      <c r="A97" s="1218" t="s">
        <v>629</v>
      </c>
      <c r="B97" s="1230">
        <v>0</v>
      </c>
      <c r="C97" s="1230">
        <v>0.32460993142743566</v>
      </c>
      <c r="D97" s="1230">
        <v>0.32216430876147928</v>
      </c>
      <c r="E97" s="1230">
        <v>0.29943916118019998</v>
      </c>
      <c r="F97" s="1230">
        <v>0.30255708803525966</v>
      </c>
      <c r="G97" s="1230">
        <v>0.27974371248665175</v>
      </c>
      <c r="H97" s="1231">
        <f t="shared" si="14"/>
        <v>0.25475236698183773</v>
      </c>
      <c r="I97" s="80"/>
      <c r="J97" s="80"/>
      <c r="K97" s="80"/>
      <c r="L97" s="80"/>
      <c r="M97" s="80"/>
      <c r="N97" s="80"/>
      <c r="O97" s="80"/>
      <c r="P97" s="80"/>
      <c r="Q97" s="80"/>
      <c r="R97" s="80"/>
      <c r="S97" s="80"/>
      <c r="T97" s="80"/>
    </row>
    <row r="98" spans="1:20" ht="16.5" customHeight="1">
      <c r="A98" s="1218" t="s">
        <v>631</v>
      </c>
      <c r="B98" s="1230">
        <v>0.29134115647370312</v>
      </c>
      <c r="C98" s="1230">
        <v>0.28055123066220561</v>
      </c>
      <c r="D98" s="1230">
        <v>0.29539410700989255</v>
      </c>
      <c r="E98" s="1230">
        <v>0.41672762740794927</v>
      </c>
      <c r="F98" s="1230">
        <v>0.44800334359208172</v>
      </c>
      <c r="G98" s="1230">
        <v>0.45336377361269659</v>
      </c>
      <c r="H98" s="1231">
        <f t="shared" si="14"/>
        <v>0.36423020645975485</v>
      </c>
      <c r="I98" s="80"/>
      <c r="J98" s="80"/>
      <c r="K98" s="80"/>
      <c r="L98" s="80"/>
      <c r="M98" s="80"/>
      <c r="N98" s="80"/>
      <c r="O98" s="80"/>
      <c r="P98" s="80"/>
      <c r="Q98" s="80"/>
      <c r="R98" s="80"/>
      <c r="S98" s="80"/>
      <c r="T98" s="80"/>
    </row>
    <row r="99" spans="1:20" ht="18">
      <c r="A99" s="1218" t="s">
        <v>592</v>
      </c>
      <c r="B99" s="1232">
        <v>0.48237994788435296</v>
      </c>
      <c r="C99" s="1232">
        <v>0.5000994453161256</v>
      </c>
      <c r="D99" s="1232">
        <v>0.49142107836600435</v>
      </c>
      <c r="E99" s="1232">
        <v>0.53501800438923575</v>
      </c>
      <c r="F99" s="1232">
        <v>0.53192884662677264</v>
      </c>
      <c r="G99" s="1232">
        <v>0.52626009005830954</v>
      </c>
      <c r="H99" s="1233">
        <f>AVERAGE(B99:G99)</f>
        <v>0.51118456877346674</v>
      </c>
      <c r="I99" s="80"/>
      <c r="J99" s="80"/>
      <c r="K99" s="80"/>
      <c r="L99" s="80"/>
      <c r="M99" s="80"/>
      <c r="N99" s="80"/>
      <c r="O99" s="80"/>
      <c r="P99" s="80"/>
      <c r="Q99" s="80"/>
      <c r="R99" s="80"/>
      <c r="S99" s="80"/>
      <c r="T99" s="80"/>
    </row>
    <row r="100" spans="1:20" ht="18">
      <c r="A100" s="1218" t="s">
        <v>646</v>
      </c>
      <c r="B100" s="1248">
        <v>-7.8432816585042534E-3</v>
      </c>
      <c r="C100" s="1248">
        <v>5.243360310042175E-3</v>
      </c>
      <c r="D100" s="1248">
        <v>-0.1265196641934023</v>
      </c>
      <c r="E100" s="1248">
        <v>6.0631847675779171E-3</v>
      </c>
      <c r="F100" s="1248">
        <v>-1.7225958193924539E-2</v>
      </c>
      <c r="G100" s="1248">
        <v>-1.8304840976694013E-2</v>
      </c>
      <c r="H100" s="1233">
        <f t="shared" si="14"/>
        <v>-2.64311999908175E-2</v>
      </c>
      <c r="I100" s="80"/>
      <c r="J100" s="80"/>
      <c r="K100" s="80"/>
      <c r="L100" s="80"/>
      <c r="M100" s="80"/>
      <c r="N100" s="80"/>
      <c r="O100" s="80"/>
      <c r="P100" s="80"/>
      <c r="Q100" s="80"/>
      <c r="R100" s="80"/>
      <c r="S100" s="80"/>
      <c r="T100" s="80"/>
    </row>
    <row r="101" spans="1:20" ht="18.399999999999999" thickBot="1">
      <c r="A101" s="1236" t="s">
        <v>604</v>
      </c>
      <c r="B101" s="1238">
        <f>'FE Cash Flow'!C26</f>
        <v>0.82</v>
      </c>
      <c r="C101" s="1238"/>
      <c r="D101" s="1238"/>
      <c r="E101" s="1238"/>
      <c r="F101" s="1238"/>
      <c r="G101" s="1238"/>
      <c r="H101" s="1263">
        <f>AVERAGE(B101:G101)</f>
        <v>0.82</v>
      </c>
      <c r="I101" s="80"/>
      <c r="J101" s="80"/>
      <c r="K101" s="80"/>
      <c r="L101" s="80"/>
      <c r="M101" s="80"/>
      <c r="N101" s="80"/>
      <c r="O101" s="80"/>
      <c r="P101" s="80"/>
      <c r="Q101" s="80"/>
      <c r="R101" s="80"/>
      <c r="S101" s="80"/>
      <c r="T101" s="80"/>
    </row>
    <row r="102" spans="1:20" ht="15.75">
      <c r="A102" s="80"/>
      <c r="B102" s="80"/>
      <c r="C102" s="80"/>
      <c r="D102" s="80"/>
      <c r="E102" s="80"/>
      <c r="F102" s="80"/>
      <c r="G102" s="80"/>
      <c r="H102" s="80"/>
      <c r="I102" s="80"/>
      <c r="J102" s="80"/>
      <c r="K102" s="80"/>
      <c r="L102" s="80"/>
      <c r="M102" s="80"/>
      <c r="N102" s="80"/>
      <c r="O102" s="80"/>
      <c r="P102" s="80"/>
      <c r="Q102" s="80"/>
      <c r="R102" s="80"/>
      <c r="S102" s="80"/>
      <c r="T102" s="80"/>
    </row>
    <row r="103" spans="1:20" ht="15.75">
      <c r="A103" s="80"/>
      <c r="B103" s="80"/>
      <c r="C103" s="80"/>
      <c r="D103" s="80"/>
      <c r="E103" s="80"/>
      <c r="F103" s="80"/>
      <c r="G103" s="80"/>
      <c r="H103" s="80"/>
      <c r="I103" s="80"/>
      <c r="J103" s="80"/>
      <c r="K103" s="80"/>
      <c r="L103" s="80"/>
      <c r="M103" s="80"/>
      <c r="N103" s="80"/>
      <c r="O103" s="80"/>
      <c r="P103" s="80"/>
      <c r="Q103" s="80"/>
      <c r="R103" s="80"/>
      <c r="S103" s="80"/>
      <c r="T103" s="80"/>
    </row>
    <row r="104" spans="1:20" ht="15.75">
      <c r="A104" s="80"/>
      <c r="B104" s="80"/>
      <c r="C104" s="80"/>
      <c r="D104" s="80"/>
      <c r="E104" s="80"/>
      <c r="F104" s="80"/>
      <c r="G104" s="80"/>
      <c r="H104" s="80"/>
      <c r="I104" s="80"/>
      <c r="J104" s="80"/>
      <c r="K104" s="80"/>
      <c r="L104" s="80"/>
      <c r="M104" s="80"/>
      <c r="N104" s="80"/>
      <c r="O104" s="80"/>
      <c r="P104" s="80"/>
      <c r="Q104" s="80"/>
      <c r="R104" s="80"/>
      <c r="S104" s="80"/>
      <c r="T104" s="80"/>
    </row>
    <row r="105" spans="1:20" ht="15.75">
      <c r="A105" s="80"/>
      <c r="B105" s="80"/>
      <c r="C105" s="80"/>
      <c r="D105" s="80"/>
      <c r="E105" s="80"/>
      <c r="F105" s="80"/>
      <c r="G105" s="80"/>
      <c r="H105" s="80"/>
      <c r="I105" s="80"/>
      <c r="J105" s="80"/>
      <c r="K105" s="80"/>
      <c r="L105" s="80"/>
      <c r="M105" s="80"/>
      <c r="N105" s="80"/>
      <c r="O105" s="80"/>
      <c r="P105" s="80"/>
      <c r="Q105" s="80"/>
      <c r="R105" s="80"/>
      <c r="S105" s="80"/>
      <c r="T105" s="80"/>
    </row>
    <row r="106" spans="1:20" ht="15.75">
      <c r="A106" s="80"/>
      <c r="B106" s="80"/>
      <c r="C106" s="80"/>
      <c r="D106" s="80"/>
      <c r="E106" s="80"/>
      <c r="F106" s="80"/>
      <c r="G106" s="80"/>
      <c r="H106" s="80"/>
      <c r="I106" s="80"/>
      <c r="J106" s="80"/>
      <c r="K106" s="80"/>
      <c r="L106" s="80"/>
      <c r="M106" s="80"/>
      <c r="N106" s="80"/>
      <c r="O106" s="80"/>
      <c r="P106" s="80"/>
      <c r="Q106" s="80"/>
      <c r="R106" s="80"/>
      <c r="S106" s="80"/>
      <c r="T106" s="80"/>
    </row>
    <row r="107" spans="1:20" ht="15.75">
      <c r="A107" s="80"/>
      <c r="B107" s="80"/>
      <c r="C107" s="80"/>
      <c r="D107" s="80"/>
      <c r="E107" s="80"/>
      <c r="F107" s="80"/>
      <c r="G107" s="80"/>
      <c r="H107" s="80"/>
      <c r="I107" s="80"/>
      <c r="J107" s="80"/>
      <c r="K107" s="80"/>
      <c r="L107" s="80"/>
      <c r="M107" s="80"/>
      <c r="N107" s="80"/>
      <c r="O107" s="80"/>
      <c r="P107" s="80"/>
      <c r="Q107" s="80"/>
      <c r="R107" s="80"/>
      <c r="S107" s="80"/>
      <c r="T107" s="80"/>
    </row>
    <row r="108" spans="1:20" ht="15.75">
      <c r="A108" s="80"/>
      <c r="B108" s="80"/>
      <c r="C108" s="80"/>
      <c r="D108" s="80"/>
      <c r="E108" s="80"/>
      <c r="F108" s="80"/>
      <c r="G108" s="80"/>
      <c r="H108" s="80"/>
      <c r="I108" s="80"/>
      <c r="J108" s="80"/>
      <c r="K108" s="80"/>
      <c r="L108" s="80"/>
      <c r="M108" s="80"/>
      <c r="N108" s="80"/>
      <c r="O108" s="80"/>
      <c r="P108" s="80"/>
      <c r="Q108" s="80"/>
      <c r="R108" s="80"/>
      <c r="S108" s="80"/>
      <c r="T108" s="80"/>
    </row>
    <row r="109" spans="1:20" ht="15.75">
      <c r="A109" s="80"/>
      <c r="B109" s="80"/>
      <c r="C109" s="80"/>
      <c r="D109" s="80"/>
      <c r="E109" s="80"/>
      <c r="F109" s="80"/>
      <c r="G109" s="80"/>
      <c r="H109" s="80"/>
      <c r="I109" s="80"/>
      <c r="J109" s="80"/>
      <c r="K109" s="80"/>
      <c r="L109" s="80"/>
      <c r="M109" s="80"/>
      <c r="N109" s="80"/>
      <c r="O109" s="80"/>
      <c r="P109" s="80"/>
      <c r="Q109" s="80"/>
      <c r="R109" s="80"/>
      <c r="S109" s="80"/>
      <c r="T109" s="80"/>
    </row>
    <row r="110" spans="1:20" ht="15.75">
      <c r="A110" s="80"/>
      <c r="B110" s="80"/>
      <c r="C110" s="80"/>
      <c r="D110" s="80"/>
      <c r="E110" s="80"/>
      <c r="F110" s="80"/>
      <c r="G110" s="80"/>
      <c r="H110" s="80"/>
      <c r="I110" s="80"/>
      <c r="J110" s="80"/>
      <c r="K110" s="80"/>
      <c r="L110" s="80"/>
      <c r="M110" s="80"/>
      <c r="N110" s="80"/>
      <c r="O110" s="80"/>
      <c r="P110" s="80"/>
      <c r="Q110" s="80"/>
      <c r="R110" s="80"/>
      <c r="S110" s="80"/>
      <c r="T110" s="80"/>
    </row>
    <row r="111" spans="1:20" ht="15.75">
      <c r="A111" s="80"/>
      <c r="B111" s="80"/>
      <c r="C111" s="80"/>
      <c r="D111" s="80"/>
      <c r="E111" s="80"/>
      <c r="F111" s="80"/>
      <c r="G111" s="80"/>
      <c r="H111" s="80"/>
      <c r="I111" s="80"/>
      <c r="J111" s="80"/>
      <c r="K111" s="80"/>
      <c r="L111" s="80"/>
      <c r="M111" s="80"/>
      <c r="N111" s="80"/>
      <c r="O111" s="80"/>
      <c r="P111" s="80"/>
      <c r="Q111" s="80"/>
      <c r="R111" s="80"/>
      <c r="S111" s="80"/>
      <c r="T111" s="80"/>
    </row>
    <row r="112" spans="1:20" ht="15.75">
      <c r="A112" s="80"/>
      <c r="B112" s="80"/>
      <c r="C112" s="80"/>
      <c r="D112" s="80"/>
      <c r="E112" s="80"/>
      <c r="F112" s="80"/>
      <c r="G112" s="80"/>
      <c r="H112" s="80"/>
      <c r="I112" s="80"/>
      <c r="J112" s="80"/>
      <c r="K112" s="80"/>
      <c r="L112" s="80"/>
      <c r="M112" s="80"/>
      <c r="N112" s="80"/>
      <c r="O112" s="80"/>
      <c r="P112" s="80"/>
      <c r="Q112" s="80"/>
      <c r="R112" s="80"/>
      <c r="S112" s="80"/>
      <c r="T112" s="80"/>
    </row>
    <row r="113" spans="1:20" ht="15.75">
      <c r="A113" s="80"/>
      <c r="B113" s="80"/>
      <c r="C113" s="80"/>
      <c r="D113" s="80"/>
      <c r="E113" s="80"/>
      <c r="F113" s="80"/>
      <c r="G113" s="80"/>
      <c r="H113" s="80"/>
      <c r="I113" s="80"/>
      <c r="J113" s="80"/>
      <c r="K113" s="80"/>
      <c r="L113" s="80"/>
      <c r="M113" s="80"/>
      <c r="N113" s="80"/>
      <c r="O113" s="80"/>
      <c r="P113" s="80"/>
      <c r="Q113" s="80"/>
      <c r="R113" s="80"/>
      <c r="S113" s="80"/>
      <c r="T113" s="80"/>
    </row>
    <row r="114" spans="1:20" ht="15.75">
      <c r="A114" s="80"/>
      <c r="B114" s="80"/>
      <c r="C114" s="80"/>
      <c r="D114" s="80"/>
      <c r="E114" s="80"/>
      <c r="F114" s="80"/>
      <c r="G114" s="80"/>
      <c r="H114" s="80"/>
      <c r="I114" s="80"/>
      <c r="J114" s="80"/>
      <c r="K114" s="80"/>
      <c r="L114" s="80"/>
      <c r="M114" s="80"/>
      <c r="N114" s="80"/>
      <c r="O114" s="80"/>
      <c r="P114" s="80"/>
      <c r="Q114" s="80"/>
      <c r="R114" s="80"/>
      <c r="S114" s="80"/>
      <c r="T114" s="80"/>
    </row>
    <row r="115" spans="1:20" ht="15.75">
      <c r="A115" s="80"/>
      <c r="B115" s="80"/>
      <c r="C115" s="80"/>
      <c r="D115" s="80"/>
      <c r="E115" s="80"/>
      <c r="F115" s="80"/>
      <c r="G115" s="80"/>
      <c r="H115" s="80"/>
      <c r="I115" s="80"/>
      <c r="J115" s="80"/>
      <c r="K115" s="80"/>
      <c r="L115" s="80"/>
      <c r="M115" s="80"/>
      <c r="N115" s="80"/>
      <c r="O115" s="80"/>
      <c r="P115" s="80"/>
      <c r="Q115" s="80"/>
      <c r="R115" s="80"/>
      <c r="S115" s="80"/>
      <c r="T115" s="80"/>
    </row>
    <row r="116" spans="1:20" ht="15.75">
      <c r="A116" s="80"/>
      <c r="B116" s="80"/>
      <c r="C116" s="80"/>
      <c r="D116" s="80"/>
      <c r="E116" s="80"/>
      <c r="F116" s="80"/>
      <c r="G116" s="80"/>
      <c r="H116" s="80"/>
      <c r="I116" s="80"/>
      <c r="J116" s="80"/>
      <c r="K116" s="80"/>
      <c r="L116" s="80"/>
      <c r="M116" s="80"/>
      <c r="N116" s="80"/>
      <c r="O116" s="80"/>
      <c r="P116" s="80"/>
      <c r="Q116" s="80"/>
      <c r="R116" s="80"/>
      <c r="S116" s="80"/>
      <c r="T116" s="80"/>
    </row>
    <row r="117" spans="1:20" ht="15.75">
      <c r="A117" s="80"/>
      <c r="B117" s="80"/>
      <c r="C117" s="80"/>
      <c r="D117" s="80"/>
      <c r="E117" s="80"/>
      <c r="F117" s="80"/>
      <c r="G117" s="80"/>
      <c r="H117" s="80"/>
      <c r="I117" s="80"/>
      <c r="J117" s="80"/>
      <c r="K117" s="80"/>
      <c r="L117" s="80"/>
      <c r="M117" s="80"/>
      <c r="N117" s="80"/>
      <c r="O117" s="80"/>
      <c r="P117" s="80"/>
      <c r="Q117" s="80"/>
      <c r="R117" s="80"/>
      <c r="S117" s="80"/>
      <c r="T117" s="80"/>
    </row>
    <row r="118" spans="1:20" ht="15.75">
      <c r="A118" s="80"/>
      <c r="B118" s="80"/>
      <c r="C118" s="80"/>
      <c r="D118" s="80"/>
      <c r="E118" s="80"/>
      <c r="F118" s="80"/>
      <c r="G118" s="80"/>
      <c r="H118" s="80"/>
      <c r="I118" s="80"/>
      <c r="J118" s="80"/>
      <c r="K118" s="80"/>
      <c r="L118" s="80"/>
      <c r="M118" s="80"/>
      <c r="N118" s="80"/>
      <c r="O118" s="80"/>
      <c r="P118" s="80"/>
      <c r="Q118" s="80"/>
      <c r="R118" s="80"/>
      <c r="S118" s="80"/>
      <c r="T118" s="80"/>
    </row>
    <row r="119" spans="1:20" ht="15.75">
      <c r="A119" s="80"/>
      <c r="B119" s="80"/>
      <c r="C119" s="80"/>
      <c r="D119" s="80"/>
      <c r="E119" s="80"/>
      <c r="F119" s="80"/>
      <c r="G119" s="80"/>
      <c r="H119" s="80"/>
      <c r="I119" s="80"/>
      <c r="J119" s="80"/>
      <c r="K119" s="80"/>
      <c r="L119" s="80"/>
      <c r="M119" s="80"/>
      <c r="N119" s="80"/>
      <c r="O119" s="80"/>
      <c r="P119" s="80"/>
      <c r="Q119" s="80"/>
      <c r="R119" s="80"/>
      <c r="S119" s="80"/>
      <c r="T119" s="80"/>
    </row>
    <row r="120" spans="1:20" ht="15.75">
      <c r="A120" s="80"/>
      <c r="B120" s="80"/>
      <c r="C120" s="80"/>
      <c r="D120" s="80"/>
      <c r="E120" s="80"/>
      <c r="F120" s="80"/>
      <c r="G120" s="80"/>
      <c r="H120" s="80"/>
      <c r="I120" s="80"/>
      <c r="J120" s="80"/>
      <c r="K120" s="80"/>
      <c r="L120" s="80"/>
      <c r="M120" s="80"/>
      <c r="N120" s="80"/>
      <c r="O120" s="80"/>
      <c r="P120" s="80"/>
      <c r="Q120" s="80"/>
      <c r="R120" s="80"/>
      <c r="S120" s="80"/>
      <c r="T120" s="80"/>
    </row>
    <row r="121" spans="1:20" ht="15.75">
      <c r="A121" s="80"/>
      <c r="B121" s="80"/>
      <c r="C121" s="80"/>
      <c r="D121" s="80"/>
      <c r="E121" s="80"/>
      <c r="F121" s="80"/>
      <c r="G121" s="80"/>
      <c r="H121" s="80"/>
      <c r="I121" s="80"/>
      <c r="J121" s="80"/>
      <c r="K121" s="80"/>
      <c r="L121" s="80"/>
      <c r="M121" s="80"/>
      <c r="N121" s="80"/>
      <c r="O121" s="80"/>
      <c r="P121" s="80"/>
      <c r="Q121" s="80"/>
      <c r="R121" s="80"/>
      <c r="S121" s="80"/>
      <c r="T121" s="80"/>
    </row>
    <row r="122" spans="1:20" ht="15.75">
      <c r="A122" s="80"/>
      <c r="B122" s="80"/>
      <c r="C122" s="80"/>
      <c r="D122" s="80"/>
      <c r="E122" s="80"/>
      <c r="F122" s="80"/>
      <c r="G122" s="80"/>
      <c r="H122" s="80"/>
      <c r="I122" s="80"/>
      <c r="J122" s="80"/>
      <c r="K122" s="80"/>
      <c r="L122" s="80"/>
      <c r="M122" s="80"/>
      <c r="N122" s="80"/>
      <c r="O122" s="80"/>
      <c r="P122" s="80"/>
      <c r="Q122" s="80"/>
      <c r="R122" s="80"/>
      <c r="S122" s="80"/>
      <c r="T122" s="80"/>
    </row>
    <row r="123" spans="1:20" ht="15.75">
      <c r="A123" s="80"/>
      <c r="B123" s="80"/>
      <c r="C123" s="80"/>
      <c r="D123" s="80"/>
      <c r="E123" s="80"/>
      <c r="F123" s="80"/>
      <c r="G123" s="80"/>
      <c r="H123" s="80"/>
      <c r="I123" s="80"/>
      <c r="J123" s="80"/>
      <c r="K123" s="80"/>
      <c r="L123" s="80"/>
      <c r="M123" s="80"/>
      <c r="N123" s="80"/>
      <c r="O123" s="80"/>
      <c r="P123" s="80"/>
      <c r="Q123" s="80"/>
      <c r="R123" s="80"/>
      <c r="S123" s="80"/>
      <c r="T123" s="80"/>
    </row>
    <row r="124" spans="1:20" ht="15.75">
      <c r="A124" s="80"/>
      <c r="B124" s="80"/>
      <c r="C124" s="80"/>
      <c r="D124" s="80"/>
      <c r="E124" s="80"/>
      <c r="F124" s="80"/>
      <c r="G124" s="80"/>
      <c r="H124" s="80"/>
      <c r="I124" s="80"/>
      <c r="J124" s="80"/>
      <c r="K124" s="80"/>
      <c r="L124" s="80"/>
      <c r="M124" s="80"/>
      <c r="N124" s="80"/>
      <c r="O124" s="80"/>
      <c r="P124" s="80"/>
      <c r="Q124" s="80"/>
      <c r="R124" s="80"/>
      <c r="S124" s="80"/>
      <c r="T124" s="80"/>
    </row>
    <row r="125" spans="1:20" ht="15.75">
      <c r="A125" s="80"/>
      <c r="B125" s="80"/>
      <c r="C125" s="80"/>
      <c r="D125" s="80"/>
      <c r="E125" s="80"/>
      <c r="F125" s="80"/>
      <c r="G125" s="80"/>
      <c r="H125" s="80"/>
      <c r="I125" s="80"/>
      <c r="J125" s="80"/>
      <c r="K125" s="80"/>
      <c r="L125" s="80"/>
      <c r="M125" s="80"/>
      <c r="N125" s="80"/>
      <c r="O125" s="80"/>
      <c r="P125" s="80"/>
      <c r="Q125" s="80"/>
      <c r="R125" s="80"/>
      <c r="S125" s="80"/>
      <c r="T125" s="80"/>
    </row>
    <row r="126" spans="1:20" ht="15.75">
      <c r="A126" s="80"/>
      <c r="B126" s="80"/>
      <c r="C126" s="80"/>
      <c r="D126" s="80"/>
      <c r="E126" s="80"/>
      <c r="F126" s="80"/>
      <c r="G126" s="80"/>
      <c r="H126" s="80"/>
      <c r="I126" s="80"/>
      <c r="J126" s="80"/>
      <c r="K126" s="80"/>
      <c r="L126" s="80"/>
      <c r="M126" s="80"/>
      <c r="N126" s="80"/>
      <c r="O126" s="80"/>
      <c r="P126" s="80"/>
      <c r="Q126" s="80"/>
      <c r="R126" s="80"/>
      <c r="S126" s="80"/>
      <c r="T126" s="80"/>
    </row>
    <row r="127" spans="1:20" ht="15.75">
      <c r="A127" s="80"/>
      <c r="B127" s="80"/>
      <c r="C127" s="80"/>
      <c r="D127" s="80"/>
      <c r="E127" s="80"/>
      <c r="F127" s="80"/>
      <c r="G127" s="80"/>
      <c r="H127" s="80"/>
      <c r="I127" s="80"/>
      <c r="J127" s="80"/>
      <c r="K127" s="80"/>
      <c r="L127" s="80"/>
      <c r="M127" s="80"/>
      <c r="N127" s="80"/>
      <c r="O127" s="80"/>
      <c r="P127" s="80"/>
      <c r="Q127" s="80"/>
      <c r="R127" s="80"/>
      <c r="S127" s="80"/>
      <c r="T127" s="80"/>
    </row>
    <row r="128" spans="1:20" ht="15.75">
      <c r="A128" s="80"/>
      <c r="B128" s="80"/>
      <c r="C128" s="80"/>
      <c r="D128" s="80"/>
      <c r="E128" s="80"/>
      <c r="F128" s="80"/>
      <c r="G128" s="80"/>
      <c r="H128" s="80"/>
      <c r="I128" s="80"/>
      <c r="J128" s="80"/>
      <c r="K128" s="80"/>
      <c r="L128" s="80"/>
      <c r="M128" s="80"/>
      <c r="N128" s="80"/>
      <c r="O128" s="80"/>
      <c r="P128" s="80"/>
      <c r="Q128" s="80"/>
      <c r="R128" s="80"/>
      <c r="S128" s="80"/>
      <c r="T128" s="80"/>
    </row>
    <row r="129" spans="1:20" ht="15.75">
      <c r="A129" s="80"/>
      <c r="B129" s="80"/>
      <c r="C129" s="80"/>
      <c r="D129" s="80"/>
      <c r="E129" s="80"/>
      <c r="F129" s="80"/>
      <c r="G129" s="80"/>
      <c r="H129" s="80"/>
      <c r="I129" s="80"/>
      <c r="J129" s="80"/>
      <c r="K129" s="80"/>
      <c r="L129" s="80"/>
      <c r="M129" s="80"/>
      <c r="N129" s="80"/>
      <c r="O129" s="80"/>
      <c r="P129" s="80"/>
      <c r="Q129" s="80"/>
      <c r="R129" s="80"/>
      <c r="S129" s="80"/>
      <c r="T129" s="80"/>
    </row>
    <row r="130" spans="1:20" ht="15.75">
      <c r="A130" s="80"/>
      <c r="B130" s="80"/>
      <c r="C130" s="80"/>
      <c r="D130" s="80"/>
      <c r="E130" s="80"/>
      <c r="F130" s="80"/>
      <c r="G130" s="80"/>
      <c r="H130" s="80"/>
      <c r="I130" s="80"/>
      <c r="J130" s="80"/>
      <c r="K130" s="80"/>
      <c r="L130" s="80"/>
      <c r="M130" s="80"/>
      <c r="N130" s="80"/>
      <c r="O130" s="80"/>
      <c r="P130" s="80"/>
      <c r="Q130" s="80"/>
      <c r="R130" s="80"/>
      <c r="S130" s="80"/>
      <c r="T130" s="80"/>
    </row>
    <row r="131" spans="1:20" ht="15.75">
      <c r="A131" s="80"/>
      <c r="B131" s="80"/>
      <c r="C131" s="80"/>
      <c r="D131" s="80"/>
      <c r="E131" s="80"/>
      <c r="F131" s="80"/>
      <c r="G131" s="80"/>
      <c r="H131" s="80"/>
      <c r="I131" s="80"/>
      <c r="J131" s="80"/>
      <c r="K131" s="80"/>
      <c r="L131" s="80"/>
      <c r="M131" s="80"/>
      <c r="N131" s="80"/>
      <c r="O131" s="80"/>
      <c r="P131" s="80"/>
      <c r="Q131" s="80"/>
      <c r="R131" s="80"/>
      <c r="S131" s="80"/>
      <c r="T131" s="80"/>
    </row>
    <row r="132" spans="1:20" ht="15.75">
      <c r="A132" s="80"/>
      <c r="B132" s="80"/>
      <c r="C132" s="80"/>
      <c r="D132" s="80"/>
      <c r="E132" s="80"/>
      <c r="F132" s="80"/>
      <c r="G132" s="80"/>
      <c r="H132" s="80"/>
      <c r="I132" s="80"/>
      <c r="J132" s="80"/>
      <c r="K132" s="80"/>
      <c r="L132" s="80"/>
      <c r="M132" s="80"/>
      <c r="N132" s="80"/>
      <c r="O132" s="80"/>
      <c r="P132" s="80"/>
      <c r="Q132" s="80"/>
      <c r="R132" s="80"/>
      <c r="S132" s="80"/>
      <c r="T132" s="80"/>
    </row>
    <row r="133" spans="1:20" ht="15.75">
      <c r="A133" s="80"/>
      <c r="B133" s="80"/>
      <c r="C133" s="80"/>
      <c r="D133" s="80"/>
      <c r="E133" s="80"/>
      <c r="F133" s="80"/>
      <c r="G133" s="80"/>
      <c r="H133" s="80"/>
      <c r="I133" s="80"/>
      <c r="J133" s="80"/>
      <c r="K133" s="80"/>
      <c r="L133" s="80"/>
      <c r="M133" s="80"/>
      <c r="N133" s="80"/>
      <c r="O133" s="80"/>
      <c r="P133" s="80"/>
      <c r="Q133" s="80"/>
      <c r="R133" s="80"/>
      <c r="S133" s="80"/>
      <c r="T133" s="80"/>
    </row>
    <row r="134" spans="1:20" ht="15.75">
      <c r="A134" s="80"/>
      <c r="B134" s="80"/>
      <c r="C134" s="80"/>
      <c r="D134" s="80"/>
      <c r="E134" s="80"/>
      <c r="F134" s="80"/>
      <c r="G134" s="80"/>
      <c r="H134" s="80"/>
      <c r="I134" s="80"/>
      <c r="J134" s="80"/>
      <c r="K134" s="80"/>
      <c r="L134" s="80"/>
      <c r="M134" s="80"/>
      <c r="N134" s="80"/>
      <c r="O134" s="80"/>
      <c r="P134" s="80"/>
      <c r="Q134" s="80"/>
      <c r="R134" s="80"/>
      <c r="S134" s="80"/>
      <c r="T134" s="80"/>
    </row>
    <row r="135" spans="1:20" ht="15.75">
      <c r="A135" s="80"/>
      <c r="B135" s="80"/>
      <c r="C135" s="80"/>
      <c r="D135" s="80"/>
      <c r="E135" s="80"/>
      <c r="F135" s="80"/>
      <c r="G135" s="80"/>
      <c r="H135" s="80"/>
      <c r="I135" s="80"/>
      <c r="J135" s="80"/>
      <c r="K135" s="80"/>
      <c r="L135" s="80"/>
      <c r="M135" s="80"/>
      <c r="N135" s="80"/>
      <c r="O135" s="80"/>
      <c r="P135" s="80"/>
      <c r="Q135" s="80"/>
      <c r="R135" s="80"/>
      <c r="S135" s="80"/>
      <c r="T135" s="80"/>
    </row>
    <row r="136" spans="1:20" ht="15.75">
      <c r="A136" s="80"/>
      <c r="B136" s="80"/>
      <c r="C136" s="80"/>
      <c r="D136" s="80"/>
      <c r="E136" s="80"/>
      <c r="F136" s="80"/>
      <c r="G136" s="80"/>
      <c r="H136" s="80"/>
      <c r="I136" s="80"/>
      <c r="J136" s="80"/>
      <c r="K136" s="80"/>
      <c r="L136" s="80"/>
      <c r="M136" s="80"/>
      <c r="N136" s="80"/>
      <c r="O136" s="80"/>
      <c r="P136" s="80"/>
      <c r="Q136" s="80"/>
      <c r="R136" s="80"/>
      <c r="S136" s="80"/>
      <c r="T136" s="80"/>
    </row>
    <row r="137" spans="1:20" ht="15.75">
      <c r="A137" s="80"/>
      <c r="B137" s="80"/>
      <c r="C137" s="80"/>
      <c r="D137" s="80"/>
      <c r="E137" s="80"/>
      <c r="F137" s="80"/>
      <c r="G137" s="80"/>
      <c r="H137" s="80"/>
      <c r="I137" s="80"/>
      <c r="J137" s="80"/>
      <c r="K137" s="80"/>
      <c r="L137" s="80"/>
      <c r="M137" s="80"/>
      <c r="N137" s="80"/>
      <c r="O137" s="80"/>
      <c r="P137" s="80"/>
      <c r="Q137" s="80"/>
      <c r="R137" s="80"/>
      <c r="S137" s="80"/>
      <c r="T137" s="80"/>
    </row>
    <row r="138" spans="1:20" ht="15.75">
      <c r="A138" s="80"/>
      <c r="B138" s="80"/>
      <c r="C138" s="80"/>
      <c r="D138" s="80"/>
      <c r="E138" s="80"/>
      <c r="F138" s="80"/>
      <c r="G138" s="80"/>
      <c r="H138" s="80"/>
      <c r="I138" s="80"/>
      <c r="J138" s="80"/>
      <c r="K138" s="80"/>
      <c r="L138" s="80"/>
      <c r="M138" s="80"/>
      <c r="N138" s="80"/>
      <c r="O138" s="80"/>
      <c r="P138" s="80"/>
      <c r="Q138" s="80"/>
      <c r="R138" s="80"/>
      <c r="S138" s="80"/>
      <c r="T138" s="80"/>
    </row>
    <row r="139" spans="1:20" ht="15.75">
      <c r="A139" s="80"/>
      <c r="B139" s="80"/>
      <c r="C139" s="80"/>
      <c r="D139" s="80"/>
      <c r="E139" s="80"/>
      <c r="F139" s="80"/>
      <c r="G139" s="80"/>
      <c r="H139" s="80"/>
      <c r="I139" s="80"/>
      <c r="J139" s="80"/>
      <c r="K139" s="80"/>
      <c r="L139" s="80"/>
      <c r="M139" s="80"/>
      <c r="N139" s="80"/>
      <c r="O139" s="80"/>
      <c r="P139" s="80"/>
      <c r="Q139" s="80"/>
      <c r="R139" s="80"/>
      <c r="S139" s="80"/>
      <c r="T139" s="80"/>
    </row>
    <row r="140" spans="1:20" ht="15.75">
      <c r="A140" s="80"/>
      <c r="B140" s="80"/>
      <c r="C140" s="80"/>
      <c r="D140" s="80"/>
      <c r="E140" s="80"/>
      <c r="F140" s="80"/>
      <c r="G140" s="80"/>
      <c r="H140" s="80"/>
      <c r="I140" s="80"/>
      <c r="J140" s="80"/>
      <c r="K140" s="80"/>
      <c r="L140" s="80"/>
      <c r="M140" s="80"/>
      <c r="N140" s="80"/>
      <c r="O140" s="80"/>
      <c r="P140" s="80"/>
      <c r="Q140" s="80"/>
      <c r="R140" s="80"/>
      <c r="S140" s="80"/>
      <c r="T140" s="80"/>
    </row>
    <row r="141" spans="1:20" ht="15.75">
      <c r="A141" s="80"/>
      <c r="B141" s="80"/>
      <c r="C141" s="80"/>
      <c r="D141" s="80"/>
      <c r="E141" s="80"/>
      <c r="F141" s="80"/>
      <c r="G141" s="80"/>
      <c r="H141" s="80"/>
      <c r="I141" s="80"/>
      <c r="J141" s="80"/>
      <c r="K141" s="80"/>
      <c r="L141" s="80"/>
      <c r="M141" s="80"/>
      <c r="N141" s="80"/>
      <c r="O141" s="80"/>
      <c r="P141" s="80"/>
      <c r="Q141" s="80"/>
      <c r="R141" s="80"/>
      <c r="S141" s="80"/>
      <c r="T141" s="80"/>
    </row>
    <row r="142" spans="1:20" ht="15.75">
      <c r="A142" s="80"/>
      <c r="B142" s="80"/>
      <c r="C142" s="80"/>
      <c r="D142" s="80"/>
      <c r="E142" s="80"/>
      <c r="F142" s="80"/>
      <c r="G142" s="80"/>
      <c r="H142" s="80"/>
      <c r="I142" s="80"/>
      <c r="J142" s="80"/>
      <c r="K142" s="80"/>
      <c r="L142" s="80"/>
      <c r="M142" s="80"/>
      <c r="N142" s="80"/>
      <c r="O142" s="80"/>
      <c r="P142" s="80"/>
      <c r="Q142" s="80"/>
      <c r="R142" s="80"/>
      <c r="S142" s="80"/>
      <c r="T142" s="80"/>
    </row>
    <row r="143" spans="1:20" ht="15.75">
      <c r="A143" s="80"/>
      <c r="B143" s="80"/>
      <c r="C143" s="80"/>
      <c r="D143" s="80"/>
      <c r="E143" s="80"/>
      <c r="F143" s="80"/>
      <c r="G143" s="80"/>
      <c r="H143" s="80"/>
      <c r="I143" s="80"/>
      <c r="J143" s="80"/>
      <c r="K143" s="80"/>
      <c r="L143" s="80"/>
      <c r="M143" s="80"/>
      <c r="N143" s="80"/>
      <c r="O143" s="80"/>
      <c r="P143" s="80"/>
      <c r="Q143" s="80"/>
      <c r="R143" s="80"/>
      <c r="S143" s="80"/>
      <c r="T143" s="80"/>
    </row>
    <row r="144" spans="1:20" ht="15.75">
      <c r="A144" s="80"/>
      <c r="B144" s="80"/>
      <c r="C144" s="80"/>
      <c r="D144" s="80"/>
      <c r="E144" s="80"/>
      <c r="F144" s="80"/>
      <c r="G144" s="80"/>
      <c r="H144" s="80"/>
      <c r="I144" s="80"/>
      <c r="J144" s="80"/>
      <c r="K144" s="80"/>
      <c r="L144" s="80"/>
      <c r="M144" s="80"/>
      <c r="N144" s="80"/>
      <c r="O144" s="80"/>
      <c r="P144" s="80"/>
      <c r="Q144" s="80"/>
      <c r="R144" s="80"/>
      <c r="S144" s="80"/>
      <c r="T144" s="80"/>
    </row>
    <row r="145" spans="1:20" ht="15.75">
      <c r="A145" s="80"/>
      <c r="B145" s="80"/>
      <c r="C145" s="80"/>
      <c r="D145" s="80"/>
      <c r="E145" s="80"/>
      <c r="F145" s="80"/>
      <c r="G145" s="80"/>
      <c r="H145" s="80"/>
      <c r="I145" s="80"/>
      <c r="J145" s="80"/>
      <c r="K145" s="80"/>
      <c r="L145" s="80"/>
      <c r="M145" s="80"/>
      <c r="N145" s="80"/>
      <c r="O145" s="80"/>
      <c r="P145" s="80"/>
      <c r="Q145" s="80"/>
      <c r="R145" s="80"/>
      <c r="S145" s="80"/>
      <c r="T145" s="80"/>
    </row>
    <row r="146" spans="1:20" ht="15.75">
      <c r="A146" s="80"/>
      <c r="B146" s="80"/>
      <c r="C146" s="80"/>
      <c r="D146" s="80"/>
      <c r="E146" s="80"/>
      <c r="F146" s="80"/>
      <c r="G146" s="80"/>
      <c r="H146" s="80"/>
      <c r="I146" s="80"/>
      <c r="J146" s="80"/>
      <c r="K146" s="80"/>
      <c r="L146" s="80"/>
      <c r="M146" s="80"/>
      <c r="N146" s="80"/>
      <c r="O146" s="80"/>
      <c r="P146" s="80"/>
      <c r="Q146" s="80"/>
      <c r="R146" s="80"/>
      <c r="S146" s="80"/>
      <c r="T146" s="80"/>
    </row>
    <row r="147" spans="1:20" ht="15.75">
      <c r="A147" s="80"/>
      <c r="B147" s="80"/>
      <c r="C147" s="80"/>
      <c r="D147" s="80"/>
      <c r="E147" s="80"/>
      <c r="F147" s="80"/>
      <c r="G147" s="80"/>
      <c r="H147" s="80"/>
      <c r="I147" s="80"/>
      <c r="J147" s="80"/>
      <c r="K147" s="80"/>
      <c r="L147" s="80"/>
      <c r="M147" s="80"/>
      <c r="N147" s="80"/>
      <c r="O147" s="80"/>
      <c r="P147" s="80"/>
      <c r="Q147" s="80"/>
      <c r="R147" s="80"/>
      <c r="S147" s="80"/>
      <c r="T147" s="80"/>
    </row>
    <row r="148" spans="1:20" ht="15.75">
      <c r="A148" s="80"/>
      <c r="B148" s="80"/>
      <c r="C148" s="80"/>
      <c r="D148" s="80"/>
      <c r="E148" s="80"/>
      <c r="F148" s="80"/>
      <c r="G148" s="80"/>
      <c r="H148" s="80"/>
      <c r="I148" s="80"/>
      <c r="J148" s="80"/>
      <c r="K148" s="80"/>
      <c r="L148" s="80"/>
      <c r="M148" s="80"/>
      <c r="N148" s="80"/>
      <c r="O148" s="80"/>
      <c r="P148" s="80"/>
      <c r="Q148" s="80"/>
      <c r="R148" s="80"/>
      <c r="S148" s="80"/>
      <c r="T148" s="80"/>
    </row>
    <row r="149" spans="1:20" ht="15.75">
      <c r="A149" s="80"/>
      <c r="B149" s="80"/>
      <c r="C149" s="80"/>
      <c r="D149" s="80"/>
      <c r="E149" s="80"/>
      <c r="F149" s="80"/>
      <c r="G149" s="80"/>
      <c r="H149" s="80"/>
      <c r="I149" s="80"/>
      <c r="J149" s="80"/>
      <c r="K149" s="80"/>
      <c r="L149" s="80"/>
      <c r="M149" s="80"/>
      <c r="N149" s="80"/>
      <c r="O149" s="80"/>
      <c r="P149" s="80"/>
      <c r="Q149" s="80"/>
      <c r="R149" s="80"/>
      <c r="S149" s="80"/>
      <c r="T149" s="80"/>
    </row>
    <row r="150" spans="1:20" ht="15.75">
      <c r="A150" s="80"/>
      <c r="B150" s="80"/>
      <c r="C150" s="80"/>
      <c r="D150" s="80"/>
      <c r="E150" s="80"/>
      <c r="F150" s="80"/>
      <c r="G150" s="80"/>
      <c r="H150" s="80"/>
      <c r="I150" s="80"/>
      <c r="J150" s="80"/>
      <c r="K150" s="80"/>
      <c r="L150" s="80"/>
      <c r="M150" s="80"/>
      <c r="N150" s="80"/>
      <c r="O150" s="80"/>
      <c r="P150" s="80"/>
      <c r="Q150" s="80"/>
      <c r="R150" s="80"/>
      <c r="S150" s="80"/>
      <c r="T150" s="80"/>
    </row>
    <row r="151" spans="1:20" ht="15.75">
      <c r="A151" s="80"/>
      <c r="B151" s="80"/>
      <c r="C151" s="80"/>
      <c r="D151" s="80"/>
      <c r="E151" s="80"/>
      <c r="F151" s="80"/>
      <c r="G151" s="80"/>
      <c r="H151" s="80"/>
      <c r="I151" s="80"/>
      <c r="J151" s="80"/>
      <c r="K151" s="80"/>
      <c r="L151" s="80"/>
      <c r="M151" s="80"/>
      <c r="N151" s="80"/>
      <c r="O151" s="80"/>
      <c r="P151" s="80"/>
      <c r="Q151" s="80"/>
      <c r="R151" s="80"/>
      <c r="S151" s="80"/>
      <c r="T151" s="80"/>
    </row>
    <row r="152" spans="1:20" ht="15.75">
      <c r="A152" s="80"/>
      <c r="B152" s="80"/>
      <c r="C152" s="80"/>
      <c r="D152" s="80"/>
      <c r="E152" s="80"/>
      <c r="F152" s="80"/>
      <c r="G152" s="80"/>
      <c r="H152" s="80"/>
      <c r="I152" s="80"/>
      <c r="J152" s="80"/>
      <c r="K152" s="80"/>
      <c r="L152" s="80"/>
      <c r="M152" s="80"/>
      <c r="N152" s="80"/>
      <c r="O152" s="80"/>
      <c r="P152" s="80"/>
      <c r="Q152" s="80"/>
      <c r="R152" s="80"/>
      <c r="S152" s="80"/>
      <c r="T152" s="80"/>
    </row>
    <row r="153" spans="1:20" ht="15.75">
      <c r="A153" s="80"/>
      <c r="B153" s="80"/>
      <c r="C153" s="80"/>
      <c r="D153" s="80"/>
      <c r="E153" s="80"/>
      <c r="F153" s="80"/>
      <c r="G153" s="80"/>
      <c r="H153" s="80"/>
      <c r="I153" s="80"/>
      <c r="J153" s="80"/>
      <c r="K153" s="80"/>
      <c r="L153" s="80"/>
      <c r="M153" s="80"/>
      <c r="N153" s="80"/>
      <c r="O153" s="80"/>
      <c r="P153" s="80"/>
      <c r="Q153" s="80"/>
      <c r="R153" s="80"/>
      <c r="S153" s="80"/>
      <c r="T153" s="80"/>
    </row>
    <row r="154" spans="1:20" ht="15.75">
      <c r="A154" s="80"/>
      <c r="B154" s="80"/>
      <c r="C154" s="80"/>
      <c r="D154" s="80"/>
      <c r="E154" s="80"/>
      <c r="F154" s="80"/>
      <c r="G154" s="80"/>
      <c r="H154" s="80"/>
      <c r="I154" s="80"/>
      <c r="J154" s="80"/>
      <c r="K154" s="80"/>
      <c r="L154" s="80"/>
      <c r="M154" s="80"/>
      <c r="N154" s="80"/>
      <c r="O154" s="80"/>
      <c r="P154" s="80"/>
      <c r="Q154" s="80"/>
      <c r="R154" s="80"/>
      <c r="S154" s="80"/>
      <c r="T154" s="80"/>
    </row>
    <row r="155" spans="1:20" ht="15.75">
      <c r="A155" s="80"/>
      <c r="B155" s="80"/>
      <c r="C155" s="80"/>
      <c r="D155" s="80"/>
      <c r="E155" s="80"/>
      <c r="F155" s="80"/>
      <c r="G155" s="80"/>
      <c r="H155" s="80"/>
      <c r="I155" s="80"/>
      <c r="J155" s="80"/>
      <c r="K155" s="80"/>
      <c r="L155" s="80"/>
      <c r="M155" s="80"/>
      <c r="N155" s="80"/>
      <c r="O155" s="80"/>
      <c r="P155" s="80"/>
      <c r="Q155" s="80"/>
      <c r="R155" s="80"/>
      <c r="S155" s="80"/>
      <c r="T155" s="80"/>
    </row>
    <row r="156" spans="1:20" ht="15.75">
      <c r="A156" s="80"/>
      <c r="B156" s="80"/>
      <c r="C156" s="80"/>
      <c r="D156" s="80"/>
      <c r="E156" s="80"/>
      <c r="F156" s="80"/>
      <c r="G156" s="80"/>
      <c r="H156" s="80"/>
      <c r="I156" s="80"/>
      <c r="J156" s="80"/>
      <c r="K156" s="80"/>
      <c r="L156" s="80"/>
      <c r="M156" s="80"/>
      <c r="N156" s="80"/>
      <c r="O156" s="80"/>
      <c r="P156" s="80"/>
      <c r="Q156" s="80"/>
      <c r="R156" s="80"/>
      <c r="S156" s="80"/>
      <c r="T156" s="80"/>
    </row>
    <row r="157" spans="1:20" ht="15.75">
      <c r="A157" s="80"/>
      <c r="B157" s="80"/>
      <c r="C157" s="80"/>
      <c r="D157" s="80"/>
      <c r="E157" s="80"/>
      <c r="F157" s="80"/>
      <c r="G157" s="80"/>
      <c r="H157" s="80"/>
      <c r="I157" s="80"/>
      <c r="J157" s="80"/>
      <c r="K157" s="80"/>
      <c r="L157" s="80"/>
      <c r="M157" s="80"/>
      <c r="N157" s="80"/>
      <c r="O157" s="80"/>
      <c r="P157" s="80"/>
      <c r="Q157" s="80"/>
      <c r="R157" s="80"/>
      <c r="S157" s="80"/>
      <c r="T157" s="80"/>
    </row>
    <row r="158" spans="1:20" ht="15.75">
      <c r="A158" s="80"/>
      <c r="B158" s="80"/>
      <c r="C158" s="80"/>
      <c r="D158" s="80"/>
      <c r="E158" s="80"/>
      <c r="F158" s="80"/>
      <c r="G158" s="80"/>
      <c r="H158" s="80"/>
      <c r="I158" s="80"/>
      <c r="J158" s="80"/>
      <c r="K158" s="80"/>
      <c r="L158" s="80"/>
      <c r="M158" s="80"/>
      <c r="N158" s="80"/>
      <c r="O158" s="80"/>
      <c r="P158" s="80"/>
      <c r="Q158" s="80"/>
      <c r="R158" s="80"/>
      <c r="S158" s="80"/>
      <c r="T158" s="80"/>
    </row>
    <row r="159" spans="1:20" ht="15.75">
      <c r="A159" s="80"/>
      <c r="B159" s="80"/>
      <c r="C159" s="80"/>
      <c r="D159" s="80"/>
      <c r="E159" s="80"/>
      <c r="F159" s="80"/>
      <c r="G159" s="80"/>
      <c r="H159" s="80"/>
      <c r="I159" s="80"/>
      <c r="J159" s="80"/>
      <c r="K159" s="80"/>
      <c r="L159" s="80"/>
      <c r="M159" s="80"/>
      <c r="N159" s="80"/>
      <c r="O159" s="80"/>
      <c r="P159" s="80"/>
      <c r="Q159" s="80"/>
      <c r="R159" s="80"/>
      <c r="S159" s="80"/>
      <c r="T159" s="80"/>
    </row>
    <row r="160" spans="1:20" ht="15.75">
      <c r="A160" s="80"/>
      <c r="B160" s="80"/>
      <c r="C160" s="80"/>
      <c r="D160" s="80"/>
      <c r="E160" s="80"/>
      <c r="F160" s="80"/>
      <c r="G160" s="80"/>
      <c r="H160" s="80"/>
      <c r="I160" s="80"/>
      <c r="J160" s="80"/>
      <c r="K160" s="80"/>
      <c r="L160" s="80"/>
      <c r="M160" s="80"/>
      <c r="N160" s="80"/>
      <c r="O160" s="80"/>
      <c r="P160" s="80"/>
      <c r="Q160" s="80"/>
      <c r="R160" s="80"/>
      <c r="S160" s="80"/>
      <c r="T160" s="80"/>
    </row>
    <row r="161" spans="1:20" ht="15.75">
      <c r="A161" s="80"/>
      <c r="B161" s="80"/>
      <c r="C161" s="80"/>
      <c r="D161" s="80"/>
      <c r="E161" s="80"/>
      <c r="F161" s="80"/>
      <c r="G161" s="80"/>
      <c r="H161" s="80"/>
      <c r="I161" s="80"/>
      <c r="J161" s="80"/>
      <c r="K161" s="80"/>
      <c r="L161" s="80"/>
      <c r="M161" s="80"/>
      <c r="N161" s="80"/>
      <c r="O161" s="80"/>
      <c r="P161" s="80"/>
      <c r="Q161" s="80"/>
      <c r="R161" s="80"/>
      <c r="S161" s="80"/>
      <c r="T161" s="80"/>
    </row>
    <row r="162" spans="1:20" ht="15.75">
      <c r="A162" s="80"/>
      <c r="B162" s="80"/>
      <c r="C162" s="80"/>
      <c r="D162" s="80"/>
      <c r="E162" s="80"/>
      <c r="F162" s="80"/>
      <c r="G162" s="80"/>
      <c r="H162" s="80"/>
      <c r="I162" s="80"/>
      <c r="J162" s="80"/>
      <c r="K162" s="80"/>
      <c r="L162" s="80"/>
      <c r="M162" s="80"/>
      <c r="N162" s="80"/>
      <c r="O162" s="80"/>
      <c r="P162" s="80"/>
      <c r="Q162" s="80"/>
      <c r="R162" s="80"/>
      <c r="S162" s="80"/>
      <c r="T162" s="80"/>
    </row>
    <row r="163" spans="1:20" ht="15.75">
      <c r="A163" s="80"/>
      <c r="B163" s="80"/>
      <c r="C163" s="80"/>
      <c r="D163" s="80"/>
      <c r="E163" s="80"/>
      <c r="F163" s="80"/>
      <c r="G163" s="80"/>
      <c r="H163" s="80"/>
      <c r="I163" s="80"/>
      <c r="J163" s="80"/>
      <c r="K163" s="80"/>
      <c r="L163" s="80"/>
      <c r="M163" s="80"/>
      <c r="N163" s="80"/>
      <c r="O163" s="80"/>
      <c r="P163" s="80"/>
      <c r="Q163" s="80"/>
      <c r="R163" s="80"/>
      <c r="S163" s="80"/>
      <c r="T163" s="80"/>
    </row>
    <row r="164" spans="1:20" ht="15.75">
      <c r="A164" s="80"/>
      <c r="B164" s="80"/>
      <c r="C164" s="80"/>
      <c r="D164" s="80"/>
      <c r="E164" s="80"/>
      <c r="F164" s="80"/>
      <c r="G164" s="80"/>
      <c r="H164" s="80"/>
      <c r="I164" s="80"/>
      <c r="J164" s="80"/>
      <c r="K164" s="80"/>
      <c r="L164" s="80"/>
      <c r="M164" s="80"/>
      <c r="N164" s="80"/>
      <c r="O164" s="80"/>
      <c r="P164" s="80"/>
      <c r="Q164" s="80"/>
      <c r="R164" s="80"/>
      <c r="S164" s="80"/>
      <c r="T164" s="80"/>
    </row>
    <row r="165" spans="1:20" ht="15.75">
      <c r="A165" s="80"/>
      <c r="B165" s="80"/>
      <c r="C165" s="80"/>
      <c r="D165" s="80"/>
      <c r="E165" s="80"/>
      <c r="F165" s="80"/>
      <c r="G165" s="80"/>
      <c r="H165" s="80"/>
      <c r="I165" s="80"/>
      <c r="J165" s="80"/>
      <c r="K165" s="80"/>
      <c r="L165" s="80"/>
      <c r="M165" s="80"/>
      <c r="N165" s="80"/>
      <c r="O165" s="80"/>
      <c r="P165" s="80"/>
      <c r="Q165" s="80"/>
      <c r="R165" s="80"/>
      <c r="S165" s="80"/>
      <c r="T165" s="80"/>
    </row>
    <row r="166" spans="1:20" ht="15.75">
      <c r="A166" s="80"/>
      <c r="B166" s="80"/>
      <c r="C166" s="80"/>
      <c r="D166" s="80"/>
      <c r="E166" s="80"/>
      <c r="F166" s="80"/>
      <c r="G166" s="80"/>
      <c r="H166" s="80"/>
      <c r="I166" s="80"/>
      <c r="J166" s="80"/>
      <c r="K166" s="80"/>
      <c r="L166" s="80"/>
      <c r="M166" s="80"/>
      <c r="N166" s="80"/>
      <c r="O166" s="80"/>
      <c r="P166" s="80"/>
      <c r="Q166" s="80"/>
      <c r="R166" s="80"/>
      <c r="S166" s="80"/>
      <c r="T166" s="80"/>
    </row>
    <row r="167" spans="1:20" ht="15.75">
      <c r="A167" s="80"/>
      <c r="B167" s="80"/>
      <c r="C167" s="80"/>
      <c r="D167" s="80"/>
      <c r="E167" s="80"/>
      <c r="F167" s="80"/>
      <c r="G167" s="80"/>
      <c r="H167" s="80"/>
      <c r="I167" s="80"/>
      <c r="J167" s="80"/>
      <c r="K167" s="80"/>
      <c r="L167" s="80"/>
      <c r="M167" s="80"/>
      <c r="N167" s="80"/>
      <c r="O167" s="80"/>
      <c r="P167" s="80"/>
      <c r="Q167" s="80"/>
      <c r="R167" s="80"/>
      <c r="S167" s="80"/>
      <c r="T167" s="80"/>
    </row>
    <row r="168" spans="1:20" ht="15.75">
      <c r="A168" s="80"/>
      <c r="B168" s="80"/>
      <c r="C168" s="80"/>
      <c r="D168" s="80"/>
      <c r="E168" s="80"/>
      <c r="F168" s="80"/>
      <c r="G168" s="80"/>
      <c r="H168" s="80"/>
      <c r="I168" s="80"/>
      <c r="J168" s="80"/>
      <c r="K168" s="80"/>
      <c r="L168" s="80"/>
      <c r="M168" s="80"/>
      <c r="N168" s="80"/>
      <c r="O168" s="80"/>
      <c r="P168" s="80"/>
      <c r="Q168" s="80"/>
      <c r="R168" s="80"/>
      <c r="S168" s="80"/>
      <c r="T168" s="80"/>
    </row>
    <row r="169" spans="1:20" ht="15.75">
      <c r="A169" s="80"/>
      <c r="B169" s="80"/>
      <c r="C169" s="80"/>
      <c r="D169" s="80"/>
      <c r="E169" s="80"/>
      <c r="F169" s="80"/>
      <c r="G169" s="80"/>
      <c r="H169" s="80"/>
      <c r="I169" s="80"/>
      <c r="J169" s="80"/>
      <c r="K169" s="80"/>
      <c r="L169" s="80"/>
      <c r="M169" s="80"/>
      <c r="N169" s="80"/>
      <c r="O169" s="80"/>
      <c r="P169" s="80"/>
      <c r="Q169" s="80"/>
      <c r="R169" s="80"/>
      <c r="S169" s="80"/>
      <c r="T169" s="80"/>
    </row>
    <row r="170" spans="1:20" ht="15.75">
      <c r="A170" s="80"/>
      <c r="B170" s="80"/>
      <c r="C170" s="80"/>
      <c r="D170" s="80"/>
      <c r="E170" s="80"/>
      <c r="F170" s="80"/>
      <c r="G170" s="80"/>
      <c r="H170" s="80"/>
      <c r="I170" s="80"/>
      <c r="J170" s="80"/>
      <c r="K170" s="80"/>
      <c r="L170" s="80"/>
      <c r="M170" s="80"/>
      <c r="N170" s="80"/>
      <c r="O170" s="80"/>
      <c r="P170" s="80"/>
      <c r="Q170" s="80"/>
      <c r="R170" s="80"/>
      <c r="S170" s="80"/>
      <c r="T170" s="80"/>
    </row>
    <row r="171" spans="1:20" ht="15.75">
      <c r="A171" s="80"/>
      <c r="B171" s="80"/>
      <c r="C171" s="80"/>
      <c r="D171" s="80"/>
      <c r="E171" s="80"/>
      <c r="F171" s="80"/>
      <c r="G171" s="80"/>
      <c r="H171" s="80"/>
      <c r="I171" s="80"/>
      <c r="J171" s="80"/>
      <c r="K171" s="80"/>
      <c r="L171" s="80"/>
      <c r="M171" s="80"/>
      <c r="N171" s="80"/>
      <c r="O171" s="80"/>
      <c r="P171" s="80"/>
      <c r="Q171" s="80"/>
      <c r="R171" s="80"/>
      <c r="S171" s="80"/>
      <c r="T171" s="80"/>
    </row>
    <row r="172" spans="1:20" ht="15.75">
      <c r="A172" s="80"/>
      <c r="B172" s="80"/>
      <c r="C172" s="80"/>
      <c r="D172" s="80"/>
      <c r="E172" s="80"/>
      <c r="F172" s="80"/>
      <c r="G172" s="80"/>
      <c r="H172" s="80"/>
      <c r="I172" s="80"/>
      <c r="J172" s="80"/>
      <c r="K172" s="80"/>
      <c r="L172" s="80"/>
      <c r="M172" s="80"/>
      <c r="N172" s="80"/>
      <c r="O172" s="80"/>
      <c r="P172" s="80"/>
      <c r="Q172" s="80"/>
      <c r="R172" s="80"/>
      <c r="S172" s="80"/>
      <c r="T172" s="80"/>
    </row>
    <row r="173" spans="1:20" ht="15.75">
      <c r="A173" s="80"/>
      <c r="B173" s="80"/>
      <c r="C173" s="80"/>
      <c r="D173" s="80"/>
      <c r="E173" s="80"/>
      <c r="F173" s="80"/>
      <c r="G173" s="80"/>
      <c r="H173" s="80"/>
      <c r="I173" s="80"/>
      <c r="J173" s="80"/>
      <c r="K173" s="80"/>
      <c r="L173" s="80"/>
      <c r="M173" s="80"/>
      <c r="N173" s="80"/>
      <c r="O173" s="80"/>
      <c r="P173" s="80"/>
      <c r="Q173" s="80"/>
      <c r="R173" s="80"/>
      <c r="S173" s="80"/>
      <c r="T173" s="80"/>
    </row>
    <row r="174" spans="1:20" ht="15.75">
      <c r="A174" s="80"/>
      <c r="B174" s="80"/>
      <c r="C174" s="80"/>
      <c r="D174" s="80"/>
      <c r="E174" s="80"/>
      <c r="F174" s="80"/>
      <c r="G174" s="80"/>
      <c r="H174" s="80"/>
      <c r="I174" s="80"/>
      <c r="J174" s="80"/>
      <c r="K174" s="80"/>
      <c r="L174" s="80"/>
      <c r="M174" s="80"/>
      <c r="N174" s="80"/>
      <c r="O174" s="80"/>
      <c r="P174" s="80"/>
      <c r="Q174" s="80"/>
      <c r="R174" s="80"/>
      <c r="S174" s="80"/>
      <c r="T174" s="80"/>
    </row>
    <row r="175" spans="1:20" ht="15.75">
      <c r="A175" s="80"/>
      <c r="B175" s="80"/>
      <c r="C175" s="80"/>
      <c r="D175" s="80"/>
      <c r="E175" s="80"/>
      <c r="F175" s="80"/>
      <c r="G175" s="80"/>
      <c r="H175" s="80"/>
      <c r="I175" s="80"/>
      <c r="J175" s="80"/>
      <c r="K175" s="80"/>
      <c r="L175" s="80"/>
      <c r="M175" s="80"/>
      <c r="N175" s="80"/>
      <c r="O175" s="80"/>
      <c r="P175" s="80"/>
      <c r="Q175" s="80"/>
      <c r="R175" s="80"/>
      <c r="S175" s="80"/>
      <c r="T175" s="80"/>
    </row>
    <row r="176" spans="1:20" ht="15.75">
      <c r="A176" s="80"/>
      <c r="B176" s="80"/>
      <c r="C176" s="80"/>
      <c r="D176" s="80"/>
      <c r="E176" s="80"/>
      <c r="F176" s="80"/>
      <c r="G176" s="80"/>
      <c r="H176" s="80"/>
      <c r="I176" s="80"/>
      <c r="J176" s="80"/>
      <c r="K176" s="80"/>
      <c r="L176" s="80"/>
      <c r="M176" s="80"/>
      <c r="N176" s="80"/>
      <c r="O176" s="80"/>
      <c r="P176" s="80"/>
      <c r="Q176" s="80"/>
      <c r="R176" s="80"/>
      <c r="S176" s="80"/>
      <c r="T176" s="80"/>
    </row>
    <row r="177" spans="1:20" ht="15.75">
      <c r="A177" s="80"/>
      <c r="B177" s="80"/>
      <c r="C177" s="80"/>
      <c r="D177" s="80"/>
      <c r="E177" s="80"/>
      <c r="F177" s="80"/>
      <c r="G177" s="80"/>
      <c r="H177" s="80"/>
      <c r="I177" s="80"/>
      <c r="J177" s="80"/>
      <c r="K177" s="80"/>
      <c r="L177" s="80"/>
      <c r="M177" s="80"/>
      <c r="N177" s="80"/>
      <c r="O177" s="80"/>
      <c r="P177" s="80"/>
      <c r="Q177" s="80"/>
      <c r="R177" s="80"/>
      <c r="S177" s="80"/>
      <c r="T177" s="80"/>
    </row>
    <row r="178" spans="1:20" ht="15.75">
      <c r="A178" s="80"/>
      <c r="B178" s="80"/>
      <c r="C178" s="80"/>
      <c r="D178" s="80"/>
      <c r="E178" s="80"/>
      <c r="F178" s="80"/>
      <c r="G178" s="80"/>
      <c r="H178" s="80"/>
      <c r="I178" s="80"/>
      <c r="J178" s="80"/>
      <c r="K178" s="80"/>
      <c r="L178" s="80"/>
      <c r="M178" s="80"/>
      <c r="N178" s="80"/>
      <c r="O178" s="80"/>
      <c r="P178" s="80"/>
      <c r="Q178" s="80"/>
      <c r="R178" s="80"/>
      <c r="S178" s="80"/>
      <c r="T178" s="80"/>
    </row>
    <row r="179" spans="1:20" ht="15.75">
      <c r="A179" s="80"/>
      <c r="B179" s="80"/>
      <c r="C179" s="80"/>
      <c r="D179" s="80"/>
      <c r="E179" s="80"/>
      <c r="F179" s="80"/>
      <c r="G179" s="80"/>
      <c r="H179" s="80"/>
      <c r="I179" s="80"/>
      <c r="J179" s="80"/>
      <c r="K179" s="80"/>
      <c r="L179" s="80"/>
      <c r="M179" s="80"/>
      <c r="N179" s="80"/>
      <c r="O179" s="80"/>
      <c r="P179" s="80"/>
      <c r="Q179" s="80"/>
      <c r="R179" s="80"/>
      <c r="S179" s="80"/>
      <c r="T179" s="80"/>
    </row>
    <row r="180" spans="1:20" ht="15.75">
      <c r="A180" s="80"/>
      <c r="B180" s="80"/>
      <c r="C180" s="80"/>
      <c r="D180" s="80"/>
      <c r="E180" s="80"/>
      <c r="F180" s="80"/>
      <c r="G180" s="80"/>
      <c r="H180" s="80"/>
      <c r="I180" s="80"/>
      <c r="J180" s="80"/>
      <c r="K180" s="80"/>
      <c r="L180" s="80"/>
      <c r="M180" s="80"/>
      <c r="N180" s="80"/>
      <c r="O180" s="80"/>
      <c r="P180" s="80"/>
      <c r="Q180" s="80"/>
      <c r="R180" s="80"/>
      <c r="S180" s="80"/>
      <c r="T180" s="80"/>
    </row>
    <row r="181" spans="1:20" ht="15.75">
      <c r="A181" s="80"/>
      <c r="B181" s="80"/>
      <c r="C181" s="80"/>
      <c r="D181" s="80"/>
      <c r="E181" s="80"/>
      <c r="F181" s="80"/>
      <c r="G181" s="80"/>
      <c r="H181" s="80"/>
      <c r="I181" s="80"/>
      <c r="J181" s="80"/>
      <c r="K181" s="80"/>
      <c r="L181" s="80"/>
      <c r="M181" s="80"/>
      <c r="N181" s="80"/>
      <c r="O181" s="80"/>
      <c r="P181" s="80"/>
      <c r="Q181" s="80"/>
      <c r="R181" s="80"/>
      <c r="S181" s="80"/>
      <c r="T181" s="80"/>
    </row>
    <row r="182" spans="1:20" ht="15.75">
      <c r="A182" s="80"/>
      <c r="B182" s="80"/>
      <c r="C182" s="80"/>
      <c r="D182" s="80"/>
      <c r="E182" s="80"/>
      <c r="F182" s="80"/>
      <c r="G182" s="80"/>
      <c r="H182" s="80"/>
      <c r="I182" s="80"/>
      <c r="J182" s="80"/>
      <c r="K182" s="80"/>
      <c r="L182" s="80"/>
      <c r="M182" s="80"/>
      <c r="N182" s="80"/>
      <c r="O182" s="80"/>
      <c r="P182" s="80"/>
      <c r="Q182" s="80"/>
      <c r="R182" s="80"/>
      <c r="S182" s="80"/>
      <c r="T182" s="80"/>
    </row>
    <row r="183" spans="1:20" ht="15.75">
      <c r="A183" s="80"/>
      <c r="B183" s="80"/>
      <c r="C183" s="80"/>
      <c r="D183" s="80"/>
      <c r="E183" s="80"/>
      <c r="F183" s="80"/>
      <c r="G183" s="80"/>
      <c r="H183" s="80"/>
      <c r="I183" s="80"/>
      <c r="J183" s="80"/>
      <c r="K183" s="80"/>
      <c r="L183" s="80"/>
      <c r="M183" s="80"/>
      <c r="N183" s="80"/>
      <c r="O183" s="80"/>
      <c r="P183" s="80"/>
      <c r="Q183" s="80"/>
      <c r="R183" s="80"/>
      <c r="S183" s="80"/>
      <c r="T183" s="80"/>
    </row>
    <row r="184" spans="1:20" ht="15.75">
      <c r="A184" s="80"/>
      <c r="B184" s="80"/>
      <c r="C184" s="80"/>
      <c r="D184" s="80"/>
      <c r="E184" s="80"/>
      <c r="F184" s="80"/>
      <c r="G184" s="80"/>
      <c r="H184" s="80"/>
      <c r="I184" s="80"/>
      <c r="J184" s="80"/>
      <c r="K184" s="80"/>
      <c r="L184" s="80"/>
      <c r="M184" s="80"/>
      <c r="N184" s="80"/>
      <c r="O184" s="80"/>
      <c r="P184" s="80"/>
      <c r="Q184" s="80"/>
      <c r="R184" s="80"/>
      <c r="S184" s="80"/>
      <c r="T184" s="80"/>
    </row>
    <row r="185" spans="1:20" ht="15.75">
      <c r="A185" s="80"/>
      <c r="B185" s="80"/>
      <c r="C185" s="80"/>
      <c r="D185" s="80"/>
      <c r="E185" s="80"/>
      <c r="F185" s="80"/>
      <c r="G185" s="80"/>
      <c r="H185" s="80"/>
      <c r="I185" s="80"/>
      <c r="J185" s="80"/>
      <c r="K185" s="80"/>
      <c r="L185" s="80"/>
      <c r="M185" s="80"/>
      <c r="N185" s="80"/>
      <c r="O185" s="80"/>
      <c r="P185" s="80"/>
      <c r="Q185" s="80"/>
      <c r="R185" s="80"/>
      <c r="S185" s="80"/>
      <c r="T185" s="80"/>
    </row>
    <row r="186" spans="1:20" ht="15.75">
      <c r="A186" s="80"/>
      <c r="B186" s="80"/>
      <c r="C186" s="80"/>
      <c r="D186" s="80"/>
      <c r="E186" s="80"/>
      <c r="F186" s="80"/>
      <c r="G186" s="80"/>
      <c r="H186" s="80"/>
      <c r="I186" s="80"/>
      <c r="J186" s="80"/>
      <c r="K186" s="80"/>
      <c r="L186" s="80"/>
      <c r="M186" s="80"/>
      <c r="N186" s="80"/>
      <c r="O186" s="80"/>
      <c r="P186" s="80"/>
      <c r="Q186" s="80"/>
      <c r="R186" s="80"/>
      <c r="S186" s="80"/>
      <c r="T186" s="80"/>
    </row>
    <row r="187" spans="1:20" ht="15.75">
      <c r="A187" s="80"/>
      <c r="B187" s="80"/>
      <c r="C187" s="80"/>
      <c r="D187" s="80"/>
      <c r="E187" s="80"/>
      <c r="F187" s="80"/>
      <c r="G187" s="80"/>
      <c r="H187" s="80"/>
      <c r="I187" s="80"/>
      <c r="J187" s="80"/>
      <c r="K187" s="80"/>
      <c r="L187" s="80"/>
      <c r="M187" s="80"/>
      <c r="N187" s="80"/>
      <c r="O187" s="80"/>
      <c r="P187" s="80"/>
      <c r="Q187" s="80"/>
      <c r="R187" s="80"/>
      <c r="S187" s="80"/>
      <c r="T187" s="80"/>
    </row>
    <row r="188" spans="1:20" ht="15.75">
      <c r="A188" s="80"/>
      <c r="B188" s="80"/>
      <c r="C188" s="80"/>
      <c r="D188" s="80"/>
      <c r="E188" s="80"/>
      <c r="F188" s="80"/>
      <c r="G188" s="80"/>
      <c r="H188" s="80"/>
      <c r="I188" s="80"/>
      <c r="J188" s="80"/>
      <c r="K188" s="80"/>
      <c r="L188" s="80"/>
      <c r="M188" s="80"/>
      <c r="N188" s="80"/>
      <c r="O188" s="80"/>
      <c r="P188" s="80"/>
      <c r="Q188" s="80"/>
      <c r="R188" s="80"/>
      <c r="S188" s="80"/>
      <c r="T188" s="80"/>
    </row>
    <row r="189" spans="1:20" ht="15.75">
      <c r="A189" s="80"/>
      <c r="B189" s="80"/>
      <c r="C189" s="80"/>
      <c r="D189" s="80"/>
      <c r="E189" s="80"/>
      <c r="F189" s="80"/>
      <c r="G189" s="80"/>
      <c r="H189" s="80"/>
      <c r="I189" s="80"/>
      <c r="J189" s="80"/>
      <c r="K189" s="80"/>
      <c r="L189" s="80"/>
      <c r="M189" s="80"/>
      <c r="N189" s="80"/>
      <c r="O189" s="80"/>
      <c r="P189" s="80"/>
      <c r="Q189" s="80"/>
      <c r="R189" s="80"/>
      <c r="S189" s="80"/>
      <c r="T189" s="80"/>
    </row>
    <row r="190" spans="1:20" ht="15.75">
      <c r="A190" s="80"/>
      <c r="B190" s="80"/>
      <c r="C190" s="80"/>
      <c r="D190" s="80"/>
      <c r="E190" s="80"/>
      <c r="F190" s="80"/>
      <c r="G190" s="80"/>
      <c r="H190" s="80"/>
      <c r="I190" s="80"/>
      <c r="J190" s="80"/>
      <c r="K190" s="80"/>
      <c r="L190" s="80"/>
      <c r="M190" s="80"/>
      <c r="N190" s="80"/>
      <c r="O190" s="80"/>
      <c r="P190" s="80"/>
      <c r="Q190" s="80"/>
      <c r="R190" s="80"/>
      <c r="S190" s="80"/>
      <c r="T190" s="80"/>
    </row>
    <row r="191" spans="1:20" ht="15.75">
      <c r="A191" s="80"/>
      <c r="B191" s="80"/>
      <c r="C191" s="80"/>
      <c r="D191" s="80"/>
      <c r="E191" s="80"/>
      <c r="F191" s="80"/>
      <c r="G191" s="80"/>
      <c r="H191" s="80"/>
      <c r="I191" s="80"/>
      <c r="J191" s="80"/>
      <c r="K191" s="80"/>
      <c r="L191" s="80"/>
      <c r="M191" s="80"/>
      <c r="N191" s="80"/>
      <c r="O191" s="80"/>
      <c r="P191" s="80"/>
      <c r="Q191" s="80"/>
      <c r="R191" s="80"/>
      <c r="S191" s="80"/>
      <c r="T191" s="80"/>
    </row>
    <row r="192" spans="1:20" ht="15.75">
      <c r="A192" s="80"/>
      <c r="B192" s="80"/>
      <c r="C192" s="80"/>
      <c r="D192" s="80"/>
      <c r="E192" s="80"/>
      <c r="F192" s="80"/>
      <c r="G192" s="80"/>
      <c r="H192" s="80"/>
      <c r="I192" s="80"/>
      <c r="J192" s="80"/>
      <c r="K192" s="80"/>
      <c r="L192" s="80"/>
      <c r="M192" s="80"/>
      <c r="N192" s="80"/>
      <c r="O192" s="80"/>
      <c r="P192" s="80"/>
      <c r="Q192" s="80"/>
      <c r="R192" s="80"/>
      <c r="S192" s="80"/>
      <c r="T192" s="80"/>
    </row>
    <row r="193" spans="1:20" ht="15.75">
      <c r="A193" s="80"/>
      <c r="B193" s="80"/>
      <c r="C193" s="80"/>
      <c r="D193" s="80"/>
      <c r="E193" s="80"/>
      <c r="F193" s="80"/>
      <c r="G193" s="80"/>
      <c r="H193" s="80"/>
      <c r="I193" s="80"/>
      <c r="J193" s="80"/>
      <c r="K193" s="80"/>
      <c r="L193" s="80"/>
      <c r="M193" s="80"/>
      <c r="N193" s="80"/>
      <c r="O193" s="80"/>
      <c r="P193" s="80"/>
      <c r="Q193" s="80"/>
      <c r="R193" s="80"/>
      <c r="S193" s="80"/>
      <c r="T193" s="80"/>
    </row>
    <row r="194" spans="1:20" ht="15.75">
      <c r="A194" s="80"/>
      <c r="B194" s="80"/>
      <c r="C194" s="80"/>
      <c r="D194" s="80"/>
      <c r="E194" s="80"/>
      <c r="F194" s="80"/>
      <c r="G194" s="80"/>
      <c r="H194" s="80"/>
      <c r="I194" s="80"/>
      <c r="J194" s="80"/>
      <c r="K194" s="80"/>
      <c r="L194" s="80"/>
      <c r="M194" s="80"/>
      <c r="N194" s="80"/>
      <c r="O194" s="80"/>
      <c r="P194" s="80"/>
      <c r="Q194" s="80"/>
      <c r="R194" s="80"/>
      <c r="S194" s="80"/>
      <c r="T194" s="80"/>
    </row>
    <row r="195" spans="1:20" ht="15.75">
      <c r="A195" s="80"/>
      <c r="B195" s="80"/>
      <c r="C195" s="80"/>
      <c r="D195" s="80"/>
      <c r="E195" s="80"/>
      <c r="F195" s="80"/>
      <c r="G195" s="80"/>
      <c r="H195" s="80"/>
      <c r="I195" s="80"/>
      <c r="J195" s="80"/>
      <c r="K195" s="80"/>
      <c r="L195" s="80"/>
      <c r="M195" s="80"/>
      <c r="N195" s="80"/>
      <c r="O195" s="80"/>
      <c r="P195" s="80"/>
      <c r="Q195" s="80"/>
      <c r="R195" s="80"/>
      <c r="S195" s="80"/>
      <c r="T195" s="80"/>
    </row>
    <row r="196" spans="1:20" ht="15.75">
      <c r="A196" s="80"/>
      <c r="B196" s="80"/>
      <c r="C196" s="80"/>
      <c r="D196" s="80"/>
      <c r="E196" s="80"/>
      <c r="F196" s="80"/>
      <c r="G196" s="80"/>
      <c r="H196" s="80"/>
      <c r="I196" s="80"/>
      <c r="J196" s="80"/>
      <c r="K196" s="80"/>
      <c r="L196" s="80"/>
      <c r="M196" s="80"/>
      <c r="N196" s="80"/>
      <c r="O196" s="80"/>
      <c r="P196" s="80"/>
      <c r="Q196" s="80"/>
      <c r="R196" s="80"/>
      <c r="S196" s="80"/>
      <c r="T196" s="80"/>
    </row>
    <row r="197" spans="1:20" ht="15.75">
      <c r="A197" s="80"/>
      <c r="B197" s="80"/>
      <c r="C197" s="80"/>
      <c r="D197" s="80"/>
      <c r="E197" s="80"/>
      <c r="F197" s="80"/>
      <c r="G197" s="80"/>
      <c r="H197" s="80"/>
      <c r="I197" s="80"/>
      <c r="J197" s="80"/>
      <c r="K197" s="80"/>
      <c r="L197" s="80"/>
      <c r="M197" s="80"/>
      <c r="N197" s="80"/>
      <c r="O197" s="80"/>
      <c r="P197" s="80"/>
      <c r="Q197" s="80"/>
      <c r="R197" s="80"/>
      <c r="S197" s="80"/>
      <c r="T197" s="80"/>
    </row>
    <row r="198" spans="1:20" ht="15.75">
      <c r="A198" s="80"/>
      <c r="B198" s="80"/>
      <c r="C198" s="80"/>
      <c r="D198" s="80"/>
      <c r="E198" s="80"/>
      <c r="F198" s="80"/>
      <c r="G198" s="80"/>
      <c r="H198" s="80"/>
      <c r="I198" s="80"/>
      <c r="J198" s="80"/>
      <c r="K198" s="80"/>
      <c r="L198" s="80"/>
      <c r="M198" s="80"/>
      <c r="N198" s="80"/>
      <c r="O198" s="80"/>
      <c r="P198" s="80"/>
      <c r="Q198" s="80"/>
      <c r="R198" s="80"/>
      <c r="S198" s="80"/>
      <c r="T198" s="80"/>
    </row>
    <row r="199" spans="1:20" ht="15.75">
      <c r="A199" s="80"/>
      <c r="B199" s="80"/>
      <c r="C199" s="80"/>
      <c r="D199" s="80"/>
      <c r="E199" s="80"/>
      <c r="F199" s="80"/>
      <c r="G199" s="80"/>
      <c r="H199" s="80"/>
      <c r="I199" s="80"/>
      <c r="J199" s="80"/>
      <c r="K199" s="80"/>
      <c r="L199" s="80"/>
      <c r="M199" s="80"/>
      <c r="N199" s="80"/>
      <c r="O199" s="80"/>
      <c r="P199" s="80"/>
      <c r="Q199" s="80"/>
      <c r="R199" s="80"/>
      <c r="S199" s="80"/>
      <c r="T199" s="80"/>
    </row>
    <row r="200" spans="1:20" ht="15.75">
      <c r="A200" s="80"/>
      <c r="B200" s="80"/>
      <c r="C200" s="80"/>
      <c r="D200" s="80"/>
      <c r="E200" s="80"/>
      <c r="F200" s="80"/>
      <c r="G200" s="80"/>
      <c r="H200" s="80"/>
      <c r="I200" s="80"/>
      <c r="J200" s="80"/>
      <c r="K200" s="80"/>
      <c r="L200" s="80"/>
      <c r="M200" s="80"/>
      <c r="N200" s="80"/>
      <c r="O200" s="80"/>
      <c r="P200" s="80"/>
      <c r="Q200" s="80"/>
      <c r="R200" s="80"/>
      <c r="S200" s="80"/>
      <c r="T200" s="80"/>
    </row>
    <row r="201" spans="1:20" ht="15.75">
      <c r="A201" s="80"/>
      <c r="B201" s="80"/>
      <c r="C201" s="80"/>
      <c r="D201" s="80"/>
      <c r="E201" s="80"/>
      <c r="F201" s="80"/>
      <c r="G201" s="80"/>
      <c r="H201" s="80"/>
      <c r="I201" s="80"/>
      <c r="J201" s="80"/>
      <c r="K201" s="80"/>
      <c r="L201" s="80"/>
      <c r="M201" s="80"/>
      <c r="N201" s="80"/>
      <c r="O201" s="80"/>
      <c r="P201" s="80"/>
      <c r="Q201" s="80"/>
      <c r="R201" s="80"/>
      <c r="S201" s="80"/>
      <c r="T201" s="80"/>
    </row>
    <row r="202" spans="1:20" ht="15.75">
      <c r="A202" s="80"/>
      <c r="B202" s="80"/>
      <c r="C202" s="80"/>
      <c r="D202" s="80"/>
      <c r="E202" s="80"/>
      <c r="F202" s="80"/>
      <c r="G202" s="80"/>
      <c r="H202" s="80"/>
      <c r="I202" s="80"/>
      <c r="J202" s="80"/>
      <c r="K202" s="80"/>
      <c r="L202" s="80"/>
      <c r="M202" s="80"/>
      <c r="N202" s="80"/>
      <c r="O202" s="80"/>
      <c r="P202" s="80"/>
      <c r="Q202" s="80"/>
      <c r="R202" s="80"/>
      <c r="S202" s="80"/>
      <c r="T202" s="80"/>
    </row>
    <row r="203" spans="1:20" ht="15.75">
      <c r="A203" s="80"/>
      <c r="B203" s="80"/>
      <c r="C203" s="80"/>
      <c r="D203" s="80"/>
      <c r="E203" s="80"/>
      <c r="F203" s="80"/>
      <c r="G203" s="80"/>
      <c r="H203" s="80"/>
      <c r="I203" s="80"/>
      <c r="J203" s="80"/>
      <c r="K203" s="80"/>
      <c r="L203" s="80"/>
      <c r="M203" s="80"/>
      <c r="N203" s="80"/>
      <c r="O203" s="80"/>
      <c r="P203" s="80"/>
      <c r="Q203" s="80"/>
      <c r="R203" s="80"/>
      <c r="S203" s="80"/>
      <c r="T203" s="80"/>
    </row>
    <row r="204" spans="1:20" ht="15.75">
      <c r="A204" s="80"/>
      <c r="B204" s="80"/>
      <c r="C204" s="80"/>
      <c r="D204" s="80"/>
      <c r="E204" s="80"/>
      <c r="F204" s="80"/>
      <c r="G204" s="80"/>
      <c r="H204" s="80"/>
      <c r="I204" s="80"/>
      <c r="J204" s="80"/>
      <c r="K204" s="80"/>
      <c r="L204" s="80"/>
      <c r="M204" s="80"/>
      <c r="N204" s="80"/>
      <c r="O204" s="80"/>
      <c r="P204" s="80"/>
      <c r="Q204" s="80"/>
      <c r="R204" s="80"/>
      <c r="S204" s="80"/>
      <c r="T204" s="80"/>
    </row>
    <row r="205" spans="1:20" ht="15.75">
      <c r="A205" s="80"/>
      <c r="B205" s="80"/>
      <c r="C205" s="80"/>
      <c r="D205" s="80"/>
      <c r="E205" s="80"/>
      <c r="F205" s="80"/>
      <c r="G205" s="80"/>
      <c r="H205" s="80"/>
      <c r="I205" s="80"/>
      <c r="J205" s="80"/>
      <c r="K205" s="80"/>
      <c r="L205" s="80"/>
      <c r="M205" s="80"/>
      <c r="N205" s="80"/>
      <c r="O205" s="80"/>
      <c r="P205" s="80"/>
      <c r="Q205" s="80"/>
      <c r="R205" s="80"/>
      <c r="S205" s="80"/>
      <c r="T205" s="80"/>
    </row>
    <row r="206" spans="1:20" ht="15.75">
      <c r="A206" s="80"/>
      <c r="B206" s="80"/>
      <c r="C206" s="80"/>
      <c r="D206" s="80"/>
      <c r="E206" s="80"/>
      <c r="F206" s="80"/>
      <c r="G206" s="80"/>
      <c r="H206" s="80"/>
      <c r="I206" s="80"/>
      <c r="J206" s="80"/>
      <c r="K206" s="80"/>
      <c r="L206" s="80"/>
      <c r="M206" s="80"/>
      <c r="N206" s="80"/>
      <c r="O206" s="80"/>
      <c r="P206" s="80"/>
      <c r="Q206" s="80"/>
      <c r="R206" s="80"/>
      <c r="S206" s="80"/>
      <c r="T206" s="80"/>
    </row>
    <row r="207" spans="1:20" ht="15.75">
      <c r="A207" s="80"/>
      <c r="B207" s="80"/>
      <c r="C207" s="80"/>
      <c r="D207" s="80"/>
      <c r="E207" s="80"/>
      <c r="F207" s="80"/>
      <c r="G207" s="80"/>
      <c r="H207" s="80"/>
      <c r="I207" s="80"/>
      <c r="J207" s="80"/>
      <c r="K207" s="80"/>
      <c r="L207" s="80"/>
      <c r="M207" s="80"/>
      <c r="N207" s="80"/>
      <c r="O207" s="80"/>
      <c r="P207" s="80"/>
      <c r="Q207" s="80"/>
      <c r="R207" s="80"/>
      <c r="S207" s="80"/>
      <c r="T207" s="80"/>
    </row>
    <row r="208" spans="1:20" ht="15.75">
      <c r="A208" s="80"/>
      <c r="B208" s="80"/>
      <c r="C208" s="80"/>
      <c r="D208" s="80"/>
      <c r="E208" s="80"/>
      <c r="F208" s="80"/>
      <c r="G208" s="80"/>
      <c r="H208" s="80"/>
      <c r="I208" s="80"/>
      <c r="J208" s="80"/>
      <c r="K208" s="80"/>
      <c r="L208" s="80"/>
      <c r="M208" s="80"/>
      <c r="N208" s="80"/>
      <c r="O208" s="80"/>
      <c r="P208" s="80"/>
      <c r="Q208" s="80"/>
      <c r="R208" s="80"/>
      <c r="S208" s="80"/>
      <c r="T208" s="80"/>
    </row>
    <row r="209" spans="1:20" ht="15.75">
      <c r="A209" s="80"/>
      <c r="B209" s="80"/>
      <c r="C209" s="80"/>
      <c r="D209" s="80"/>
      <c r="E209" s="80"/>
      <c r="F209" s="80"/>
      <c r="G209" s="80"/>
      <c r="H209" s="80"/>
      <c r="I209" s="80"/>
      <c r="J209" s="80"/>
      <c r="K209" s="80"/>
      <c r="L209" s="80"/>
      <c r="M209" s="80"/>
      <c r="N209" s="80"/>
      <c r="O209" s="80"/>
      <c r="P209" s="80"/>
      <c r="Q209" s="80"/>
      <c r="R209" s="80"/>
      <c r="S209" s="80"/>
      <c r="T209" s="80"/>
    </row>
    <row r="210" spans="1:20" ht="15.75">
      <c r="A210" s="80"/>
      <c r="B210" s="80"/>
      <c r="C210" s="80"/>
      <c r="D210" s="80"/>
      <c r="E210" s="80"/>
      <c r="F210" s="80"/>
      <c r="G210" s="80"/>
      <c r="H210" s="80"/>
      <c r="I210" s="80"/>
      <c r="J210" s="80"/>
      <c r="K210" s="80"/>
      <c r="L210" s="80"/>
      <c r="M210" s="80"/>
      <c r="N210" s="80"/>
      <c r="O210" s="80"/>
      <c r="P210" s="80"/>
      <c r="Q210" s="80"/>
      <c r="R210" s="80"/>
      <c r="S210" s="80"/>
      <c r="T210" s="80"/>
    </row>
    <row r="211" spans="1:20" ht="15.75">
      <c r="A211" s="80"/>
      <c r="B211" s="80"/>
      <c r="C211" s="80"/>
      <c r="D211" s="80"/>
      <c r="E211" s="80"/>
      <c r="F211" s="80"/>
      <c r="G211" s="80"/>
      <c r="H211" s="80"/>
      <c r="I211" s="80"/>
      <c r="J211" s="80"/>
      <c r="K211" s="80"/>
      <c r="L211" s="80"/>
      <c r="M211" s="80"/>
      <c r="N211" s="80"/>
      <c r="O211" s="80"/>
      <c r="P211" s="80"/>
      <c r="Q211" s="80"/>
      <c r="R211" s="80"/>
      <c r="S211" s="80"/>
      <c r="T211" s="80"/>
    </row>
    <row r="212" spans="1:20" ht="15.75">
      <c r="A212" s="80"/>
      <c r="B212" s="80"/>
      <c r="C212" s="80"/>
      <c r="D212" s="80"/>
      <c r="E212" s="80"/>
      <c r="F212" s="80"/>
      <c r="G212" s="80"/>
      <c r="H212" s="80"/>
      <c r="I212" s="80"/>
      <c r="J212" s="80"/>
      <c r="K212" s="80"/>
      <c r="L212" s="80"/>
      <c r="M212" s="80"/>
      <c r="N212" s="80"/>
      <c r="O212" s="80"/>
      <c r="P212" s="80"/>
      <c r="Q212" s="80"/>
      <c r="R212" s="80"/>
      <c r="S212" s="80"/>
      <c r="T212" s="80"/>
    </row>
    <row r="213" spans="1:20" ht="15.75">
      <c r="A213" s="80"/>
      <c r="B213" s="80"/>
      <c r="C213" s="80"/>
      <c r="D213" s="80"/>
      <c r="E213" s="80"/>
      <c r="F213" s="80"/>
      <c r="G213" s="80"/>
      <c r="H213" s="80"/>
      <c r="I213" s="80"/>
      <c r="J213" s="80"/>
      <c r="K213" s="80"/>
      <c r="L213" s="80"/>
      <c r="M213" s="80"/>
      <c r="N213" s="80"/>
      <c r="O213" s="80"/>
      <c r="P213" s="80"/>
      <c r="Q213" s="80"/>
      <c r="R213" s="80"/>
      <c r="S213" s="80"/>
      <c r="T213" s="80"/>
    </row>
    <row r="214" spans="1:20" ht="15.75">
      <c r="A214" s="80"/>
      <c r="B214" s="80"/>
      <c r="C214" s="80"/>
      <c r="D214" s="80"/>
      <c r="E214" s="80"/>
      <c r="F214" s="80"/>
      <c r="G214" s="80"/>
      <c r="H214" s="80"/>
      <c r="I214" s="80"/>
      <c r="J214" s="80"/>
      <c r="K214" s="80"/>
      <c r="L214" s="80"/>
      <c r="M214" s="80"/>
      <c r="N214" s="80"/>
      <c r="O214" s="80"/>
      <c r="P214" s="80"/>
      <c r="Q214" s="80"/>
      <c r="R214" s="80"/>
      <c r="S214" s="80"/>
      <c r="T214" s="80"/>
    </row>
    <row r="215" spans="1:20" ht="15.75">
      <c r="A215" s="80"/>
      <c r="B215" s="80"/>
      <c r="C215" s="80"/>
      <c r="D215" s="80"/>
      <c r="E215" s="80"/>
      <c r="F215" s="80"/>
      <c r="G215" s="80"/>
      <c r="H215" s="80"/>
      <c r="I215" s="80"/>
      <c r="J215" s="80"/>
      <c r="K215" s="80"/>
      <c r="L215" s="80"/>
      <c r="M215" s="80"/>
      <c r="N215" s="80"/>
      <c r="O215" s="80"/>
      <c r="P215" s="80"/>
      <c r="Q215" s="80"/>
      <c r="R215" s="80"/>
      <c r="S215" s="80"/>
      <c r="T215" s="80"/>
    </row>
    <row r="216" spans="1:20" ht="15.75">
      <c r="A216" s="80"/>
      <c r="B216" s="80"/>
      <c r="C216" s="80"/>
      <c r="D216" s="80"/>
      <c r="E216" s="80"/>
      <c r="F216" s="80"/>
      <c r="G216" s="80"/>
      <c r="H216" s="80"/>
      <c r="I216" s="80"/>
      <c r="J216" s="80"/>
      <c r="K216" s="80"/>
      <c r="L216" s="80"/>
      <c r="M216" s="80"/>
      <c r="N216" s="80"/>
      <c r="O216" s="80"/>
      <c r="P216" s="80"/>
      <c r="Q216" s="80"/>
      <c r="R216" s="80"/>
      <c r="S216" s="80"/>
      <c r="T216" s="80"/>
    </row>
    <row r="217" spans="1:20" ht="15.75">
      <c r="A217" s="80"/>
      <c r="B217" s="80"/>
      <c r="C217" s="80"/>
      <c r="D217" s="80"/>
      <c r="E217" s="80"/>
      <c r="F217" s="80"/>
      <c r="G217" s="80"/>
      <c r="H217" s="80"/>
      <c r="I217" s="80"/>
      <c r="J217" s="80"/>
      <c r="K217" s="80"/>
      <c r="L217" s="80"/>
      <c r="M217" s="80"/>
      <c r="N217" s="80"/>
      <c r="O217" s="80"/>
      <c r="P217" s="80"/>
      <c r="Q217" s="80"/>
      <c r="R217" s="80"/>
      <c r="S217" s="80"/>
      <c r="T217" s="80"/>
    </row>
    <row r="218" spans="1:20" ht="15.75">
      <c r="A218" s="80"/>
      <c r="B218" s="80"/>
      <c r="C218" s="80"/>
      <c r="D218" s="80"/>
      <c r="E218" s="80"/>
      <c r="F218" s="80"/>
      <c r="G218" s="80"/>
      <c r="H218" s="80"/>
      <c r="I218" s="80"/>
      <c r="J218" s="80"/>
      <c r="K218" s="80"/>
      <c r="L218" s="80"/>
      <c r="M218" s="80"/>
      <c r="N218" s="80"/>
      <c r="O218" s="80"/>
      <c r="P218" s="80"/>
      <c r="Q218" s="80"/>
      <c r="R218" s="80"/>
      <c r="S218" s="80"/>
      <c r="T218" s="80"/>
    </row>
    <row r="219" spans="1:20" ht="15.75">
      <c r="A219" s="80"/>
      <c r="B219" s="80"/>
      <c r="C219" s="80"/>
      <c r="D219" s="80"/>
      <c r="E219" s="80"/>
      <c r="F219" s="80"/>
      <c r="G219" s="80"/>
      <c r="H219" s="80"/>
      <c r="I219" s="80"/>
      <c r="J219" s="80"/>
      <c r="K219" s="80"/>
      <c r="L219" s="80"/>
      <c r="M219" s="80"/>
      <c r="N219" s="80"/>
      <c r="O219" s="80"/>
      <c r="P219" s="80"/>
      <c r="Q219" s="80"/>
      <c r="R219" s="80"/>
      <c r="S219" s="80"/>
      <c r="T219" s="80"/>
    </row>
    <row r="220" spans="1:20" ht="15.75">
      <c r="A220" s="80"/>
      <c r="B220" s="80"/>
      <c r="C220" s="80"/>
      <c r="D220" s="80"/>
      <c r="E220" s="80"/>
      <c r="F220" s="80"/>
      <c r="G220" s="80"/>
      <c r="H220" s="80"/>
      <c r="I220" s="80"/>
      <c r="J220" s="80"/>
      <c r="K220" s="80"/>
      <c r="L220" s="80"/>
      <c r="M220" s="80"/>
      <c r="N220" s="80"/>
      <c r="O220" s="80"/>
      <c r="P220" s="80"/>
      <c r="Q220" s="80"/>
      <c r="R220" s="80"/>
      <c r="S220" s="80"/>
      <c r="T220" s="80"/>
    </row>
    <row r="221" spans="1:20" ht="15.75">
      <c r="A221" s="80"/>
      <c r="B221" s="80"/>
      <c r="C221" s="80"/>
      <c r="D221" s="80"/>
      <c r="E221" s="80"/>
      <c r="F221" s="80"/>
      <c r="G221" s="80"/>
      <c r="H221" s="80"/>
      <c r="I221" s="80"/>
      <c r="J221" s="80"/>
      <c r="K221" s="80"/>
      <c r="L221" s="80"/>
      <c r="M221" s="80"/>
      <c r="N221" s="80"/>
      <c r="O221" s="80"/>
      <c r="P221" s="80"/>
      <c r="Q221" s="80"/>
      <c r="R221" s="80"/>
      <c r="S221" s="80"/>
      <c r="T221" s="80"/>
    </row>
    <row r="222" spans="1:20" ht="15.75">
      <c r="A222" s="80"/>
      <c r="B222" s="80"/>
      <c r="C222" s="80"/>
      <c r="D222" s="80"/>
      <c r="E222" s="80"/>
      <c r="F222" s="80"/>
      <c r="G222" s="80"/>
      <c r="H222" s="80"/>
      <c r="I222" s="80"/>
      <c r="J222" s="80"/>
      <c r="K222" s="80"/>
      <c r="L222" s="80"/>
      <c r="M222" s="80"/>
      <c r="N222" s="80"/>
      <c r="O222" s="80"/>
      <c r="P222" s="80"/>
      <c r="Q222" s="80"/>
      <c r="R222" s="80"/>
      <c r="S222" s="80"/>
      <c r="T222" s="80"/>
    </row>
    <row r="223" spans="1:20" ht="15.75">
      <c r="A223" s="80"/>
      <c r="B223" s="80"/>
      <c r="C223" s="80"/>
      <c r="D223" s="80"/>
      <c r="E223" s="80"/>
      <c r="F223" s="80"/>
      <c r="G223" s="80"/>
      <c r="H223" s="80"/>
      <c r="I223" s="80"/>
      <c r="J223" s="80"/>
      <c r="K223" s="80"/>
      <c r="L223" s="80"/>
      <c r="M223" s="80"/>
      <c r="N223" s="80"/>
      <c r="O223" s="80"/>
      <c r="P223" s="80"/>
      <c r="Q223" s="80"/>
      <c r="R223" s="80"/>
      <c r="S223" s="80"/>
      <c r="T223" s="80"/>
    </row>
    <row r="224" spans="1:20" ht="15.75">
      <c r="A224" s="80"/>
      <c r="B224" s="80"/>
      <c r="C224" s="80"/>
      <c r="D224" s="80"/>
      <c r="E224" s="80"/>
      <c r="F224" s="80"/>
      <c r="G224" s="80"/>
      <c r="H224" s="80"/>
      <c r="I224" s="80"/>
      <c r="J224" s="80"/>
      <c r="K224" s="80"/>
      <c r="L224" s="80"/>
      <c r="M224" s="80"/>
      <c r="N224" s="80"/>
      <c r="O224" s="80"/>
      <c r="P224" s="80"/>
      <c r="Q224" s="80"/>
      <c r="R224" s="80"/>
      <c r="S224" s="80"/>
      <c r="T224" s="80"/>
    </row>
    <row r="225" spans="1:20" ht="15.75">
      <c r="A225" s="80"/>
      <c r="B225" s="80"/>
      <c r="C225" s="80"/>
      <c r="D225" s="80"/>
      <c r="E225" s="80"/>
      <c r="F225" s="80"/>
      <c r="G225" s="80"/>
      <c r="H225" s="80"/>
      <c r="I225" s="80"/>
      <c r="J225" s="80"/>
      <c r="K225" s="80"/>
      <c r="L225" s="80"/>
      <c r="M225" s="80"/>
      <c r="N225" s="80"/>
      <c r="O225" s="80"/>
      <c r="P225" s="80"/>
      <c r="Q225" s="80"/>
      <c r="R225" s="80"/>
      <c r="S225" s="80"/>
      <c r="T225" s="80"/>
    </row>
    <row r="226" spans="1:20" ht="15.75">
      <c r="A226" s="80"/>
      <c r="B226" s="80"/>
      <c r="C226" s="80"/>
      <c r="D226" s="80"/>
      <c r="E226" s="80"/>
      <c r="F226" s="80"/>
      <c r="G226" s="80"/>
      <c r="H226" s="80"/>
      <c r="I226" s="80"/>
      <c r="J226" s="80"/>
      <c r="K226" s="80"/>
      <c r="L226" s="80"/>
      <c r="M226" s="80"/>
      <c r="N226" s="80"/>
      <c r="O226" s="80"/>
      <c r="P226" s="80"/>
      <c r="Q226" s="80"/>
      <c r="R226" s="80"/>
      <c r="S226" s="80"/>
      <c r="T226" s="80"/>
    </row>
    <row r="227" spans="1:20" ht="15.75">
      <c r="A227" s="80"/>
      <c r="B227" s="80"/>
      <c r="C227" s="80"/>
      <c r="D227" s="80"/>
      <c r="E227" s="80"/>
      <c r="F227" s="80"/>
      <c r="G227" s="80"/>
      <c r="H227" s="80"/>
      <c r="I227" s="80"/>
      <c r="J227" s="80"/>
      <c r="K227" s="80"/>
      <c r="L227" s="80"/>
      <c r="M227" s="80"/>
      <c r="N227" s="80"/>
      <c r="O227" s="80"/>
      <c r="P227" s="80"/>
      <c r="Q227" s="80"/>
      <c r="R227" s="80"/>
      <c r="S227" s="80"/>
      <c r="T227" s="80"/>
    </row>
    <row r="228" spans="1:20" ht="15.75">
      <c r="A228" s="80"/>
      <c r="B228" s="80"/>
      <c r="C228" s="80"/>
      <c r="D228" s="80"/>
      <c r="E228" s="80"/>
      <c r="F228" s="80"/>
      <c r="G228" s="80"/>
      <c r="H228" s="80"/>
      <c r="I228" s="80"/>
      <c r="J228" s="80"/>
      <c r="K228" s="80"/>
      <c r="L228" s="80"/>
      <c r="M228" s="80"/>
      <c r="N228" s="80"/>
      <c r="O228" s="80"/>
      <c r="P228" s="80"/>
      <c r="Q228" s="80"/>
      <c r="R228" s="80"/>
      <c r="S228" s="80"/>
      <c r="T228" s="80"/>
    </row>
    <row r="229" spans="1:20" ht="15.75">
      <c r="A229" s="80"/>
      <c r="B229" s="80"/>
      <c r="C229" s="80"/>
      <c r="D229" s="80"/>
      <c r="E229" s="80"/>
      <c r="F229" s="80"/>
      <c r="G229" s="80"/>
      <c r="H229" s="80"/>
      <c r="I229" s="80"/>
      <c r="J229" s="80"/>
      <c r="K229" s="80"/>
      <c r="L229" s="80"/>
      <c r="M229" s="80"/>
      <c r="N229" s="80"/>
      <c r="O229" s="80"/>
      <c r="P229" s="80"/>
      <c r="Q229" s="80"/>
      <c r="R229" s="80"/>
      <c r="S229" s="80"/>
      <c r="T229" s="80"/>
    </row>
    <row r="230" spans="1:20" ht="15.75">
      <c r="A230" s="80"/>
      <c r="B230" s="80"/>
      <c r="C230" s="80"/>
      <c r="D230" s="80"/>
      <c r="E230" s="80"/>
      <c r="F230" s="80"/>
      <c r="G230" s="80"/>
      <c r="H230" s="80"/>
      <c r="I230" s="80"/>
      <c r="J230" s="80"/>
      <c r="K230" s="80"/>
      <c r="L230" s="80"/>
      <c r="M230" s="80"/>
      <c r="N230" s="80"/>
      <c r="O230" s="80"/>
      <c r="P230" s="80"/>
      <c r="Q230" s="80"/>
      <c r="R230" s="80"/>
      <c r="S230" s="80"/>
      <c r="T230" s="80"/>
    </row>
    <row r="231" spans="1:20" ht="15.75">
      <c r="A231" s="80"/>
      <c r="B231" s="80"/>
      <c r="C231" s="80"/>
      <c r="D231" s="80"/>
      <c r="E231" s="80"/>
      <c r="F231" s="80"/>
      <c r="G231" s="80"/>
      <c r="H231" s="80"/>
      <c r="I231" s="80"/>
      <c r="J231" s="80"/>
      <c r="K231" s="80"/>
      <c r="L231" s="80"/>
      <c r="M231" s="80"/>
      <c r="N231" s="80"/>
      <c r="O231" s="80"/>
      <c r="P231" s="80"/>
      <c r="Q231" s="80"/>
      <c r="R231" s="80"/>
      <c r="S231" s="80"/>
      <c r="T231" s="80"/>
    </row>
    <row r="232" spans="1:20" ht="15.75">
      <c r="A232" s="80"/>
      <c r="B232" s="80"/>
      <c r="C232" s="80"/>
      <c r="D232" s="80"/>
      <c r="E232" s="80"/>
      <c r="F232" s="80"/>
      <c r="G232" s="80"/>
      <c r="H232" s="80"/>
      <c r="I232" s="80"/>
      <c r="J232" s="80"/>
      <c r="K232" s="80"/>
      <c r="L232" s="80"/>
      <c r="M232" s="80"/>
      <c r="N232" s="80"/>
      <c r="O232" s="80"/>
      <c r="P232" s="80"/>
      <c r="Q232" s="80"/>
      <c r="R232" s="80"/>
      <c r="S232" s="80"/>
      <c r="T232" s="80"/>
    </row>
    <row r="233" spans="1:20" ht="15.75">
      <c r="A233" s="80"/>
      <c r="B233" s="80"/>
      <c r="C233" s="80"/>
      <c r="D233" s="80"/>
      <c r="E233" s="80"/>
      <c r="F233" s="80"/>
      <c r="G233" s="80"/>
      <c r="H233" s="80"/>
      <c r="I233" s="80"/>
      <c r="J233" s="80"/>
      <c r="K233" s="80"/>
      <c r="L233" s="80"/>
      <c r="M233" s="80"/>
      <c r="N233" s="80"/>
      <c r="O233" s="80"/>
      <c r="P233" s="80"/>
      <c r="Q233" s="80"/>
      <c r="R233" s="80"/>
      <c r="S233" s="80"/>
      <c r="T233" s="80"/>
    </row>
    <row r="234" spans="1:20" ht="15.75">
      <c r="A234" s="80"/>
      <c r="B234" s="80"/>
      <c r="C234" s="80"/>
      <c r="D234" s="80"/>
      <c r="E234" s="80"/>
      <c r="F234" s="80"/>
      <c r="G234" s="80"/>
      <c r="H234" s="80"/>
      <c r="I234" s="80"/>
      <c r="J234" s="80"/>
      <c r="K234" s="80"/>
      <c r="L234" s="80"/>
      <c r="M234" s="80"/>
      <c r="N234" s="80"/>
      <c r="O234" s="80"/>
      <c r="P234" s="80"/>
      <c r="Q234" s="80"/>
      <c r="R234" s="80"/>
      <c r="S234" s="80"/>
      <c r="T234" s="80"/>
    </row>
    <row r="235" spans="1:20" ht="15.75">
      <c r="A235" s="80"/>
      <c r="B235" s="80"/>
      <c r="C235" s="80"/>
      <c r="D235" s="80"/>
      <c r="E235" s="80"/>
      <c r="F235" s="80"/>
      <c r="G235" s="80"/>
      <c r="H235" s="80"/>
      <c r="I235" s="80"/>
      <c r="J235" s="80"/>
      <c r="K235" s="80"/>
      <c r="L235" s="80"/>
      <c r="M235" s="80"/>
      <c r="N235" s="80"/>
      <c r="O235" s="80"/>
      <c r="P235" s="80"/>
      <c r="Q235" s="80"/>
      <c r="R235" s="80"/>
      <c r="S235" s="80"/>
      <c r="T235" s="80"/>
    </row>
    <row r="236" spans="1:20" ht="15.75">
      <c r="A236" s="80"/>
      <c r="B236" s="80"/>
      <c r="C236" s="80"/>
      <c r="D236" s="80"/>
      <c r="E236" s="80"/>
      <c r="F236" s="80"/>
      <c r="G236" s="80"/>
      <c r="H236" s="80"/>
      <c r="I236" s="80"/>
      <c r="J236" s="80"/>
      <c r="K236" s="80"/>
      <c r="L236" s="80"/>
      <c r="M236" s="80"/>
      <c r="N236" s="80"/>
      <c r="O236" s="80"/>
      <c r="P236" s="80"/>
      <c r="Q236" s="80"/>
      <c r="R236" s="80"/>
      <c r="S236" s="80"/>
      <c r="T236" s="80"/>
    </row>
    <row r="237" spans="1:20" ht="15.75">
      <c r="A237" s="80"/>
      <c r="B237" s="80"/>
      <c r="C237" s="80"/>
      <c r="D237" s="80"/>
      <c r="E237" s="80"/>
      <c r="F237" s="80"/>
      <c r="G237" s="80"/>
      <c r="H237" s="80"/>
      <c r="I237" s="80"/>
      <c r="J237" s="80"/>
      <c r="K237" s="80"/>
      <c r="L237" s="80"/>
      <c r="M237" s="80"/>
      <c r="N237" s="80"/>
      <c r="O237" s="80"/>
      <c r="P237" s="80"/>
      <c r="Q237" s="80"/>
      <c r="R237" s="80"/>
      <c r="S237" s="80"/>
      <c r="T237" s="80"/>
    </row>
    <row r="238" spans="1:20" ht="15.75">
      <c r="A238" s="80"/>
      <c r="B238" s="80"/>
      <c r="C238" s="80"/>
      <c r="D238" s="80"/>
      <c r="E238" s="80"/>
      <c r="F238" s="80"/>
      <c r="G238" s="80"/>
      <c r="H238" s="80"/>
      <c r="I238" s="80"/>
      <c r="J238" s="80"/>
      <c r="K238" s="80"/>
      <c r="L238" s="80"/>
      <c r="M238" s="80"/>
      <c r="N238" s="80"/>
      <c r="O238" s="80"/>
      <c r="P238" s="80"/>
      <c r="Q238" s="80"/>
      <c r="R238" s="80"/>
      <c r="S238" s="80"/>
      <c r="T238" s="80"/>
    </row>
    <row r="239" spans="1:20" ht="15.75">
      <c r="A239" s="80"/>
      <c r="B239" s="80"/>
      <c r="C239" s="80"/>
      <c r="D239" s="80"/>
      <c r="E239" s="80"/>
      <c r="F239" s="80"/>
      <c r="G239" s="80"/>
      <c r="H239" s="80"/>
      <c r="I239" s="80"/>
      <c r="J239" s="80"/>
      <c r="K239" s="80"/>
      <c r="L239" s="80"/>
      <c r="M239" s="80"/>
      <c r="N239" s="80"/>
      <c r="O239" s="80"/>
      <c r="P239" s="80"/>
      <c r="Q239" s="80"/>
      <c r="R239" s="80"/>
      <c r="S239" s="80"/>
      <c r="T239" s="80"/>
    </row>
    <row r="240" spans="1:20" ht="15.75">
      <c r="A240" s="80"/>
      <c r="B240" s="80"/>
      <c r="C240" s="80"/>
      <c r="D240" s="80"/>
      <c r="E240" s="80"/>
      <c r="F240" s="80"/>
      <c r="G240" s="80"/>
      <c r="H240" s="80"/>
      <c r="I240" s="80"/>
      <c r="J240" s="80"/>
      <c r="K240" s="80"/>
      <c r="L240" s="80"/>
      <c r="M240" s="80"/>
      <c r="N240" s="80"/>
      <c r="O240" s="80"/>
      <c r="P240" s="80"/>
      <c r="Q240" s="80"/>
      <c r="R240" s="80"/>
      <c r="S240" s="80"/>
      <c r="T240" s="80"/>
    </row>
    <row r="241" spans="1:20" ht="15.75">
      <c r="A241" s="80"/>
      <c r="B241" s="80"/>
      <c r="C241" s="80"/>
      <c r="D241" s="80"/>
      <c r="E241" s="80"/>
      <c r="F241" s="80"/>
      <c r="G241" s="80"/>
      <c r="H241" s="80"/>
      <c r="I241" s="80"/>
      <c r="J241" s="80"/>
      <c r="K241" s="80"/>
      <c r="L241" s="80"/>
      <c r="M241" s="80"/>
      <c r="N241" s="80"/>
      <c r="O241" s="80"/>
      <c r="P241" s="80"/>
      <c r="Q241" s="80"/>
      <c r="R241" s="80"/>
      <c r="S241" s="80"/>
      <c r="T241" s="80"/>
    </row>
    <row r="242" spans="1:20" ht="15.75">
      <c r="A242" s="80"/>
      <c r="B242" s="80"/>
      <c r="C242" s="80"/>
      <c r="D242" s="80"/>
      <c r="E242" s="80"/>
      <c r="F242" s="80"/>
      <c r="G242" s="80"/>
      <c r="H242" s="80"/>
      <c r="I242" s="80"/>
      <c r="J242" s="80"/>
      <c r="K242" s="80"/>
      <c r="L242" s="80"/>
      <c r="M242" s="80"/>
      <c r="N242" s="80"/>
      <c r="O242" s="80"/>
      <c r="P242" s="80"/>
      <c r="Q242" s="80"/>
      <c r="R242" s="80"/>
      <c r="S242" s="80"/>
      <c r="T242" s="80"/>
    </row>
    <row r="243" spans="1:20" ht="15.75">
      <c r="A243" s="80"/>
      <c r="B243" s="80"/>
      <c r="C243" s="80"/>
      <c r="D243" s="80"/>
      <c r="E243" s="80"/>
      <c r="F243" s="80"/>
      <c r="G243" s="80"/>
      <c r="H243" s="80"/>
      <c r="I243" s="80"/>
      <c r="J243" s="80"/>
      <c r="K243" s="80"/>
      <c r="L243" s="80"/>
      <c r="M243" s="80"/>
      <c r="N243" s="80"/>
      <c r="O243" s="80"/>
      <c r="P243" s="80"/>
      <c r="Q243" s="80"/>
      <c r="R243" s="80"/>
      <c r="S243" s="80"/>
      <c r="T243" s="80"/>
    </row>
    <row r="244" spans="1:20" ht="15.75">
      <c r="A244" s="80"/>
      <c r="B244" s="80"/>
      <c r="C244" s="80"/>
      <c r="D244" s="80"/>
      <c r="E244" s="80"/>
      <c r="F244" s="80"/>
      <c r="G244" s="80"/>
      <c r="H244" s="80"/>
      <c r="I244" s="80"/>
      <c r="J244" s="80"/>
      <c r="K244" s="80"/>
      <c r="L244" s="80"/>
      <c r="M244" s="80"/>
      <c r="N244" s="80"/>
      <c r="O244" s="80"/>
      <c r="P244" s="80"/>
      <c r="Q244" s="80"/>
      <c r="R244" s="80"/>
      <c r="S244" s="80"/>
      <c r="T244" s="80"/>
    </row>
    <row r="245" spans="1:20" ht="15.75">
      <c r="A245" s="80"/>
      <c r="B245" s="80"/>
      <c r="C245" s="80"/>
      <c r="D245" s="80"/>
      <c r="E245" s="80"/>
      <c r="F245" s="80"/>
      <c r="G245" s="80"/>
      <c r="H245" s="80"/>
      <c r="I245" s="80"/>
      <c r="J245" s="80"/>
      <c r="K245" s="80"/>
      <c r="L245" s="80"/>
      <c r="M245" s="80"/>
      <c r="N245" s="80"/>
      <c r="O245" s="80"/>
      <c r="P245" s="80"/>
      <c r="Q245" s="80"/>
      <c r="R245" s="80"/>
      <c r="S245" s="80"/>
      <c r="T245" s="80"/>
    </row>
    <row r="246" spans="1:20" ht="15.75">
      <c r="A246" s="80"/>
      <c r="B246" s="80"/>
      <c r="C246" s="80"/>
      <c r="D246" s="80"/>
      <c r="E246" s="80"/>
      <c r="F246" s="80"/>
      <c r="G246" s="80"/>
      <c r="H246" s="80"/>
      <c r="I246" s="80"/>
      <c r="J246" s="80"/>
      <c r="K246" s="80"/>
      <c r="L246" s="80"/>
      <c r="M246" s="80"/>
      <c r="N246" s="80"/>
      <c r="O246" s="80"/>
      <c r="P246" s="80"/>
      <c r="Q246" s="80"/>
      <c r="R246" s="80"/>
      <c r="S246" s="80"/>
      <c r="T246" s="80"/>
    </row>
    <row r="247" spans="1:20" ht="15.75">
      <c r="A247" s="80"/>
      <c r="B247" s="80"/>
      <c r="C247" s="80"/>
      <c r="D247" s="80"/>
      <c r="E247" s="80"/>
      <c r="F247" s="80"/>
      <c r="G247" s="80"/>
      <c r="H247" s="80"/>
      <c r="I247" s="80"/>
      <c r="J247" s="80"/>
      <c r="K247" s="80"/>
      <c r="L247" s="80"/>
      <c r="M247" s="80"/>
      <c r="N247" s="80"/>
      <c r="O247" s="80"/>
      <c r="P247" s="80"/>
      <c r="Q247" s="80"/>
      <c r="R247" s="80"/>
      <c r="S247" s="80"/>
      <c r="T247" s="80"/>
    </row>
    <row r="248" spans="1:20" ht="15.75">
      <c r="A248" s="80"/>
      <c r="B248" s="80"/>
      <c r="C248" s="80"/>
      <c r="D248" s="80"/>
      <c r="E248" s="80"/>
      <c r="F248" s="80"/>
      <c r="G248" s="80"/>
      <c r="H248" s="80"/>
      <c r="I248" s="80"/>
      <c r="J248" s="80"/>
      <c r="K248" s="80"/>
      <c r="L248" s="80"/>
      <c r="M248" s="80"/>
      <c r="N248" s="80"/>
      <c r="O248" s="80"/>
      <c r="P248" s="80"/>
      <c r="Q248" s="80"/>
      <c r="R248" s="80"/>
      <c r="S248" s="80"/>
      <c r="T248" s="80"/>
    </row>
    <row r="249" spans="1:20" ht="15.75">
      <c r="A249" s="80"/>
      <c r="B249" s="80"/>
      <c r="C249" s="80"/>
      <c r="D249" s="80"/>
      <c r="E249" s="80"/>
      <c r="F249" s="80"/>
      <c r="G249" s="80"/>
      <c r="H249" s="80"/>
      <c r="I249" s="80"/>
      <c r="J249" s="80"/>
      <c r="K249" s="80"/>
      <c r="L249" s="80"/>
      <c r="M249" s="80"/>
      <c r="N249" s="80"/>
      <c r="O249" s="80"/>
      <c r="P249" s="80"/>
      <c r="Q249" s="80"/>
      <c r="R249" s="80"/>
      <c r="S249" s="80"/>
      <c r="T249" s="80"/>
    </row>
    <row r="250" spans="1:20" ht="15.75">
      <c r="A250" s="80"/>
      <c r="B250" s="80"/>
      <c r="C250" s="80"/>
      <c r="D250" s="80"/>
      <c r="E250" s="80"/>
      <c r="F250" s="80"/>
      <c r="G250" s="80"/>
      <c r="H250" s="80"/>
      <c r="I250" s="80"/>
      <c r="J250" s="80"/>
      <c r="K250" s="80"/>
      <c r="L250" s="80"/>
      <c r="M250" s="80"/>
      <c r="N250" s="80"/>
      <c r="O250" s="80"/>
      <c r="P250" s="80"/>
      <c r="Q250" s="80"/>
      <c r="R250" s="80"/>
      <c r="S250" s="80"/>
      <c r="T250" s="80"/>
    </row>
    <row r="251" spans="1:20" ht="15.75">
      <c r="A251" s="80"/>
      <c r="B251" s="80"/>
      <c r="C251" s="80"/>
      <c r="D251" s="80"/>
      <c r="E251" s="80"/>
      <c r="F251" s="80"/>
      <c r="G251" s="80"/>
      <c r="H251" s="80"/>
      <c r="I251" s="80"/>
      <c r="J251" s="80"/>
      <c r="K251" s="80"/>
      <c r="L251" s="80"/>
      <c r="M251" s="80"/>
      <c r="N251" s="80"/>
      <c r="O251" s="80"/>
      <c r="P251" s="80"/>
      <c r="Q251" s="80"/>
      <c r="R251" s="80"/>
      <c r="S251" s="80"/>
      <c r="T251" s="80"/>
    </row>
    <row r="252" spans="1:20" ht="15.75">
      <c r="A252" s="80"/>
      <c r="B252" s="80"/>
      <c r="C252" s="80"/>
      <c r="D252" s="80"/>
      <c r="E252" s="80"/>
      <c r="F252" s="80"/>
      <c r="G252" s="80"/>
      <c r="H252" s="80"/>
      <c r="I252" s="80"/>
      <c r="J252" s="80"/>
      <c r="K252" s="80"/>
      <c r="L252" s="80"/>
      <c r="M252" s="80"/>
      <c r="N252" s="80"/>
      <c r="O252" s="80"/>
      <c r="P252" s="80"/>
      <c r="Q252" s="80"/>
      <c r="R252" s="80"/>
      <c r="S252" s="80"/>
      <c r="T252" s="80"/>
    </row>
    <row r="253" spans="1:20" ht="15.75">
      <c r="A253" s="80"/>
      <c r="B253" s="80"/>
      <c r="C253" s="80"/>
      <c r="D253" s="80"/>
      <c r="E253" s="80"/>
      <c r="F253" s="80"/>
      <c r="G253" s="80"/>
      <c r="H253" s="80"/>
      <c r="I253" s="80"/>
      <c r="J253" s="80"/>
      <c r="K253" s="80"/>
      <c r="L253" s="80"/>
      <c r="M253" s="80"/>
      <c r="N253" s="80"/>
      <c r="O253" s="80"/>
      <c r="P253" s="80"/>
      <c r="Q253" s="80"/>
      <c r="R253" s="80"/>
      <c r="S253" s="80"/>
      <c r="T253" s="80"/>
    </row>
    <row r="254" spans="1:20" ht="15.75">
      <c r="A254" s="80"/>
      <c r="B254" s="80"/>
      <c r="C254" s="80"/>
      <c r="D254" s="80"/>
      <c r="E254" s="80"/>
      <c r="F254" s="80"/>
      <c r="G254" s="80"/>
      <c r="H254" s="80"/>
      <c r="I254" s="80"/>
      <c r="J254" s="80"/>
      <c r="K254" s="80"/>
      <c r="L254" s="80"/>
      <c r="M254" s="80"/>
      <c r="N254" s="80"/>
      <c r="O254" s="80"/>
      <c r="P254" s="80"/>
      <c r="Q254" s="80"/>
      <c r="R254" s="80"/>
      <c r="S254" s="80"/>
      <c r="T254" s="80"/>
    </row>
    <row r="255" spans="1:20" ht="15.75">
      <c r="A255" s="80"/>
      <c r="B255" s="80"/>
      <c r="C255" s="80"/>
      <c r="D255" s="80"/>
      <c r="E255" s="80"/>
      <c r="F255" s="80"/>
      <c r="G255" s="80"/>
      <c r="H255" s="80"/>
      <c r="I255" s="80"/>
      <c r="J255" s="80"/>
      <c r="K255" s="80"/>
      <c r="L255" s="80"/>
      <c r="M255" s="80"/>
      <c r="N255" s="80"/>
      <c r="O255" s="80"/>
      <c r="P255" s="80"/>
      <c r="Q255" s="80"/>
      <c r="R255" s="80"/>
      <c r="S255" s="80"/>
      <c r="T255" s="80"/>
    </row>
    <row r="256" spans="1:20" ht="15.75">
      <c r="A256" s="80"/>
      <c r="B256" s="80"/>
      <c r="C256" s="80"/>
      <c r="D256" s="80"/>
      <c r="E256" s="80"/>
      <c r="F256" s="80"/>
      <c r="G256" s="80"/>
      <c r="H256" s="80"/>
      <c r="I256" s="80"/>
      <c r="J256" s="80"/>
      <c r="K256" s="80"/>
      <c r="L256" s="80"/>
      <c r="M256" s="80"/>
      <c r="N256" s="80"/>
      <c r="O256" s="80"/>
      <c r="P256" s="80"/>
      <c r="Q256" s="80"/>
      <c r="R256" s="80"/>
      <c r="S256" s="80"/>
      <c r="T256" s="80"/>
    </row>
    <row r="257" spans="1:20" ht="15.75">
      <c r="A257" s="80"/>
      <c r="B257" s="80"/>
      <c r="C257" s="80"/>
      <c r="D257" s="80"/>
      <c r="E257" s="80"/>
      <c r="F257" s="80"/>
      <c r="G257" s="80"/>
      <c r="H257" s="80"/>
      <c r="I257" s="80"/>
      <c r="J257" s="80"/>
      <c r="K257" s="80"/>
      <c r="L257" s="80"/>
      <c r="M257" s="80"/>
      <c r="N257" s="80"/>
      <c r="O257" s="80"/>
      <c r="P257" s="80"/>
      <c r="Q257" s="80"/>
      <c r="R257" s="80"/>
      <c r="S257" s="80"/>
      <c r="T257" s="80"/>
    </row>
    <row r="258" spans="1:20" ht="15.75">
      <c r="A258" s="80"/>
      <c r="B258" s="80"/>
      <c r="C258" s="80"/>
      <c r="D258" s="80"/>
      <c r="E258" s="80"/>
      <c r="F258" s="80"/>
      <c r="G258" s="80"/>
      <c r="H258" s="80"/>
      <c r="I258" s="80"/>
      <c r="J258" s="80"/>
      <c r="K258" s="80"/>
      <c r="L258" s="80"/>
      <c r="M258" s="80"/>
      <c r="N258" s="80"/>
      <c r="O258" s="80"/>
      <c r="P258" s="80"/>
      <c r="Q258" s="80"/>
      <c r="R258" s="80"/>
      <c r="S258" s="80"/>
      <c r="T258" s="80"/>
    </row>
    <row r="259" spans="1:20" ht="15.75">
      <c r="A259" s="80"/>
      <c r="B259" s="80"/>
      <c r="C259" s="80"/>
      <c r="D259" s="80"/>
      <c r="E259" s="80"/>
      <c r="F259" s="80"/>
      <c r="G259" s="80"/>
      <c r="H259" s="80"/>
      <c r="I259" s="80"/>
      <c r="J259" s="80"/>
      <c r="K259" s="80"/>
      <c r="L259" s="80"/>
      <c r="M259" s="80"/>
      <c r="N259" s="80"/>
      <c r="O259" s="80"/>
      <c r="P259" s="80"/>
      <c r="Q259" s="80"/>
      <c r="R259" s="80"/>
      <c r="S259" s="80"/>
      <c r="T259" s="80"/>
    </row>
    <row r="260" spans="1:20" ht="15.75">
      <c r="A260" s="80"/>
      <c r="B260" s="80"/>
      <c r="C260" s="80"/>
      <c r="D260" s="80"/>
      <c r="E260" s="80"/>
      <c r="F260" s="80"/>
      <c r="G260" s="80"/>
      <c r="H260" s="80"/>
      <c r="I260" s="80"/>
      <c r="J260" s="80"/>
      <c r="K260" s="80"/>
      <c r="L260" s="80"/>
      <c r="M260" s="80"/>
      <c r="N260" s="80"/>
      <c r="O260" s="80"/>
      <c r="P260" s="80"/>
      <c r="Q260" s="80"/>
      <c r="R260" s="80"/>
      <c r="S260" s="80"/>
      <c r="T260" s="80"/>
    </row>
    <row r="261" spans="1:20" ht="15.75">
      <c r="A261" s="80"/>
      <c r="B261" s="80"/>
      <c r="C261" s="80"/>
      <c r="D261" s="80"/>
      <c r="E261" s="80"/>
      <c r="F261" s="80"/>
      <c r="G261" s="80"/>
      <c r="H261" s="80"/>
      <c r="I261" s="80"/>
      <c r="J261" s="80"/>
      <c r="K261" s="80"/>
      <c r="L261" s="80"/>
      <c r="M261" s="80"/>
      <c r="N261" s="80"/>
      <c r="O261" s="80"/>
      <c r="P261" s="80"/>
      <c r="Q261" s="80"/>
      <c r="R261" s="80"/>
      <c r="S261" s="80"/>
      <c r="T261" s="80"/>
    </row>
    <row r="262" spans="1:20" ht="15.75">
      <c r="A262" s="80"/>
      <c r="B262" s="80"/>
      <c r="C262" s="80"/>
      <c r="D262" s="80"/>
      <c r="E262" s="80"/>
      <c r="F262" s="80"/>
      <c r="G262" s="80"/>
      <c r="H262" s="80"/>
      <c r="I262" s="80"/>
      <c r="J262" s="80"/>
      <c r="K262" s="80"/>
      <c r="L262" s="80"/>
      <c r="M262" s="80"/>
      <c r="N262" s="80"/>
      <c r="O262" s="80"/>
      <c r="P262" s="80"/>
      <c r="Q262" s="80"/>
      <c r="R262" s="80"/>
      <c r="S262" s="80"/>
      <c r="T262" s="80"/>
    </row>
    <row r="263" spans="1:20" ht="15.75">
      <c r="A263" s="80"/>
      <c r="B263" s="80"/>
      <c r="C263" s="80"/>
      <c r="D263" s="80"/>
      <c r="E263" s="80"/>
      <c r="F263" s="80"/>
      <c r="G263" s="80"/>
      <c r="H263" s="80"/>
      <c r="I263" s="80"/>
      <c r="J263" s="80"/>
      <c r="K263" s="80"/>
      <c r="L263" s="80"/>
      <c r="M263" s="80"/>
      <c r="N263" s="80"/>
      <c r="O263" s="80"/>
      <c r="P263" s="80"/>
      <c r="Q263" s="80"/>
      <c r="R263" s="80"/>
      <c r="S263" s="80"/>
      <c r="T263" s="80"/>
    </row>
    <row r="264" spans="1:20" ht="15.75">
      <c r="A264" s="80"/>
      <c r="B264" s="80"/>
      <c r="C264" s="80"/>
      <c r="D264" s="80"/>
      <c r="E264" s="80"/>
      <c r="F264" s="80"/>
      <c r="G264" s="80"/>
      <c r="H264" s="80"/>
      <c r="I264" s="80"/>
      <c r="J264" s="80"/>
      <c r="K264" s="80"/>
      <c r="L264" s="80"/>
      <c r="M264" s="80"/>
      <c r="N264" s="80"/>
      <c r="O264" s="80"/>
      <c r="P264" s="80"/>
      <c r="Q264" s="80"/>
      <c r="R264" s="80"/>
      <c r="S264" s="80"/>
      <c r="T264" s="80"/>
    </row>
    <row r="265" spans="1:20" ht="15.75">
      <c r="A265" s="80"/>
      <c r="B265" s="80"/>
      <c r="C265" s="80"/>
      <c r="D265" s="80"/>
      <c r="E265" s="80"/>
      <c r="F265" s="80"/>
      <c r="G265" s="80"/>
      <c r="H265" s="80"/>
      <c r="I265" s="80"/>
      <c r="J265" s="80"/>
      <c r="K265" s="80"/>
      <c r="L265" s="80"/>
      <c r="M265" s="80"/>
      <c r="N265" s="80"/>
      <c r="O265" s="80"/>
      <c r="P265" s="80"/>
      <c r="Q265" s="80"/>
      <c r="R265" s="80"/>
      <c r="S265" s="80"/>
      <c r="T265" s="80"/>
    </row>
    <row r="266" spans="1:20" ht="15.75">
      <c r="A266" s="80"/>
      <c r="B266" s="80"/>
      <c r="C266" s="80"/>
      <c r="D266" s="80"/>
      <c r="E266" s="80"/>
      <c r="F266" s="80"/>
      <c r="G266" s="80"/>
      <c r="H266" s="80"/>
      <c r="I266" s="80"/>
      <c r="J266" s="80"/>
      <c r="K266" s="80"/>
      <c r="L266" s="80"/>
      <c r="M266" s="80"/>
      <c r="N266" s="80"/>
      <c r="O266" s="80"/>
      <c r="P266" s="80"/>
      <c r="Q266" s="80"/>
      <c r="R266" s="80"/>
      <c r="S266" s="80"/>
      <c r="T266" s="80"/>
    </row>
    <row r="267" spans="1:20" ht="15.75">
      <c r="A267" s="80"/>
      <c r="B267" s="80"/>
      <c r="C267" s="80"/>
      <c r="D267" s="80"/>
      <c r="E267" s="80"/>
      <c r="F267" s="80"/>
      <c r="G267" s="80"/>
      <c r="H267" s="80"/>
      <c r="I267" s="80"/>
      <c r="J267" s="80"/>
      <c r="K267" s="80"/>
      <c r="L267" s="80"/>
      <c r="M267" s="80"/>
      <c r="N267" s="80"/>
      <c r="O267" s="80"/>
      <c r="P267" s="80"/>
      <c r="Q267" s="80"/>
      <c r="R267" s="80"/>
      <c r="S267" s="80"/>
      <c r="T267" s="80"/>
    </row>
    <row r="268" spans="1:20" ht="15.75">
      <c r="A268" s="80"/>
      <c r="B268" s="80"/>
      <c r="C268" s="80"/>
      <c r="D268" s="80"/>
      <c r="E268" s="80"/>
      <c r="F268" s="80"/>
      <c r="G268" s="80"/>
      <c r="H268" s="80"/>
      <c r="I268" s="80"/>
      <c r="J268" s="80"/>
      <c r="K268" s="80"/>
      <c r="L268" s="80"/>
      <c r="M268" s="80"/>
      <c r="N268" s="80"/>
      <c r="O268" s="80"/>
      <c r="P268" s="80"/>
      <c r="Q268" s="80"/>
      <c r="R268" s="80"/>
      <c r="S268" s="80"/>
      <c r="T268" s="80"/>
    </row>
    <row r="269" spans="1:20" ht="15.75">
      <c r="A269" s="80"/>
      <c r="B269" s="80"/>
      <c r="C269" s="80"/>
      <c r="D269" s="80"/>
      <c r="E269" s="80"/>
      <c r="F269" s="80"/>
      <c r="G269" s="80"/>
      <c r="H269" s="80"/>
      <c r="I269" s="80"/>
      <c r="J269" s="80"/>
      <c r="K269" s="80"/>
      <c r="L269" s="80"/>
      <c r="M269" s="80"/>
      <c r="N269" s="80"/>
      <c r="O269" s="80"/>
      <c r="P269" s="80"/>
      <c r="Q269" s="80"/>
      <c r="R269" s="80"/>
      <c r="S269" s="80"/>
      <c r="T269" s="80"/>
    </row>
    <row r="270" spans="1:20" ht="15.75">
      <c r="A270" s="80"/>
      <c r="B270" s="80"/>
      <c r="C270" s="80"/>
      <c r="D270" s="80"/>
      <c r="E270" s="80"/>
      <c r="F270" s="80"/>
      <c r="G270" s="80"/>
      <c r="H270" s="80"/>
      <c r="I270" s="80"/>
      <c r="J270" s="80"/>
      <c r="K270" s="80"/>
      <c r="L270" s="80"/>
      <c r="M270" s="80"/>
      <c r="N270" s="80"/>
      <c r="O270" s="80"/>
      <c r="P270" s="80"/>
      <c r="Q270" s="80"/>
      <c r="R270" s="80"/>
      <c r="S270" s="80"/>
      <c r="T270" s="80"/>
    </row>
    <row r="271" spans="1:20" ht="15.75">
      <c r="A271" s="80"/>
      <c r="B271" s="80"/>
      <c r="C271" s="80"/>
      <c r="D271" s="80"/>
      <c r="E271" s="80"/>
      <c r="F271" s="80"/>
      <c r="G271" s="80"/>
      <c r="H271" s="80"/>
      <c r="I271" s="80"/>
      <c r="J271" s="80"/>
      <c r="K271" s="80"/>
      <c r="L271" s="80"/>
      <c r="M271" s="80"/>
      <c r="N271" s="80"/>
      <c r="O271" s="80"/>
      <c r="P271" s="80"/>
      <c r="Q271" s="80"/>
      <c r="R271" s="80"/>
      <c r="S271" s="80"/>
      <c r="T271" s="80"/>
    </row>
    <row r="272" spans="1:20" ht="15.75">
      <c r="A272" s="80"/>
      <c r="B272" s="80"/>
      <c r="C272" s="80"/>
      <c r="D272" s="80"/>
      <c r="E272" s="80"/>
      <c r="F272" s="80"/>
      <c r="G272" s="80"/>
      <c r="H272" s="80"/>
      <c r="I272" s="80"/>
      <c r="J272" s="80"/>
      <c r="K272" s="80"/>
      <c r="L272" s="80"/>
      <c r="M272" s="80"/>
      <c r="N272" s="80"/>
      <c r="O272" s="80"/>
      <c r="P272" s="80"/>
      <c r="Q272" s="80"/>
      <c r="R272" s="80"/>
      <c r="S272" s="80"/>
      <c r="T272" s="80"/>
    </row>
    <row r="273" spans="1:20" ht="15.75">
      <c r="A273" s="80"/>
      <c r="B273" s="80"/>
      <c r="C273" s="80"/>
      <c r="D273" s="80"/>
      <c r="E273" s="80"/>
      <c r="F273" s="80"/>
      <c r="G273" s="80"/>
      <c r="H273" s="80"/>
      <c r="I273" s="80"/>
      <c r="J273" s="80"/>
      <c r="K273" s="80"/>
      <c r="L273" s="80"/>
      <c r="M273" s="80"/>
      <c r="N273" s="80"/>
      <c r="O273" s="80"/>
      <c r="P273" s="80"/>
      <c r="Q273" s="80"/>
      <c r="R273" s="80"/>
      <c r="S273" s="80"/>
      <c r="T273" s="80"/>
    </row>
    <row r="274" spans="1:20" ht="15.75">
      <c r="A274" s="80"/>
      <c r="B274" s="80"/>
      <c r="C274" s="80"/>
      <c r="D274" s="80"/>
      <c r="E274" s="80"/>
      <c r="F274" s="80"/>
      <c r="G274" s="80"/>
      <c r="H274" s="80"/>
      <c r="I274" s="80"/>
      <c r="J274" s="80"/>
      <c r="K274" s="80"/>
      <c r="L274" s="80"/>
      <c r="M274" s="80"/>
      <c r="N274" s="80"/>
      <c r="O274" s="80"/>
      <c r="P274" s="80"/>
      <c r="Q274" s="80"/>
      <c r="R274" s="80"/>
      <c r="S274" s="80"/>
      <c r="T274" s="80"/>
    </row>
    <row r="275" spans="1:20" ht="15.75">
      <c r="A275" s="80"/>
      <c r="B275" s="80"/>
      <c r="C275" s="80"/>
      <c r="D275" s="80"/>
      <c r="E275" s="80"/>
      <c r="F275" s="80"/>
      <c r="G275" s="80"/>
      <c r="H275" s="80"/>
      <c r="I275" s="80"/>
      <c r="J275" s="80"/>
      <c r="K275" s="80"/>
      <c r="L275" s="80"/>
      <c r="M275" s="80"/>
      <c r="N275" s="80"/>
      <c r="O275" s="80"/>
      <c r="P275" s="80"/>
      <c r="Q275" s="80"/>
      <c r="R275" s="80"/>
      <c r="S275" s="80"/>
      <c r="T275" s="80"/>
    </row>
    <row r="276" spans="1:20" ht="15.75">
      <c r="A276" s="80"/>
      <c r="B276" s="80"/>
      <c r="C276" s="80"/>
      <c r="D276" s="80"/>
      <c r="E276" s="80"/>
      <c r="F276" s="80"/>
      <c r="G276" s="80"/>
      <c r="H276" s="80"/>
      <c r="I276" s="80"/>
      <c r="J276" s="80"/>
      <c r="K276" s="80"/>
      <c r="L276" s="80"/>
      <c r="M276" s="80"/>
      <c r="N276" s="80"/>
      <c r="O276" s="80"/>
      <c r="P276" s="80"/>
      <c r="Q276" s="80"/>
      <c r="R276" s="80"/>
      <c r="S276" s="80"/>
      <c r="T276" s="80"/>
    </row>
    <row r="277" spans="1:20" ht="15.75">
      <c r="A277" s="80"/>
      <c r="B277" s="80"/>
      <c r="C277" s="80"/>
      <c r="D277" s="80"/>
      <c r="E277" s="80"/>
      <c r="F277" s="80"/>
      <c r="G277" s="80"/>
      <c r="H277" s="80"/>
      <c r="I277" s="80"/>
      <c r="J277" s="80"/>
      <c r="K277" s="80"/>
      <c r="L277" s="80"/>
      <c r="M277" s="80"/>
      <c r="N277" s="80"/>
      <c r="O277" s="80"/>
      <c r="P277" s="80"/>
      <c r="Q277" s="80"/>
      <c r="R277" s="80"/>
      <c r="S277" s="80"/>
      <c r="T277" s="80"/>
    </row>
    <row r="278" spans="1:20" ht="15.75">
      <c r="A278" s="80"/>
      <c r="B278" s="80"/>
      <c r="C278" s="80"/>
      <c r="D278" s="80"/>
      <c r="E278" s="80"/>
      <c r="F278" s="80"/>
      <c r="G278" s="80"/>
      <c r="H278" s="80"/>
      <c r="I278" s="80"/>
      <c r="J278" s="80"/>
      <c r="K278" s="80"/>
      <c r="L278" s="80"/>
      <c r="M278" s="80"/>
      <c r="N278" s="80"/>
      <c r="O278" s="80"/>
      <c r="P278" s="80"/>
      <c r="Q278" s="80"/>
      <c r="R278" s="80"/>
      <c r="S278" s="80"/>
      <c r="T278" s="80"/>
    </row>
    <row r="279" spans="1:20" ht="15.75">
      <c r="A279" s="80"/>
      <c r="B279" s="80"/>
      <c r="C279" s="80"/>
      <c r="D279" s="80"/>
      <c r="E279" s="80"/>
      <c r="F279" s="80"/>
      <c r="G279" s="80"/>
      <c r="H279" s="80"/>
      <c r="I279" s="80"/>
      <c r="J279" s="80"/>
      <c r="K279" s="80"/>
      <c r="L279" s="80"/>
      <c r="M279" s="80"/>
      <c r="N279" s="80"/>
      <c r="O279" s="80"/>
      <c r="P279" s="80"/>
      <c r="Q279" s="80"/>
      <c r="R279" s="80"/>
      <c r="S279" s="80"/>
      <c r="T279" s="80"/>
    </row>
    <row r="280" spans="1:20" ht="15.75">
      <c r="A280" s="80"/>
      <c r="B280" s="80"/>
      <c r="C280" s="80"/>
      <c r="D280" s="80"/>
      <c r="E280" s="80"/>
      <c r="F280" s="80"/>
      <c r="G280" s="80"/>
      <c r="H280" s="80"/>
      <c r="I280" s="80"/>
      <c r="J280" s="80"/>
      <c r="K280" s="80"/>
      <c r="L280" s="80"/>
      <c r="M280" s="80"/>
      <c r="N280" s="80"/>
      <c r="O280" s="80"/>
      <c r="P280" s="80"/>
      <c r="Q280" s="80"/>
      <c r="R280" s="80"/>
      <c r="S280" s="80"/>
      <c r="T280" s="80"/>
    </row>
    <row r="281" spans="1:20" ht="15.75">
      <c r="A281" s="80"/>
      <c r="B281" s="80"/>
      <c r="C281" s="80"/>
      <c r="D281" s="80"/>
      <c r="E281" s="80"/>
      <c r="F281" s="80"/>
      <c r="G281" s="80"/>
      <c r="H281" s="80"/>
      <c r="I281" s="80"/>
      <c r="J281" s="80"/>
      <c r="K281" s="80"/>
      <c r="L281" s="80"/>
      <c r="M281" s="80"/>
      <c r="N281" s="80"/>
      <c r="O281" s="80"/>
      <c r="P281" s="80"/>
      <c r="Q281" s="80"/>
      <c r="R281" s="80"/>
      <c r="S281" s="80"/>
      <c r="T281" s="80"/>
    </row>
    <row r="282" spans="1:20" ht="15.75">
      <c r="A282" s="80"/>
      <c r="B282" s="80"/>
      <c r="C282" s="80"/>
      <c r="D282" s="80"/>
      <c r="E282" s="80"/>
      <c r="F282" s="80"/>
      <c r="G282" s="80"/>
      <c r="H282" s="80"/>
      <c r="I282" s="80"/>
      <c r="J282" s="80"/>
      <c r="K282" s="80"/>
      <c r="L282" s="80"/>
      <c r="M282" s="80"/>
      <c r="N282" s="80"/>
      <c r="O282" s="80"/>
      <c r="P282" s="80"/>
      <c r="Q282" s="80"/>
      <c r="R282" s="80"/>
      <c r="S282" s="80"/>
      <c r="T282" s="80"/>
    </row>
    <row r="283" spans="1:20" ht="15.75">
      <c r="A283" s="80"/>
      <c r="B283" s="80"/>
      <c r="C283" s="80"/>
      <c r="D283" s="80"/>
      <c r="E283" s="80"/>
      <c r="F283" s="80"/>
      <c r="G283" s="80"/>
      <c r="H283" s="80"/>
      <c r="I283" s="80"/>
      <c r="J283" s="80"/>
      <c r="K283" s="80"/>
      <c r="L283" s="80"/>
      <c r="M283" s="80"/>
      <c r="N283" s="80"/>
      <c r="O283" s="80"/>
      <c r="P283" s="80"/>
      <c r="Q283" s="80"/>
      <c r="R283" s="80"/>
      <c r="S283" s="80"/>
      <c r="T283" s="80"/>
    </row>
    <row r="284" spans="1:20" ht="15.75">
      <c r="A284" s="80"/>
      <c r="B284" s="80"/>
      <c r="C284" s="80"/>
      <c r="D284" s="80"/>
      <c r="E284" s="80"/>
      <c r="F284" s="80"/>
      <c r="G284" s="80"/>
      <c r="H284" s="80"/>
      <c r="I284" s="80"/>
      <c r="J284" s="80"/>
      <c r="K284" s="80"/>
      <c r="L284" s="80"/>
      <c r="M284" s="80"/>
      <c r="N284" s="80"/>
      <c r="O284" s="80"/>
      <c r="P284" s="80"/>
      <c r="Q284" s="80"/>
      <c r="R284" s="80"/>
      <c r="S284" s="80"/>
      <c r="T284" s="80"/>
    </row>
    <row r="285" spans="1:20" ht="15.75">
      <c r="A285" s="80"/>
      <c r="B285" s="80"/>
      <c r="C285" s="80"/>
      <c r="D285" s="80"/>
      <c r="E285" s="80"/>
      <c r="F285" s="80"/>
      <c r="G285" s="80"/>
      <c r="H285" s="80"/>
      <c r="I285" s="80"/>
      <c r="J285" s="80"/>
      <c r="K285" s="80"/>
      <c r="L285" s="80"/>
      <c r="M285" s="80"/>
      <c r="N285" s="80"/>
      <c r="O285" s="80"/>
      <c r="P285" s="80"/>
      <c r="Q285" s="80"/>
      <c r="R285" s="80"/>
      <c r="S285" s="80"/>
      <c r="T285" s="80"/>
    </row>
    <row r="286" spans="1:20" ht="15.75">
      <c r="A286" s="80"/>
      <c r="B286" s="80"/>
      <c r="C286" s="80"/>
      <c r="D286" s="80"/>
      <c r="E286" s="80"/>
      <c r="F286" s="80"/>
      <c r="G286" s="80"/>
      <c r="H286" s="80"/>
      <c r="I286" s="80"/>
      <c r="J286" s="80"/>
      <c r="K286" s="80"/>
      <c r="L286" s="80"/>
      <c r="M286" s="80"/>
      <c r="N286" s="80"/>
      <c r="O286" s="80"/>
      <c r="P286" s="80"/>
      <c r="Q286" s="80"/>
      <c r="R286" s="80"/>
      <c r="S286" s="80"/>
      <c r="T286" s="80"/>
    </row>
    <row r="287" spans="1:20" ht="15.75">
      <c r="A287" s="80"/>
      <c r="B287" s="80"/>
      <c r="C287" s="80"/>
      <c r="D287" s="80"/>
      <c r="E287" s="80"/>
      <c r="F287" s="80"/>
      <c r="G287" s="80"/>
      <c r="H287" s="80"/>
      <c r="I287" s="80"/>
      <c r="J287" s="80"/>
      <c r="K287" s="80"/>
      <c r="L287" s="80"/>
      <c r="M287" s="80"/>
      <c r="N287" s="80"/>
      <c r="O287" s="80"/>
      <c r="P287" s="80"/>
      <c r="Q287" s="80"/>
      <c r="R287" s="80"/>
      <c r="S287" s="80"/>
      <c r="T287" s="80"/>
    </row>
    <row r="288" spans="1:20" ht="15.75">
      <c r="A288" s="80"/>
      <c r="B288" s="80"/>
      <c r="C288" s="80"/>
      <c r="D288" s="80"/>
      <c r="E288" s="80"/>
      <c r="F288" s="80"/>
      <c r="G288" s="80"/>
      <c r="H288" s="80"/>
      <c r="I288" s="80"/>
      <c r="J288" s="80"/>
      <c r="K288" s="80"/>
      <c r="L288" s="80"/>
      <c r="M288" s="80"/>
      <c r="N288" s="80"/>
      <c r="O288" s="80"/>
      <c r="P288" s="80"/>
      <c r="Q288" s="80"/>
      <c r="R288" s="80"/>
      <c r="S288" s="80"/>
      <c r="T288" s="80"/>
    </row>
    <row r="289" spans="1:20" ht="15.75">
      <c r="A289" s="80"/>
      <c r="B289" s="80"/>
      <c r="C289" s="80"/>
      <c r="D289" s="80"/>
      <c r="E289" s="80"/>
      <c r="F289" s="80"/>
      <c r="G289" s="80"/>
      <c r="H289" s="80"/>
      <c r="I289" s="80"/>
      <c r="J289" s="80"/>
      <c r="K289" s="80"/>
      <c r="L289" s="80"/>
      <c r="M289" s="80"/>
      <c r="N289" s="80"/>
      <c r="O289" s="80"/>
      <c r="P289" s="80"/>
      <c r="Q289" s="80"/>
      <c r="R289" s="80"/>
      <c r="S289" s="80"/>
      <c r="T289" s="80"/>
    </row>
    <row r="290" spans="1:20" ht="15.75">
      <c r="A290" s="80"/>
      <c r="B290" s="80"/>
      <c r="C290" s="80"/>
      <c r="D290" s="80"/>
      <c r="E290" s="80"/>
      <c r="F290" s="80"/>
      <c r="G290" s="80"/>
      <c r="H290" s="80"/>
      <c r="I290" s="80"/>
      <c r="J290" s="80"/>
      <c r="K290" s="80"/>
      <c r="L290" s="80"/>
      <c r="M290" s="80"/>
      <c r="N290" s="80"/>
      <c r="O290" s="80"/>
      <c r="P290" s="80"/>
      <c r="Q290" s="80"/>
      <c r="R290" s="80"/>
      <c r="S290" s="80"/>
      <c r="T290" s="80"/>
    </row>
    <row r="291" spans="1:20" ht="15.75">
      <c r="A291" s="80"/>
      <c r="B291" s="80"/>
      <c r="C291" s="80"/>
      <c r="D291" s="80"/>
      <c r="E291" s="80"/>
      <c r="F291" s="80"/>
      <c r="G291" s="80"/>
      <c r="H291" s="80"/>
      <c r="I291" s="80"/>
      <c r="J291" s="80"/>
      <c r="K291" s="80"/>
      <c r="L291" s="80"/>
      <c r="M291" s="80"/>
      <c r="N291" s="80"/>
      <c r="O291" s="80"/>
      <c r="P291" s="80"/>
      <c r="Q291" s="80"/>
      <c r="R291" s="80"/>
      <c r="S291" s="80"/>
      <c r="T291" s="80"/>
    </row>
    <row r="292" spans="1:20" ht="15.75">
      <c r="A292" s="80"/>
      <c r="B292" s="80"/>
      <c r="C292" s="80"/>
      <c r="D292" s="80"/>
      <c r="E292" s="80"/>
      <c r="F292" s="80"/>
      <c r="G292" s="80"/>
      <c r="H292" s="80"/>
      <c r="I292" s="80"/>
      <c r="J292" s="80"/>
      <c r="K292" s="80"/>
      <c r="L292" s="80"/>
      <c r="M292" s="80"/>
      <c r="N292" s="80"/>
      <c r="O292" s="80"/>
      <c r="P292" s="80"/>
      <c r="Q292" s="80"/>
      <c r="R292" s="80"/>
      <c r="S292" s="80"/>
      <c r="T292" s="80"/>
    </row>
    <row r="293" spans="1:20" ht="15.75">
      <c r="A293" s="80"/>
      <c r="B293" s="80"/>
      <c r="C293" s="80"/>
      <c r="D293" s="80"/>
      <c r="E293" s="80"/>
      <c r="F293" s="80"/>
      <c r="G293" s="80"/>
      <c r="H293" s="80"/>
      <c r="I293" s="80"/>
      <c r="J293" s="80"/>
      <c r="K293" s="80"/>
      <c r="L293" s="80"/>
      <c r="M293" s="80"/>
      <c r="N293" s="80"/>
      <c r="O293" s="80"/>
      <c r="P293" s="80"/>
      <c r="Q293" s="80"/>
      <c r="R293" s="80"/>
      <c r="S293" s="80"/>
      <c r="T293" s="80"/>
    </row>
    <row r="294" spans="1:20" ht="15.75">
      <c r="A294" s="80"/>
      <c r="B294" s="80"/>
      <c r="C294" s="80"/>
      <c r="D294" s="80"/>
      <c r="E294" s="80"/>
      <c r="F294" s="80"/>
      <c r="G294" s="80"/>
      <c r="H294" s="80"/>
      <c r="I294" s="80"/>
      <c r="J294" s="80"/>
      <c r="K294" s="80"/>
      <c r="L294" s="80"/>
      <c r="M294" s="80"/>
      <c r="N294" s="80"/>
      <c r="O294" s="80"/>
      <c r="P294" s="80"/>
      <c r="Q294" s="80"/>
      <c r="R294" s="80"/>
      <c r="S294" s="80"/>
      <c r="T294" s="80"/>
    </row>
    <row r="295" spans="1:20" ht="15.75">
      <c r="A295" s="80"/>
      <c r="B295" s="80"/>
      <c r="C295" s="80"/>
      <c r="D295" s="80"/>
      <c r="E295" s="80"/>
      <c r="F295" s="80"/>
      <c r="G295" s="80"/>
      <c r="H295" s="80"/>
      <c r="I295" s="80"/>
      <c r="J295" s="80"/>
      <c r="K295" s="80"/>
      <c r="L295" s="80"/>
      <c r="M295" s="80"/>
      <c r="N295" s="80"/>
      <c r="O295" s="80"/>
      <c r="P295" s="80"/>
      <c r="Q295" s="80"/>
      <c r="R295" s="80"/>
      <c r="S295" s="80"/>
      <c r="T295" s="80"/>
    </row>
    <row r="296" spans="1:20" ht="15.75">
      <c r="A296" s="80"/>
      <c r="B296" s="80"/>
      <c r="C296" s="80"/>
      <c r="D296" s="80"/>
      <c r="E296" s="80"/>
      <c r="F296" s="80"/>
      <c r="G296" s="80"/>
      <c r="H296" s="80"/>
      <c r="I296" s="80"/>
      <c r="J296" s="80"/>
      <c r="K296" s="80"/>
      <c r="L296" s="80"/>
      <c r="M296" s="80"/>
      <c r="N296" s="80"/>
      <c r="O296" s="80"/>
      <c r="P296" s="80"/>
      <c r="Q296" s="80"/>
      <c r="R296" s="80"/>
      <c r="S296" s="80"/>
      <c r="T296" s="80"/>
    </row>
    <row r="297" spans="1:20" ht="15.75">
      <c r="A297" s="80"/>
      <c r="B297" s="80"/>
      <c r="C297" s="80"/>
      <c r="D297" s="80"/>
      <c r="E297" s="80"/>
      <c r="F297" s="80"/>
      <c r="G297" s="80"/>
      <c r="H297" s="80"/>
      <c r="I297" s="80"/>
      <c r="J297" s="80"/>
      <c r="K297" s="80"/>
      <c r="L297" s="80"/>
      <c r="M297" s="80"/>
      <c r="N297" s="80"/>
      <c r="O297" s="80"/>
      <c r="P297" s="80"/>
      <c r="Q297" s="80"/>
      <c r="R297" s="80"/>
      <c r="S297" s="80"/>
      <c r="T297" s="80"/>
    </row>
    <row r="298" spans="1:20" ht="15.75">
      <c r="A298" s="80"/>
      <c r="B298" s="80"/>
      <c r="C298" s="80"/>
      <c r="D298" s="80"/>
      <c r="E298" s="80"/>
      <c r="F298" s="80"/>
      <c r="G298" s="80"/>
      <c r="H298" s="80"/>
      <c r="I298" s="80"/>
      <c r="J298" s="80"/>
      <c r="K298" s="80"/>
      <c r="L298" s="80"/>
      <c r="M298" s="80"/>
      <c r="N298" s="80"/>
      <c r="O298" s="80"/>
      <c r="P298" s="80"/>
      <c r="Q298" s="80"/>
      <c r="R298" s="80"/>
      <c r="S298" s="80"/>
      <c r="T298" s="80"/>
    </row>
    <row r="299" spans="1:20" ht="15.75">
      <c r="A299" s="80"/>
      <c r="B299" s="80"/>
      <c r="C299" s="80"/>
      <c r="D299" s="80"/>
      <c r="E299" s="80"/>
      <c r="F299" s="80"/>
      <c r="G299" s="80"/>
      <c r="H299" s="80"/>
      <c r="I299" s="80"/>
      <c r="J299" s="80"/>
      <c r="K299" s="80"/>
      <c r="L299" s="80"/>
      <c r="M299" s="80"/>
      <c r="N299" s="80"/>
      <c r="O299" s="80"/>
      <c r="P299" s="80"/>
      <c r="Q299" s="80"/>
      <c r="R299" s="80"/>
      <c r="S299" s="80"/>
      <c r="T299" s="80"/>
    </row>
    <row r="300" spans="1:20" ht="15.75">
      <c r="A300" s="80"/>
      <c r="B300" s="80"/>
      <c r="C300" s="80"/>
      <c r="D300" s="80"/>
      <c r="E300" s="80"/>
      <c r="F300" s="80"/>
      <c r="G300" s="80"/>
      <c r="H300" s="80"/>
      <c r="I300" s="80"/>
      <c r="J300" s="80"/>
      <c r="K300" s="80"/>
      <c r="L300" s="80"/>
      <c r="M300" s="80"/>
      <c r="N300" s="80"/>
      <c r="O300" s="80"/>
      <c r="P300" s="80"/>
      <c r="Q300" s="80"/>
      <c r="R300" s="80"/>
      <c r="S300" s="80"/>
      <c r="T300" s="80"/>
    </row>
    <row r="301" spans="1:20" ht="15.75">
      <c r="A301" s="80"/>
      <c r="B301" s="80"/>
      <c r="C301" s="80"/>
      <c r="D301" s="80"/>
      <c r="E301" s="80"/>
      <c r="F301" s="80"/>
      <c r="G301" s="80"/>
      <c r="H301" s="80"/>
      <c r="I301" s="80"/>
      <c r="J301" s="80"/>
      <c r="K301" s="80"/>
      <c r="L301" s="80"/>
      <c r="M301" s="80"/>
      <c r="N301" s="80"/>
      <c r="O301" s="80"/>
      <c r="P301" s="80"/>
      <c r="Q301" s="80"/>
      <c r="R301" s="80"/>
      <c r="S301" s="80"/>
      <c r="T301" s="80"/>
    </row>
    <row r="302" spans="1:20" ht="15.75">
      <c r="A302" s="80"/>
      <c r="B302" s="80"/>
      <c r="C302" s="80"/>
      <c r="D302" s="80"/>
      <c r="E302" s="80"/>
      <c r="F302" s="80"/>
      <c r="G302" s="80"/>
      <c r="H302" s="80"/>
      <c r="I302" s="80"/>
      <c r="J302" s="80"/>
      <c r="K302" s="80"/>
      <c r="L302" s="80"/>
      <c r="M302" s="80"/>
      <c r="N302" s="80"/>
      <c r="O302" s="80"/>
      <c r="P302" s="80"/>
      <c r="Q302" s="80"/>
      <c r="R302" s="80"/>
      <c r="S302" s="80"/>
      <c r="T302" s="80"/>
    </row>
    <row r="303" spans="1:20" ht="15.75">
      <c r="A303" s="80"/>
      <c r="B303" s="80"/>
      <c r="C303" s="80"/>
      <c r="D303" s="80"/>
      <c r="E303" s="80"/>
      <c r="F303" s="80"/>
      <c r="G303" s="80"/>
      <c r="H303" s="80"/>
      <c r="I303" s="80"/>
      <c r="J303" s="80"/>
      <c r="K303" s="80"/>
      <c r="L303" s="80"/>
      <c r="M303" s="80"/>
      <c r="N303" s="80"/>
      <c r="O303" s="80"/>
      <c r="P303" s="80"/>
      <c r="Q303" s="80"/>
      <c r="R303" s="80"/>
      <c r="S303" s="80"/>
      <c r="T303" s="80"/>
    </row>
    <row r="304" spans="1:20" ht="15.75">
      <c r="A304" s="80"/>
      <c r="B304" s="80"/>
      <c r="C304" s="80"/>
      <c r="D304" s="80"/>
      <c r="E304" s="80"/>
      <c r="F304" s="80"/>
      <c r="G304" s="80"/>
      <c r="H304" s="80"/>
      <c r="I304" s="80"/>
      <c r="J304" s="80"/>
      <c r="K304" s="80"/>
      <c r="L304" s="80"/>
      <c r="M304" s="80"/>
      <c r="N304" s="80"/>
      <c r="O304" s="80"/>
      <c r="P304" s="80"/>
      <c r="Q304" s="80"/>
      <c r="R304" s="80"/>
      <c r="S304" s="80"/>
      <c r="T304" s="80"/>
    </row>
    <row r="305" spans="1:20" ht="15.75">
      <c r="A305" s="80"/>
      <c r="B305" s="80"/>
      <c r="C305" s="80"/>
      <c r="D305" s="80"/>
      <c r="E305" s="80"/>
      <c r="F305" s="80"/>
      <c r="G305" s="80"/>
      <c r="H305" s="80"/>
      <c r="I305" s="80"/>
      <c r="J305" s="80"/>
      <c r="K305" s="80"/>
      <c r="L305" s="80"/>
      <c r="M305" s="80"/>
      <c r="N305" s="80"/>
      <c r="O305" s="80"/>
      <c r="P305" s="80"/>
      <c r="Q305" s="80"/>
      <c r="R305" s="80"/>
      <c r="S305" s="80"/>
      <c r="T305" s="80"/>
    </row>
    <row r="306" spans="1:20" ht="15.75">
      <c r="A306" s="80"/>
      <c r="B306" s="80"/>
      <c r="C306" s="80"/>
      <c r="D306" s="80"/>
      <c r="E306" s="80"/>
      <c r="F306" s="80"/>
      <c r="G306" s="80"/>
      <c r="H306" s="80"/>
      <c r="I306" s="80"/>
      <c r="J306" s="80"/>
      <c r="K306" s="80"/>
      <c r="L306" s="80"/>
      <c r="M306" s="80"/>
      <c r="N306" s="80"/>
      <c r="O306" s="80"/>
      <c r="P306" s="80"/>
      <c r="Q306" s="80"/>
      <c r="R306" s="80"/>
      <c r="S306" s="80"/>
      <c r="T306" s="80"/>
    </row>
    <row r="307" spans="1:20" ht="15.75">
      <c r="A307" s="80"/>
      <c r="B307" s="80"/>
      <c r="C307" s="80"/>
      <c r="D307" s="80"/>
      <c r="E307" s="80"/>
      <c r="F307" s="80"/>
      <c r="G307" s="80"/>
      <c r="H307" s="80"/>
      <c r="I307" s="80"/>
      <c r="J307" s="80"/>
      <c r="K307" s="80"/>
      <c r="L307" s="80"/>
      <c r="M307" s="80"/>
      <c r="N307" s="80"/>
      <c r="O307" s="80"/>
      <c r="P307" s="80"/>
      <c r="Q307" s="80"/>
      <c r="R307" s="80"/>
      <c r="S307" s="80"/>
      <c r="T307" s="80"/>
    </row>
    <row r="308" spans="1:20" ht="15.75">
      <c r="A308" s="80"/>
      <c r="B308" s="80"/>
      <c r="C308" s="80"/>
      <c r="D308" s="80"/>
      <c r="E308" s="80"/>
      <c r="F308" s="80"/>
      <c r="G308" s="80"/>
      <c r="H308" s="80"/>
      <c r="I308" s="80"/>
      <c r="J308" s="80"/>
      <c r="K308" s="80"/>
      <c r="L308" s="80"/>
      <c r="M308" s="80"/>
      <c r="N308" s="80"/>
      <c r="O308" s="80"/>
      <c r="P308" s="80"/>
      <c r="Q308" s="80"/>
      <c r="R308" s="80"/>
      <c r="S308" s="80"/>
      <c r="T308" s="80"/>
    </row>
    <row r="309" spans="1:20" ht="15.75">
      <c r="A309" s="80"/>
      <c r="B309" s="80"/>
      <c r="C309" s="80"/>
      <c r="D309" s="80"/>
      <c r="E309" s="80"/>
      <c r="F309" s="80"/>
      <c r="G309" s="80"/>
      <c r="H309" s="80"/>
      <c r="I309" s="80"/>
      <c r="J309" s="80"/>
      <c r="K309" s="80"/>
      <c r="L309" s="80"/>
      <c r="M309" s="80"/>
      <c r="N309" s="80"/>
      <c r="O309" s="80"/>
      <c r="P309" s="80"/>
      <c r="Q309" s="80"/>
      <c r="R309" s="80"/>
      <c r="S309" s="80"/>
      <c r="T309" s="80"/>
    </row>
    <row r="310" spans="1:20" ht="15.75">
      <c r="A310" s="80"/>
      <c r="B310" s="80"/>
      <c r="C310" s="80"/>
      <c r="D310" s="80"/>
      <c r="E310" s="80"/>
      <c r="F310" s="80"/>
      <c r="G310" s="80"/>
      <c r="H310" s="80"/>
      <c r="I310" s="80"/>
      <c r="J310" s="80"/>
      <c r="K310" s="80"/>
      <c r="L310" s="80"/>
      <c r="M310" s="80"/>
      <c r="N310" s="80"/>
      <c r="O310" s="80"/>
      <c r="P310" s="80"/>
      <c r="Q310" s="80"/>
      <c r="R310" s="80"/>
      <c r="S310" s="80"/>
      <c r="T310" s="80"/>
    </row>
    <row r="311" spans="1:20" ht="15.75">
      <c r="A311" s="80"/>
      <c r="B311" s="80"/>
      <c r="C311" s="80"/>
      <c r="D311" s="80"/>
      <c r="E311" s="80"/>
      <c r="F311" s="80"/>
      <c r="G311" s="80"/>
      <c r="H311" s="80"/>
      <c r="I311" s="80"/>
      <c r="J311" s="80"/>
      <c r="K311" s="80"/>
      <c r="L311" s="80"/>
      <c r="M311" s="80"/>
      <c r="N311" s="80"/>
      <c r="O311" s="80"/>
      <c r="P311" s="80"/>
      <c r="Q311" s="80"/>
      <c r="R311" s="80"/>
      <c r="S311" s="80"/>
      <c r="T311" s="80"/>
    </row>
    <row r="312" spans="1:20" ht="15.75">
      <c r="A312" s="80"/>
      <c r="B312" s="80"/>
      <c r="C312" s="80"/>
      <c r="D312" s="80"/>
      <c r="E312" s="80"/>
      <c r="F312" s="80"/>
      <c r="G312" s="80"/>
      <c r="H312" s="80"/>
      <c r="I312" s="80"/>
      <c r="J312" s="80"/>
      <c r="K312" s="80"/>
      <c r="L312" s="80"/>
      <c r="M312" s="80"/>
      <c r="N312" s="80"/>
      <c r="O312" s="80"/>
      <c r="P312" s="80"/>
      <c r="Q312" s="80"/>
      <c r="R312" s="80"/>
      <c r="S312" s="80"/>
      <c r="T312" s="80"/>
    </row>
    <row r="313" spans="1:20" ht="15.75">
      <c r="A313" s="80"/>
      <c r="B313" s="80"/>
      <c r="C313" s="80"/>
      <c r="D313" s="80"/>
      <c r="E313" s="80"/>
      <c r="F313" s="80"/>
      <c r="G313" s="80"/>
      <c r="H313" s="80"/>
      <c r="I313" s="80"/>
      <c r="J313" s="80"/>
      <c r="K313" s="80"/>
      <c r="L313" s="80"/>
      <c r="M313" s="80"/>
      <c r="N313" s="80"/>
      <c r="O313" s="80"/>
      <c r="P313" s="80"/>
      <c r="Q313" s="80"/>
      <c r="R313" s="80"/>
      <c r="S313" s="80"/>
      <c r="T313" s="80"/>
    </row>
    <row r="314" spans="1:20" ht="15.75">
      <c r="A314" s="80"/>
      <c r="B314" s="80"/>
      <c r="C314" s="80"/>
      <c r="D314" s="80"/>
      <c r="E314" s="80"/>
      <c r="F314" s="80"/>
      <c r="G314" s="80"/>
      <c r="H314" s="80"/>
      <c r="I314" s="80"/>
      <c r="J314" s="80"/>
      <c r="K314" s="80"/>
      <c r="L314" s="80"/>
      <c r="M314" s="80"/>
      <c r="N314" s="80"/>
      <c r="O314" s="80"/>
      <c r="P314" s="80"/>
      <c r="Q314" s="80"/>
      <c r="R314" s="80"/>
      <c r="S314" s="80"/>
      <c r="T314" s="80"/>
    </row>
    <row r="315" spans="1:20" ht="15.75">
      <c r="A315" s="80"/>
      <c r="B315" s="80"/>
      <c r="C315" s="80"/>
      <c r="D315" s="80"/>
      <c r="E315" s="80"/>
      <c r="F315" s="80"/>
      <c r="G315" s="80"/>
      <c r="H315" s="80"/>
      <c r="I315" s="80"/>
      <c r="J315" s="80"/>
      <c r="K315" s="80"/>
      <c r="L315" s="80"/>
      <c r="M315" s="80"/>
      <c r="N315" s="80"/>
      <c r="O315" s="80"/>
      <c r="P315" s="80"/>
      <c r="Q315" s="80"/>
      <c r="R315" s="80"/>
      <c r="S315" s="80"/>
      <c r="T315" s="80"/>
    </row>
    <row r="316" spans="1:20" ht="15.75">
      <c r="A316" s="80"/>
      <c r="B316" s="80"/>
      <c r="C316" s="80"/>
      <c r="D316" s="80"/>
      <c r="E316" s="80"/>
      <c r="F316" s="80"/>
      <c r="G316" s="80"/>
      <c r="H316" s="80"/>
      <c r="I316" s="80"/>
      <c r="J316" s="80"/>
      <c r="K316" s="80"/>
      <c r="L316" s="80"/>
      <c r="M316" s="80"/>
      <c r="N316" s="80"/>
      <c r="O316" s="80"/>
      <c r="P316" s="80"/>
      <c r="Q316" s="80"/>
      <c r="R316" s="80"/>
      <c r="S316" s="80"/>
      <c r="T316" s="80"/>
    </row>
    <row r="317" spans="1:20" ht="15.75">
      <c r="A317" s="80"/>
      <c r="B317" s="80"/>
      <c r="C317" s="80"/>
      <c r="D317" s="80"/>
      <c r="E317" s="80"/>
      <c r="F317" s="80"/>
      <c r="G317" s="80"/>
      <c r="H317" s="80"/>
      <c r="I317" s="80"/>
      <c r="J317" s="80"/>
      <c r="K317" s="80"/>
      <c r="L317" s="80"/>
      <c r="M317" s="80"/>
      <c r="N317" s="80"/>
      <c r="O317" s="80"/>
      <c r="P317" s="80"/>
      <c r="Q317" s="80"/>
      <c r="R317" s="80"/>
      <c r="S317" s="80"/>
      <c r="T317" s="80"/>
    </row>
    <row r="318" spans="1:20" ht="15.75">
      <c r="A318" s="80"/>
      <c r="B318" s="80"/>
      <c r="C318" s="80"/>
      <c r="D318" s="80"/>
      <c r="E318" s="80"/>
      <c r="F318" s="80"/>
      <c r="G318" s="80"/>
      <c r="H318" s="80"/>
      <c r="I318" s="80"/>
      <c r="J318" s="80"/>
      <c r="K318" s="80"/>
      <c r="L318" s="80"/>
      <c r="M318" s="80"/>
      <c r="N318" s="80"/>
      <c r="O318" s="80"/>
      <c r="P318" s="80"/>
      <c r="Q318" s="80"/>
      <c r="R318" s="80"/>
      <c r="S318" s="80"/>
      <c r="T318" s="80"/>
    </row>
    <row r="319" spans="1:20" ht="15.75">
      <c r="A319" s="80"/>
      <c r="B319" s="80"/>
      <c r="C319" s="80"/>
      <c r="D319" s="80"/>
      <c r="E319" s="80"/>
      <c r="F319" s="80"/>
      <c r="G319" s="80"/>
      <c r="H319" s="80"/>
      <c r="I319" s="80"/>
      <c r="J319" s="80"/>
      <c r="K319" s="80"/>
      <c r="L319" s="80"/>
      <c r="M319" s="80"/>
      <c r="N319" s="80"/>
      <c r="O319" s="80"/>
      <c r="P319" s="80"/>
      <c r="Q319" s="80"/>
      <c r="R319" s="80"/>
      <c r="S319" s="80"/>
      <c r="T319" s="80"/>
    </row>
    <row r="320" spans="1:20" ht="15.75">
      <c r="A320" s="80"/>
      <c r="B320" s="80"/>
      <c r="C320" s="80"/>
      <c r="D320" s="80"/>
      <c r="E320" s="80"/>
      <c r="F320" s="80"/>
      <c r="G320" s="80"/>
      <c r="H320" s="80"/>
      <c r="I320" s="80"/>
      <c r="J320" s="80"/>
      <c r="K320" s="80"/>
      <c r="L320" s="80"/>
      <c r="M320" s="80"/>
      <c r="N320" s="80"/>
      <c r="O320" s="80"/>
      <c r="P320" s="80"/>
      <c r="Q320" s="80"/>
      <c r="R320" s="80"/>
      <c r="S320" s="80"/>
      <c r="T320" s="80"/>
    </row>
    <row r="321" spans="1:20" ht="15.75">
      <c r="A321" s="80"/>
      <c r="B321" s="80"/>
      <c r="C321" s="80"/>
      <c r="D321" s="80"/>
      <c r="E321" s="80"/>
      <c r="F321" s="80"/>
      <c r="G321" s="80"/>
      <c r="H321" s="80"/>
      <c r="I321" s="80"/>
      <c r="J321" s="80"/>
      <c r="K321" s="80"/>
      <c r="L321" s="80"/>
      <c r="M321" s="80"/>
      <c r="N321" s="80"/>
      <c r="O321" s="80"/>
      <c r="P321" s="80"/>
      <c r="Q321" s="80"/>
      <c r="R321" s="80"/>
      <c r="S321" s="80"/>
      <c r="T321" s="80"/>
    </row>
    <row r="322" spans="1:20" ht="15.75">
      <c r="A322" s="80"/>
      <c r="B322" s="80"/>
      <c r="C322" s="80"/>
      <c r="D322" s="80"/>
      <c r="E322" s="80"/>
      <c r="F322" s="80"/>
      <c r="G322" s="80"/>
      <c r="H322" s="80"/>
      <c r="I322" s="80"/>
      <c r="J322" s="80"/>
      <c r="K322" s="80"/>
      <c r="L322" s="80"/>
      <c r="M322" s="80"/>
      <c r="N322" s="80"/>
      <c r="O322" s="80"/>
      <c r="P322" s="80"/>
      <c r="Q322" s="80"/>
      <c r="R322" s="80"/>
      <c r="S322" s="80"/>
      <c r="T322" s="80"/>
    </row>
    <row r="323" spans="1:20" ht="15.75">
      <c r="A323" s="80"/>
      <c r="B323" s="80"/>
      <c r="C323" s="80"/>
      <c r="D323" s="80"/>
      <c r="E323" s="80"/>
      <c r="F323" s="80"/>
      <c r="G323" s="80"/>
      <c r="H323" s="80"/>
      <c r="I323" s="80"/>
      <c r="J323" s="80"/>
      <c r="K323" s="80"/>
      <c r="L323" s="80"/>
      <c r="M323" s="80"/>
      <c r="N323" s="80"/>
      <c r="O323" s="80"/>
      <c r="P323" s="80"/>
      <c r="Q323" s="80"/>
      <c r="R323" s="80"/>
      <c r="S323" s="80"/>
      <c r="T323" s="80"/>
    </row>
    <row r="324" spans="1:20" ht="15.75">
      <c r="A324" s="80"/>
      <c r="B324" s="80"/>
      <c r="C324" s="80"/>
      <c r="D324" s="80"/>
      <c r="E324" s="80"/>
      <c r="F324" s="80"/>
      <c r="G324" s="80"/>
      <c r="H324" s="80"/>
      <c r="I324" s="80"/>
      <c r="J324" s="80"/>
      <c r="K324" s="80"/>
      <c r="L324" s="80"/>
      <c r="M324" s="80"/>
      <c r="N324" s="80"/>
      <c r="O324" s="80"/>
      <c r="P324" s="80"/>
      <c r="Q324" s="80"/>
      <c r="R324" s="80"/>
      <c r="S324" s="80"/>
      <c r="T324" s="80"/>
    </row>
    <row r="325" spans="1:20" ht="15.75">
      <c r="A325" s="80"/>
      <c r="B325" s="80"/>
      <c r="C325" s="80"/>
      <c r="D325" s="80"/>
      <c r="E325" s="80"/>
      <c r="F325" s="80"/>
      <c r="G325" s="80"/>
      <c r="H325" s="80"/>
      <c r="I325" s="80"/>
      <c r="J325" s="80"/>
      <c r="K325" s="80"/>
      <c r="L325" s="80"/>
      <c r="M325" s="80"/>
      <c r="N325" s="80"/>
      <c r="O325" s="80"/>
      <c r="P325" s="80"/>
      <c r="Q325" s="80"/>
      <c r="R325" s="80"/>
      <c r="S325" s="80"/>
      <c r="T325" s="80"/>
    </row>
    <row r="326" spans="1:20" ht="15.75">
      <c r="A326" s="80"/>
      <c r="B326" s="80"/>
      <c r="C326" s="80"/>
      <c r="D326" s="80"/>
      <c r="E326" s="80"/>
      <c r="F326" s="80"/>
      <c r="G326" s="80"/>
      <c r="H326" s="80"/>
      <c r="I326" s="80"/>
      <c r="J326" s="80"/>
      <c r="K326" s="80"/>
      <c r="L326" s="80"/>
      <c r="M326" s="80"/>
      <c r="N326" s="80"/>
      <c r="O326" s="80"/>
      <c r="P326" s="80"/>
      <c r="Q326" s="80"/>
      <c r="R326" s="80"/>
      <c r="S326" s="80"/>
      <c r="T326" s="80"/>
    </row>
    <row r="327" spans="1:20" ht="15.75">
      <c r="A327" s="80"/>
      <c r="B327" s="80"/>
      <c r="C327" s="80"/>
      <c r="D327" s="80"/>
      <c r="E327" s="80"/>
      <c r="F327" s="80"/>
      <c r="G327" s="80"/>
      <c r="H327" s="80"/>
      <c r="I327" s="80"/>
      <c r="J327" s="80"/>
      <c r="K327" s="80"/>
      <c r="L327" s="80"/>
      <c r="M327" s="80"/>
      <c r="N327" s="80"/>
      <c r="O327" s="80"/>
      <c r="P327" s="80"/>
      <c r="Q327" s="80"/>
      <c r="R327" s="80"/>
      <c r="S327" s="80"/>
      <c r="T327" s="80"/>
    </row>
    <row r="328" spans="1:20" ht="15.75">
      <c r="A328" s="80"/>
      <c r="B328" s="80"/>
      <c r="C328" s="80"/>
      <c r="D328" s="80"/>
      <c r="E328" s="80"/>
      <c r="F328" s="80"/>
      <c r="G328" s="80"/>
      <c r="H328" s="80"/>
      <c r="I328" s="80"/>
      <c r="J328" s="80"/>
      <c r="K328" s="80"/>
      <c r="L328" s="80"/>
      <c r="M328" s="80"/>
      <c r="N328" s="80"/>
      <c r="O328" s="80"/>
      <c r="P328" s="80"/>
      <c r="Q328" s="80"/>
      <c r="R328" s="80"/>
      <c r="S328" s="80"/>
      <c r="T328" s="80"/>
    </row>
    <row r="329" spans="1:20" ht="15.75">
      <c r="A329" s="80"/>
      <c r="B329" s="80"/>
      <c r="C329" s="80"/>
      <c r="D329" s="80"/>
      <c r="E329" s="80"/>
      <c r="F329" s="80"/>
      <c r="G329" s="80"/>
      <c r="H329" s="80"/>
      <c r="I329" s="80"/>
      <c r="J329" s="80"/>
      <c r="K329" s="80"/>
      <c r="L329" s="80"/>
      <c r="M329" s="80"/>
      <c r="N329" s="80"/>
      <c r="O329" s="80"/>
      <c r="P329" s="80"/>
      <c r="Q329" s="80"/>
      <c r="R329" s="80"/>
      <c r="S329" s="80"/>
      <c r="T329" s="80"/>
    </row>
    <row r="330" spans="1:20" ht="15.75">
      <c r="A330" s="80"/>
      <c r="B330" s="80"/>
      <c r="C330" s="80"/>
      <c r="D330" s="80"/>
      <c r="E330" s="80"/>
      <c r="F330" s="80"/>
      <c r="G330" s="80"/>
      <c r="H330" s="80"/>
      <c r="I330" s="80"/>
      <c r="J330" s="80"/>
      <c r="K330" s="80"/>
      <c r="L330" s="80"/>
      <c r="M330" s="80"/>
      <c r="N330" s="80"/>
      <c r="O330" s="80"/>
      <c r="P330" s="80"/>
      <c r="Q330" s="80"/>
      <c r="R330" s="80"/>
      <c r="S330" s="80"/>
      <c r="T330" s="80"/>
    </row>
    <row r="331" spans="1:20" ht="15.75">
      <c r="A331" s="80"/>
      <c r="B331" s="80"/>
      <c r="C331" s="80"/>
      <c r="D331" s="80"/>
      <c r="E331" s="80"/>
      <c r="F331" s="80"/>
      <c r="G331" s="80"/>
      <c r="H331" s="80"/>
      <c r="I331" s="80"/>
      <c r="J331" s="80"/>
      <c r="K331" s="80"/>
      <c r="L331" s="80"/>
      <c r="M331" s="80"/>
      <c r="N331" s="80"/>
      <c r="O331" s="80"/>
      <c r="P331" s="80"/>
      <c r="Q331" s="80"/>
      <c r="R331" s="80"/>
      <c r="S331" s="80"/>
      <c r="T331" s="80"/>
    </row>
    <row r="332" spans="1:20" ht="15.75">
      <c r="A332" s="80"/>
      <c r="B332" s="80"/>
      <c r="C332" s="80"/>
      <c r="D332" s="80"/>
      <c r="E332" s="80"/>
      <c r="F332" s="80"/>
      <c r="G332" s="80"/>
      <c r="H332" s="80"/>
      <c r="I332" s="80"/>
      <c r="J332" s="80"/>
      <c r="K332" s="80"/>
      <c r="L332" s="80"/>
      <c r="M332" s="80"/>
      <c r="N332" s="80"/>
      <c r="O332" s="80"/>
      <c r="P332" s="80"/>
      <c r="Q332" s="80"/>
      <c r="R332" s="80"/>
      <c r="S332" s="80"/>
      <c r="T332" s="80"/>
    </row>
    <row r="333" spans="1:20" ht="15.75">
      <c r="A333" s="80"/>
      <c r="B333" s="80"/>
      <c r="C333" s="80"/>
      <c r="D333" s="80"/>
      <c r="E333" s="80"/>
      <c r="F333" s="80"/>
      <c r="G333" s="80"/>
      <c r="H333" s="80"/>
      <c r="I333" s="80"/>
      <c r="J333" s="80"/>
      <c r="K333" s="80"/>
      <c r="L333" s="80"/>
      <c r="M333" s="80"/>
      <c r="N333" s="80"/>
      <c r="O333" s="80"/>
      <c r="P333" s="80"/>
      <c r="Q333" s="80"/>
      <c r="R333" s="80"/>
      <c r="S333" s="80"/>
      <c r="T333" s="80"/>
    </row>
    <row r="334" spans="1:20" ht="15.75">
      <c r="A334" s="80"/>
      <c r="B334" s="80"/>
      <c r="C334" s="80"/>
      <c r="D334" s="80"/>
      <c r="E334" s="80"/>
      <c r="F334" s="80"/>
      <c r="G334" s="80"/>
      <c r="H334" s="80"/>
      <c r="I334" s="80"/>
      <c r="J334" s="80"/>
      <c r="K334" s="80"/>
      <c r="L334" s="80"/>
      <c r="M334" s="80"/>
      <c r="N334" s="80"/>
      <c r="O334" s="80"/>
      <c r="P334" s="80"/>
      <c r="Q334" s="80"/>
      <c r="R334" s="80"/>
      <c r="S334" s="80"/>
      <c r="T334" s="80"/>
    </row>
    <row r="335" spans="1:20" ht="15.75">
      <c r="A335" s="80"/>
      <c r="B335" s="80"/>
      <c r="C335" s="80"/>
      <c r="D335" s="80"/>
      <c r="E335" s="80"/>
      <c r="F335" s="80"/>
      <c r="G335" s="80"/>
      <c r="H335" s="80"/>
      <c r="I335" s="80"/>
      <c r="J335" s="80"/>
      <c r="K335" s="80"/>
      <c r="L335" s="80"/>
      <c r="M335" s="80"/>
      <c r="N335" s="80"/>
      <c r="O335" s="80"/>
      <c r="P335" s="80"/>
      <c r="Q335" s="80"/>
      <c r="R335" s="80"/>
      <c r="S335" s="80"/>
      <c r="T335" s="80"/>
    </row>
    <row r="336" spans="1:20" ht="15.75">
      <c r="A336" s="80"/>
      <c r="B336" s="80"/>
      <c r="C336" s="80"/>
      <c r="D336" s="80"/>
      <c r="E336" s="80"/>
      <c r="F336" s="80"/>
      <c r="G336" s="80"/>
      <c r="H336" s="80"/>
      <c r="I336" s="80"/>
      <c r="J336" s="80"/>
      <c r="K336" s="80"/>
      <c r="L336" s="80"/>
      <c r="M336" s="80"/>
      <c r="N336" s="80"/>
      <c r="O336" s="80"/>
      <c r="P336" s="80"/>
      <c r="Q336" s="80"/>
      <c r="R336" s="80"/>
      <c r="S336" s="80"/>
      <c r="T336" s="80"/>
    </row>
    <row r="337" spans="1:20" ht="15.75">
      <c r="A337" s="80"/>
      <c r="B337" s="80"/>
      <c r="C337" s="80"/>
      <c r="D337" s="80"/>
      <c r="E337" s="80"/>
      <c r="F337" s="80"/>
      <c r="G337" s="80"/>
      <c r="H337" s="80"/>
      <c r="I337" s="80"/>
      <c r="J337" s="80"/>
      <c r="K337" s="80"/>
      <c r="L337" s="80"/>
      <c r="M337" s="80"/>
      <c r="N337" s="80"/>
      <c r="O337" s="80"/>
      <c r="P337" s="80"/>
      <c r="Q337" s="80"/>
      <c r="R337" s="80"/>
      <c r="S337" s="80"/>
      <c r="T337" s="80"/>
    </row>
    <row r="338" spans="1:20" ht="15.75">
      <c r="A338" s="80"/>
      <c r="B338" s="80"/>
      <c r="C338" s="80"/>
      <c r="D338" s="80"/>
      <c r="E338" s="80"/>
      <c r="F338" s="80"/>
      <c r="G338" s="80"/>
      <c r="H338" s="80"/>
      <c r="I338" s="80"/>
      <c r="J338" s="80"/>
      <c r="K338" s="80"/>
      <c r="L338" s="80"/>
      <c r="M338" s="80"/>
      <c r="N338" s="80"/>
      <c r="O338" s="80"/>
      <c r="P338" s="80"/>
      <c r="Q338" s="80"/>
      <c r="R338" s="80"/>
      <c r="S338" s="80"/>
      <c r="T338" s="80"/>
    </row>
    <row r="339" spans="1:20" ht="15.75">
      <c r="A339" s="80"/>
      <c r="B339" s="80"/>
      <c r="C339" s="80"/>
      <c r="D339" s="80"/>
      <c r="E339" s="80"/>
      <c r="F339" s="80"/>
      <c r="G339" s="80"/>
      <c r="H339" s="80"/>
      <c r="I339" s="80"/>
      <c r="J339" s="80"/>
      <c r="K339" s="80"/>
      <c r="L339" s="80"/>
      <c r="M339" s="80"/>
      <c r="N339" s="80"/>
      <c r="O339" s="80"/>
      <c r="P339" s="80"/>
      <c r="Q339" s="80"/>
      <c r="R339" s="80"/>
      <c r="S339" s="80"/>
      <c r="T339" s="80"/>
    </row>
    <row r="340" spans="1:20" ht="15.75">
      <c r="A340" s="80"/>
      <c r="B340" s="80"/>
      <c r="C340" s="80"/>
      <c r="D340" s="80"/>
      <c r="E340" s="80"/>
      <c r="F340" s="80"/>
      <c r="G340" s="80"/>
      <c r="H340" s="80"/>
      <c r="I340" s="80"/>
      <c r="J340" s="80"/>
      <c r="K340" s="80"/>
      <c r="L340" s="80"/>
      <c r="M340" s="80"/>
      <c r="N340" s="80"/>
      <c r="O340" s="80"/>
      <c r="P340" s="80"/>
      <c r="Q340" s="80"/>
      <c r="R340" s="80"/>
      <c r="S340" s="80"/>
      <c r="T340" s="80"/>
    </row>
    <row r="341" spans="1:20" ht="15.75">
      <c r="A341" s="80"/>
      <c r="B341" s="80"/>
      <c r="C341" s="80"/>
      <c r="D341" s="80"/>
      <c r="E341" s="80"/>
      <c r="F341" s="80"/>
      <c r="G341" s="80"/>
      <c r="H341" s="80"/>
      <c r="I341" s="80"/>
      <c r="J341" s="80"/>
      <c r="K341" s="80"/>
      <c r="L341" s="80"/>
      <c r="M341" s="80"/>
      <c r="N341" s="80"/>
      <c r="O341" s="80"/>
      <c r="P341" s="80"/>
      <c r="Q341" s="80"/>
      <c r="R341" s="80"/>
      <c r="S341" s="80"/>
      <c r="T341" s="80"/>
    </row>
    <row r="342" spans="1:20" ht="15.75">
      <c r="A342" s="80"/>
      <c r="B342" s="80"/>
      <c r="C342" s="80"/>
      <c r="D342" s="80"/>
      <c r="E342" s="80"/>
      <c r="F342" s="80"/>
      <c r="G342" s="80"/>
      <c r="H342" s="80"/>
      <c r="I342" s="80"/>
      <c r="J342" s="80"/>
      <c r="K342" s="80"/>
      <c r="L342" s="80"/>
      <c r="M342" s="80"/>
      <c r="N342" s="80"/>
      <c r="O342" s="80"/>
      <c r="P342" s="80"/>
      <c r="Q342" s="80"/>
      <c r="R342" s="80"/>
      <c r="S342" s="80"/>
      <c r="T342" s="80"/>
    </row>
    <row r="343" spans="1:20" ht="15.75">
      <c r="A343" s="80"/>
      <c r="B343" s="80"/>
      <c r="C343" s="80"/>
      <c r="D343" s="80"/>
      <c r="E343" s="80"/>
      <c r="F343" s="80"/>
      <c r="G343" s="80"/>
      <c r="H343" s="80"/>
      <c r="I343" s="80"/>
      <c r="J343" s="80"/>
      <c r="K343" s="80"/>
      <c r="L343" s="80"/>
      <c r="M343" s="80"/>
      <c r="N343" s="80"/>
      <c r="O343" s="80"/>
      <c r="P343" s="80"/>
      <c r="Q343" s="80"/>
      <c r="R343" s="80"/>
      <c r="S343" s="80"/>
      <c r="T343" s="80"/>
    </row>
    <row r="344" spans="1:20" ht="15.75">
      <c r="A344" s="80"/>
      <c r="B344" s="80"/>
      <c r="C344" s="80"/>
      <c r="D344" s="80"/>
      <c r="E344" s="80"/>
      <c r="F344" s="80"/>
      <c r="G344" s="80"/>
      <c r="H344" s="80"/>
      <c r="I344" s="80"/>
      <c r="J344" s="80"/>
      <c r="K344" s="80"/>
      <c r="L344" s="80"/>
      <c r="M344" s="80"/>
      <c r="N344" s="80"/>
      <c r="O344" s="80"/>
      <c r="P344" s="80"/>
      <c r="Q344" s="80"/>
      <c r="R344" s="80"/>
      <c r="S344" s="80"/>
      <c r="T344" s="80"/>
    </row>
    <row r="345" spans="1:20" ht="15.75">
      <c r="A345" s="80"/>
      <c r="B345" s="80"/>
      <c r="C345" s="80"/>
      <c r="D345" s="80"/>
      <c r="E345" s="80"/>
      <c r="F345" s="80"/>
      <c r="G345" s="80"/>
      <c r="H345" s="80"/>
      <c r="I345" s="80"/>
      <c r="J345" s="80"/>
      <c r="K345" s="80"/>
      <c r="L345" s="80"/>
      <c r="M345" s="80"/>
      <c r="N345" s="80"/>
      <c r="O345" s="80"/>
      <c r="P345" s="80"/>
      <c r="Q345" s="80"/>
      <c r="R345" s="80"/>
      <c r="S345" s="80"/>
      <c r="T345" s="80"/>
    </row>
    <row r="346" spans="1:20" ht="15.75">
      <c r="A346" s="80"/>
      <c r="B346" s="80"/>
      <c r="C346" s="80"/>
      <c r="D346" s="80"/>
      <c r="E346" s="80"/>
      <c r="F346" s="80"/>
      <c r="G346" s="80"/>
      <c r="H346" s="80"/>
      <c r="I346" s="80"/>
      <c r="J346" s="80"/>
      <c r="K346" s="80"/>
      <c r="L346" s="80"/>
      <c r="M346" s="80"/>
      <c r="N346" s="80"/>
      <c r="O346" s="80"/>
      <c r="P346" s="80"/>
      <c r="Q346" s="80"/>
      <c r="R346" s="80"/>
      <c r="S346" s="80"/>
      <c r="T346" s="80"/>
    </row>
    <row r="347" spans="1:20" ht="15.75">
      <c r="A347" s="80"/>
      <c r="B347" s="80"/>
      <c r="C347" s="80"/>
      <c r="D347" s="80"/>
      <c r="E347" s="80"/>
      <c r="F347" s="80"/>
      <c r="G347" s="80"/>
      <c r="H347" s="80"/>
      <c r="I347" s="80"/>
      <c r="J347" s="80"/>
      <c r="K347" s="80"/>
      <c r="L347" s="80"/>
      <c r="M347" s="80"/>
      <c r="N347" s="80"/>
      <c r="O347" s="80"/>
      <c r="P347" s="80"/>
      <c r="Q347" s="80"/>
      <c r="R347" s="80"/>
      <c r="S347" s="80"/>
      <c r="T347" s="80"/>
    </row>
    <row r="348" spans="1:20" ht="15.75">
      <c r="A348" s="80"/>
      <c r="B348" s="80"/>
      <c r="C348" s="80"/>
      <c r="D348" s="80"/>
      <c r="E348" s="80"/>
      <c r="F348" s="80"/>
      <c r="G348" s="80"/>
      <c r="H348" s="80"/>
      <c r="I348" s="80"/>
      <c r="J348" s="80"/>
      <c r="K348" s="80"/>
      <c r="L348" s="80"/>
      <c r="M348" s="80"/>
      <c r="N348" s="80"/>
      <c r="O348" s="80"/>
      <c r="P348" s="80"/>
      <c r="Q348" s="80"/>
      <c r="R348" s="80"/>
      <c r="S348" s="80"/>
      <c r="T348" s="80"/>
    </row>
    <row r="349" spans="1:20" ht="15.75">
      <c r="A349" s="80"/>
      <c r="B349" s="80"/>
      <c r="C349" s="80"/>
      <c r="D349" s="80"/>
      <c r="E349" s="80"/>
      <c r="F349" s="80"/>
      <c r="G349" s="80"/>
      <c r="H349" s="80"/>
      <c r="I349" s="80"/>
      <c r="J349" s="80"/>
      <c r="K349" s="80"/>
      <c r="L349" s="80"/>
      <c r="M349" s="80"/>
      <c r="N349" s="80"/>
      <c r="O349" s="80"/>
      <c r="P349" s="80"/>
      <c r="Q349" s="80"/>
      <c r="R349" s="80"/>
      <c r="S349" s="80"/>
      <c r="T349" s="80"/>
    </row>
    <row r="350" spans="1:20" ht="15.75">
      <c r="A350" s="80"/>
      <c r="B350" s="80"/>
      <c r="C350" s="80"/>
      <c r="D350" s="80"/>
      <c r="E350" s="80"/>
      <c r="F350" s="80"/>
      <c r="G350" s="80"/>
      <c r="H350" s="80"/>
      <c r="I350" s="80"/>
      <c r="J350" s="80"/>
      <c r="K350" s="80"/>
      <c r="L350" s="80"/>
      <c r="M350" s="80"/>
      <c r="N350" s="80"/>
      <c r="O350" s="80"/>
      <c r="P350" s="80"/>
      <c r="Q350" s="80"/>
      <c r="R350" s="80"/>
      <c r="S350" s="80"/>
      <c r="T350" s="80"/>
    </row>
    <row r="351" spans="1:20" ht="15.75">
      <c r="A351" s="80"/>
      <c r="B351" s="80"/>
      <c r="C351" s="80"/>
      <c r="D351" s="80"/>
      <c r="E351" s="80"/>
      <c r="F351" s="80"/>
      <c r="G351" s="80"/>
      <c r="H351" s="80"/>
      <c r="I351" s="80"/>
      <c r="J351" s="80"/>
      <c r="K351" s="80"/>
      <c r="L351" s="80"/>
      <c r="M351" s="80"/>
      <c r="N351" s="80"/>
      <c r="O351" s="80"/>
      <c r="P351" s="80"/>
      <c r="Q351" s="80"/>
      <c r="R351" s="80"/>
      <c r="S351" s="80"/>
      <c r="T351" s="80"/>
    </row>
    <row r="352" spans="1:20" ht="15.75">
      <c r="A352" s="80"/>
      <c r="B352" s="80"/>
      <c r="C352" s="80"/>
      <c r="D352" s="80"/>
      <c r="E352" s="80"/>
      <c r="F352" s="80"/>
      <c r="G352" s="80"/>
      <c r="H352" s="80"/>
      <c r="I352" s="80"/>
      <c r="J352" s="80"/>
      <c r="K352" s="80"/>
      <c r="L352" s="80"/>
      <c r="M352" s="80"/>
      <c r="N352" s="80"/>
      <c r="O352" s="80"/>
      <c r="P352" s="80"/>
      <c r="Q352" s="80"/>
      <c r="R352" s="80"/>
      <c r="S352" s="80"/>
      <c r="T352" s="80"/>
    </row>
    <row r="353" spans="1:20" ht="15.75">
      <c r="A353" s="80"/>
      <c r="B353" s="80"/>
      <c r="C353" s="80"/>
      <c r="D353" s="80"/>
      <c r="E353" s="80"/>
      <c r="F353" s="80"/>
      <c r="G353" s="80"/>
      <c r="H353" s="80"/>
      <c r="I353" s="80"/>
      <c r="J353" s="80"/>
      <c r="K353" s="80"/>
      <c r="L353" s="80"/>
      <c r="M353" s="80"/>
      <c r="N353" s="80"/>
      <c r="O353" s="80"/>
      <c r="P353" s="80"/>
      <c r="Q353" s="80"/>
      <c r="R353" s="80"/>
      <c r="S353" s="80"/>
      <c r="T353" s="80"/>
    </row>
    <row r="354" spans="1:20" ht="15.75">
      <c r="A354" s="80"/>
      <c r="B354" s="80"/>
      <c r="C354" s="80"/>
      <c r="D354" s="80"/>
      <c r="E354" s="80"/>
      <c r="F354" s="80"/>
      <c r="G354" s="80"/>
      <c r="H354" s="80"/>
      <c r="I354" s="80"/>
      <c r="J354" s="80"/>
      <c r="K354" s="80"/>
      <c r="L354" s="80"/>
      <c r="M354" s="80"/>
      <c r="N354" s="80"/>
      <c r="O354" s="80"/>
      <c r="P354" s="80"/>
      <c r="Q354" s="80"/>
      <c r="R354" s="80"/>
      <c r="S354" s="80"/>
      <c r="T354" s="80"/>
    </row>
    <row r="355" spans="1:20" ht="15.75">
      <c r="A355" s="80"/>
      <c r="B355" s="80"/>
      <c r="C355" s="80"/>
      <c r="D355" s="80"/>
      <c r="E355" s="80"/>
      <c r="F355" s="80"/>
      <c r="G355" s="80"/>
      <c r="H355" s="80"/>
      <c r="I355" s="80"/>
      <c r="J355" s="80"/>
      <c r="K355" s="80"/>
      <c r="L355" s="80"/>
      <c r="M355" s="80"/>
      <c r="N355" s="80"/>
      <c r="O355" s="80"/>
      <c r="P355" s="80"/>
      <c r="Q355" s="80"/>
      <c r="R355" s="80"/>
      <c r="S355" s="80"/>
      <c r="T355" s="80"/>
    </row>
    <row r="356" spans="1:20" ht="15.75">
      <c r="A356" s="80"/>
      <c r="B356" s="80"/>
      <c r="C356" s="80"/>
      <c r="D356" s="80"/>
      <c r="E356" s="80"/>
      <c r="F356" s="80"/>
      <c r="G356" s="80"/>
      <c r="H356" s="80"/>
      <c r="I356" s="80"/>
      <c r="J356" s="80"/>
      <c r="K356" s="80"/>
      <c r="L356" s="80"/>
      <c r="M356" s="80"/>
      <c r="N356" s="80"/>
      <c r="O356" s="80"/>
      <c r="P356" s="80"/>
      <c r="Q356" s="80"/>
      <c r="R356" s="80"/>
      <c r="S356" s="80"/>
      <c r="T356" s="80"/>
    </row>
    <row r="357" spans="1:20" ht="15.75">
      <c r="A357" s="80"/>
      <c r="B357" s="80"/>
      <c r="C357" s="80"/>
      <c r="D357" s="80"/>
      <c r="E357" s="80"/>
      <c r="F357" s="80"/>
      <c r="G357" s="80"/>
      <c r="H357" s="80"/>
      <c r="I357" s="80"/>
      <c r="J357" s="80"/>
      <c r="K357" s="80"/>
      <c r="L357" s="80"/>
      <c r="M357" s="80"/>
      <c r="N357" s="80"/>
      <c r="O357" s="80"/>
      <c r="P357" s="80"/>
      <c r="Q357" s="80"/>
      <c r="R357" s="80"/>
      <c r="S357" s="80"/>
      <c r="T357" s="80"/>
    </row>
    <row r="358" spans="1:20" ht="15.75">
      <c r="A358" s="80"/>
      <c r="B358" s="80"/>
      <c r="C358" s="80"/>
      <c r="D358" s="80"/>
      <c r="E358" s="80"/>
      <c r="F358" s="80"/>
      <c r="G358" s="80"/>
      <c r="H358" s="80"/>
      <c r="I358" s="80"/>
      <c r="J358" s="80"/>
      <c r="K358" s="80"/>
      <c r="L358" s="80"/>
      <c r="M358" s="80"/>
      <c r="N358" s="80"/>
      <c r="O358" s="80"/>
      <c r="P358" s="80"/>
      <c r="Q358" s="80"/>
      <c r="R358" s="80"/>
      <c r="S358" s="80"/>
      <c r="T358" s="80"/>
    </row>
    <row r="359" spans="1:20" ht="15.75">
      <c r="A359" s="80"/>
      <c r="B359" s="80"/>
      <c r="C359" s="80"/>
      <c r="D359" s="80"/>
      <c r="E359" s="80"/>
      <c r="F359" s="80"/>
      <c r="G359" s="80"/>
      <c r="H359" s="80"/>
      <c r="I359" s="80"/>
      <c r="J359" s="80"/>
      <c r="K359" s="80"/>
      <c r="L359" s="80"/>
      <c r="M359" s="80"/>
      <c r="N359" s="80"/>
      <c r="O359" s="80"/>
      <c r="P359" s="80"/>
      <c r="Q359" s="80"/>
      <c r="R359" s="80"/>
      <c r="S359" s="80"/>
      <c r="T359" s="80"/>
    </row>
    <row r="360" spans="1:20" ht="15.75">
      <c r="A360" s="80"/>
      <c r="B360" s="80"/>
      <c r="C360" s="80"/>
      <c r="D360" s="80"/>
      <c r="E360" s="80"/>
      <c r="F360" s="80"/>
      <c r="G360" s="80"/>
      <c r="H360" s="80"/>
      <c r="I360" s="80"/>
      <c r="J360" s="80"/>
      <c r="K360" s="80"/>
      <c r="L360" s="80"/>
      <c r="M360" s="80"/>
      <c r="N360" s="80"/>
      <c r="O360" s="80"/>
      <c r="P360" s="80"/>
      <c r="Q360" s="80"/>
      <c r="R360" s="80"/>
      <c r="S360" s="80"/>
      <c r="T360" s="80"/>
    </row>
    <row r="361" spans="1:20" ht="15.75">
      <c r="A361" s="80"/>
      <c r="B361" s="80"/>
      <c r="C361" s="80"/>
      <c r="D361" s="80"/>
      <c r="E361" s="80"/>
      <c r="F361" s="80"/>
      <c r="G361" s="80"/>
      <c r="H361" s="80"/>
      <c r="I361" s="80"/>
      <c r="J361" s="80"/>
      <c r="K361" s="80"/>
      <c r="L361" s="80"/>
      <c r="M361" s="80"/>
      <c r="N361" s="80"/>
      <c r="O361" s="80"/>
      <c r="P361" s="80"/>
      <c r="Q361" s="80"/>
      <c r="R361" s="80"/>
      <c r="S361" s="80"/>
      <c r="T361" s="80"/>
    </row>
    <row r="362" spans="1:20" ht="15.75">
      <c r="A362" s="80"/>
      <c r="B362" s="80"/>
      <c r="C362" s="80"/>
      <c r="D362" s="80"/>
      <c r="E362" s="80"/>
      <c r="F362" s="80"/>
      <c r="G362" s="80"/>
      <c r="H362" s="80"/>
      <c r="I362" s="80"/>
      <c r="J362" s="80"/>
      <c r="K362" s="80"/>
      <c r="L362" s="80"/>
      <c r="M362" s="80"/>
      <c r="N362" s="80"/>
      <c r="O362" s="80"/>
      <c r="P362" s="80"/>
      <c r="Q362" s="80"/>
      <c r="R362" s="80"/>
      <c r="S362" s="80"/>
      <c r="T362" s="80"/>
    </row>
    <row r="363" spans="1:20" ht="15.75">
      <c r="A363" s="80"/>
      <c r="B363" s="80"/>
      <c r="C363" s="80"/>
      <c r="D363" s="80"/>
      <c r="E363" s="80"/>
      <c r="F363" s="80"/>
      <c r="G363" s="80"/>
      <c r="H363" s="80"/>
      <c r="I363" s="80"/>
      <c r="J363" s="80"/>
      <c r="K363" s="80"/>
      <c r="L363" s="80"/>
      <c r="M363" s="80"/>
      <c r="N363" s="80"/>
      <c r="O363" s="80"/>
      <c r="P363" s="80"/>
      <c r="Q363" s="80"/>
      <c r="R363" s="80"/>
      <c r="S363" s="80"/>
      <c r="T363" s="80"/>
    </row>
    <row r="364" spans="1:20" ht="15.75">
      <c r="A364" s="80"/>
      <c r="B364" s="80"/>
      <c r="C364" s="80"/>
      <c r="D364" s="80"/>
      <c r="E364" s="80"/>
      <c r="F364" s="80"/>
      <c r="G364" s="80"/>
      <c r="H364" s="80"/>
      <c r="I364" s="80"/>
      <c r="J364" s="80"/>
      <c r="K364" s="80"/>
      <c r="L364" s="80"/>
      <c r="M364" s="80"/>
      <c r="N364" s="80"/>
      <c r="O364" s="80"/>
      <c r="P364" s="80"/>
      <c r="Q364" s="80"/>
      <c r="R364" s="80"/>
      <c r="S364" s="80"/>
      <c r="T364" s="80"/>
    </row>
    <row r="365" spans="1:20" ht="15.75">
      <c r="A365" s="80"/>
      <c r="B365" s="80"/>
      <c r="C365" s="80"/>
      <c r="D365" s="80"/>
      <c r="E365" s="80"/>
      <c r="F365" s="80"/>
      <c r="G365" s="80"/>
      <c r="H365" s="80"/>
      <c r="I365" s="80"/>
      <c r="J365" s="80"/>
      <c r="K365" s="80"/>
      <c r="L365" s="80"/>
      <c r="M365" s="80"/>
      <c r="N365" s="80"/>
      <c r="O365" s="80"/>
      <c r="P365" s="80"/>
      <c r="Q365" s="80"/>
      <c r="R365" s="80"/>
      <c r="S365" s="80"/>
      <c r="T365" s="80"/>
    </row>
    <row r="366" spans="1:20" ht="15.75">
      <c r="A366" s="80"/>
      <c r="B366" s="80"/>
      <c r="C366" s="80"/>
      <c r="D366" s="80"/>
      <c r="E366" s="80"/>
      <c r="F366" s="80"/>
      <c r="G366" s="80"/>
      <c r="H366" s="80"/>
      <c r="I366" s="80"/>
      <c r="J366" s="80"/>
      <c r="K366" s="80"/>
      <c r="L366" s="80"/>
      <c r="M366" s="80"/>
      <c r="N366" s="80"/>
      <c r="O366" s="80"/>
      <c r="P366" s="80"/>
      <c r="Q366" s="80"/>
      <c r="R366" s="80"/>
      <c r="S366" s="80"/>
      <c r="T366" s="80"/>
    </row>
    <row r="367" spans="1:20" ht="15.75">
      <c r="A367" s="80"/>
      <c r="B367" s="80"/>
      <c r="C367" s="80"/>
      <c r="D367" s="80"/>
      <c r="E367" s="80"/>
      <c r="F367" s="80"/>
      <c r="G367" s="80"/>
      <c r="H367" s="80"/>
      <c r="I367" s="80"/>
      <c r="J367" s="80"/>
      <c r="K367" s="80"/>
      <c r="L367" s="80"/>
      <c r="M367" s="80"/>
      <c r="N367" s="80"/>
      <c r="O367" s="80"/>
      <c r="P367" s="80"/>
      <c r="Q367" s="80"/>
      <c r="R367" s="80"/>
      <c r="S367" s="80"/>
      <c r="T367" s="80"/>
    </row>
    <row r="368" spans="1:20" ht="15.75">
      <c r="A368" s="80"/>
      <c r="B368" s="80"/>
      <c r="C368" s="80"/>
      <c r="D368" s="80"/>
      <c r="E368" s="80"/>
      <c r="F368" s="80"/>
      <c r="G368" s="80"/>
      <c r="H368" s="80"/>
      <c r="I368" s="80"/>
      <c r="J368" s="80"/>
      <c r="K368" s="80"/>
      <c r="L368" s="80"/>
      <c r="M368" s="80"/>
      <c r="N368" s="80"/>
      <c r="O368" s="80"/>
      <c r="P368" s="80"/>
      <c r="Q368" s="80"/>
      <c r="R368" s="80"/>
      <c r="S368" s="80"/>
      <c r="T368" s="80"/>
    </row>
    <row r="369" spans="1:20" ht="15.75">
      <c r="A369" s="80"/>
      <c r="B369" s="80"/>
      <c r="C369" s="80"/>
      <c r="D369" s="80"/>
      <c r="E369" s="80"/>
      <c r="F369" s="80"/>
      <c r="G369" s="80"/>
      <c r="H369" s="80"/>
      <c r="I369" s="80"/>
      <c r="J369" s="80"/>
      <c r="K369" s="80"/>
      <c r="L369" s="80"/>
      <c r="M369" s="80"/>
      <c r="N369" s="80"/>
      <c r="O369" s="80"/>
      <c r="P369" s="80"/>
      <c r="Q369" s="80"/>
      <c r="R369" s="80"/>
      <c r="S369" s="80"/>
      <c r="T369" s="80"/>
    </row>
    <row r="370" spans="1:20" ht="15.75">
      <c r="A370" s="80"/>
      <c r="B370" s="80"/>
      <c r="C370" s="80"/>
      <c r="D370" s="80"/>
      <c r="E370" s="80"/>
      <c r="F370" s="80"/>
      <c r="G370" s="80"/>
      <c r="H370" s="80"/>
      <c r="I370" s="80"/>
      <c r="J370" s="80"/>
      <c r="K370" s="80"/>
      <c r="L370" s="80"/>
      <c r="M370" s="80"/>
      <c r="N370" s="80"/>
      <c r="O370" s="80"/>
      <c r="P370" s="80"/>
      <c r="Q370" s="80"/>
      <c r="R370" s="80"/>
      <c r="S370" s="80"/>
      <c r="T370" s="80"/>
    </row>
    <row r="371" spans="1:20" ht="15.75">
      <c r="A371" s="80"/>
      <c r="B371" s="80"/>
      <c r="C371" s="80"/>
      <c r="D371" s="80"/>
      <c r="E371" s="80"/>
      <c r="F371" s="80"/>
      <c r="G371" s="80"/>
      <c r="H371" s="80"/>
      <c r="I371" s="80"/>
      <c r="J371" s="80"/>
      <c r="K371" s="80"/>
      <c r="L371" s="80"/>
      <c r="M371" s="80"/>
      <c r="N371" s="80"/>
      <c r="O371" s="80"/>
      <c r="P371" s="80"/>
      <c r="Q371" s="80"/>
      <c r="R371" s="80"/>
      <c r="S371" s="80"/>
      <c r="T371" s="80"/>
    </row>
    <row r="372" spans="1:20" ht="15.75">
      <c r="A372" s="80"/>
      <c r="B372" s="80"/>
      <c r="C372" s="80"/>
      <c r="D372" s="80"/>
      <c r="E372" s="80"/>
      <c r="F372" s="80"/>
      <c r="G372" s="80"/>
      <c r="H372" s="80"/>
      <c r="I372" s="80"/>
      <c r="J372" s="80"/>
      <c r="K372" s="80"/>
      <c r="L372" s="80"/>
      <c r="M372" s="80"/>
      <c r="N372" s="80"/>
      <c r="O372" s="80"/>
      <c r="P372" s="80"/>
      <c r="Q372" s="80"/>
      <c r="R372" s="80"/>
      <c r="S372" s="80"/>
      <c r="T372" s="80"/>
    </row>
    <row r="373" spans="1:20" ht="15.75">
      <c r="A373" s="80"/>
      <c r="B373" s="80"/>
      <c r="C373" s="80"/>
      <c r="D373" s="80"/>
      <c r="E373" s="80"/>
      <c r="F373" s="80"/>
      <c r="G373" s="80"/>
      <c r="H373" s="80"/>
      <c r="I373" s="80"/>
      <c r="J373" s="80"/>
      <c r="K373" s="80"/>
      <c r="L373" s="80"/>
      <c r="M373" s="80"/>
      <c r="N373" s="80"/>
      <c r="O373" s="80"/>
      <c r="P373" s="80"/>
      <c r="Q373" s="80"/>
      <c r="R373" s="80"/>
      <c r="S373" s="80"/>
      <c r="T373" s="80"/>
    </row>
    <row r="374" spans="1:20" ht="15.75">
      <c r="A374" s="80"/>
      <c r="B374" s="80"/>
      <c r="C374" s="80"/>
      <c r="D374" s="80"/>
      <c r="E374" s="80"/>
      <c r="F374" s="80"/>
      <c r="G374" s="80"/>
      <c r="H374" s="80"/>
      <c r="I374" s="80"/>
      <c r="J374" s="80"/>
      <c r="K374" s="80"/>
      <c r="L374" s="80"/>
      <c r="M374" s="80"/>
      <c r="N374" s="80"/>
      <c r="O374" s="80"/>
      <c r="P374" s="80"/>
      <c r="Q374" s="80"/>
      <c r="R374" s="80"/>
      <c r="S374" s="80"/>
      <c r="T374" s="80"/>
    </row>
    <row r="375" spans="1:20" ht="15.75">
      <c r="A375" s="80"/>
      <c r="B375" s="80"/>
      <c r="C375" s="80"/>
      <c r="D375" s="80"/>
      <c r="E375" s="80"/>
      <c r="F375" s="80"/>
      <c r="G375" s="80"/>
      <c r="H375" s="80"/>
      <c r="I375" s="80"/>
      <c r="J375" s="80"/>
      <c r="K375" s="80"/>
      <c r="L375" s="80"/>
      <c r="M375" s="80"/>
      <c r="N375" s="80"/>
      <c r="O375" s="80"/>
      <c r="P375" s="80"/>
      <c r="Q375" s="80"/>
      <c r="R375" s="80"/>
      <c r="S375" s="80"/>
      <c r="T375" s="80"/>
    </row>
    <row r="376" spans="1:20" ht="15.75">
      <c r="A376" s="80"/>
      <c r="B376" s="80"/>
      <c r="C376" s="80"/>
      <c r="D376" s="80"/>
      <c r="E376" s="80"/>
      <c r="F376" s="80"/>
      <c r="G376" s="80"/>
      <c r="H376" s="80"/>
      <c r="I376" s="80"/>
      <c r="J376" s="80"/>
      <c r="K376" s="80"/>
      <c r="L376" s="80"/>
      <c r="M376" s="80"/>
      <c r="N376" s="80"/>
      <c r="O376" s="80"/>
      <c r="P376" s="80"/>
      <c r="Q376" s="80"/>
      <c r="R376" s="80"/>
      <c r="S376" s="80"/>
      <c r="T376" s="80"/>
    </row>
    <row r="377" spans="1:20" ht="15.75">
      <c r="A377" s="80"/>
      <c r="B377" s="80"/>
      <c r="C377" s="80"/>
      <c r="D377" s="80"/>
      <c r="E377" s="80"/>
      <c r="F377" s="80"/>
      <c r="G377" s="80"/>
      <c r="H377" s="80"/>
      <c r="I377" s="80"/>
      <c r="J377" s="80"/>
      <c r="K377" s="80"/>
      <c r="L377" s="80"/>
      <c r="M377" s="80"/>
      <c r="N377" s="80"/>
      <c r="O377" s="80"/>
      <c r="P377" s="80"/>
      <c r="Q377" s="80"/>
      <c r="R377" s="80"/>
      <c r="S377" s="80"/>
      <c r="T377" s="80"/>
    </row>
    <row r="378" spans="1:20" ht="15.75">
      <c r="A378" s="80"/>
      <c r="B378" s="80"/>
      <c r="C378" s="80"/>
      <c r="D378" s="80"/>
      <c r="E378" s="80"/>
      <c r="F378" s="80"/>
      <c r="G378" s="80"/>
      <c r="H378" s="80"/>
      <c r="I378" s="80"/>
      <c r="J378" s="80"/>
      <c r="K378" s="80"/>
      <c r="L378" s="80"/>
      <c r="M378" s="80"/>
      <c r="N378" s="80"/>
      <c r="O378" s="80"/>
      <c r="P378" s="80"/>
      <c r="Q378" s="80"/>
      <c r="R378" s="80"/>
      <c r="S378" s="80"/>
      <c r="T378" s="80"/>
    </row>
    <row r="379" spans="1:20" ht="15.75">
      <c r="A379" s="80"/>
      <c r="B379" s="80"/>
      <c r="C379" s="80"/>
      <c r="D379" s="80"/>
      <c r="E379" s="80"/>
      <c r="F379" s="80"/>
      <c r="G379" s="80"/>
      <c r="H379" s="80"/>
      <c r="I379" s="80"/>
      <c r="J379" s="80"/>
      <c r="K379" s="80"/>
      <c r="L379" s="80"/>
      <c r="M379" s="80"/>
      <c r="N379" s="80"/>
      <c r="O379" s="80"/>
      <c r="P379" s="80"/>
      <c r="Q379" s="80"/>
      <c r="R379" s="80"/>
      <c r="S379" s="80"/>
      <c r="T379" s="80"/>
    </row>
    <row r="380" spans="1:20" ht="15.75">
      <c r="A380" s="80"/>
      <c r="B380" s="80"/>
      <c r="C380" s="80"/>
      <c r="D380" s="80"/>
      <c r="E380" s="80"/>
      <c r="F380" s="80"/>
      <c r="G380" s="80"/>
      <c r="H380" s="80"/>
      <c r="I380" s="80"/>
      <c r="J380" s="80"/>
      <c r="K380" s="80"/>
      <c r="L380" s="80"/>
      <c r="M380" s="80"/>
      <c r="N380" s="80"/>
      <c r="O380" s="80"/>
      <c r="P380" s="80"/>
      <c r="Q380" s="80"/>
      <c r="R380" s="80"/>
      <c r="S380" s="80"/>
      <c r="T380" s="80"/>
    </row>
    <row r="381" spans="1:20" ht="15.75">
      <c r="A381" s="80"/>
      <c r="B381" s="80"/>
      <c r="C381" s="80"/>
      <c r="D381" s="80"/>
      <c r="E381" s="80"/>
      <c r="F381" s="80"/>
      <c r="G381" s="80"/>
      <c r="H381" s="80"/>
      <c r="I381" s="80"/>
      <c r="J381" s="80"/>
      <c r="K381" s="80"/>
      <c r="L381" s="80"/>
      <c r="M381" s="80"/>
      <c r="N381" s="80"/>
      <c r="O381" s="80"/>
      <c r="P381" s="80"/>
      <c r="Q381" s="80"/>
      <c r="R381" s="80"/>
      <c r="S381" s="80"/>
      <c r="T381" s="80"/>
    </row>
    <row r="382" spans="1:20" ht="15.75">
      <c r="A382" s="80"/>
      <c r="B382" s="80"/>
      <c r="C382" s="80"/>
      <c r="D382" s="80"/>
      <c r="E382" s="80"/>
      <c r="F382" s="80"/>
      <c r="G382" s="80"/>
      <c r="H382" s="80"/>
      <c r="I382" s="80"/>
      <c r="J382" s="80"/>
      <c r="K382" s="80"/>
      <c r="L382" s="80"/>
      <c r="M382" s="80"/>
      <c r="N382" s="80"/>
      <c r="O382" s="80"/>
      <c r="P382" s="80"/>
      <c r="Q382" s="80"/>
      <c r="R382" s="80"/>
      <c r="S382" s="80"/>
      <c r="T382" s="80"/>
    </row>
    <row r="383" spans="1:20" ht="15.75">
      <c r="A383" s="80"/>
      <c r="B383" s="80"/>
      <c r="C383" s="80"/>
      <c r="D383" s="80"/>
      <c r="E383" s="80"/>
      <c r="F383" s="80"/>
      <c r="G383" s="80"/>
      <c r="H383" s="80"/>
      <c r="I383" s="80"/>
      <c r="J383" s="80"/>
      <c r="K383" s="80"/>
      <c r="L383" s="80"/>
      <c r="M383" s="80"/>
      <c r="N383" s="80"/>
      <c r="O383" s="80"/>
      <c r="P383" s="80"/>
      <c r="Q383" s="80"/>
      <c r="R383" s="80"/>
      <c r="S383" s="80"/>
      <c r="T383" s="80"/>
    </row>
    <row r="384" spans="1:20" ht="15.75">
      <c r="A384" s="80"/>
      <c r="B384" s="80"/>
      <c r="C384" s="80"/>
      <c r="D384" s="80"/>
      <c r="E384" s="80"/>
      <c r="F384" s="80"/>
      <c r="G384" s="80"/>
      <c r="H384" s="80"/>
      <c r="I384" s="80"/>
      <c r="J384" s="80"/>
      <c r="K384" s="80"/>
      <c r="L384" s="80"/>
      <c r="M384" s="80"/>
      <c r="N384" s="80"/>
      <c r="O384" s="80"/>
      <c r="P384" s="80"/>
      <c r="Q384" s="80"/>
      <c r="R384" s="80"/>
      <c r="S384" s="80"/>
      <c r="T384" s="80"/>
    </row>
    <row r="385" spans="1:20" ht="15.75">
      <c r="A385" s="80"/>
      <c r="B385" s="80"/>
      <c r="C385" s="80"/>
      <c r="D385" s="80"/>
      <c r="E385" s="80"/>
      <c r="F385" s="80"/>
      <c r="G385" s="80"/>
      <c r="H385" s="80"/>
      <c r="I385" s="80"/>
      <c r="J385" s="80"/>
      <c r="K385" s="80"/>
      <c r="L385" s="80"/>
      <c r="M385" s="80"/>
      <c r="N385" s="80"/>
      <c r="O385" s="80"/>
      <c r="P385" s="80"/>
      <c r="Q385" s="80"/>
      <c r="R385" s="80"/>
      <c r="S385" s="80"/>
      <c r="T385" s="80"/>
    </row>
    <row r="386" spans="1:20" ht="15.75">
      <c r="A386" s="80"/>
      <c r="B386" s="80"/>
      <c r="C386" s="80"/>
      <c r="D386" s="80"/>
      <c r="E386" s="80"/>
      <c r="F386" s="80"/>
      <c r="G386" s="80"/>
      <c r="H386" s="80"/>
      <c r="I386" s="80"/>
      <c r="J386" s="80"/>
      <c r="K386" s="80"/>
      <c r="L386" s="80"/>
      <c r="M386" s="80"/>
      <c r="N386" s="80"/>
      <c r="O386" s="80"/>
      <c r="P386" s="80"/>
      <c r="Q386" s="80"/>
      <c r="R386" s="80"/>
      <c r="S386" s="80"/>
      <c r="T386" s="80"/>
    </row>
    <row r="387" spans="1:20" ht="15.75">
      <c r="A387" s="80"/>
      <c r="B387" s="80"/>
      <c r="C387" s="80"/>
      <c r="D387" s="80"/>
      <c r="E387" s="80"/>
      <c r="F387" s="80"/>
      <c r="G387" s="80"/>
      <c r="H387" s="80"/>
      <c r="I387" s="80"/>
      <c r="J387" s="80"/>
      <c r="K387" s="80"/>
      <c r="L387" s="80"/>
      <c r="M387" s="80"/>
      <c r="N387" s="80"/>
      <c r="O387" s="80"/>
      <c r="P387" s="80"/>
      <c r="Q387" s="80"/>
      <c r="R387" s="80"/>
      <c r="S387" s="80"/>
      <c r="T387" s="80"/>
    </row>
    <row r="388" spans="1:20" ht="15.75">
      <c r="A388" s="80"/>
      <c r="B388" s="80"/>
      <c r="C388" s="80"/>
      <c r="D388" s="80"/>
      <c r="E388" s="80"/>
      <c r="F388" s="80"/>
      <c r="G388" s="80"/>
      <c r="H388" s="80"/>
      <c r="I388" s="80"/>
      <c r="J388" s="80"/>
      <c r="K388" s="80"/>
      <c r="L388" s="80"/>
      <c r="M388" s="80"/>
      <c r="N388" s="80"/>
      <c r="O388" s="80"/>
      <c r="P388" s="80"/>
      <c r="Q388" s="80"/>
      <c r="R388" s="80"/>
      <c r="S388" s="80"/>
      <c r="T388" s="80"/>
    </row>
    <row r="389" spans="1:20" ht="15.75">
      <c r="A389" s="80"/>
      <c r="B389" s="80"/>
      <c r="C389" s="80"/>
      <c r="D389" s="80"/>
      <c r="E389" s="80"/>
      <c r="F389" s="80"/>
      <c r="G389" s="80"/>
      <c r="H389" s="80"/>
      <c r="I389" s="80"/>
      <c r="J389" s="80"/>
      <c r="K389" s="80"/>
      <c r="L389" s="80"/>
      <c r="M389" s="80"/>
      <c r="N389" s="80"/>
      <c r="O389" s="80"/>
      <c r="P389" s="80"/>
      <c r="Q389" s="80"/>
      <c r="R389" s="80"/>
      <c r="S389" s="80"/>
      <c r="T389" s="80"/>
    </row>
    <row r="390" spans="1:20" ht="15.75">
      <c r="A390" s="80"/>
      <c r="B390" s="80"/>
      <c r="C390" s="80"/>
      <c r="D390" s="80"/>
      <c r="E390" s="80"/>
      <c r="F390" s="80"/>
      <c r="G390" s="80"/>
      <c r="H390" s="80"/>
      <c r="I390" s="80"/>
      <c r="J390" s="80"/>
      <c r="K390" s="80"/>
      <c r="L390" s="80"/>
      <c r="M390" s="80"/>
      <c r="N390" s="80"/>
      <c r="O390" s="80"/>
      <c r="P390" s="80"/>
      <c r="Q390" s="80"/>
      <c r="R390" s="80"/>
      <c r="S390" s="80"/>
      <c r="T390" s="80"/>
    </row>
    <row r="391" spans="1:20" ht="15.75">
      <c r="A391" s="80"/>
      <c r="B391" s="80"/>
      <c r="C391" s="80"/>
      <c r="D391" s="80"/>
      <c r="E391" s="80"/>
      <c r="F391" s="80"/>
      <c r="G391" s="80"/>
      <c r="H391" s="80"/>
      <c r="I391" s="80"/>
      <c r="J391" s="80"/>
      <c r="K391" s="80"/>
      <c r="L391" s="80"/>
      <c r="M391" s="80"/>
      <c r="N391" s="80"/>
      <c r="O391" s="80"/>
      <c r="P391" s="80"/>
      <c r="Q391" s="80"/>
      <c r="R391" s="80"/>
      <c r="S391" s="80"/>
      <c r="T391" s="80"/>
    </row>
    <row r="392" spans="1:20" ht="15.75">
      <c r="A392" s="80"/>
      <c r="B392" s="80"/>
      <c r="C392" s="80"/>
      <c r="D392" s="80"/>
      <c r="E392" s="80"/>
      <c r="F392" s="80"/>
      <c r="G392" s="80"/>
      <c r="H392" s="80"/>
      <c r="I392" s="80"/>
      <c r="J392" s="80"/>
      <c r="K392" s="80"/>
      <c r="L392" s="80"/>
      <c r="M392" s="80"/>
      <c r="N392" s="80"/>
      <c r="O392" s="80"/>
      <c r="P392" s="80"/>
      <c r="Q392" s="80"/>
      <c r="R392" s="80"/>
      <c r="S392" s="80"/>
      <c r="T392" s="80"/>
    </row>
    <row r="393" spans="1:20" ht="15.75">
      <c r="A393" s="80"/>
      <c r="B393" s="80"/>
      <c r="C393" s="80"/>
      <c r="D393" s="80"/>
      <c r="E393" s="80"/>
      <c r="F393" s="80"/>
      <c r="G393" s="80"/>
      <c r="H393" s="80"/>
      <c r="I393" s="80"/>
      <c r="J393" s="80"/>
      <c r="K393" s="80"/>
      <c r="L393" s="80"/>
      <c r="M393" s="80"/>
      <c r="N393" s="80"/>
      <c r="O393" s="80"/>
      <c r="P393" s="80"/>
      <c r="Q393" s="80"/>
      <c r="R393" s="80"/>
      <c r="S393" s="80"/>
      <c r="T393" s="80"/>
    </row>
    <row r="394" spans="1:20" ht="15.75">
      <c r="A394" s="80"/>
      <c r="B394" s="80"/>
      <c r="C394" s="80"/>
      <c r="D394" s="80"/>
      <c r="E394" s="80"/>
      <c r="F394" s="80"/>
      <c r="G394" s="80"/>
      <c r="H394" s="80"/>
      <c r="I394" s="80"/>
      <c r="J394" s="80"/>
      <c r="K394" s="80"/>
      <c r="L394" s="80"/>
      <c r="M394" s="80"/>
      <c r="N394" s="80"/>
      <c r="O394" s="80"/>
      <c r="P394" s="80"/>
      <c r="Q394" s="80"/>
      <c r="R394" s="80"/>
      <c r="S394" s="80"/>
      <c r="T394" s="80"/>
    </row>
    <row r="395" spans="1:20" ht="15.75">
      <c r="A395" s="80"/>
      <c r="B395" s="80"/>
      <c r="C395" s="80"/>
      <c r="D395" s="80"/>
      <c r="E395" s="80"/>
      <c r="F395" s="80"/>
      <c r="G395" s="80"/>
      <c r="H395" s="80"/>
      <c r="I395" s="80"/>
      <c r="J395" s="80"/>
      <c r="K395" s="80"/>
      <c r="L395" s="80"/>
      <c r="M395" s="80"/>
      <c r="N395" s="80"/>
      <c r="O395" s="80"/>
      <c r="P395" s="80"/>
      <c r="Q395" s="80"/>
      <c r="R395" s="80"/>
      <c r="S395" s="80"/>
      <c r="T395" s="80"/>
    </row>
    <row r="396" spans="1:20" ht="15.75">
      <c r="A396" s="80"/>
      <c r="B396" s="80"/>
      <c r="C396" s="80"/>
      <c r="D396" s="80"/>
      <c r="E396" s="80"/>
      <c r="F396" s="80"/>
      <c r="G396" s="80"/>
      <c r="H396" s="80"/>
      <c r="I396" s="80"/>
      <c r="J396" s="80"/>
      <c r="K396" s="80"/>
      <c r="L396" s="80"/>
      <c r="M396" s="80"/>
      <c r="N396" s="80"/>
      <c r="O396" s="80"/>
      <c r="P396" s="80"/>
      <c r="Q396" s="80"/>
      <c r="R396" s="80"/>
      <c r="S396" s="80"/>
      <c r="T396" s="80"/>
    </row>
    <row r="397" spans="1:20" ht="15.75">
      <c r="A397" s="80"/>
      <c r="B397" s="80"/>
      <c r="C397" s="80"/>
      <c r="D397" s="80"/>
      <c r="E397" s="80"/>
      <c r="F397" s="80"/>
      <c r="G397" s="80"/>
      <c r="H397" s="80"/>
      <c r="I397" s="80"/>
      <c r="J397" s="80"/>
      <c r="K397" s="80"/>
      <c r="L397" s="80"/>
      <c r="M397" s="80"/>
      <c r="N397" s="80"/>
      <c r="O397" s="80"/>
      <c r="P397" s="80"/>
      <c r="Q397" s="80"/>
      <c r="R397" s="80"/>
      <c r="S397" s="80"/>
      <c r="T397" s="80"/>
    </row>
    <row r="398" spans="1:20" ht="15.75">
      <c r="A398" s="80"/>
      <c r="B398" s="80"/>
      <c r="C398" s="80"/>
      <c r="D398" s="80"/>
      <c r="E398" s="80"/>
      <c r="F398" s="80"/>
      <c r="G398" s="80"/>
      <c r="H398" s="80"/>
      <c r="I398" s="80"/>
      <c r="J398" s="80"/>
      <c r="K398" s="80"/>
      <c r="L398" s="80"/>
      <c r="M398" s="80"/>
      <c r="N398" s="80"/>
      <c r="O398" s="80"/>
      <c r="P398" s="80"/>
      <c r="Q398" s="80"/>
      <c r="R398" s="80"/>
      <c r="S398" s="80"/>
      <c r="T398" s="80"/>
    </row>
    <row r="399" spans="1:20" ht="15.75">
      <c r="A399" s="80"/>
      <c r="B399" s="80"/>
      <c r="C399" s="80"/>
      <c r="D399" s="80"/>
      <c r="E399" s="80"/>
      <c r="F399" s="80"/>
      <c r="G399" s="80"/>
      <c r="H399" s="80"/>
      <c r="I399" s="80"/>
      <c r="J399" s="80"/>
      <c r="K399" s="80"/>
      <c r="L399" s="80"/>
      <c r="M399" s="80"/>
      <c r="N399" s="80"/>
      <c r="O399" s="80"/>
      <c r="P399" s="80"/>
      <c r="Q399" s="80"/>
      <c r="R399" s="80"/>
      <c r="S399" s="80"/>
      <c r="T399" s="80"/>
    </row>
    <row r="400" spans="1:20" ht="15.75">
      <c r="A400" s="80"/>
      <c r="B400" s="80"/>
      <c r="C400" s="80"/>
      <c r="D400" s="80"/>
      <c r="E400" s="80"/>
      <c r="F400" s="80"/>
      <c r="G400" s="80"/>
      <c r="H400" s="80"/>
      <c r="I400" s="80"/>
      <c r="J400" s="80"/>
      <c r="K400" s="80"/>
      <c r="L400" s="80"/>
      <c r="M400" s="80"/>
      <c r="N400" s="80"/>
      <c r="O400" s="80"/>
      <c r="P400" s="80"/>
      <c r="Q400" s="80"/>
      <c r="R400" s="80"/>
      <c r="S400" s="80"/>
      <c r="T400" s="80"/>
    </row>
    <row r="401" spans="1:20" ht="15.75">
      <c r="A401" s="80"/>
      <c r="B401" s="80"/>
      <c r="C401" s="80"/>
      <c r="D401" s="80"/>
      <c r="E401" s="80"/>
      <c r="F401" s="80"/>
      <c r="G401" s="80"/>
      <c r="H401" s="80"/>
      <c r="I401" s="80"/>
      <c r="J401" s="80"/>
      <c r="K401" s="80"/>
      <c r="L401" s="80"/>
      <c r="M401" s="80"/>
      <c r="N401" s="80"/>
      <c r="O401" s="80"/>
      <c r="P401" s="80"/>
      <c r="Q401" s="80"/>
      <c r="R401" s="80"/>
      <c r="S401" s="80"/>
      <c r="T401" s="80"/>
    </row>
    <row r="402" spans="1:20" ht="15.75">
      <c r="A402" s="80"/>
      <c r="B402" s="80"/>
      <c r="C402" s="80"/>
      <c r="D402" s="80"/>
      <c r="E402" s="80"/>
      <c r="F402" s="80"/>
      <c r="G402" s="80"/>
      <c r="H402" s="80"/>
      <c r="I402" s="80"/>
      <c r="J402" s="80"/>
      <c r="K402" s="80"/>
      <c r="L402" s="80"/>
      <c r="M402" s="80"/>
      <c r="N402" s="80"/>
      <c r="O402" s="80"/>
      <c r="P402" s="80"/>
      <c r="Q402" s="80"/>
      <c r="R402" s="80"/>
      <c r="S402" s="80"/>
      <c r="T402" s="80"/>
    </row>
    <row r="403" spans="1:20" ht="15.75">
      <c r="A403" s="80"/>
      <c r="B403" s="80"/>
      <c r="C403" s="80"/>
      <c r="D403" s="80"/>
      <c r="E403" s="80"/>
      <c r="F403" s="80"/>
      <c r="G403" s="80"/>
      <c r="H403" s="80"/>
      <c r="I403" s="80"/>
      <c r="J403" s="80"/>
      <c r="K403" s="80"/>
      <c r="L403" s="80"/>
      <c r="M403" s="80"/>
      <c r="N403" s="80"/>
      <c r="O403" s="80"/>
      <c r="P403" s="80"/>
      <c r="Q403" s="80"/>
      <c r="R403" s="80"/>
      <c r="S403" s="80"/>
      <c r="T403" s="80"/>
    </row>
    <row r="404" spans="1:20" ht="15.75">
      <c r="A404" s="80"/>
      <c r="B404" s="80"/>
      <c r="C404" s="80"/>
      <c r="D404" s="80"/>
      <c r="E404" s="80"/>
      <c r="F404" s="80"/>
      <c r="G404" s="80"/>
      <c r="H404" s="80"/>
      <c r="I404" s="80"/>
      <c r="J404" s="80"/>
      <c r="K404" s="80"/>
      <c r="L404" s="80"/>
      <c r="M404" s="80"/>
      <c r="N404" s="80"/>
      <c r="O404" s="80"/>
      <c r="P404" s="80"/>
      <c r="Q404" s="80"/>
      <c r="R404" s="80"/>
      <c r="S404" s="80"/>
      <c r="T404" s="80"/>
    </row>
    <row r="405" spans="1:20" ht="15.75">
      <c r="A405" s="80"/>
      <c r="B405" s="80"/>
      <c r="C405" s="80"/>
      <c r="D405" s="80"/>
      <c r="E405" s="80"/>
      <c r="F405" s="80"/>
      <c r="G405" s="80"/>
      <c r="H405" s="80"/>
      <c r="I405" s="80"/>
      <c r="J405" s="80"/>
      <c r="K405" s="80"/>
      <c r="L405" s="80"/>
      <c r="M405" s="80"/>
      <c r="N405" s="80"/>
      <c r="O405" s="80"/>
      <c r="P405" s="80"/>
      <c r="Q405" s="80"/>
      <c r="R405" s="80"/>
      <c r="S405" s="80"/>
      <c r="T405" s="80"/>
    </row>
    <row r="406" spans="1:20" ht="15.75">
      <c r="A406" s="80"/>
      <c r="B406" s="80"/>
      <c r="C406" s="80"/>
      <c r="D406" s="80"/>
      <c r="E406" s="80"/>
      <c r="F406" s="80"/>
      <c r="G406" s="80"/>
      <c r="H406" s="80"/>
      <c r="I406" s="80"/>
      <c r="J406" s="80"/>
      <c r="K406" s="80"/>
      <c r="L406" s="80"/>
      <c r="M406" s="80"/>
      <c r="N406" s="80"/>
      <c r="O406" s="80"/>
      <c r="P406" s="80"/>
      <c r="Q406" s="80"/>
      <c r="R406" s="80"/>
      <c r="S406" s="80"/>
      <c r="T406" s="80"/>
    </row>
    <row r="407" spans="1:20" ht="15.75">
      <c r="A407" s="80"/>
      <c r="B407" s="80"/>
      <c r="C407" s="80"/>
      <c r="D407" s="80"/>
      <c r="E407" s="80"/>
      <c r="F407" s="80"/>
      <c r="G407" s="80"/>
      <c r="H407" s="80"/>
      <c r="I407" s="80"/>
      <c r="J407" s="80"/>
      <c r="K407" s="80"/>
      <c r="L407" s="80"/>
      <c r="M407" s="80"/>
      <c r="N407" s="80"/>
      <c r="O407" s="80"/>
      <c r="P407" s="80"/>
      <c r="Q407" s="80"/>
      <c r="R407" s="80"/>
      <c r="S407" s="80"/>
      <c r="T407" s="80"/>
    </row>
    <row r="408" spans="1:20" ht="15.75">
      <c r="A408" s="80"/>
      <c r="B408" s="80"/>
      <c r="C408" s="80"/>
      <c r="D408" s="80"/>
      <c r="E408" s="80"/>
      <c r="F408" s="80"/>
      <c r="G408" s="80"/>
      <c r="H408" s="80"/>
      <c r="I408" s="80"/>
      <c r="J408" s="80"/>
      <c r="K408" s="80"/>
      <c r="L408" s="80"/>
      <c r="M408" s="80"/>
      <c r="N408" s="80"/>
      <c r="O408" s="80"/>
      <c r="P408" s="80"/>
      <c r="Q408" s="80"/>
      <c r="R408" s="80"/>
      <c r="S408" s="80"/>
      <c r="T408" s="80"/>
    </row>
    <row r="409" spans="1:20" ht="15.75">
      <c r="A409" s="80"/>
      <c r="B409" s="80"/>
      <c r="C409" s="80"/>
      <c r="D409" s="80"/>
      <c r="E409" s="80"/>
      <c r="F409" s="80"/>
      <c r="G409" s="80"/>
      <c r="H409" s="80"/>
      <c r="I409" s="80"/>
      <c r="J409" s="80"/>
      <c r="K409" s="80"/>
      <c r="L409" s="80"/>
      <c r="M409" s="80"/>
      <c r="N409" s="80"/>
      <c r="O409" s="80"/>
      <c r="P409" s="80"/>
      <c r="Q409" s="80"/>
      <c r="R409" s="80"/>
      <c r="S409" s="80"/>
      <c r="T409" s="80"/>
    </row>
    <row r="410" spans="1:20" ht="15.75">
      <c r="A410" s="80"/>
      <c r="B410" s="80"/>
      <c r="C410" s="80"/>
      <c r="D410" s="80"/>
      <c r="E410" s="80"/>
      <c r="F410" s="80"/>
      <c r="G410" s="80"/>
      <c r="H410" s="80"/>
      <c r="I410" s="80"/>
      <c r="J410" s="80"/>
      <c r="K410" s="80"/>
      <c r="L410" s="80"/>
      <c r="M410" s="80"/>
      <c r="N410" s="80"/>
      <c r="O410" s="80"/>
      <c r="P410" s="80"/>
      <c r="Q410" s="80"/>
      <c r="R410" s="80"/>
      <c r="S410" s="80"/>
      <c r="T410" s="80"/>
    </row>
    <row r="411" spans="1:20" ht="15.75">
      <c r="A411" s="80"/>
      <c r="B411" s="80"/>
      <c r="C411" s="80"/>
      <c r="D411" s="80"/>
      <c r="E411" s="80"/>
      <c r="F411" s="80"/>
      <c r="G411" s="80"/>
      <c r="H411" s="80"/>
      <c r="I411" s="80"/>
      <c r="J411" s="80"/>
      <c r="K411" s="80"/>
      <c r="L411" s="80"/>
      <c r="M411" s="80"/>
      <c r="N411" s="80"/>
      <c r="O411" s="80"/>
      <c r="P411" s="80"/>
      <c r="Q411" s="80"/>
      <c r="R411" s="80"/>
      <c r="S411" s="80"/>
      <c r="T411" s="80"/>
    </row>
    <row r="412" spans="1:20" ht="15.75">
      <c r="A412" s="80"/>
      <c r="B412" s="80"/>
      <c r="C412" s="80"/>
      <c r="D412" s="80"/>
      <c r="E412" s="80"/>
      <c r="F412" s="80"/>
      <c r="G412" s="80"/>
      <c r="H412" s="80"/>
      <c r="I412" s="80"/>
      <c r="J412" s="80"/>
      <c r="K412" s="80"/>
      <c r="L412" s="80"/>
      <c r="M412" s="80"/>
      <c r="N412" s="80"/>
      <c r="O412" s="80"/>
      <c r="P412" s="80"/>
      <c r="Q412" s="80"/>
      <c r="R412" s="80"/>
      <c r="S412" s="80"/>
      <c r="T412" s="80"/>
    </row>
    <row r="413" spans="1:20" ht="15.75">
      <c r="A413" s="80"/>
      <c r="B413" s="80"/>
      <c r="C413" s="80"/>
      <c r="D413" s="80"/>
      <c r="E413" s="80"/>
      <c r="F413" s="80"/>
      <c r="G413" s="80"/>
      <c r="H413" s="80"/>
      <c r="I413" s="80"/>
      <c r="J413" s="80"/>
      <c r="K413" s="80"/>
      <c r="L413" s="80"/>
      <c r="M413" s="80"/>
      <c r="N413" s="80"/>
      <c r="O413" s="80"/>
      <c r="P413" s="80"/>
      <c r="Q413" s="80"/>
      <c r="R413" s="80"/>
      <c r="S413" s="80"/>
      <c r="T413" s="80"/>
    </row>
    <row r="414" spans="1:20" ht="15.75">
      <c r="A414" s="80"/>
      <c r="B414" s="80"/>
      <c r="C414" s="80"/>
      <c r="D414" s="80"/>
      <c r="E414" s="80"/>
      <c r="F414" s="80"/>
      <c r="G414" s="80"/>
      <c r="H414" s="80"/>
      <c r="I414" s="80"/>
      <c r="J414" s="80"/>
      <c r="K414" s="80"/>
      <c r="L414" s="80"/>
      <c r="M414" s="80"/>
      <c r="N414" s="80"/>
      <c r="O414" s="80"/>
      <c r="P414" s="80"/>
      <c r="Q414" s="80"/>
      <c r="R414" s="80"/>
      <c r="S414" s="80"/>
      <c r="T414" s="80"/>
    </row>
    <row r="415" spans="1:20" ht="15.75">
      <c r="A415" s="80"/>
      <c r="B415" s="80"/>
      <c r="C415" s="80"/>
      <c r="D415" s="80"/>
      <c r="E415" s="80"/>
      <c r="F415" s="80"/>
      <c r="G415" s="80"/>
      <c r="H415" s="80"/>
      <c r="I415" s="80"/>
      <c r="J415" s="80"/>
      <c r="K415" s="80"/>
      <c r="L415" s="80"/>
      <c r="M415" s="80"/>
      <c r="N415" s="80"/>
      <c r="O415" s="80"/>
      <c r="P415" s="80"/>
      <c r="Q415" s="80"/>
      <c r="R415" s="80"/>
      <c r="S415" s="80"/>
      <c r="T415" s="80"/>
    </row>
    <row r="416" spans="1:20" ht="15.75">
      <c r="A416" s="80"/>
      <c r="B416" s="80"/>
      <c r="C416" s="80"/>
      <c r="D416" s="80"/>
      <c r="E416" s="80"/>
      <c r="F416" s="80"/>
      <c r="G416" s="80"/>
      <c r="H416" s="80"/>
      <c r="I416" s="80"/>
      <c r="J416" s="80"/>
      <c r="K416" s="80"/>
      <c r="L416" s="80"/>
      <c r="M416" s="80"/>
      <c r="N416" s="80"/>
      <c r="O416" s="80"/>
      <c r="P416" s="80"/>
      <c r="Q416" s="80"/>
      <c r="R416" s="80"/>
      <c r="S416" s="80"/>
      <c r="T416" s="80"/>
    </row>
    <row r="417" spans="1:20" ht="15.75">
      <c r="A417" s="80"/>
      <c r="B417" s="80"/>
      <c r="C417" s="80"/>
      <c r="D417" s="80"/>
      <c r="E417" s="80"/>
      <c r="F417" s="80"/>
      <c r="G417" s="80"/>
      <c r="H417" s="80"/>
      <c r="I417" s="80"/>
      <c r="J417" s="80"/>
      <c r="K417" s="80"/>
      <c r="L417" s="80"/>
      <c r="M417" s="80"/>
      <c r="N417" s="80"/>
      <c r="O417" s="80"/>
      <c r="P417" s="80"/>
      <c r="Q417" s="80"/>
      <c r="R417" s="80"/>
      <c r="S417" s="80"/>
      <c r="T417" s="80"/>
    </row>
    <row r="418" spans="1:20" ht="15.75">
      <c r="A418" s="80"/>
      <c r="B418" s="80"/>
      <c r="C418" s="80"/>
      <c r="D418" s="80"/>
      <c r="E418" s="80"/>
      <c r="F418" s="80"/>
      <c r="G418" s="80"/>
      <c r="H418" s="80"/>
      <c r="I418" s="80"/>
      <c r="J418" s="80"/>
      <c r="K418" s="80"/>
      <c r="L418" s="80"/>
      <c r="M418" s="80"/>
      <c r="N418" s="80"/>
      <c r="O418" s="80"/>
      <c r="P418" s="80"/>
      <c r="Q418" s="80"/>
      <c r="R418" s="80"/>
      <c r="S418" s="80"/>
      <c r="T418" s="80"/>
    </row>
    <row r="419" spans="1:20" ht="15.75">
      <c r="A419" s="80"/>
      <c r="B419" s="80"/>
      <c r="C419" s="80"/>
      <c r="D419" s="80"/>
      <c r="E419" s="80"/>
      <c r="F419" s="80"/>
      <c r="G419" s="80"/>
      <c r="H419" s="80"/>
      <c r="I419" s="80"/>
      <c r="J419" s="80"/>
      <c r="K419" s="80"/>
      <c r="L419" s="80"/>
      <c r="M419" s="80"/>
      <c r="N419" s="80"/>
      <c r="O419" s="80"/>
      <c r="P419" s="80"/>
      <c r="Q419" s="80"/>
      <c r="R419" s="80"/>
      <c r="S419" s="80"/>
      <c r="T419" s="80"/>
    </row>
    <row r="420" spans="1:20" ht="15.75">
      <c r="A420" s="80"/>
      <c r="B420" s="80"/>
      <c r="C420" s="80"/>
      <c r="D420" s="80"/>
      <c r="E420" s="80"/>
      <c r="F420" s="80"/>
      <c r="G420" s="80"/>
      <c r="H420" s="80"/>
      <c r="I420" s="80"/>
      <c r="J420" s="80"/>
      <c r="K420" s="80"/>
      <c r="L420" s="80"/>
      <c r="M420" s="80"/>
      <c r="N420" s="80"/>
      <c r="O420" s="80"/>
      <c r="P420" s="80"/>
      <c r="Q420" s="80"/>
      <c r="R420" s="80"/>
      <c r="S420" s="80"/>
      <c r="T420" s="80"/>
    </row>
    <row r="421" spans="1:20" ht="15.75">
      <c r="A421" s="80"/>
      <c r="B421" s="80"/>
      <c r="C421" s="80"/>
      <c r="D421" s="80"/>
      <c r="E421" s="80"/>
      <c r="F421" s="80"/>
      <c r="G421" s="80"/>
      <c r="H421" s="80"/>
      <c r="I421" s="80"/>
      <c r="J421" s="80"/>
      <c r="K421" s="80"/>
      <c r="L421" s="80"/>
      <c r="M421" s="80"/>
      <c r="N421" s="80"/>
      <c r="O421" s="80"/>
      <c r="P421" s="80"/>
      <c r="Q421" s="80"/>
      <c r="R421" s="80"/>
      <c r="S421" s="80"/>
      <c r="T421" s="80"/>
    </row>
    <row r="422" spans="1:20" ht="15.75">
      <c r="A422" s="80"/>
      <c r="B422" s="80"/>
      <c r="C422" s="80"/>
      <c r="D422" s="80"/>
      <c r="E422" s="80"/>
      <c r="F422" s="80"/>
      <c r="G422" s="80"/>
      <c r="H422" s="80"/>
      <c r="I422" s="80"/>
      <c r="J422" s="80"/>
      <c r="K422" s="80"/>
      <c r="L422" s="80"/>
      <c r="M422" s="80"/>
      <c r="N422" s="80"/>
      <c r="O422" s="80"/>
      <c r="P422" s="80"/>
      <c r="Q422" s="80"/>
      <c r="R422" s="80"/>
      <c r="S422" s="80"/>
      <c r="T422" s="80"/>
    </row>
    <row r="423" spans="1:20" ht="15.75">
      <c r="A423" s="80"/>
      <c r="B423" s="80"/>
      <c r="C423" s="80"/>
      <c r="D423" s="80"/>
      <c r="E423" s="80"/>
      <c r="F423" s="80"/>
      <c r="G423" s="80"/>
      <c r="H423" s="80"/>
      <c r="I423" s="80"/>
      <c r="J423" s="80"/>
      <c r="K423" s="80"/>
      <c r="L423" s="80"/>
      <c r="M423" s="80"/>
      <c r="N423" s="80"/>
      <c r="O423" s="80"/>
      <c r="P423" s="80"/>
      <c r="Q423" s="80"/>
      <c r="R423" s="80"/>
      <c r="S423" s="80"/>
      <c r="T423" s="80"/>
    </row>
    <row r="424" spans="1:20" ht="15.75">
      <c r="A424" s="80"/>
      <c r="B424" s="80"/>
      <c r="C424" s="80"/>
      <c r="D424" s="80"/>
      <c r="E424" s="80"/>
      <c r="F424" s="80"/>
      <c r="G424" s="80"/>
      <c r="H424" s="80"/>
      <c r="I424" s="80"/>
      <c r="J424" s="80"/>
      <c r="K424" s="80"/>
      <c r="L424" s="80"/>
      <c r="M424" s="80"/>
      <c r="N424" s="80"/>
      <c r="O424" s="80"/>
      <c r="P424" s="80"/>
      <c r="Q424" s="80"/>
      <c r="R424" s="80"/>
      <c r="S424" s="80"/>
      <c r="T424" s="80"/>
    </row>
    <row r="425" spans="1:20" ht="15.75">
      <c r="A425" s="80"/>
      <c r="B425" s="80"/>
      <c r="C425" s="80"/>
      <c r="D425" s="80"/>
      <c r="E425" s="80"/>
      <c r="F425" s="80"/>
      <c r="G425" s="80"/>
      <c r="H425" s="80"/>
      <c r="I425" s="80"/>
      <c r="J425" s="80"/>
      <c r="K425" s="80"/>
      <c r="L425" s="80"/>
      <c r="M425" s="80"/>
      <c r="N425" s="80"/>
      <c r="O425" s="80"/>
      <c r="P425" s="80"/>
      <c r="Q425" s="80"/>
      <c r="R425" s="80"/>
      <c r="S425" s="80"/>
      <c r="T425" s="80"/>
    </row>
    <row r="426" spans="1:20" ht="15.75">
      <c r="A426" s="80"/>
      <c r="B426" s="80"/>
      <c r="C426" s="80"/>
      <c r="D426" s="80"/>
      <c r="E426" s="80"/>
      <c r="F426" s="80"/>
      <c r="G426" s="80"/>
      <c r="H426" s="80"/>
      <c r="I426" s="80"/>
      <c r="J426" s="80"/>
      <c r="K426" s="80"/>
      <c r="L426" s="80"/>
      <c r="M426" s="80"/>
      <c r="N426" s="80"/>
      <c r="O426" s="80"/>
      <c r="P426" s="80"/>
      <c r="Q426" s="80"/>
      <c r="R426" s="80"/>
      <c r="S426" s="80"/>
      <c r="T426" s="80"/>
    </row>
    <row r="427" spans="1:20" ht="15.75">
      <c r="A427" s="80"/>
      <c r="B427" s="80"/>
      <c r="C427" s="80"/>
      <c r="D427" s="80"/>
      <c r="E427" s="80"/>
      <c r="F427" s="80"/>
      <c r="G427" s="80"/>
      <c r="H427" s="80"/>
      <c r="I427" s="80"/>
      <c r="J427" s="80"/>
      <c r="K427" s="80"/>
      <c r="L427" s="80"/>
      <c r="M427" s="80"/>
      <c r="N427" s="80"/>
      <c r="O427" s="80"/>
      <c r="P427" s="80"/>
      <c r="Q427" s="80"/>
      <c r="R427" s="80"/>
      <c r="S427" s="80"/>
      <c r="T427" s="80"/>
    </row>
    <row r="428" spans="1:20" ht="15.75">
      <c r="A428" s="80"/>
      <c r="B428" s="80"/>
      <c r="C428" s="80"/>
      <c r="D428" s="80"/>
      <c r="E428" s="80"/>
      <c r="F428" s="80"/>
      <c r="G428" s="80"/>
      <c r="H428" s="80"/>
      <c r="I428" s="80"/>
      <c r="J428" s="80"/>
      <c r="K428" s="80"/>
      <c r="L428" s="80"/>
      <c r="M428" s="80"/>
      <c r="N428" s="80"/>
      <c r="O428" s="80"/>
      <c r="P428" s="80"/>
      <c r="Q428" s="80"/>
      <c r="R428" s="80"/>
      <c r="S428" s="80"/>
      <c r="T428" s="80"/>
    </row>
    <row r="429" spans="1:20" ht="15.75">
      <c r="A429" s="80"/>
      <c r="B429" s="80"/>
      <c r="C429" s="80"/>
      <c r="D429" s="80"/>
      <c r="E429" s="80"/>
      <c r="F429" s="80"/>
      <c r="G429" s="80"/>
      <c r="H429" s="80"/>
      <c r="I429" s="80"/>
      <c r="J429" s="80"/>
      <c r="K429" s="80"/>
      <c r="L429" s="80"/>
      <c r="M429" s="80"/>
      <c r="N429" s="80"/>
      <c r="O429" s="80"/>
      <c r="P429" s="80"/>
      <c r="Q429" s="80"/>
      <c r="R429" s="80"/>
      <c r="S429" s="80"/>
      <c r="T429" s="80"/>
    </row>
    <row r="430" spans="1:20" ht="15.75">
      <c r="A430" s="80"/>
      <c r="B430" s="80"/>
      <c r="C430" s="80"/>
      <c r="D430" s="80"/>
      <c r="E430" s="80"/>
      <c r="F430" s="80"/>
      <c r="G430" s="80"/>
      <c r="H430" s="80"/>
      <c r="I430" s="80"/>
      <c r="J430" s="80"/>
      <c r="K430" s="80"/>
      <c r="L430" s="80"/>
      <c r="M430" s="80"/>
      <c r="N430" s="80"/>
      <c r="O430" s="80"/>
      <c r="P430" s="80"/>
      <c r="Q430" s="80"/>
      <c r="R430" s="80"/>
      <c r="S430" s="80"/>
      <c r="T430" s="80"/>
    </row>
    <row r="431" spans="1:20" ht="15.75">
      <c r="A431" s="80"/>
      <c r="B431" s="80"/>
      <c r="C431" s="80"/>
      <c r="D431" s="80"/>
      <c r="E431" s="80"/>
      <c r="F431" s="80"/>
      <c r="G431" s="80"/>
      <c r="H431" s="80"/>
      <c r="I431" s="80"/>
      <c r="J431" s="80"/>
      <c r="K431" s="80"/>
      <c r="L431" s="80"/>
      <c r="M431" s="80"/>
      <c r="N431" s="80"/>
      <c r="O431" s="80"/>
      <c r="P431" s="80"/>
      <c r="Q431" s="80"/>
      <c r="R431" s="80"/>
      <c r="S431" s="80"/>
      <c r="T431" s="80"/>
    </row>
    <row r="432" spans="1:20" ht="15.75">
      <c r="A432" s="80"/>
      <c r="B432" s="80"/>
      <c r="C432" s="80"/>
      <c r="D432" s="80"/>
      <c r="E432" s="80"/>
      <c r="F432" s="80"/>
      <c r="G432" s="80"/>
      <c r="H432" s="80"/>
      <c r="I432" s="80"/>
      <c r="J432" s="80"/>
      <c r="K432" s="80"/>
      <c r="L432" s="80"/>
      <c r="M432" s="80"/>
      <c r="N432" s="80"/>
      <c r="O432" s="80"/>
      <c r="P432" s="80"/>
      <c r="Q432" s="80"/>
      <c r="R432" s="80"/>
      <c r="S432" s="80"/>
      <c r="T432" s="80"/>
    </row>
    <row r="433" spans="1:20" ht="15.75">
      <c r="A433" s="80"/>
      <c r="B433" s="80"/>
      <c r="C433" s="80"/>
      <c r="D433" s="80"/>
      <c r="E433" s="80"/>
      <c r="F433" s="80"/>
      <c r="G433" s="80"/>
      <c r="H433" s="80"/>
      <c r="I433" s="80"/>
      <c r="J433" s="80"/>
      <c r="K433" s="80"/>
      <c r="L433" s="80"/>
      <c r="M433" s="80"/>
      <c r="N433" s="80"/>
      <c r="O433" s="80"/>
      <c r="P433" s="80"/>
      <c r="Q433" s="80"/>
      <c r="R433" s="80"/>
      <c r="S433" s="80"/>
      <c r="T433" s="80"/>
    </row>
    <row r="434" spans="1:20" ht="15.75">
      <c r="A434" s="80"/>
      <c r="B434" s="80"/>
      <c r="C434" s="80"/>
      <c r="D434" s="80"/>
      <c r="E434" s="80"/>
      <c r="F434" s="80"/>
      <c r="G434" s="80"/>
      <c r="H434" s="80"/>
      <c r="I434" s="80"/>
      <c r="J434" s="80"/>
      <c r="K434" s="80"/>
      <c r="L434" s="80"/>
      <c r="M434" s="80"/>
      <c r="N434" s="80"/>
      <c r="O434" s="80"/>
      <c r="P434" s="80"/>
      <c r="Q434" s="80"/>
      <c r="R434" s="80"/>
      <c r="S434" s="80"/>
      <c r="T434" s="80"/>
    </row>
    <row r="435" spans="1:20" ht="15.75">
      <c r="A435" s="80"/>
      <c r="B435" s="80"/>
      <c r="C435" s="80"/>
      <c r="D435" s="80"/>
      <c r="E435" s="80"/>
      <c r="F435" s="80"/>
      <c r="G435" s="80"/>
      <c r="H435" s="80"/>
      <c r="I435" s="80"/>
      <c r="J435" s="80"/>
      <c r="K435" s="80"/>
      <c r="L435" s="80"/>
      <c r="M435" s="80"/>
      <c r="N435" s="80"/>
      <c r="O435" s="80"/>
      <c r="P435" s="80"/>
      <c r="Q435" s="80"/>
      <c r="R435" s="80"/>
      <c r="S435" s="80"/>
      <c r="T435" s="80"/>
    </row>
    <row r="436" spans="1:20" ht="15.75">
      <c r="A436" s="80"/>
      <c r="B436" s="80"/>
      <c r="C436" s="80"/>
      <c r="D436" s="80"/>
      <c r="E436" s="80"/>
      <c r="F436" s="80"/>
      <c r="G436" s="80"/>
      <c r="H436" s="80"/>
      <c r="I436" s="80"/>
      <c r="J436" s="80"/>
      <c r="K436" s="80"/>
      <c r="L436" s="80"/>
      <c r="M436" s="80"/>
      <c r="N436" s="80"/>
      <c r="O436" s="80"/>
      <c r="P436" s="80"/>
      <c r="Q436" s="80"/>
      <c r="R436" s="80"/>
      <c r="S436" s="80"/>
      <c r="T436" s="80"/>
    </row>
    <row r="437" spans="1:20" ht="15.75">
      <c r="A437" s="80"/>
      <c r="B437" s="80"/>
      <c r="C437" s="80"/>
      <c r="D437" s="80"/>
      <c r="E437" s="80"/>
      <c r="F437" s="80"/>
      <c r="G437" s="80"/>
      <c r="H437" s="80"/>
      <c r="I437" s="80"/>
      <c r="J437" s="80"/>
      <c r="K437" s="80"/>
      <c r="L437" s="80"/>
      <c r="M437" s="80"/>
      <c r="N437" s="80"/>
      <c r="O437" s="80"/>
      <c r="P437" s="80"/>
      <c r="Q437" s="80"/>
      <c r="R437" s="80"/>
      <c r="S437" s="80"/>
      <c r="T437" s="80"/>
    </row>
    <row r="438" spans="1:20" ht="15.75">
      <c r="A438" s="80"/>
      <c r="B438" s="80"/>
      <c r="C438" s="80"/>
      <c r="D438" s="80"/>
      <c r="E438" s="80"/>
      <c r="F438" s="80"/>
      <c r="G438" s="80"/>
      <c r="H438" s="80"/>
      <c r="I438" s="80"/>
      <c r="J438" s="80"/>
      <c r="K438" s="80"/>
      <c r="L438" s="80"/>
      <c r="M438" s="80"/>
      <c r="N438" s="80"/>
      <c r="O438" s="80"/>
      <c r="P438" s="80"/>
      <c r="Q438" s="80"/>
      <c r="R438" s="80"/>
      <c r="S438" s="80"/>
      <c r="T438" s="80"/>
    </row>
    <row r="439" spans="1:20" ht="15.75">
      <c r="A439" s="80"/>
      <c r="B439" s="80"/>
      <c r="C439" s="80"/>
      <c r="D439" s="80"/>
      <c r="E439" s="80"/>
      <c r="F439" s="80"/>
      <c r="G439" s="80"/>
      <c r="H439" s="80"/>
      <c r="I439" s="80"/>
      <c r="J439" s="80"/>
      <c r="K439" s="80"/>
      <c r="L439" s="80"/>
      <c r="M439" s="80"/>
      <c r="N439" s="80"/>
      <c r="O439" s="80"/>
      <c r="P439" s="80"/>
      <c r="Q439" s="80"/>
      <c r="R439" s="80"/>
      <c r="S439" s="80"/>
      <c r="T439" s="80"/>
    </row>
    <row r="440" spans="1:20" ht="15.75">
      <c r="A440" s="80"/>
      <c r="B440" s="80"/>
      <c r="C440" s="80"/>
      <c r="D440" s="80"/>
      <c r="E440" s="80"/>
      <c r="F440" s="80"/>
      <c r="G440" s="80"/>
      <c r="H440" s="80"/>
      <c r="I440" s="80"/>
      <c r="J440" s="80"/>
      <c r="K440" s="80"/>
      <c r="L440" s="80"/>
      <c r="M440" s="80"/>
      <c r="N440" s="80"/>
      <c r="O440" s="80"/>
      <c r="P440" s="80"/>
      <c r="Q440" s="80"/>
      <c r="R440" s="80"/>
      <c r="S440" s="80"/>
      <c r="T440" s="80"/>
    </row>
    <row r="441" spans="1:20" ht="15.75">
      <c r="A441" s="80"/>
      <c r="B441" s="80"/>
      <c r="C441" s="80"/>
      <c r="D441" s="80"/>
      <c r="E441" s="80"/>
      <c r="F441" s="80"/>
      <c r="G441" s="80"/>
      <c r="H441" s="80"/>
      <c r="I441" s="80"/>
      <c r="J441" s="80"/>
      <c r="K441" s="80"/>
      <c r="L441" s="80"/>
      <c r="M441" s="80"/>
      <c r="N441" s="80"/>
      <c r="O441" s="80"/>
      <c r="P441" s="80"/>
      <c r="Q441" s="80"/>
      <c r="R441" s="80"/>
      <c r="S441" s="80"/>
      <c r="T441" s="80"/>
    </row>
    <row r="442" spans="1:20" ht="15.75">
      <c r="A442" s="80"/>
      <c r="B442" s="80"/>
      <c r="C442" s="80"/>
      <c r="D442" s="80"/>
      <c r="E442" s="80"/>
      <c r="F442" s="80"/>
      <c r="G442" s="80"/>
      <c r="H442" s="80"/>
      <c r="I442" s="80"/>
      <c r="J442" s="80"/>
      <c r="K442" s="80"/>
      <c r="L442" s="80"/>
      <c r="M442" s="80"/>
      <c r="N442" s="80"/>
      <c r="O442" s="80"/>
      <c r="P442" s="80"/>
      <c r="Q442" s="80"/>
      <c r="R442" s="80"/>
      <c r="S442" s="80"/>
      <c r="T442" s="80"/>
    </row>
    <row r="443" spans="1:20" ht="15.75">
      <c r="A443" s="80"/>
      <c r="B443" s="80"/>
      <c r="C443" s="80"/>
      <c r="D443" s="80"/>
      <c r="E443" s="80"/>
      <c r="F443" s="80"/>
      <c r="G443" s="80"/>
      <c r="H443" s="80"/>
      <c r="I443" s="80"/>
      <c r="J443" s="80"/>
      <c r="K443" s="80"/>
      <c r="L443" s="80"/>
      <c r="M443" s="80"/>
      <c r="N443" s="80"/>
      <c r="O443" s="80"/>
      <c r="P443" s="80"/>
      <c r="Q443" s="80"/>
      <c r="R443" s="80"/>
      <c r="S443" s="80"/>
      <c r="T443" s="80"/>
    </row>
    <row r="444" spans="1:20" ht="15.75">
      <c r="A444" s="80"/>
      <c r="B444" s="80"/>
      <c r="C444" s="80"/>
      <c r="D444" s="80"/>
      <c r="E444" s="80"/>
      <c r="F444" s="80"/>
      <c r="G444" s="80"/>
      <c r="H444" s="80"/>
      <c r="I444" s="80"/>
      <c r="J444" s="80"/>
      <c r="K444" s="80"/>
      <c r="L444" s="80"/>
      <c r="M444" s="80"/>
      <c r="N444" s="80"/>
      <c r="O444" s="80"/>
      <c r="P444" s="80"/>
      <c r="Q444" s="80"/>
      <c r="R444" s="80"/>
      <c r="S444" s="80"/>
      <c r="T444" s="80"/>
    </row>
    <row r="445" spans="1:20" ht="15.75">
      <c r="A445" s="80"/>
      <c r="B445" s="80"/>
      <c r="C445" s="80"/>
      <c r="D445" s="80"/>
      <c r="E445" s="80"/>
      <c r="F445" s="80"/>
      <c r="G445" s="80"/>
      <c r="H445" s="80"/>
      <c r="I445" s="80"/>
      <c r="J445" s="80"/>
      <c r="K445" s="80"/>
      <c r="L445" s="80"/>
      <c r="M445" s="80"/>
      <c r="N445" s="80"/>
      <c r="O445" s="80"/>
      <c r="P445" s="80"/>
      <c r="Q445" s="80"/>
      <c r="R445" s="80"/>
      <c r="S445" s="80"/>
      <c r="T445" s="80"/>
    </row>
    <row r="446" spans="1:20" ht="15.75">
      <c r="A446" s="80"/>
      <c r="B446" s="80"/>
      <c r="C446" s="80"/>
      <c r="D446" s="80"/>
      <c r="E446" s="80"/>
      <c r="F446" s="80"/>
      <c r="G446" s="80"/>
      <c r="H446" s="80"/>
      <c r="I446" s="80"/>
      <c r="J446" s="80"/>
      <c r="K446" s="80"/>
      <c r="L446" s="80"/>
      <c r="M446" s="80"/>
      <c r="N446" s="80"/>
      <c r="O446" s="80"/>
      <c r="P446" s="80"/>
      <c r="Q446" s="80"/>
      <c r="R446" s="80"/>
      <c r="S446" s="80"/>
      <c r="T446" s="80"/>
    </row>
    <row r="447" spans="1:20" ht="15.75">
      <c r="A447" s="80"/>
      <c r="B447" s="80"/>
      <c r="C447" s="80"/>
      <c r="D447" s="80"/>
      <c r="E447" s="80"/>
      <c r="F447" s="80"/>
      <c r="G447" s="80"/>
      <c r="H447" s="80"/>
      <c r="I447" s="80"/>
      <c r="J447" s="80"/>
      <c r="K447" s="80"/>
      <c r="L447" s="80"/>
      <c r="M447" s="80"/>
      <c r="N447" s="80"/>
      <c r="O447" s="80"/>
      <c r="P447" s="80"/>
      <c r="Q447" s="80"/>
      <c r="R447" s="80"/>
      <c r="S447" s="80"/>
      <c r="T447" s="80"/>
    </row>
    <row r="448" spans="1:20" ht="15.75">
      <c r="A448" s="80"/>
      <c r="B448" s="80"/>
      <c r="C448" s="80"/>
      <c r="D448" s="80"/>
      <c r="E448" s="80"/>
      <c r="F448" s="80"/>
      <c r="G448" s="80"/>
      <c r="H448" s="80"/>
      <c r="I448" s="80"/>
      <c r="J448" s="80"/>
      <c r="K448" s="80"/>
      <c r="L448" s="80"/>
      <c r="M448" s="80"/>
      <c r="N448" s="80"/>
      <c r="O448" s="80"/>
      <c r="P448" s="80"/>
      <c r="Q448" s="80"/>
      <c r="R448" s="80"/>
      <c r="S448" s="80"/>
      <c r="T448" s="80"/>
    </row>
    <row r="449" spans="1:20" ht="15.75">
      <c r="A449" s="80"/>
      <c r="B449" s="80"/>
      <c r="C449" s="80"/>
      <c r="D449" s="80"/>
      <c r="E449" s="80"/>
      <c r="F449" s="80"/>
      <c r="G449" s="80"/>
      <c r="H449" s="80"/>
      <c r="I449" s="80"/>
      <c r="J449" s="80"/>
      <c r="K449" s="80"/>
      <c r="L449" s="80"/>
      <c r="M449" s="80"/>
      <c r="N449" s="80"/>
      <c r="O449" s="80"/>
      <c r="P449" s="80"/>
      <c r="Q449" s="80"/>
      <c r="R449" s="80"/>
      <c r="S449" s="80"/>
      <c r="T449" s="80"/>
    </row>
    <row r="450" spans="1:20" ht="15.75">
      <c r="A450" s="80"/>
      <c r="B450" s="80"/>
      <c r="C450" s="80"/>
      <c r="D450" s="80"/>
      <c r="E450" s="80"/>
      <c r="F450" s="80"/>
      <c r="G450" s="80"/>
      <c r="H450" s="80"/>
      <c r="I450" s="80"/>
      <c r="J450" s="80"/>
      <c r="K450" s="80"/>
      <c r="L450" s="80"/>
      <c r="M450" s="80"/>
      <c r="N450" s="80"/>
      <c r="O450" s="80"/>
      <c r="P450" s="80"/>
      <c r="Q450" s="80"/>
      <c r="R450" s="80"/>
      <c r="S450" s="80"/>
      <c r="T450" s="80"/>
    </row>
    <row r="451" spans="1:20" ht="15.75">
      <c r="A451" s="80"/>
      <c r="B451" s="80"/>
      <c r="C451" s="80"/>
      <c r="D451" s="80"/>
      <c r="E451" s="80"/>
      <c r="F451" s="80"/>
      <c r="G451" s="80"/>
      <c r="H451" s="80"/>
      <c r="I451" s="80"/>
      <c r="J451" s="80"/>
      <c r="K451" s="80"/>
      <c r="L451" s="80"/>
      <c r="M451" s="80"/>
      <c r="N451" s="80"/>
      <c r="O451" s="80"/>
      <c r="P451" s="80"/>
      <c r="Q451" s="80"/>
      <c r="R451" s="80"/>
      <c r="S451" s="80"/>
      <c r="T451" s="80"/>
    </row>
    <row r="452" spans="1:20" ht="15.75">
      <c r="A452" s="80"/>
      <c r="B452" s="80"/>
      <c r="C452" s="80"/>
      <c r="D452" s="80"/>
      <c r="E452" s="80"/>
      <c r="F452" s="80"/>
      <c r="G452" s="80"/>
      <c r="H452" s="80"/>
      <c r="I452" s="80"/>
      <c r="J452" s="80"/>
      <c r="K452" s="80"/>
      <c r="L452" s="80"/>
      <c r="M452" s="80"/>
      <c r="N452" s="80"/>
      <c r="O452" s="80"/>
      <c r="P452" s="80"/>
      <c r="Q452" s="80"/>
      <c r="R452" s="80"/>
      <c r="S452" s="80"/>
      <c r="T452" s="80"/>
    </row>
    <row r="453" spans="1:20" ht="15.75">
      <c r="A453" s="80"/>
      <c r="B453" s="80"/>
      <c r="C453" s="80"/>
      <c r="D453" s="80"/>
      <c r="E453" s="80"/>
      <c r="F453" s="80"/>
      <c r="G453" s="80"/>
      <c r="H453" s="80"/>
      <c r="I453" s="80"/>
      <c r="J453" s="80"/>
      <c r="K453" s="80"/>
      <c r="L453" s="80"/>
      <c r="M453" s="80"/>
      <c r="N453" s="80"/>
      <c r="O453" s="80"/>
      <c r="P453" s="80"/>
      <c r="Q453" s="80"/>
      <c r="R453" s="80"/>
      <c r="S453" s="80"/>
      <c r="T453" s="80"/>
    </row>
    <row r="454" spans="1:20" ht="15.75">
      <c r="A454" s="80"/>
      <c r="B454" s="80"/>
      <c r="C454" s="80"/>
      <c r="D454" s="80"/>
      <c r="E454" s="80"/>
      <c r="F454" s="80"/>
      <c r="G454" s="80"/>
      <c r="H454" s="80"/>
      <c r="I454" s="80"/>
      <c r="J454" s="80"/>
      <c r="K454" s="80"/>
      <c r="L454" s="80"/>
      <c r="M454" s="80"/>
      <c r="N454" s="80"/>
      <c r="O454" s="80"/>
      <c r="P454" s="80"/>
      <c r="Q454" s="80"/>
      <c r="R454" s="80"/>
      <c r="S454" s="80"/>
      <c r="T454" s="80"/>
    </row>
    <row r="455" spans="1:20" ht="15.75">
      <c r="A455" s="80"/>
      <c r="B455" s="80"/>
      <c r="C455" s="80"/>
      <c r="D455" s="80"/>
      <c r="E455" s="80"/>
      <c r="F455" s="80"/>
      <c r="G455" s="80"/>
      <c r="H455" s="80"/>
      <c r="I455" s="80"/>
      <c r="J455" s="80"/>
      <c r="K455" s="80"/>
      <c r="L455" s="80"/>
      <c r="M455" s="80"/>
      <c r="N455" s="80"/>
      <c r="O455" s="80"/>
      <c r="P455" s="80"/>
      <c r="Q455" s="80"/>
      <c r="R455" s="80"/>
      <c r="S455" s="80"/>
      <c r="T455" s="80"/>
    </row>
    <row r="456" spans="1:20" ht="15.75">
      <c r="A456" s="80"/>
      <c r="B456" s="80"/>
      <c r="C456" s="80"/>
      <c r="D456" s="80"/>
      <c r="E456" s="80"/>
      <c r="F456" s="80"/>
      <c r="G456" s="80"/>
      <c r="H456" s="80"/>
      <c r="I456" s="80"/>
      <c r="J456" s="80"/>
      <c r="K456" s="80"/>
      <c r="L456" s="80"/>
      <c r="M456" s="80"/>
      <c r="N456" s="80"/>
      <c r="O456" s="80"/>
      <c r="P456" s="80"/>
      <c r="Q456" s="80"/>
      <c r="R456" s="80"/>
      <c r="S456" s="80"/>
      <c r="T456" s="80"/>
    </row>
    <row r="457" spans="1:20" ht="15.75">
      <c r="A457" s="80"/>
      <c r="B457" s="80"/>
      <c r="C457" s="80"/>
      <c r="D457" s="80"/>
      <c r="E457" s="80"/>
      <c r="F457" s="80"/>
      <c r="G457" s="80"/>
      <c r="H457" s="80"/>
      <c r="I457" s="80"/>
      <c r="J457" s="80"/>
      <c r="K457" s="80"/>
      <c r="L457" s="80"/>
      <c r="M457" s="80"/>
      <c r="N457" s="80"/>
      <c r="O457" s="80"/>
      <c r="P457" s="80"/>
      <c r="Q457" s="80"/>
      <c r="R457" s="80"/>
      <c r="S457" s="80"/>
      <c r="T457" s="80"/>
    </row>
    <row r="458" spans="1:20" ht="15.75">
      <c r="A458" s="80"/>
      <c r="B458" s="80"/>
      <c r="C458" s="80"/>
      <c r="D458" s="80"/>
      <c r="E458" s="80"/>
      <c r="F458" s="80"/>
      <c r="G458" s="80"/>
      <c r="H458" s="80"/>
      <c r="I458" s="80"/>
      <c r="J458" s="80"/>
      <c r="K458" s="80"/>
      <c r="L458" s="80"/>
      <c r="M458" s="80"/>
      <c r="N458" s="80"/>
      <c r="O458" s="80"/>
      <c r="P458" s="80"/>
      <c r="Q458" s="80"/>
      <c r="R458" s="80"/>
      <c r="S458" s="80"/>
      <c r="T458" s="80"/>
    </row>
    <row r="459" spans="1:20" ht="15.75">
      <c r="A459" s="80"/>
      <c r="B459" s="80"/>
      <c r="C459" s="80"/>
      <c r="D459" s="80"/>
      <c r="E459" s="80"/>
      <c r="F459" s="80"/>
      <c r="G459" s="80"/>
      <c r="H459" s="80"/>
      <c r="I459" s="80"/>
      <c r="J459" s="80"/>
      <c r="K459" s="80"/>
      <c r="L459" s="80"/>
      <c r="M459" s="80"/>
      <c r="N459" s="80"/>
      <c r="O459" s="80"/>
      <c r="P459" s="80"/>
      <c r="Q459" s="80"/>
      <c r="R459" s="80"/>
      <c r="S459" s="80"/>
      <c r="T459" s="80"/>
    </row>
    <row r="460" spans="1:20" ht="15.75">
      <c r="A460" s="80"/>
      <c r="B460" s="80"/>
      <c r="C460" s="80"/>
      <c r="D460" s="80"/>
      <c r="E460" s="80"/>
      <c r="F460" s="80"/>
      <c r="G460" s="80"/>
      <c r="H460" s="80"/>
      <c r="I460" s="80"/>
      <c r="J460" s="80"/>
      <c r="K460" s="80"/>
      <c r="L460" s="80"/>
      <c r="M460" s="80"/>
      <c r="N460" s="80"/>
      <c r="O460" s="80"/>
      <c r="P460" s="80"/>
      <c r="Q460" s="80"/>
      <c r="R460" s="80"/>
      <c r="S460" s="80"/>
      <c r="T460" s="80"/>
    </row>
    <row r="461" spans="1:20" ht="15.75">
      <c r="A461" s="80"/>
      <c r="B461" s="80"/>
      <c r="C461" s="80"/>
      <c r="D461" s="80"/>
      <c r="E461" s="80"/>
      <c r="F461" s="80"/>
      <c r="G461" s="80"/>
      <c r="H461" s="80"/>
      <c r="I461" s="80"/>
      <c r="J461" s="80"/>
      <c r="K461" s="80"/>
      <c r="L461" s="80"/>
      <c r="M461" s="80"/>
      <c r="N461" s="80"/>
      <c r="O461" s="80"/>
      <c r="P461" s="80"/>
      <c r="Q461" s="80"/>
      <c r="R461" s="80"/>
      <c r="S461" s="80"/>
      <c r="T461" s="80"/>
    </row>
    <row r="462" spans="1:20" ht="15.75">
      <c r="A462" s="80"/>
      <c r="B462" s="80"/>
      <c r="C462" s="80"/>
      <c r="D462" s="80"/>
      <c r="E462" s="80"/>
      <c r="F462" s="80"/>
      <c r="G462" s="80"/>
      <c r="H462" s="80"/>
      <c r="I462" s="80"/>
      <c r="J462" s="80"/>
      <c r="K462" s="80"/>
      <c r="L462" s="80"/>
      <c r="M462" s="80"/>
      <c r="N462" s="80"/>
      <c r="O462" s="80"/>
      <c r="P462" s="80"/>
      <c r="Q462" s="80"/>
      <c r="R462" s="80"/>
      <c r="S462" s="80"/>
      <c r="T462" s="80"/>
    </row>
    <row r="463" spans="1:20" ht="15.75">
      <c r="A463" s="80"/>
      <c r="B463" s="80"/>
      <c r="C463" s="80"/>
      <c r="D463" s="80"/>
      <c r="E463" s="80"/>
      <c r="F463" s="80"/>
      <c r="G463" s="80"/>
      <c r="H463" s="80"/>
      <c r="I463" s="80"/>
      <c r="J463" s="80"/>
      <c r="K463" s="80"/>
      <c r="L463" s="80"/>
      <c r="M463" s="80"/>
      <c r="N463" s="80"/>
      <c r="O463" s="80"/>
      <c r="P463" s="80"/>
      <c r="Q463" s="80"/>
      <c r="R463" s="80"/>
      <c r="S463" s="80"/>
      <c r="T463" s="80"/>
    </row>
    <row r="464" spans="1:20" ht="15.75">
      <c r="A464" s="80"/>
      <c r="B464" s="80"/>
      <c r="C464" s="80"/>
      <c r="D464" s="80"/>
      <c r="E464" s="80"/>
      <c r="F464" s="80"/>
      <c r="G464" s="80"/>
      <c r="H464" s="80"/>
      <c r="I464" s="80"/>
      <c r="J464" s="80"/>
      <c r="K464" s="80"/>
      <c r="L464" s="80"/>
      <c r="M464" s="80"/>
      <c r="N464" s="80"/>
      <c r="O464" s="80"/>
      <c r="P464" s="80"/>
      <c r="Q464" s="80"/>
      <c r="R464" s="80"/>
      <c r="S464" s="80"/>
      <c r="T464" s="80"/>
    </row>
    <row r="465" spans="1:20" ht="15.75">
      <c r="A465" s="80"/>
      <c r="B465" s="80"/>
      <c r="C465" s="80"/>
      <c r="D465" s="80"/>
      <c r="E465" s="80"/>
      <c r="F465" s="80"/>
      <c r="G465" s="80"/>
      <c r="H465" s="80"/>
      <c r="I465" s="80"/>
      <c r="J465" s="80"/>
      <c r="K465" s="80"/>
      <c r="L465" s="80"/>
      <c r="M465" s="80"/>
      <c r="N465" s="80"/>
      <c r="O465" s="80"/>
      <c r="P465" s="80"/>
      <c r="Q465" s="80"/>
      <c r="R465" s="80"/>
      <c r="S465" s="80"/>
      <c r="T465" s="80"/>
    </row>
    <row r="466" spans="1:20" ht="15.75">
      <c r="A466" s="80"/>
      <c r="B466" s="80"/>
      <c r="C466" s="80"/>
      <c r="D466" s="80"/>
      <c r="E466" s="80"/>
      <c r="F466" s="80"/>
      <c r="G466" s="80"/>
      <c r="H466" s="80"/>
      <c r="I466" s="80"/>
      <c r="J466" s="80"/>
      <c r="K466" s="80"/>
      <c r="L466" s="80"/>
      <c r="M466" s="80"/>
      <c r="N466" s="80"/>
      <c r="O466" s="80"/>
      <c r="P466" s="80"/>
      <c r="Q466" s="80"/>
      <c r="R466" s="80"/>
      <c r="S466" s="80"/>
      <c r="T466" s="80"/>
    </row>
    <row r="467" spans="1:20" ht="15.75">
      <c r="A467" s="80"/>
      <c r="B467" s="80"/>
      <c r="C467" s="80"/>
      <c r="D467" s="80"/>
      <c r="E467" s="80"/>
      <c r="F467" s="80"/>
      <c r="G467" s="80"/>
      <c r="H467" s="80"/>
      <c r="I467" s="80"/>
      <c r="J467" s="80"/>
      <c r="K467" s="80"/>
      <c r="L467" s="80"/>
      <c r="M467" s="80"/>
      <c r="N467" s="80"/>
      <c r="O467" s="80"/>
      <c r="P467" s="80"/>
      <c r="Q467" s="80"/>
      <c r="R467" s="80"/>
      <c r="S467" s="80"/>
      <c r="T467" s="80"/>
    </row>
    <row r="468" spans="1:20" ht="15.75">
      <c r="A468" s="80"/>
      <c r="B468" s="80"/>
      <c r="C468" s="80"/>
      <c r="D468" s="80"/>
      <c r="E468" s="80"/>
      <c r="F468" s="80"/>
      <c r="G468" s="80"/>
      <c r="H468" s="80"/>
      <c r="I468" s="80"/>
      <c r="J468" s="80"/>
      <c r="K468" s="80"/>
      <c r="L468" s="80"/>
      <c r="M468" s="80"/>
      <c r="N468" s="80"/>
      <c r="O468" s="80"/>
      <c r="P468" s="80"/>
      <c r="Q468" s="80"/>
      <c r="R468" s="80"/>
      <c r="S468" s="80"/>
      <c r="T468" s="80"/>
    </row>
    <row r="469" spans="1:20" ht="15.75">
      <c r="A469" s="80"/>
      <c r="B469" s="80"/>
      <c r="C469" s="80"/>
      <c r="D469" s="80"/>
      <c r="E469" s="80"/>
      <c r="F469" s="80"/>
      <c r="G469" s="80"/>
      <c r="H469" s="80"/>
      <c r="I469" s="80"/>
      <c r="J469" s="80"/>
      <c r="K469" s="80"/>
      <c r="L469" s="80"/>
      <c r="M469" s="80"/>
      <c r="N469" s="80"/>
      <c r="O469" s="80"/>
      <c r="P469" s="80"/>
      <c r="Q469" s="80"/>
      <c r="R469" s="80"/>
      <c r="S469" s="80"/>
      <c r="T469" s="80"/>
    </row>
    <row r="470" spans="1:20" ht="15.75">
      <c r="A470" s="80"/>
      <c r="B470" s="80"/>
      <c r="C470" s="80"/>
      <c r="D470" s="80"/>
      <c r="E470" s="80"/>
      <c r="F470" s="80"/>
      <c r="G470" s="80"/>
      <c r="H470" s="80"/>
      <c r="I470" s="80"/>
      <c r="J470" s="80"/>
      <c r="K470" s="80"/>
      <c r="L470" s="80"/>
      <c r="M470" s="80"/>
      <c r="N470" s="80"/>
      <c r="O470" s="80"/>
      <c r="P470" s="80"/>
      <c r="Q470" s="80"/>
      <c r="R470" s="80"/>
      <c r="S470" s="80"/>
      <c r="T470" s="80"/>
    </row>
    <row r="471" spans="1:20" ht="15.75">
      <c r="A471" s="80"/>
      <c r="B471" s="80"/>
      <c r="C471" s="80"/>
      <c r="D471" s="80"/>
      <c r="E471" s="80"/>
      <c r="F471" s="80"/>
      <c r="G471" s="80"/>
      <c r="H471" s="80"/>
      <c r="I471" s="80"/>
      <c r="J471" s="80"/>
      <c r="K471" s="80"/>
      <c r="L471" s="80"/>
      <c r="M471" s="80"/>
      <c r="N471" s="80"/>
      <c r="O471" s="80"/>
      <c r="P471" s="80"/>
      <c r="Q471" s="80"/>
      <c r="R471" s="80"/>
      <c r="S471" s="80"/>
      <c r="T471" s="80"/>
    </row>
    <row r="472" spans="1:20" ht="15.75">
      <c r="A472" s="80"/>
      <c r="B472" s="80"/>
      <c r="C472" s="80"/>
      <c r="D472" s="80"/>
      <c r="E472" s="80"/>
      <c r="F472" s="80"/>
      <c r="G472" s="80"/>
      <c r="H472" s="80"/>
      <c r="I472" s="80"/>
      <c r="J472" s="80"/>
      <c r="K472" s="80"/>
      <c r="L472" s="80"/>
      <c r="M472" s="80"/>
      <c r="N472" s="80"/>
      <c r="O472" s="80"/>
      <c r="P472" s="80"/>
      <c r="Q472" s="80"/>
      <c r="R472" s="80"/>
      <c r="S472" s="80"/>
      <c r="T472" s="80"/>
    </row>
    <row r="473" spans="1:20" ht="15.75">
      <c r="A473" s="80"/>
      <c r="B473" s="80"/>
      <c r="C473" s="80"/>
      <c r="D473" s="80"/>
      <c r="E473" s="80"/>
      <c r="F473" s="80"/>
      <c r="G473" s="80"/>
      <c r="H473" s="80"/>
      <c r="I473" s="80"/>
      <c r="J473" s="80"/>
      <c r="K473" s="80"/>
      <c r="L473" s="80"/>
      <c r="M473" s="80"/>
      <c r="N473" s="80"/>
      <c r="O473" s="80"/>
      <c r="P473" s="80"/>
      <c r="Q473" s="80"/>
      <c r="R473" s="80"/>
      <c r="S473" s="80"/>
      <c r="T473" s="80"/>
    </row>
    <row r="474" spans="1:20" ht="15.75">
      <c r="A474" s="80"/>
      <c r="B474" s="80"/>
      <c r="C474" s="80"/>
      <c r="D474" s="80"/>
      <c r="E474" s="80"/>
      <c r="F474" s="80"/>
      <c r="G474" s="80"/>
      <c r="H474" s="80"/>
      <c r="I474" s="80"/>
      <c r="J474" s="80"/>
      <c r="K474" s="80"/>
      <c r="L474" s="80"/>
      <c r="M474" s="80"/>
      <c r="N474" s="80"/>
      <c r="O474" s="80"/>
      <c r="P474" s="80"/>
      <c r="Q474" s="80"/>
      <c r="R474" s="80"/>
      <c r="S474" s="80"/>
      <c r="T474" s="80"/>
    </row>
    <row r="475" spans="1:20" ht="15.75">
      <c r="A475" s="80"/>
      <c r="B475" s="80"/>
      <c r="C475" s="80"/>
      <c r="D475" s="80"/>
      <c r="E475" s="80"/>
      <c r="F475" s="80"/>
      <c r="G475" s="80"/>
      <c r="H475" s="80"/>
      <c r="I475" s="80"/>
      <c r="J475" s="80"/>
      <c r="K475" s="80"/>
      <c r="L475" s="80"/>
      <c r="M475" s="80"/>
      <c r="N475" s="80"/>
      <c r="O475" s="80"/>
      <c r="P475" s="80"/>
      <c r="Q475" s="80"/>
      <c r="R475" s="80"/>
      <c r="S475" s="80"/>
      <c r="T475" s="80"/>
    </row>
    <row r="476" spans="1:20" ht="15.75">
      <c r="A476" s="80"/>
      <c r="B476" s="80"/>
      <c r="C476" s="80"/>
      <c r="D476" s="80"/>
      <c r="E476" s="80"/>
      <c r="F476" s="80"/>
      <c r="G476" s="80"/>
      <c r="H476" s="80"/>
      <c r="I476" s="80"/>
      <c r="J476" s="80"/>
      <c r="K476" s="80"/>
      <c r="L476" s="80"/>
      <c r="M476" s="80"/>
      <c r="N476" s="80"/>
      <c r="O476" s="80"/>
      <c r="P476" s="80"/>
      <c r="Q476" s="80"/>
      <c r="R476" s="80"/>
      <c r="S476" s="80"/>
      <c r="T476" s="80"/>
    </row>
    <row r="477" spans="1:20" ht="15.75">
      <c r="A477" s="80"/>
      <c r="B477" s="80"/>
      <c r="C477" s="80"/>
      <c r="D477" s="80"/>
      <c r="E477" s="80"/>
      <c r="F477" s="80"/>
      <c r="G477" s="80"/>
      <c r="H477" s="80"/>
      <c r="I477" s="80"/>
      <c r="J477" s="80"/>
      <c r="K477" s="80"/>
      <c r="L477" s="80"/>
      <c r="M477" s="80"/>
      <c r="N477" s="80"/>
      <c r="O477" s="80"/>
      <c r="P477" s="80"/>
      <c r="Q477" s="80"/>
      <c r="R477" s="80"/>
      <c r="S477" s="80"/>
      <c r="T477" s="80"/>
    </row>
    <row r="478" spans="1:20" ht="15.75">
      <c r="A478" s="80"/>
      <c r="B478" s="80"/>
      <c r="C478" s="80"/>
      <c r="D478" s="80"/>
      <c r="E478" s="80"/>
      <c r="F478" s="80"/>
      <c r="G478" s="80"/>
      <c r="H478" s="80"/>
      <c r="I478" s="80"/>
      <c r="J478" s="80"/>
      <c r="K478" s="80"/>
      <c r="L478" s="80"/>
      <c r="M478" s="80"/>
      <c r="N478" s="80"/>
      <c r="O478" s="80"/>
      <c r="P478" s="80"/>
      <c r="Q478" s="80"/>
      <c r="R478" s="80"/>
      <c r="S478" s="80"/>
      <c r="T478" s="80"/>
    </row>
    <row r="479" spans="1:20" ht="15.75">
      <c r="A479" s="80"/>
      <c r="B479" s="80"/>
      <c r="C479" s="80"/>
      <c r="D479" s="80"/>
      <c r="E479" s="80"/>
      <c r="F479" s="80"/>
      <c r="G479" s="80"/>
      <c r="H479" s="80"/>
      <c r="I479" s="80"/>
      <c r="J479" s="80"/>
      <c r="K479" s="80"/>
      <c r="L479" s="80"/>
      <c r="M479" s="80"/>
      <c r="N479" s="80"/>
      <c r="O479" s="80"/>
      <c r="P479" s="80"/>
      <c r="Q479" s="80"/>
      <c r="R479" s="80"/>
      <c r="S479" s="80"/>
      <c r="T479" s="80"/>
    </row>
    <row r="480" spans="1:20" ht="15.75">
      <c r="A480" s="80"/>
      <c r="B480" s="80"/>
      <c r="C480" s="80"/>
      <c r="D480" s="80"/>
      <c r="E480" s="80"/>
      <c r="F480" s="80"/>
      <c r="G480" s="80"/>
      <c r="H480" s="80"/>
      <c r="I480" s="80"/>
      <c r="J480" s="80"/>
      <c r="K480" s="80"/>
      <c r="L480" s="80"/>
      <c r="M480" s="80"/>
      <c r="N480" s="80"/>
      <c r="O480" s="80"/>
      <c r="P480" s="80"/>
      <c r="Q480" s="80"/>
      <c r="R480" s="80"/>
      <c r="S480" s="80"/>
      <c r="T480" s="80"/>
    </row>
    <row r="481" spans="1:20" ht="15.75">
      <c r="A481" s="80"/>
      <c r="B481" s="80"/>
      <c r="C481" s="80"/>
      <c r="D481" s="80"/>
      <c r="E481" s="80"/>
      <c r="F481" s="80"/>
      <c r="G481" s="80"/>
      <c r="H481" s="80"/>
      <c r="I481" s="80"/>
      <c r="J481" s="80"/>
      <c r="K481" s="80"/>
      <c r="L481" s="80"/>
      <c r="M481" s="80"/>
      <c r="N481" s="80"/>
      <c r="O481" s="80"/>
      <c r="P481" s="80"/>
      <c r="Q481" s="80"/>
      <c r="R481" s="80"/>
      <c r="S481" s="80"/>
      <c r="T481" s="80"/>
    </row>
    <row r="482" spans="1:20" ht="15.75">
      <c r="A482" s="80"/>
      <c r="B482" s="80"/>
      <c r="C482" s="80"/>
      <c r="D482" s="80"/>
      <c r="E482" s="80"/>
      <c r="F482" s="80"/>
      <c r="G482" s="80"/>
      <c r="H482" s="80"/>
      <c r="I482" s="80"/>
      <c r="J482" s="80"/>
      <c r="K482" s="80"/>
      <c r="L482" s="80"/>
      <c r="M482" s="80"/>
      <c r="N482" s="80"/>
      <c r="O482" s="80"/>
      <c r="P482" s="80"/>
      <c r="Q482" s="80"/>
      <c r="R482" s="80"/>
      <c r="S482" s="80"/>
      <c r="T482" s="80"/>
    </row>
    <row r="483" spans="1:20" ht="15.75">
      <c r="A483" s="80"/>
      <c r="B483" s="80"/>
      <c r="C483" s="80"/>
      <c r="D483" s="80"/>
      <c r="E483" s="80"/>
      <c r="F483" s="80"/>
      <c r="G483" s="80"/>
      <c r="H483" s="80"/>
      <c r="I483" s="80"/>
      <c r="J483" s="80"/>
      <c r="K483" s="80"/>
      <c r="L483" s="80"/>
      <c r="M483" s="80"/>
      <c r="N483" s="80"/>
      <c r="O483" s="80"/>
      <c r="P483" s="80"/>
      <c r="Q483" s="80"/>
      <c r="R483" s="80"/>
      <c r="S483" s="80"/>
      <c r="T483" s="80"/>
    </row>
    <row r="484" spans="1:20" ht="15.75">
      <c r="A484" s="80"/>
      <c r="B484" s="80"/>
      <c r="C484" s="80"/>
      <c r="D484" s="80"/>
      <c r="E484" s="80"/>
      <c r="F484" s="80"/>
      <c r="G484" s="80"/>
      <c r="H484" s="80"/>
      <c r="I484" s="80"/>
      <c r="J484" s="80"/>
      <c r="K484" s="80"/>
      <c r="L484" s="80"/>
      <c r="M484" s="80"/>
      <c r="N484" s="80"/>
      <c r="O484" s="80"/>
      <c r="P484" s="80"/>
      <c r="Q484" s="80"/>
      <c r="R484" s="80"/>
      <c r="S484" s="80"/>
      <c r="T484" s="80"/>
    </row>
    <row r="485" spans="1:20" ht="15.75">
      <c r="A485" s="80"/>
      <c r="B485" s="80"/>
      <c r="C485" s="80"/>
      <c r="D485" s="80"/>
      <c r="E485" s="80"/>
      <c r="F485" s="80"/>
      <c r="G485" s="80"/>
      <c r="H485" s="80"/>
      <c r="I485" s="80"/>
      <c r="J485" s="80"/>
      <c r="K485" s="80"/>
      <c r="L485" s="80"/>
      <c r="M485" s="80"/>
      <c r="N485" s="80"/>
      <c r="O485" s="80"/>
      <c r="P485" s="80"/>
      <c r="Q485" s="80"/>
      <c r="R485" s="80"/>
      <c r="S485" s="80"/>
      <c r="T485" s="80"/>
    </row>
    <row r="486" spans="1:20" ht="15.75">
      <c r="A486" s="80"/>
      <c r="B486" s="80"/>
      <c r="C486" s="80"/>
      <c r="D486" s="80"/>
      <c r="E486" s="80"/>
      <c r="F486" s="80"/>
      <c r="G486" s="80"/>
      <c r="H486" s="80"/>
      <c r="I486" s="80"/>
      <c r="J486" s="80"/>
      <c r="K486" s="80"/>
      <c r="L486" s="80"/>
      <c r="M486" s="80"/>
      <c r="N486" s="80"/>
      <c r="O486" s="80"/>
      <c r="P486" s="80"/>
      <c r="Q486" s="80"/>
      <c r="R486" s="80"/>
      <c r="S486" s="80"/>
      <c r="T486" s="80"/>
    </row>
    <row r="487" spans="1:20" ht="15.75">
      <c r="A487" s="80"/>
      <c r="B487" s="80"/>
      <c r="C487" s="80"/>
      <c r="D487" s="80"/>
      <c r="E487" s="80"/>
      <c r="F487" s="80"/>
      <c r="G487" s="80"/>
      <c r="H487" s="80"/>
      <c r="I487" s="80"/>
      <c r="J487" s="80"/>
      <c r="K487" s="80"/>
      <c r="L487" s="80"/>
      <c r="M487" s="80"/>
      <c r="N487" s="80"/>
      <c r="O487" s="80"/>
      <c r="P487" s="80"/>
      <c r="Q487" s="80"/>
      <c r="R487" s="80"/>
      <c r="S487" s="80"/>
      <c r="T487" s="80"/>
    </row>
    <row r="488" spans="1:20" ht="15.75">
      <c r="A488" s="80"/>
      <c r="B488" s="80"/>
      <c r="C488" s="80"/>
      <c r="D488" s="80"/>
      <c r="E488" s="80"/>
      <c r="F488" s="80"/>
      <c r="G488" s="80"/>
      <c r="H488" s="80"/>
      <c r="I488" s="80"/>
      <c r="J488" s="80"/>
      <c r="K488" s="80"/>
      <c r="L488" s="80"/>
      <c r="M488" s="80"/>
      <c r="N488" s="80"/>
      <c r="O488" s="80"/>
      <c r="P488" s="80"/>
      <c r="Q488" s="80"/>
      <c r="R488" s="80"/>
      <c r="S488" s="80"/>
      <c r="T488" s="80"/>
    </row>
    <row r="489" spans="1:20" ht="15.75">
      <c r="A489" s="80"/>
      <c r="B489" s="80"/>
      <c r="C489" s="80"/>
      <c r="D489" s="80"/>
      <c r="E489" s="80"/>
      <c r="F489" s="80"/>
      <c r="G489" s="80"/>
      <c r="H489" s="80"/>
      <c r="I489" s="80"/>
      <c r="J489" s="80"/>
      <c r="K489" s="80"/>
      <c r="L489" s="80"/>
      <c r="M489" s="80"/>
      <c r="N489" s="80"/>
      <c r="O489" s="80"/>
      <c r="P489" s="80"/>
      <c r="Q489" s="80"/>
      <c r="R489" s="80"/>
      <c r="S489" s="80"/>
      <c r="T489" s="80"/>
    </row>
    <row r="490" spans="1:20" ht="15.75">
      <c r="A490" s="80"/>
      <c r="B490" s="80"/>
      <c r="C490" s="80"/>
      <c r="D490" s="80"/>
      <c r="E490" s="80"/>
      <c r="F490" s="80"/>
      <c r="G490" s="80"/>
      <c r="H490" s="80"/>
      <c r="I490" s="80"/>
      <c r="J490" s="80"/>
      <c r="K490" s="80"/>
      <c r="L490" s="80"/>
      <c r="M490" s="80"/>
      <c r="N490" s="80"/>
      <c r="O490" s="80"/>
      <c r="P490" s="80"/>
      <c r="Q490" s="80"/>
      <c r="R490" s="80"/>
      <c r="S490" s="80"/>
      <c r="T490" s="80"/>
    </row>
    <row r="491" spans="1:20" ht="15.75">
      <c r="A491" s="80"/>
      <c r="B491" s="80"/>
      <c r="C491" s="80"/>
      <c r="D491" s="80"/>
      <c r="E491" s="80"/>
      <c r="F491" s="80"/>
      <c r="G491" s="80"/>
      <c r="H491" s="80"/>
      <c r="I491" s="80"/>
      <c r="J491" s="80"/>
      <c r="K491" s="80"/>
      <c r="L491" s="80"/>
      <c r="M491" s="80"/>
      <c r="N491" s="80"/>
      <c r="O491" s="80"/>
      <c r="P491" s="80"/>
      <c r="Q491" s="80"/>
      <c r="R491" s="80"/>
      <c r="S491" s="80"/>
      <c r="T491" s="80"/>
    </row>
    <row r="492" spans="1:20" ht="15.75">
      <c r="A492" s="80"/>
      <c r="B492" s="80"/>
      <c r="C492" s="80"/>
      <c r="D492" s="80"/>
      <c r="E492" s="80"/>
      <c r="F492" s="80"/>
      <c r="G492" s="80"/>
      <c r="H492" s="80"/>
      <c r="I492" s="80"/>
      <c r="J492" s="80"/>
      <c r="K492" s="80"/>
      <c r="L492" s="80"/>
      <c r="M492" s="80"/>
      <c r="N492" s="80"/>
      <c r="O492" s="80"/>
      <c r="P492" s="80"/>
      <c r="Q492" s="80"/>
      <c r="R492" s="80"/>
      <c r="S492" s="80"/>
      <c r="T492" s="80"/>
    </row>
    <row r="493" spans="1:20" ht="15.75">
      <c r="A493" s="80"/>
      <c r="B493" s="80"/>
      <c r="C493" s="80"/>
      <c r="D493" s="80"/>
      <c r="E493" s="80"/>
      <c r="F493" s="80"/>
      <c r="G493" s="80"/>
      <c r="H493" s="80"/>
      <c r="I493" s="80"/>
      <c r="J493" s="80"/>
      <c r="K493" s="80"/>
      <c r="L493" s="80"/>
      <c r="M493" s="80"/>
      <c r="N493" s="80"/>
      <c r="O493" s="80"/>
      <c r="P493" s="80"/>
      <c r="Q493" s="80"/>
      <c r="R493" s="80"/>
      <c r="S493" s="80"/>
      <c r="T493" s="80"/>
    </row>
    <row r="494" spans="1:20" ht="15.75">
      <c r="A494" s="80"/>
      <c r="B494" s="80"/>
      <c r="C494" s="80"/>
      <c r="D494" s="80"/>
      <c r="E494" s="80"/>
      <c r="F494" s="80"/>
      <c r="G494" s="80"/>
      <c r="H494" s="80"/>
      <c r="I494" s="80"/>
      <c r="J494" s="80"/>
      <c r="K494" s="80"/>
      <c r="L494" s="80"/>
      <c r="M494" s="80"/>
      <c r="N494" s="80"/>
      <c r="O494" s="80"/>
      <c r="P494" s="80"/>
      <c r="Q494" s="80"/>
      <c r="R494" s="80"/>
      <c r="S494" s="80"/>
      <c r="T494" s="80"/>
    </row>
    <row r="495" spans="1:20" ht="15.75">
      <c r="A495" s="80"/>
      <c r="B495" s="80"/>
      <c r="C495" s="80"/>
      <c r="D495" s="80"/>
      <c r="E495" s="80"/>
      <c r="F495" s="80"/>
      <c r="G495" s="80"/>
      <c r="H495" s="80"/>
      <c r="I495" s="80"/>
      <c r="J495" s="80"/>
      <c r="K495" s="80"/>
      <c r="L495" s="80"/>
      <c r="M495" s="80"/>
      <c r="N495" s="80"/>
      <c r="O495" s="80"/>
      <c r="P495" s="80"/>
      <c r="Q495" s="80"/>
      <c r="R495" s="80"/>
      <c r="S495" s="80"/>
      <c r="T495" s="80"/>
    </row>
    <row r="496" spans="1:20" ht="15.75">
      <c r="A496" s="80"/>
      <c r="B496" s="80"/>
      <c r="C496" s="80"/>
      <c r="D496" s="80"/>
      <c r="E496" s="80"/>
      <c r="F496" s="80"/>
      <c r="G496" s="80"/>
      <c r="H496" s="80"/>
      <c r="I496" s="80"/>
      <c r="J496" s="80"/>
      <c r="K496" s="80"/>
      <c r="L496" s="80"/>
      <c r="M496" s="80"/>
      <c r="N496" s="80"/>
      <c r="O496" s="80"/>
      <c r="P496" s="80"/>
      <c r="Q496" s="80"/>
      <c r="R496" s="80"/>
      <c r="S496" s="80"/>
      <c r="T496" s="80"/>
    </row>
    <row r="497" spans="1:20" ht="15.75">
      <c r="A497" s="80"/>
      <c r="B497" s="80"/>
      <c r="C497" s="80"/>
      <c r="D497" s="80"/>
      <c r="E497" s="80"/>
      <c r="F497" s="80"/>
      <c r="G497" s="80"/>
      <c r="H497" s="80"/>
      <c r="I497" s="80"/>
      <c r="J497" s="80"/>
      <c r="K497" s="80"/>
      <c r="L497" s="80"/>
      <c r="M497" s="80"/>
      <c r="N497" s="80"/>
      <c r="O497" s="80"/>
      <c r="P497" s="80"/>
      <c r="Q497" s="80"/>
      <c r="R497" s="80"/>
      <c r="S497" s="80"/>
      <c r="T497" s="80"/>
    </row>
    <row r="498" spans="1:20" ht="15.75">
      <c r="A498" s="80"/>
      <c r="B498" s="80"/>
      <c r="C498" s="80"/>
      <c r="D498" s="80"/>
      <c r="E498" s="80"/>
      <c r="F498" s="80"/>
      <c r="G498" s="80"/>
      <c r="H498" s="80"/>
      <c r="I498" s="80"/>
      <c r="J498" s="80"/>
      <c r="K498" s="80"/>
      <c r="L498" s="80"/>
      <c r="M498" s="80"/>
      <c r="N498" s="80"/>
      <c r="O498" s="80"/>
      <c r="P498" s="80"/>
      <c r="Q498" s="80"/>
      <c r="R498" s="80"/>
      <c r="S498" s="80"/>
      <c r="T498" s="80"/>
    </row>
    <row r="499" spans="1:20" ht="15.75">
      <c r="A499" s="80"/>
      <c r="B499" s="80"/>
      <c r="C499" s="80"/>
      <c r="D499" s="80"/>
      <c r="E499" s="80"/>
      <c r="F499" s="80"/>
      <c r="G499" s="80"/>
      <c r="H499" s="80"/>
      <c r="I499" s="80"/>
      <c r="J499" s="80"/>
      <c r="K499" s="80"/>
      <c r="L499" s="80"/>
      <c r="M499" s="80"/>
      <c r="N499" s="80"/>
      <c r="O499" s="80"/>
      <c r="P499" s="80"/>
      <c r="Q499" s="80"/>
      <c r="R499" s="80"/>
      <c r="S499" s="80"/>
      <c r="T499" s="80"/>
    </row>
    <row r="500" spans="1:20" ht="15.75">
      <c r="A500" s="80"/>
      <c r="B500" s="80"/>
      <c r="C500" s="80"/>
      <c r="D500" s="80"/>
      <c r="E500" s="80"/>
      <c r="F500" s="80"/>
      <c r="G500" s="80"/>
      <c r="H500" s="80"/>
      <c r="I500" s="80"/>
      <c r="J500" s="80"/>
      <c r="K500" s="80"/>
      <c r="L500" s="80"/>
      <c r="M500" s="80"/>
      <c r="N500" s="80"/>
      <c r="O500" s="80"/>
      <c r="P500" s="80"/>
      <c r="Q500" s="80"/>
      <c r="R500" s="80"/>
      <c r="S500" s="80"/>
      <c r="T500" s="80"/>
    </row>
    <row r="501" spans="1:20" ht="15.75">
      <c r="A501" s="80"/>
      <c r="B501" s="80"/>
      <c r="C501" s="80"/>
      <c r="D501" s="80"/>
      <c r="E501" s="80"/>
      <c r="F501" s="80"/>
      <c r="G501" s="80"/>
      <c r="H501" s="80"/>
      <c r="I501" s="80"/>
      <c r="J501" s="80"/>
      <c r="K501" s="80"/>
      <c r="L501" s="80"/>
      <c r="M501" s="80"/>
      <c r="N501" s="80"/>
      <c r="O501" s="80"/>
      <c r="P501" s="80"/>
      <c r="Q501" s="80"/>
      <c r="R501" s="80"/>
      <c r="S501" s="80"/>
      <c r="T501" s="80"/>
    </row>
    <row r="502" spans="1:20" ht="15.75">
      <c r="A502" s="80"/>
      <c r="B502" s="80"/>
      <c r="C502" s="80"/>
      <c r="D502" s="80"/>
      <c r="E502" s="80"/>
      <c r="F502" s="80"/>
      <c r="G502" s="80"/>
      <c r="H502" s="80"/>
      <c r="I502" s="80"/>
      <c r="J502" s="80"/>
      <c r="K502" s="80"/>
      <c r="L502" s="80"/>
      <c r="M502" s="80"/>
      <c r="N502" s="80"/>
      <c r="O502" s="80"/>
      <c r="P502" s="80"/>
      <c r="Q502" s="80"/>
      <c r="R502" s="80"/>
      <c r="S502" s="80"/>
      <c r="T502" s="80"/>
    </row>
    <row r="503" spans="1:20" ht="15.75">
      <c r="A503" s="80"/>
      <c r="B503" s="80"/>
      <c r="C503" s="80"/>
      <c r="D503" s="80"/>
      <c r="E503" s="80"/>
      <c r="F503" s="80"/>
      <c r="G503" s="80"/>
      <c r="H503" s="80"/>
      <c r="I503" s="80"/>
      <c r="J503" s="80"/>
      <c r="K503" s="80"/>
      <c r="L503" s="80"/>
      <c r="M503" s="80"/>
      <c r="N503" s="80"/>
      <c r="O503" s="80"/>
      <c r="P503" s="80"/>
      <c r="Q503" s="80"/>
      <c r="R503" s="80"/>
      <c r="S503" s="80"/>
      <c r="T503" s="80"/>
    </row>
    <row r="504" spans="1:20" ht="15.75">
      <c r="A504" s="80"/>
      <c r="B504" s="80"/>
      <c r="C504" s="80"/>
      <c r="D504" s="80"/>
      <c r="E504" s="80"/>
      <c r="F504" s="80"/>
      <c r="G504" s="80"/>
      <c r="H504" s="80"/>
      <c r="I504" s="80"/>
      <c r="J504" s="80"/>
      <c r="K504" s="80"/>
      <c r="L504" s="80"/>
      <c r="M504" s="80"/>
      <c r="N504" s="80"/>
      <c r="O504" s="80"/>
      <c r="P504" s="80"/>
      <c r="Q504" s="80"/>
      <c r="R504" s="80"/>
      <c r="S504" s="80"/>
      <c r="T504" s="80"/>
    </row>
    <row r="505" spans="1:20" ht="15.75">
      <c r="A505" s="80"/>
      <c r="B505" s="80"/>
      <c r="C505" s="80"/>
      <c r="D505" s="80"/>
      <c r="E505" s="80"/>
      <c r="F505" s="80"/>
      <c r="G505" s="80"/>
      <c r="H505" s="80"/>
      <c r="I505" s="80"/>
      <c r="J505" s="80"/>
      <c r="K505" s="80"/>
      <c r="L505" s="80"/>
      <c r="M505" s="80"/>
      <c r="N505" s="80"/>
      <c r="O505" s="80"/>
      <c r="P505" s="80"/>
      <c r="Q505" s="80"/>
      <c r="R505" s="80"/>
      <c r="S505" s="80"/>
      <c r="T505" s="80"/>
    </row>
    <row r="506" spans="1:20" ht="15.75">
      <c r="A506" s="80"/>
      <c r="B506" s="80"/>
      <c r="C506" s="80"/>
      <c r="D506" s="80"/>
      <c r="E506" s="80"/>
      <c r="F506" s="80"/>
      <c r="G506" s="80"/>
      <c r="H506" s="80"/>
      <c r="I506" s="80"/>
      <c r="J506" s="80"/>
      <c r="K506" s="80"/>
      <c r="L506" s="80"/>
      <c r="M506" s="80"/>
      <c r="N506" s="80"/>
      <c r="O506" s="80"/>
      <c r="P506" s="80"/>
      <c r="Q506" s="80"/>
      <c r="R506" s="80"/>
      <c r="S506" s="80"/>
      <c r="T506" s="80"/>
    </row>
    <row r="507" spans="1:20" ht="15.75">
      <c r="A507" s="80"/>
      <c r="B507" s="80"/>
      <c r="C507" s="80"/>
      <c r="D507" s="80"/>
      <c r="E507" s="80"/>
      <c r="F507" s="80"/>
      <c r="G507" s="80"/>
      <c r="H507" s="80"/>
      <c r="I507" s="80"/>
      <c r="J507" s="80"/>
      <c r="K507" s="80"/>
      <c r="L507" s="80"/>
      <c r="M507" s="80"/>
      <c r="N507" s="80"/>
      <c r="O507" s="80"/>
      <c r="P507" s="80"/>
      <c r="Q507" s="80"/>
      <c r="R507" s="80"/>
      <c r="S507" s="80"/>
      <c r="T507" s="80"/>
    </row>
    <row r="508" spans="1:20" ht="15.75">
      <c r="A508" s="80"/>
      <c r="B508" s="80"/>
      <c r="C508" s="80"/>
      <c r="D508" s="80"/>
      <c r="E508" s="80"/>
      <c r="F508" s="80"/>
      <c r="G508" s="80"/>
      <c r="H508" s="80"/>
      <c r="I508" s="80"/>
      <c r="J508" s="80"/>
      <c r="K508" s="80"/>
      <c r="L508" s="80"/>
      <c r="M508" s="80"/>
      <c r="N508" s="80"/>
      <c r="O508" s="80"/>
      <c r="P508" s="80"/>
      <c r="Q508" s="80"/>
      <c r="R508" s="80"/>
      <c r="S508" s="80"/>
      <c r="T508" s="80"/>
    </row>
    <row r="509" spans="1:20" ht="15.75">
      <c r="A509" s="80"/>
      <c r="B509" s="80"/>
      <c r="C509" s="80"/>
      <c r="D509" s="80"/>
      <c r="E509" s="80"/>
      <c r="F509" s="80"/>
      <c r="G509" s="80"/>
      <c r="H509" s="80"/>
      <c r="I509" s="80"/>
      <c r="J509" s="80"/>
      <c r="K509" s="80"/>
      <c r="L509" s="80"/>
      <c r="M509" s="80"/>
      <c r="N509" s="80"/>
      <c r="O509" s="80"/>
      <c r="P509" s="80"/>
      <c r="Q509" s="80"/>
      <c r="R509" s="80"/>
      <c r="S509" s="80"/>
      <c r="T509" s="80"/>
    </row>
    <row r="510" spans="1:20" ht="15.75">
      <c r="A510" s="80"/>
      <c r="B510" s="80"/>
      <c r="C510" s="80"/>
      <c r="D510" s="80"/>
      <c r="E510" s="80"/>
      <c r="F510" s="80"/>
      <c r="G510" s="80"/>
      <c r="H510" s="80"/>
      <c r="I510" s="80"/>
      <c r="J510" s="80"/>
      <c r="K510" s="80"/>
      <c r="L510" s="80"/>
      <c r="M510" s="80"/>
      <c r="N510" s="80"/>
      <c r="O510" s="80"/>
      <c r="P510" s="80"/>
      <c r="Q510" s="80"/>
      <c r="R510" s="80"/>
      <c r="S510" s="80"/>
      <c r="T510" s="80"/>
    </row>
    <row r="511" spans="1:20" ht="15.75">
      <c r="A511" s="80"/>
      <c r="B511" s="80"/>
      <c r="C511" s="80"/>
      <c r="D511" s="80"/>
      <c r="E511" s="80"/>
      <c r="F511" s="80"/>
      <c r="G511" s="80"/>
      <c r="H511" s="80"/>
      <c r="I511" s="80"/>
      <c r="J511" s="80"/>
      <c r="K511" s="80"/>
      <c r="L511" s="80"/>
      <c r="M511" s="80"/>
      <c r="N511" s="80"/>
      <c r="O511" s="80"/>
      <c r="P511" s="80"/>
      <c r="Q511" s="80"/>
      <c r="R511" s="80"/>
      <c r="S511" s="80"/>
      <c r="T511" s="80"/>
    </row>
    <row r="512" spans="1:20" ht="15.75">
      <c r="A512" s="80"/>
      <c r="B512" s="80"/>
      <c r="C512" s="80"/>
      <c r="D512" s="80"/>
      <c r="E512" s="80"/>
      <c r="F512" s="80"/>
      <c r="G512" s="80"/>
      <c r="H512" s="80"/>
      <c r="I512" s="80"/>
      <c r="J512" s="80"/>
      <c r="K512" s="80"/>
      <c r="L512" s="80"/>
      <c r="M512" s="80"/>
      <c r="N512" s="80"/>
      <c r="O512" s="80"/>
      <c r="P512" s="80"/>
      <c r="Q512" s="80"/>
      <c r="R512" s="80"/>
      <c r="S512" s="80"/>
      <c r="T512" s="80"/>
    </row>
    <row r="513" spans="1:20" ht="15.75">
      <c r="A513" s="80"/>
      <c r="B513" s="80"/>
      <c r="C513" s="80"/>
      <c r="D513" s="80"/>
      <c r="E513" s="80"/>
      <c r="F513" s="80"/>
      <c r="G513" s="80"/>
      <c r="H513" s="80"/>
      <c r="I513" s="80"/>
      <c r="J513" s="80"/>
      <c r="K513" s="80"/>
      <c r="L513" s="80"/>
      <c r="M513" s="80"/>
      <c r="N513" s="80"/>
      <c r="O513" s="80"/>
      <c r="P513" s="80"/>
      <c r="Q513" s="80"/>
      <c r="R513" s="80"/>
      <c r="S513" s="80"/>
      <c r="T513" s="80"/>
    </row>
    <row r="514" spans="1:20" ht="15.75">
      <c r="A514" s="80"/>
      <c r="B514" s="80"/>
      <c r="C514" s="80"/>
      <c r="D514" s="80"/>
      <c r="E514" s="80"/>
      <c r="F514" s="80"/>
      <c r="G514" s="80"/>
      <c r="H514" s="80"/>
      <c r="I514" s="80"/>
      <c r="J514" s="80"/>
      <c r="K514" s="80"/>
      <c r="L514" s="80"/>
      <c r="M514" s="80"/>
      <c r="N514" s="80"/>
      <c r="O514" s="80"/>
      <c r="P514" s="80"/>
      <c r="Q514" s="80"/>
      <c r="R514" s="80"/>
      <c r="S514" s="80"/>
      <c r="T514" s="80"/>
    </row>
    <row r="515" spans="1:20" ht="15.75">
      <c r="A515" s="80"/>
      <c r="B515" s="80"/>
      <c r="C515" s="80"/>
      <c r="D515" s="80"/>
      <c r="E515" s="80"/>
      <c r="F515" s="80"/>
      <c r="G515" s="80"/>
      <c r="H515" s="80"/>
      <c r="I515" s="80"/>
      <c r="J515" s="80"/>
      <c r="K515" s="80"/>
      <c r="L515" s="80"/>
      <c r="M515" s="80"/>
      <c r="N515" s="80"/>
      <c r="O515" s="80"/>
      <c r="P515" s="80"/>
      <c r="Q515" s="80"/>
      <c r="R515" s="80"/>
      <c r="S515" s="80"/>
      <c r="T515" s="80"/>
    </row>
    <row r="516" spans="1:20" ht="15.75">
      <c r="A516" s="80"/>
      <c r="B516" s="80"/>
      <c r="C516" s="80"/>
      <c r="D516" s="80"/>
      <c r="E516" s="80"/>
      <c r="F516" s="80"/>
      <c r="G516" s="80"/>
      <c r="H516" s="80"/>
      <c r="I516" s="80"/>
      <c r="J516" s="80"/>
      <c r="K516" s="80"/>
      <c r="L516" s="80"/>
      <c r="M516" s="80"/>
      <c r="N516" s="80"/>
      <c r="O516" s="80"/>
      <c r="P516" s="80"/>
      <c r="Q516" s="80"/>
      <c r="R516" s="80"/>
      <c r="S516" s="80"/>
      <c r="T516" s="80"/>
    </row>
    <row r="517" spans="1:20" ht="15.75">
      <c r="A517" s="80"/>
      <c r="B517" s="80"/>
      <c r="C517" s="80"/>
      <c r="D517" s="80"/>
      <c r="E517" s="80"/>
      <c r="F517" s="80"/>
      <c r="G517" s="80"/>
      <c r="H517" s="80"/>
      <c r="I517" s="80"/>
      <c r="J517" s="80"/>
      <c r="K517" s="80"/>
      <c r="L517" s="80"/>
      <c r="M517" s="80"/>
      <c r="N517" s="80"/>
      <c r="O517" s="80"/>
      <c r="P517" s="80"/>
      <c r="Q517" s="80"/>
      <c r="R517" s="80"/>
      <c r="S517" s="80"/>
      <c r="T517" s="80"/>
    </row>
    <row r="518" spans="1:20" ht="15.75">
      <c r="A518" s="80"/>
      <c r="B518" s="80"/>
      <c r="C518" s="80"/>
      <c r="D518" s="80"/>
      <c r="E518" s="80"/>
      <c r="F518" s="80"/>
      <c r="G518" s="80"/>
      <c r="H518" s="80"/>
      <c r="I518" s="80"/>
      <c r="J518" s="80"/>
      <c r="K518" s="80"/>
      <c r="L518" s="80"/>
      <c r="M518" s="80"/>
      <c r="N518" s="80"/>
      <c r="O518" s="80"/>
      <c r="P518" s="80"/>
      <c r="Q518" s="80"/>
      <c r="R518" s="80"/>
      <c r="S518" s="80"/>
      <c r="T518" s="80"/>
    </row>
    <row r="519" spans="1:20" ht="15.75">
      <c r="A519" s="80"/>
      <c r="B519" s="80"/>
      <c r="C519" s="80"/>
      <c r="D519" s="80"/>
      <c r="E519" s="80"/>
      <c r="F519" s="80"/>
      <c r="G519" s="80"/>
      <c r="H519" s="80"/>
      <c r="I519" s="80"/>
      <c r="J519" s="80"/>
      <c r="K519" s="80"/>
      <c r="L519" s="80"/>
      <c r="M519" s="80"/>
      <c r="N519" s="80"/>
      <c r="O519" s="80"/>
      <c r="P519" s="80"/>
      <c r="Q519" s="80"/>
      <c r="R519" s="80"/>
      <c r="S519" s="80"/>
      <c r="T519" s="80"/>
    </row>
    <row r="520" spans="1:20" ht="15.75">
      <c r="A520" s="80"/>
      <c r="B520" s="80"/>
      <c r="C520" s="80"/>
      <c r="D520" s="80"/>
      <c r="E520" s="80"/>
      <c r="F520" s="80"/>
      <c r="G520" s="80"/>
      <c r="H520" s="80"/>
      <c r="I520" s="80"/>
      <c r="J520" s="80"/>
      <c r="K520" s="80"/>
      <c r="L520" s="80"/>
      <c r="M520" s="80"/>
      <c r="N520" s="80"/>
      <c r="O520" s="80"/>
      <c r="P520" s="80"/>
      <c r="Q520" s="80"/>
      <c r="R520" s="80"/>
      <c r="S520" s="80"/>
      <c r="T520" s="80"/>
    </row>
    <row r="521" spans="1:20" ht="15.75">
      <c r="A521" s="80"/>
      <c r="B521" s="80"/>
      <c r="C521" s="80"/>
      <c r="D521" s="80"/>
      <c r="E521" s="80"/>
      <c r="F521" s="80"/>
      <c r="G521" s="80"/>
      <c r="H521" s="80"/>
      <c r="I521" s="80"/>
      <c r="J521" s="80"/>
      <c r="K521" s="80"/>
      <c r="L521" s="80"/>
      <c r="M521" s="80"/>
      <c r="N521" s="80"/>
      <c r="O521" s="80"/>
      <c r="P521" s="80"/>
      <c r="Q521" s="80"/>
      <c r="R521" s="80"/>
      <c r="S521" s="80"/>
      <c r="T521" s="80"/>
    </row>
    <row r="522" spans="1:20" ht="15.75">
      <c r="A522" s="80"/>
      <c r="B522" s="80"/>
      <c r="C522" s="80"/>
      <c r="D522" s="80"/>
      <c r="E522" s="80"/>
      <c r="F522" s="80"/>
      <c r="G522" s="80"/>
      <c r="H522" s="80"/>
      <c r="I522" s="80"/>
      <c r="J522" s="80"/>
      <c r="K522" s="80"/>
      <c r="L522" s="80"/>
      <c r="M522" s="80"/>
      <c r="N522" s="80"/>
      <c r="O522" s="80"/>
      <c r="P522" s="80"/>
      <c r="Q522" s="80"/>
      <c r="R522" s="80"/>
      <c r="S522" s="80"/>
      <c r="T522" s="80"/>
    </row>
    <row r="523" spans="1:20" ht="15.75">
      <c r="A523" s="80"/>
      <c r="B523" s="80"/>
      <c r="C523" s="80"/>
      <c r="D523" s="80"/>
      <c r="E523" s="80"/>
      <c r="F523" s="80"/>
      <c r="G523" s="80"/>
      <c r="H523" s="80"/>
      <c r="I523" s="80"/>
      <c r="J523" s="80"/>
      <c r="K523" s="80"/>
      <c r="L523" s="80"/>
      <c r="M523" s="80"/>
      <c r="N523" s="80"/>
      <c r="O523" s="80"/>
      <c r="P523" s="80"/>
      <c r="Q523" s="80"/>
      <c r="R523" s="80"/>
      <c r="S523" s="80"/>
      <c r="T523" s="80"/>
    </row>
    <row r="524" spans="1:20" ht="15.75">
      <c r="A524" s="80"/>
      <c r="B524" s="80"/>
      <c r="C524" s="80"/>
      <c r="D524" s="80"/>
      <c r="E524" s="80"/>
      <c r="F524" s="80"/>
      <c r="G524" s="80"/>
      <c r="H524" s="80"/>
      <c r="I524" s="80"/>
      <c r="J524" s="80"/>
      <c r="K524" s="80"/>
      <c r="L524" s="80"/>
      <c r="M524" s="80"/>
      <c r="N524" s="80"/>
      <c r="O524" s="80"/>
      <c r="P524" s="80"/>
      <c r="Q524" s="80"/>
      <c r="R524" s="80"/>
      <c r="S524" s="80"/>
      <c r="T524" s="80"/>
    </row>
    <row r="525" spans="1:20" ht="15.75">
      <c r="A525" s="80"/>
      <c r="B525" s="80"/>
      <c r="C525" s="80"/>
      <c r="D525" s="80"/>
      <c r="E525" s="80"/>
      <c r="F525" s="80"/>
      <c r="G525" s="80"/>
      <c r="H525" s="80"/>
      <c r="I525" s="80"/>
      <c r="J525" s="80"/>
      <c r="K525" s="80"/>
      <c r="L525" s="80"/>
      <c r="M525" s="80"/>
      <c r="N525" s="80"/>
      <c r="O525" s="80"/>
      <c r="P525" s="80"/>
      <c r="Q525" s="80"/>
      <c r="R525" s="80"/>
      <c r="S525" s="80"/>
      <c r="T525" s="80"/>
    </row>
    <row r="526" spans="1:20" ht="15.75">
      <c r="A526" s="80"/>
      <c r="B526" s="80"/>
      <c r="C526" s="80"/>
      <c r="D526" s="80"/>
      <c r="E526" s="80"/>
      <c r="F526" s="80"/>
      <c r="G526" s="80"/>
      <c r="H526" s="80"/>
      <c r="I526" s="80"/>
      <c r="J526" s="80"/>
      <c r="K526" s="80"/>
      <c r="L526" s="80"/>
      <c r="M526" s="80"/>
      <c r="N526" s="80"/>
      <c r="O526" s="80"/>
      <c r="P526" s="80"/>
      <c r="Q526" s="80"/>
      <c r="R526" s="80"/>
      <c r="S526" s="80"/>
      <c r="T526" s="80"/>
    </row>
    <row r="527" spans="1:20" ht="15.75">
      <c r="A527" s="80"/>
      <c r="B527" s="80"/>
      <c r="C527" s="80"/>
      <c r="D527" s="80"/>
      <c r="E527" s="80"/>
      <c r="F527" s="80"/>
      <c r="G527" s="80"/>
      <c r="H527" s="80"/>
      <c r="I527" s="80"/>
      <c r="J527" s="80"/>
      <c r="K527" s="80"/>
      <c r="L527" s="80"/>
      <c r="M527" s="80"/>
      <c r="N527" s="80"/>
      <c r="O527" s="80"/>
      <c r="P527" s="80"/>
      <c r="Q527" s="80"/>
      <c r="R527" s="80"/>
      <c r="S527" s="80"/>
      <c r="T527" s="80"/>
    </row>
    <row r="528" spans="1:20" ht="15.75">
      <c r="A528" s="80"/>
      <c r="B528" s="80"/>
      <c r="C528" s="80"/>
      <c r="D528" s="80"/>
      <c r="E528" s="80"/>
      <c r="F528" s="80"/>
      <c r="G528" s="80"/>
      <c r="H528" s="80"/>
      <c r="I528" s="80"/>
      <c r="J528" s="80"/>
      <c r="K528" s="80"/>
      <c r="L528" s="80"/>
      <c r="M528" s="80"/>
      <c r="N528" s="80"/>
      <c r="O528" s="80"/>
      <c r="P528" s="80"/>
      <c r="Q528" s="80"/>
      <c r="R528" s="80"/>
      <c r="S528" s="80"/>
      <c r="T528" s="80"/>
    </row>
    <row r="529" spans="1:20" ht="15.75">
      <c r="A529" s="80"/>
      <c r="B529" s="80"/>
      <c r="C529" s="80"/>
      <c r="D529" s="80"/>
      <c r="E529" s="80"/>
      <c r="F529" s="80"/>
      <c r="G529" s="80"/>
      <c r="H529" s="80"/>
      <c r="I529" s="80"/>
      <c r="J529" s="80"/>
      <c r="K529" s="80"/>
      <c r="L529" s="80"/>
      <c r="M529" s="80"/>
      <c r="N529" s="80"/>
      <c r="O529" s="80"/>
      <c r="P529" s="80"/>
      <c r="Q529" s="80"/>
      <c r="R529" s="80"/>
      <c r="S529" s="80"/>
      <c r="T529" s="80"/>
    </row>
    <row r="530" spans="1:20" ht="15.75">
      <c r="A530" s="80"/>
      <c r="B530" s="80"/>
      <c r="C530" s="80"/>
      <c r="D530" s="80"/>
      <c r="E530" s="80"/>
      <c r="F530" s="80"/>
      <c r="G530" s="80"/>
      <c r="H530" s="80"/>
      <c r="I530" s="80"/>
      <c r="J530" s="80"/>
      <c r="K530" s="80"/>
      <c r="L530" s="80"/>
      <c r="M530" s="80"/>
      <c r="N530" s="80"/>
      <c r="O530" s="80"/>
      <c r="P530" s="80"/>
      <c r="Q530" s="80"/>
      <c r="R530" s="80"/>
      <c r="S530" s="80"/>
      <c r="T530" s="80"/>
    </row>
    <row r="531" spans="1:20" ht="15.75">
      <c r="A531" s="80"/>
      <c r="B531" s="80"/>
      <c r="C531" s="80"/>
      <c r="D531" s="80"/>
      <c r="E531" s="80"/>
      <c r="F531" s="80"/>
      <c r="G531" s="80"/>
      <c r="H531" s="80"/>
      <c r="I531" s="80"/>
      <c r="J531" s="80"/>
      <c r="K531" s="80"/>
      <c r="L531" s="80"/>
      <c r="M531" s="80"/>
      <c r="N531" s="80"/>
      <c r="O531" s="80"/>
      <c r="P531" s="80"/>
      <c r="Q531" s="80"/>
      <c r="R531" s="80"/>
      <c r="S531" s="80"/>
      <c r="T531" s="80"/>
    </row>
    <row r="532" spans="1:20" ht="15.75">
      <c r="A532" s="80"/>
      <c r="B532" s="80"/>
      <c r="C532" s="80"/>
      <c r="D532" s="80"/>
      <c r="E532" s="80"/>
      <c r="F532" s="80"/>
      <c r="G532" s="80"/>
      <c r="H532" s="80"/>
      <c r="I532" s="80"/>
      <c r="J532" s="80"/>
      <c r="K532" s="80"/>
      <c r="L532" s="80"/>
      <c r="M532" s="80"/>
      <c r="N532" s="80"/>
      <c r="O532" s="80"/>
      <c r="P532" s="80"/>
      <c r="Q532" s="80"/>
      <c r="R532" s="80"/>
      <c r="S532" s="80"/>
      <c r="T532" s="80"/>
    </row>
    <row r="533" spans="1:20" ht="15.75">
      <c r="A533" s="80"/>
      <c r="B533" s="80"/>
      <c r="C533" s="80"/>
      <c r="D533" s="80"/>
      <c r="E533" s="80"/>
      <c r="F533" s="80"/>
      <c r="G533" s="80"/>
      <c r="H533" s="80"/>
      <c r="I533" s="80"/>
      <c r="J533" s="80"/>
      <c r="K533" s="80"/>
      <c r="L533" s="80"/>
      <c r="M533" s="80"/>
      <c r="N533" s="80"/>
      <c r="O533" s="80"/>
      <c r="P533" s="80"/>
      <c r="Q533" s="80"/>
      <c r="R533" s="80"/>
      <c r="S533" s="80"/>
      <c r="T533" s="80"/>
    </row>
    <row r="534" spans="1:20" ht="15.75">
      <c r="A534" s="80"/>
      <c r="B534" s="80"/>
      <c r="C534" s="80"/>
      <c r="D534" s="80"/>
      <c r="E534" s="80"/>
      <c r="F534" s="80"/>
      <c r="G534" s="80"/>
      <c r="H534" s="80"/>
      <c r="I534" s="80"/>
      <c r="J534" s="80"/>
      <c r="K534" s="80"/>
      <c r="L534" s="80"/>
      <c r="M534" s="80"/>
      <c r="N534" s="80"/>
      <c r="O534" s="80"/>
      <c r="P534" s="80"/>
      <c r="Q534" s="80"/>
      <c r="R534" s="80"/>
      <c r="S534" s="80"/>
      <c r="T534" s="80"/>
    </row>
    <row r="535" spans="1:20" ht="15.75">
      <c r="A535" s="80"/>
      <c r="B535" s="80"/>
      <c r="C535" s="80"/>
      <c r="D535" s="80"/>
      <c r="E535" s="80"/>
      <c r="F535" s="80"/>
      <c r="G535" s="80"/>
      <c r="H535" s="80"/>
      <c r="I535" s="80"/>
      <c r="J535" s="80"/>
      <c r="K535" s="80"/>
      <c r="L535" s="80"/>
      <c r="M535" s="80"/>
      <c r="N535" s="80"/>
      <c r="O535" s="80"/>
      <c r="P535" s="80"/>
      <c r="Q535" s="80"/>
      <c r="R535" s="80"/>
      <c r="S535" s="80"/>
      <c r="T535" s="80"/>
    </row>
    <row r="536" spans="1:20" ht="15.75">
      <c r="A536" s="80"/>
      <c r="B536" s="80"/>
      <c r="C536" s="80"/>
      <c r="D536" s="80"/>
      <c r="E536" s="80"/>
      <c r="F536" s="80"/>
      <c r="G536" s="80"/>
      <c r="H536" s="80"/>
      <c r="I536" s="80"/>
      <c r="J536" s="80"/>
      <c r="K536" s="80"/>
      <c r="L536" s="80"/>
      <c r="M536" s="80"/>
      <c r="N536" s="80"/>
      <c r="O536" s="80"/>
      <c r="P536" s="80"/>
      <c r="Q536" s="80"/>
      <c r="R536" s="80"/>
      <c r="S536" s="80"/>
      <c r="T536" s="80"/>
    </row>
    <row r="537" spans="1:20" ht="15.75">
      <c r="A537" s="80"/>
      <c r="B537" s="80"/>
      <c r="C537" s="80"/>
      <c r="D537" s="80"/>
      <c r="E537" s="80"/>
      <c r="F537" s="80"/>
      <c r="G537" s="80"/>
      <c r="H537" s="80"/>
      <c r="I537" s="80"/>
      <c r="J537" s="80"/>
      <c r="K537" s="80"/>
      <c r="L537" s="80"/>
      <c r="M537" s="80"/>
      <c r="N537" s="80"/>
      <c r="O537" s="80"/>
      <c r="P537" s="80"/>
      <c r="Q537" s="80"/>
      <c r="R537" s="80"/>
      <c r="S537" s="80"/>
      <c r="T537" s="80"/>
    </row>
    <row r="538" spans="1:20" ht="15.75">
      <c r="A538" s="80"/>
      <c r="B538" s="80"/>
      <c r="C538" s="80"/>
      <c r="D538" s="80"/>
      <c r="E538" s="80"/>
      <c r="F538" s="80"/>
      <c r="G538" s="80"/>
      <c r="H538" s="80"/>
      <c r="I538" s="80"/>
      <c r="J538" s="80"/>
      <c r="K538" s="80"/>
      <c r="L538" s="80"/>
      <c r="M538" s="80"/>
      <c r="N538" s="80"/>
      <c r="O538" s="80"/>
      <c r="P538" s="80"/>
      <c r="Q538" s="80"/>
      <c r="R538" s="80"/>
      <c r="S538" s="80"/>
      <c r="T538" s="80"/>
    </row>
    <row r="539" spans="1:20" ht="15.75">
      <c r="A539" s="80"/>
      <c r="B539" s="80"/>
      <c r="C539" s="80"/>
      <c r="D539" s="80"/>
      <c r="E539" s="80"/>
      <c r="F539" s="80"/>
      <c r="G539" s="80"/>
      <c r="H539" s="80"/>
      <c r="I539" s="80"/>
      <c r="J539" s="80"/>
      <c r="K539" s="80"/>
      <c r="L539" s="80"/>
      <c r="M539" s="80"/>
      <c r="N539" s="80"/>
      <c r="O539" s="80"/>
      <c r="P539" s="80"/>
      <c r="Q539" s="80"/>
      <c r="R539" s="80"/>
      <c r="S539" s="80"/>
      <c r="T539" s="80"/>
    </row>
    <row r="540" spans="1:20" ht="15.75">
      <c r="A540" s="80"/>
      <c r="B540" s="80"/>
      <c r="C540" s="80"/>
      <c r="D540" s="80"/>
      <c r="E540" s="80"/>
      <c r="F540" s="80"/>
      <c r="G540" s="80"/>
      <c r="H540" s="80"/>
      <c r="I540" s="80"/>
      <c r="J540" s="80"/>
      <c r="K540" s="80"/>
      <c r="L540" s="80"/>
      <c r="M540" s="80"/>
      <c r="N540" s="80"/>
      <c r="O540" s="80"/>
      <c r="P540" s="80"/>
      <c r="Q540" s="80"/>
      <c r="R540" s="80"/>
      <c r="S540" s="80"/>
      <c r="T540" s="80"/>
    </row>
    <row r="541" spans="1:20" ht="15.75">
      <c r="A541" s="80"/>
      <c r="B541" s="80"/>
      <c r="C541" s="80"/>
      <c r="D541" s="80"/>
      <c r="E541" s="80"/>
      <c r="F541" s="80"/>
      <c r="G541" s="80"/>
      <c r="H541" s="80"/>
      <c r="I541" s="80"/>
      <c r="J541" s="80"/>
      <c r="K541" s="80"/>
      <c r="L541" s="80"/>
      <c r="M541" s="80"/>
      <c r="N541" s="80"/>
      <c r="O541" s="80"/>
      <c r="P541" s="80"/>
      <c r="Q541" s="80"/>
      <c r="R541" s="80"/>
      <c r="S541" s="80"/>
      <c r="T541" s="80"/>
    </row>
    <row r="542" spans="1:20" ht="15.75">
      <c r="A542" s="80"/>
      <c r="B542" s="80"/>
      <c r="C542" s="80"/>
      <c r="D542" s="80"/>
      <c r="E542" s="80"/>
      <c r="F542" s="80"/>
      <c r="G542" s="80"/>
      <c r="H542" s="80"/>
      <c r="I542" s="80"/>
      <c r="J542" s="80"/>
      <c r="K542" s="80"/>
      <c r="L542" s="80"/>
      <c r="M542" s="80"/>
      <c r="N542" s="80"/>
      <c r="O542" s="80"/>
      <c r="P542" s="80"/>
      <c r="Q542" s="80"/>
      <c r="R542" s="80"/>
      <c r="S542" s="80"/>
      <c r="T542" s="80"/>
    </row>
    <row r="543" spans="1:20" ht="15.75">
      <c r="A543" s="80"/>
      <c r="B543" s="80"/>
      <c r="C543" s="80"/>
      <c r="D543" s="80"/>
      <c r="E543" s="80"/>
      <c r="F543" s="80"/>
      <c r="G543" s="80"/>
      <c r="H543" s="80"/>
      <c r="I543" s="80"/>
      <c r="J543" s="80"/>
      <c r="K543" s="80"/>
      <c r="L543" s="80"/>
      <c r="M543" s="80"/>
      <c r="N543" s="80"/>
      <c r="O543" s="80"/>
      <c r="P543" s="80"/>
      <c r="Q543" s="80"/>
      <c r="R543" s="80"/>
      <c r="S543" s="80"/>
      <c r="T543" s="80"/>
    </row>
    <row r="544" spans="1:20" ht="15.75">
      <c r="A544" s="80"/>
      <c r="B544" s="80"/>
      <c r="C544" s="80"/>
      <c r="D544" s="80"/>
      <c r="E544" s="80"/>
      <c r="F544" s="80"/>
      <c r="G544" s="80"/>
      <c r="H544" s="80"/>
      <c r="I544" s="80"/>
      <c r="J544" s="80"/>
      <c r="K544" s="80"/>
      <c r="L544" s="80"/>
      <c r="M544" s="80"/>
      <c r="N544" s="80"/>
      <c r="O544" s="80"/>
      <c r="P544" s="80"/>
      <c r="Q544" s="80"/>
      <c r="R544" s="80"/>
      <c r="S544" s="80"/>
      <c r="T544" s="80"/>
    </row>
    <row r="545" spans="1:20" ht="15.75">
      <c r="A545" s="80"/>
      <c r="B545" s="80"/>
      <c r="C545" s="80"/>
      <c r="D545" s="80"/>
      <c r="E545" s="80"/>
      <c r="F545" s="80"/>
      <c r="G545" s="80"/>
      <c r="H545" s="80"/>
      <c r="I545" s="80"/>
      <c r="J545" s="80"/>
      <c r="K545" s="80"/>
      <c r="L545" s="80"/>
      <c r="M545" s="80"/>
      <c r="N545" s="80"/>
      <c r="O545" s="80"/>
      <c r="P545" s="80"/>
      <c r="Q545" s="80"/>
      <c r="R545" s="80"/>
      <c r="S545" s="80"/>
      <c r="T545" s="80"/>
    </row>
    <row r="546" spans="1:20" ht="15.75">
      <c r="A546" s="80"/>
      <c r="B546" s="80"/>
      <c r="C546" s="80"/>
      <c r="D546" s="80"/>
      <c r="E546" s="80"/>
      <c r="F546" s="80"/>
      <c r="G546" s="80"/>
      <c r="H546" s="80"/>
      <c r="I546" s="80"/>
      <c r="J546" s="80"/>
      <c r="K546" s="80"/>
      <c r="L546" s="80"/>
      <c r="M546" s="80"/>
      <c r="N546" s="80"/>
      <c r="O546" s="80"/>
      <c r="P546" s="80"/>
      <c r="Q546" s="80"/>
      <c r="R546" s="80"/>
      <c r="S546" s="80"/>
      <c r="T546" s="80"/>
    </row>
    <row r="547" spans="1:20" ht="15.75">
      <c r="A547" s="80"/>
      <c r="B547" s="80"/>
      <c r="C547" s="80"/>
      <c r="D547" s="80"/>
      <c r="E547" s="80"/>
      <c r="F547" s="80"/>
      <c r="G547" s="80"/>
      <c r="H547" s="80"/>
      <c r="I547" s="80"/>
      <c r="J547" s="80"/>
      <c r="K547" s="80"/>
      <c r="L547" s="80"/>
      <c r="M547" s="80"/>
      <c r="N547" s="80"/>
      <c r="O547" s="80"/>
      <c r="P547" s="80"/>
      <c r="Q547" s="80"/>
      <c r="R547" s="80"/>
      <c r="S547" s="80"/>
      <c r="T547" s="80"/>
    </row>
    <row r="548" spans="1:20" ht="15.75">
      <c r="A548" s="80"/>
      <c r="B548" s="80"/>
      <c r="C548" s="80"/>
      <c r="D548" s="80"/>
      <c r="E548" s="80"/>
      <c r="F548" s="80"/>
      <c r="G548" s="80"/>
      <c r="H548" s="80"/>
      <c r="I548" s="80"/>
      <c r="J548" s="80"/>
      <c r="K548" s="80"/>
      <c r="L548" s="80"/>
      <c r="M548" s="80"/>
      <c r="N548" s="80"/>
      <c r="O548" s="80"/>
      <c r="P548" s="80"/>
      <c r="Q548" s="80"/>
      <c r="R548" s="80"/>
      <c r="S548" s="80"/>
      <c r="T548" s="80"/>
    </row>
    <row r="549" spans="1:20" ht="15.75">
      <c r="A549" s="80"/>
      <c r="B549" s="80"/>
      <c r="C549" s="80"/>
      <c r="D549" s="80"/>
      <c r="E549" s="80"/>
      <c r="F549" s="80"/>
      <c r="G549" s="80"/>
      <c r="H549" s="80"/>
      <c r="I549" s="80"/>
      <c r="J549" s="80"/>
      <c r="K549" s="80"/>
      <c r="L549" s="80"/>
      <c r="M549" s="80"/>
      <c r="N549" s="80"/>
      <c r="O549" s="80"/>
      <c r="P549" s="80"/>
      <c r="Q549" s="80"/>
      <c r="R549" s="80"/>
      <c r="S549" s="80"/>
      <c r="T549" s="80"/>
    </row>
    <row r="550" spans="1:20" ht="15.75">
      <c r="A550" s="80"/>
      <c r="B550" s="80"/>
      <c r="C550" s="80"/>
      <c r="D550" s="80"/>
      <c r="E550" s="80"/>
      <c r="F550" s="80"/>
      <c r="G550" s="80"/>
      <c r="H550" s="80"/>
      <c r="I550" s="80"/>
      <c r="J550" s="80"/>
      <c r="K550" s="80"/>
      <c r="L550" s="80"/>
      <c r="M550" s="80"/>
      <c r="N550" s="80"/>
      <c r="O550" s="80"/>
      <c r="P550" s="80"/>
      <c r="Q550" s="80"/>
      <c r="R550" s="80"/>
      <c r="S550" s="80"/>
      <c r="T550" s="80"/>
    </row>
    <row r="551" spans="1:20" ht="15.75">
      <c r="A551" s="80"/>
      <c r="B551" s="80"/>
      <c r="C551" s="80"/>
      <c r="D551" s="80"/>
      <c r="E551" s="80"/>
      <c r="F551" s="80"/>
      <c r="G551" s="80"/>
      <c r="H551" s="80"/>
      <c r="I551" s="80"/>
      <c r="J551" s="80"/>
      <c r="K551" s="80"/>
      <c r="L551" s="80"/>
      <c r="M551" s="80"/>
      <c r="N551" s="80"/>
      <c r="O551" s="80"/>
      <c r="P551" s="80"/>
      <c r="Q551" s="80"/>
      <c r="R551" s="80"/>
      <c r="S551" s="80"/>
      <c r="T551" s="80"/>
    </row>
    <row r="552" spans="1:20" ht="15.75">
      <c r="A552" s="80"/>
      <c r="B552" s="80"/>
      <c r="C552" s="80"/>
      <c r="D552" s="80"/>
      <c r="E552" s="80"/>
      <c r="F552" s="80"/>
      <c r="G552" s="80"/>
      <c r="H552" s="80"/>
      <c r="I552" s="80"/>
      <c r="J552" s="80"/>
      <c r="K552" s="80"/>
      <c r="L552" s="80"/>
      <c r="M552" s="80"/>
      <c r="N552" s="80"/>
      <c r="O552" s="80"/>
      <c r="P552" s="80"/>
      <c r="Q552" s="80"/>
      <c r="R552" s="80"/>
      <c r="S552" s="80"/>
      <c r="T552" s="80"/>
    </row>
    <row r="553" spans="1:20" ht="15.75">
      <c r="A553" s="80"/>
      <c r="B553" s="80"/>
      <c r="C553" s="80"/>
      <c r="D553" s="80"/>
      <c r="E553" s="80"/>
      <c r="F553" s="80"/>
      <c r="G553" s="80"/>
      <c r="H553" s="80"/>
      <c r="I553" s="80"/>
      <c r="J553" s="80"/>
      <c r="K553" s="80"/>
      <c r="L553" s="80"/>
      <c r="M553" s="80"/>
      <c r="N553" s="80"/>
      <c r="O553" s="80"/>
      <c r="P553" s="80"/>
      <c r="Q553" s="80"/>
      <c r="R553" s="80"/>
      <c r="S553" s="80"/>
      <c r="T553" s="80"/>
    </row>
    <row r="554" spans="1:20" ht="15.75">
      <c r="A554" s="80"/>
      <c r="B554" s="80"/>
      <c r="C554" s="80"/>
      <c r="D554" s="80"/>
      <c r="E554" s="80"/>
      <c r="F554" s="80"/>
      <c r="G554" s="80"/>
      <c r="H554" s="80"/>
      <c r="I554" s="80"/>
      <c r="J554" s="80"/>
      <c r="K554" s="80"/>
      <c r="L554" s="80"/>
      <c r="M554" s="80"/>
      <c r="N554" s="80"/>
      <c r="O554" s="80"/>
      <c r="P554" s="80"/>
      <c r="Q554" s="80"/>
      <c r="R554" s="80"/>
      <c r="S554" s="80"/>
      <c r="T554" s="80"/>
    </row>
    <row r="555" spans="1:20" ht="15.75">
      <c r="A555" s="80"/>
      <c r="B555" s="80"/>
      <c r="C555" s="80"/>
      <c r="D555" s="80"/>
      <c r="E555" s="80"/>
      <c r="F555" s="80"/>
      <c r="G555" s="80"/>
      <c r="H555" s="80"/>
      <c r="I555" s="80"/>
      <c r="J555" s="80"/>
      <c r="K555" s="80"/>
      <c r="L555" s="80"/>
      <c r="M555" s="80"/>
      <c r="N555" s="80"/>
      <c r="O555" s="80"/>
      <c r="P555" s="80"/>
      <c r="Q555" s="80"/>
      <c r="R555" s="80"/>
      <c r="S555" s="80"/>
      <c r="T555" s="80"/>
    </row>
    <row r="556" spans="1:20" ht="15.75">
      <c r="A556" s="80"/>
      <c r="B556" s="80"/>
      <c r="C556" s="80"/>
      <c r="D556" s="80"/>
      <c r="E556" s="80"/>
      <c r="F556" s="80"/>
      <c r="G556" s="80"/>
      <c r="H556" s="80"/>
      <c r="I556" s="80"/>
      <c r="J556" s="80"/>
      <c r="K556" s="80"/>
      <c r="L556" s="80"/>
      <c r="M556" s="80"/>
      <c r="N556" s="80"/>
      <c r="O556" s="80"/>
      <c r="P556" s="80"/>
      <c r="Q556" s="80"/>
      <c r="R556" s="80"/>
      <c r="S556" s="80"/>
      <c r="T556" s="80"/>
    </row>
    <row r="557" spans="1:20" ht="15.75">
      <c r="A557" s="80"/>
      <c r="B557" s="80"/>
      <c r="C557" s="80"/>
      <c r="D557" s="80"/>
      <c r="E557" s="80"/>
      <c r="F557" s="80"/>
      <c r="G557" s="80"/>
      <c r="H557" s="80"/>
      <c r="I557" s="80"/>
      <c r="J557" s="80"/>
      <c r="K557" s="80"/>
      <c r="L557" s="80"/>
      <c r="M557" s="80"/>
      <c r="N557" s="80"/>
      <c r="O557" s="80"/>
      <c r="P557" s="80"/>
      <c r="Q557" s="80"/>
      <c r="R557" s="80"/>
      <c r="S557" s="80"/>
      <c r="T557" s="80"/>
    </row>
    <row r="558" spans="1:20" ht="15.75">
      <c r="A558" s="80"/>
      <c r="B558" s="80"/>
      <c r="C558" s="80"/>
      <c r="D558" s="80"/>
      <c r="E558" s="80"/>
      <c r="F558" s="80"/>
      <c r="G558" s="80"/>
      <c r="H558" s="80"/>
      <c r="I558" s="80"/>
      <c r="J558" s="80"/>
      <c r="K558" s="80"/>
      <c r="L558" s="80"/>
      <c r="M558" s="80"/>
      <c r="N558" s="80"/>
      <c r="O558" s="80"/>
      <c r="P558" s="80"/>
      <c r="Q558" s="80"/>
      <c r="R558" s="80"/>
      <c r="S558" s="80"/>
      <c r="T558" s="80"/>
    </row>
    <row r="559" spans="1:20" ht="15.75">
      <c r="A559" s="80"/>
      <c r="B559" s="80"/>
      <c r="C559" s="80"/>
      <c r="D559" s="80"/>
      <c r="E559" s="80"/>
      <c r="F559" s="80"/>
      <c r="G559" s="80"/>
      <c r="H559" s="80"/>
      <c r="I559" s="80"/>
      <c r="J559" s="80"/>
      <c r="K559" s="80"/>
      <c r="L559" s="80"/>
      <c r="M559" s="80"/>
      <c r="N559" s="80"/>
      <c r="O559" s="80"/>
      <c r="P559" s="80"/>
      <c r="Q559" s="80"/>
      <c r="R559" s="80"/>
      <c r="S559" s="80"/>
      <c r="T559" s="80"/>
    </row>
    <row r="560" spans="1:20" ht="15.75">
      <c r="A560" s="80"/>
      <c r="B560" s="80"/>
      <c r="C560" s="80"/>
      <c r="D560" s="80"/>
      <c r="E560" s="80"/>
      <c r="F560" s="80"/>
      <c r="G560" s="80"/>
      <c r="H560" s="80"/>
      <c r="I560" s="80"/>
      <c r="J560" s="80"/>
      <c r="K560" s="80"/>
      <c r="L560" s="80"/>
      <c r="M560" s="80"/>
      <c r="N560" s="80"/>
      <c r="O560" s="80"/>
      <c r="P560" s="80"/>
      <c r="Q560" s="80"/>
      <c r="R560" s="80"/>
      <c r="S560" s="80"/>
      <c r="T560" s="80"/>
    </row>
    <row r="561" spans="1:20" ht="15.75">
      <c r="A561" s="80"/>
      <c r="B561" s="80"/>
      <c r="C561" s="80"/>
      <c r="D561" s="80"/>
      <c r="E561" s="80"/>
      <c r="F561" s="80"/>
      <c r="G561" s="80"/>
      <c r="H561" s="80"/>
      <c r="I561" s="80"/>
      <c r="J561" s="80"/>
      <c r="K561" s="80"/>
      <c r="L561" s="80"/>
      <c r="M561" s="80"/>
      <c r="N561" s="80"/>
      <c r="O561" s="80"/>
      <c r="P561" s="80"/>
      <c r="Q561" s="80"/>
      <c r="R561" s="80"/>
      <c r="S561" s="80"/>
      <c r="T561" s="80"/>
    </row>
    <row r="562" spans="1:20" ht="15.75">
      <c r="A562" s="80"/>
      <c r="B562" s="80"/>
      <c r="C562" s="80"/>
      <c r="D562" s="80"/>
      <c r="E562" s="80"/>
      <c r="F562" s="80"/>
      <c r="G562" s="80"/>
      <c r="H562" s="80"/>
      <c r="I562" s="80"/>
      <c r="J562" s="80"/>
      <c r="K562" s="80"/>
      <c r="L562" s="80"/>
      <c r="M562" s="80"/>
      <c r="N562" s="80"/>
      <c r="O562" s="80"/>
      <c r="P562" s="80"/>
      <c r="Q562" s="80"/>
      <c r="R562" s="80"/>
      <c r="S562" s="80"/>
      <c r="T562" s="80"/>
    </row>
    <row r="563" spans="1:20" ht="15.75">
      <c r="A563" s="80"/>
      <c r="B563" s="80"/>
      <c r="C563" s="80"/>
      <c r="D563" s="80"/>
      <c r="E563" s="80"/>
      <c r="F563" s="80"/>
      <c r="G563" s="80"/>
      <c r="H563" s="80"/>
      <c r="I563" s="80"/>
      <c r="J563" s="80"/>
      <c r="K563" s="80"/>
      <c r="L563" s="80"/>
      <c r="M563" s="80"/>
      <c r="N563" s="80"/>
      <c r="O563" s="80"/>
      <c r="P563" s="80"/>
      <c r="Q563" s="80"/>
      <c r="R563" s="80"/>
      <c r="S563" s="80"/>
      <c r="T563" s="80"/>
    </row>
    <row r="564" spans="1:20" ht="15.75">
      <c r="A564" s="80"/>
      <c r="B564" s="80"/>
      <c r="C564" s="80"/>
      <c r="D564" s="80"/>
      <c r="E564" s="80"/>
      <c r="F564" s="80"/>
      <c r="G564" s="80"/>
      <c r="H564" s="80"/>
      <c r="I564" s="80"/>
      <c r="J564" s="80"/>
      <c r="K564" s="80"/>
      <c r="L564" s="80"/>
      <c r="M564" s="80"/>
      <c r="N564" s="80"/>
      <c r="O564" s="80"/>
      <c r="P564" s="80"/>
      <c r="Q564" s="80"/>
      <c r="R564" s="80"/>
      <c r="S564" s="80"/>
      <c r="T564" s="80"/>
    </row>
    <row r="565" spans="1:20" ht="15.75">
      <c r="A565" s="80"/>
      <c r="B565" s="80"/>
      <c r="C565" s="80"/>
      <c r="D565" s="80"/>
      <c r="E565" s="80"/>
      <c r="F565" s="80"/>
      <c r="G565" s="80"/>
      <c r="H565" s="80"/>
      <c r="I565" s="80"/>
      <c r="J565" s="80"/>
      <c r="K565" s="80"/>
      <c r="L565" s="80"/>
      <c r="M565" s="80"/>
      <c r="N565" s="80"/>
      <c r="O565" s="80"/>
      <c r="P565" s="80"/>
      <c r="Q565" s="80"/>
      <c r="R565" s="80"/>
      <c r="S565" s="80"/>
      <c r="T565" s="80"/>
    </row>
    <row r="566" spans="1:20" ht="15.75">
      <c r="A566" s="80"/>
      <c r="B566" s="80"/>
      <c r="C566" s="80"/>
      <c r="D566" s="80"/>
      <c r="E566" s="80"/>
      <c r="F566" s="80"/>
      <c r="G566" s="80"/>
      <c r="H566" s="80"/>
      <c r="I566" s="80"/>
      <c r="J566" s="80"/>
      <c r="K566" s="80"/>
      <c r="L566" s="80"/>
      <c r="M566" s="80"/>
      <c r="N566" s="80"/>
      <c r="O566" s="80"/>
      <c r="P566" s="80"/>
      <c r="Q566" s="80"/>
      <c r="R566" s="80"/>
      <c r="S566" s="80"/>
      <c r="T566" s="80"/>
    </row>
    <row r="567" spans="1:20" ht="15.75">
      <c r="A567" s="80"/>
      <c r="B567" s="80"/>
      <c r="C567" s="80"/>
      <c r="D567" s="80"/>
      <c r="E567" s="80"/>
      <c r="F567" s="80"/>
      <c r="G567" s="80"/>
      <c r="H567" s="80"/>
      <c r="I567" s="80"/>
      <c r="J567" s="80"/>
      <c r="K567" s="80"/>
      <c r="L567" s="80"/>
      <c r="M567" s="80"/>
      <c r="N567" s="80"/>
      <c r="O567" s="80"/>
      <c r="P567" s="80"/>
      <c r="Q567" s="80"/>
      <c r="R567" s="80"/>
      <c r="S567" s="80"/>
      <c r="T567" s="80"/>
    </row>
    <row r="568" spans="1:20" ht="15.75">
      <c r="A568" s="80"/>
      <c r="B568" s="80"/>
      <c r="C568" s="80"/>
      <c r="D568" s="80"/>
      <c r="E568" s="80"/>
      <c r="F568" s="80"/>
      <c r="G568" s="80"/>
      <c r="H568" s="80"/>
      <c r="I568" s="80"/>
      <c r="J568" s="80"/>
      <c r="K568" s="80"/>
      <c r="L568" s="80"/>
      <c r="M568" s="80"/>
      <c r="N568" s="80"/>
      <c r="O568" s="80"/>
      <c r="P568" s="80"/>
      <c r="Q568" s="80"/>
      <c r="R568" s="80"/>
      <c r="S568" s="80"/>
      <c r="T568" s="80"/>
    </row>
    <row r="569" spans="1:20" ht="15.75">
      <c r="A569" s="80"/>
      <c r="B569" s="80"/>
      <c r="C569" s="80"/>
      <c r="D569" s="80"/>
      <c r="E569" s="80"/>
      <c r="F569" s="80"/>
      <c r="G569" s="80"/>
      <c r="H569" s="80"/>
      <c r="I569" s="80"/>
      <c r="J569" s="80"/>
      <c r="K569" s="80"/>
      <c r="L569" s="80"/>
      <c r="M569" s="80"/>
      <c r="N569" s="80"/>
      <c r="O569" s="80"/>
      <c r="P569" s="80"/>
      <c r="Q569" s="80"/>
      <c r="R569" s="80"/>
      <c r="S569" s="80"/>
      <c r="T569" s="80"/>
    </row>
    <row r="570" spans="1:20" ht="15.75">
      <c r="A570" s="80"/>
      <c r="B570" s="80"/>
      <c r="C570" s="80"/>
      <c r="D570" s="80"/>
      <c r="E570" s="80"/>
      <c r="F570" s="80"/>
      <c r="G570" s="80"/>
      <c r="H570" s="80"/>
      <c r="I570" s="80"/>
      <c r="J570" s="80"/>
      <c r="K570" s="80"/>
      <c r="L570" s="80"/>
      <c r="M570" s="80"/>
      <c r="N570" s="80"/>
      <c r="O570" s="80"/>
      <c r="P570" s="80"/>
      <c r="Q570" s="80"/>
      <c r="R570" s="80"/>
      <c r="S570" s="80"/>
      <c r="T570" s="80"/>
    </row>
    <row r="571" spans="1:20" ht="15.75">
      <c r="A571" s="80"/>
      <c r="B571" s="80"/>
      <c r="C571" s="80"/>
      <c r="D571" s="80"/>
      <c r="E571" s="80"/>
      <c r="F571" s="80"/>
      <c r="G571" s="80"/>
      <c r="H571" s="80"/>
      <c r="I571" s="80"/>
      <c r="J571" s="80"/>
      <c r="K571" s="80"/>
      <c r="L571" s="80"/>
      <c r="M571" s="80"/>
      <c r="N571" s="80"/>
      <c r="O571" s="80"/>
      <c r="P571" s="80"/>
      <c r="Q571" s="80"/>
      <c r="R571" s="80"/>
      <c r="S571" s="80"/>
      <c r="T571" s="80"/>
    </row>
    <row r="572" spans="1:20" ht="15.75">
      <c r="A572" s="80"/>
      <c r="B572" s="80"/>
      <c r="C572" s="80"/>
      <c r="D572" s="80"/>
      <c r="E572" s="80"/>
      <c r="F572" s="80"/>
      <c r="G572" s="80"/>
      <c r="H572" s="80"/>
      <c r="I572" s="80"/>
      <c r="J572" s="80"/>
      <c r="K572" s="80"/>
      <c r="L572" s="80"/>
      <c r="M572" s="80"/>
      <c r="N572" s="80"/>
      <c r="O572" s="80"/>
      <c r="P572" s="80"/>
      <c r="Q572" s="80"/>
      <c r="R572" s="80"/>
      <c r="S572" s="80"/>
      <c r="T572" s="80"/>
    </row>
    <row r="573" spans="1:20" ht="15.75">
      <c r="A573" s="80"/>
      <c r="B573" s="80"/>
      <c r="C573" s="80"/>
      <c r="D573" s="80"/>
      <c r="E573" s="80"/>
      <c r="F573" s="80"/>
      <c r="G573" s="80"/>
      <c r="H573" s="80"/>
      <c r="I573" s="80"/>
      <c r="J573" s="80"/>
      <c r="K573" s="80"/>
      <c r="L573" s="80"/>
      <c r="M573" s="80"/>
      <c r="N573" s="80"/>
      <c r="O573" s="80"/>
      <c r="P573" s="80"/>
      <c r="Q573" s="80"/>
      <c r="R573" s="80"/>
      <c r="S573" s="80"/>
      <c r="T573" s="80"/>
    </row>
    <row r="574" spans="1:20" ht="15.75">
      <c r="A574" s="80"/>
      <c r="B574" s="80"/>
      <c r="C574" s="80"/>
      <c r="D574" s="80"/>
      <c r="E574" s="80"/>
      <c r="F574" s="80"/>
      <c r="G574" s="80"/>
      <c r="H574" s="80"/>
      <c r="I574" s="80"/>
      <c r="J574" s="80"/>
      <c r="K574" s="80"/>
      <c r="L574" s="80"/>
      <c r="M574" s="80"/>
      <c r="N574" s="80"/>
      <c r="O574" s="80"/>
      <c r="P574" s="80"/>
      <c r="Q574" s="80"/>
      <c r="R574" s="80"/>
      <c r="S574" s="80"/>
      <c r="T574" s="80"/>
    </row>
    <row r="575" spans="1:20" ht="15.75">
      <c r="A575" s="80"/>
      <c r="B575" s="80"/>
      <c r="C575" s="80"/>
      <c r="D575" s="80"/>
      <c r="E575" s="80"/>
      <c r="F575" s="80"/>
      <c r="G575" s="80"/>
      <c r="H575" s="80"/>
      <c r="I575" s="80"/>
      <c r="J575" s="80"/>
      <c r="K575" s="80"/>
      <c r="L575" s="80"/>
      <c r="M575" s="80"/>
      <c r="N575" s="80"/>
      <c r="O575" s="80"/>
      <c r="P575" s="80"/>
      <c r="Q575" s="80"/>
      <c r="R575" s="80"/>
      <c r="S575" s="80"/>
      <c r="T575" s="80"/>
    </row>
    <row r="576" spans="1:20" ht="15.75">
      <c r="A576" s="80"/>
      <c r="B576" s="80"/>
      <c r="C576" s="80"/>
      <c r="D576" s="80"/>
      <c r="E576" s="80"/>
      <c r="F576" s="80"/>
      <c r="G576" s="80"/>
      <c r="H576" s="80"/>
      <c r="I576" s="80"/>
      <c r="J576" s="80"/>
      <c r="K576" s="80"/>
      <c r="L576" s="80"/>
      <c r="M576" s="80"/>
      <c r="N576" s="80"/>
      <c r="O576" s="80"/>
      <c r="P576" s="80"/>
      <c r="Q576" s="80"/>
      <c r="R576" s="80"/>
      <c r="S576" s="80"/>
      <c r="T576" s="80"/>
    </row>
    <row r="577" spans="1:20" ht="15.75">
      <c r="A577" s="80"/>
      <c r="B577" s="80"/>
      <c r="C577" s="80"/>
      <c r="D577" s="80"/>
      <c r="E577" s="80"/>
      <c r="F577" s="80"/>
      <c r="G577" s="80"/>
      <c r="H577" s="80"/>
      <c r="I577" s="80"/>
      <c r="J577" s="80"/>
      <c r="K577" s="80"/>
      <c r="L577" s="80"/>
      <c r="M577" s="80"/>
      <c r="N577" s="80"/>
      <c r="O577" s="80"/>
      <c r="P577" s="80"/>
      <c r="Q577" s="80"/>
      <c r="R577" s="80"/>
      <c r="S577" s="80"/>
      <c r="T577" s="80"/>
    </row>
    <row r="578" spans="1:20" ht="15.75">
      <c r="A578" s="80"/>
      <c r="B578" s="80"/>
      <c r="C578" s="80"/>
      <c r="D578" s="80"/>
      <c r="E578" s="80"/>
      <c r="F578" s="80"/>
      <c r="G578" s="80"/>
      <c r="H578" s="80"/>
      <c r="I578" s="80"/>
      <c r="J578" s="80"/>
      <c r="K578" s="80"/>
      <c r="L578" s="80"/>
      <c r="M578" s="80"/>
      <c r="N578" s="80"/>
      <c r="O578" s="80"/>
      <c r="P578" s="80"/>
      <c r="Q578" s="80"/>
      <c r="R578" s="80"/>
      <c r="S578" s="80"/>
      <c r="T578" s="80"/>
    </row>
    <row r="579" spans="1:20" ht="15.75">
      <c r="A579" s="80"/>
      <c r="B579" s="80"/>
      <c r="C579" s="80"/>
      <c r="D579" s="80"/>
      <c r="E579" s="80"/>
      <c r="F579" s="80"/>
      <c r="G579" s="80"/>
      <c r="H579" s="80"/>
      <c r="I579" s="80"/>
      <c r="J579" s="80"/>
      <c r="K579" s="80"/>
      <c r="L579" s="80"/>
      <c r="M579" s="80"/>
      <c r="N579" s="80"/>
      <c r="O579" s="80"/>
      <c r="P579" s="80"/>
      <c r="Q579" s="80"/>
      <c r="R579" s="80"/>
      <c r="S579" s="80"/>
      <c r="T579" s="80"/>
    </row>
    <row r="580" spans="1:20" ht="15.75">
      <c r="A580" s="80"/>
      <c r="B580" s="80"/>
      <c r="C580" s="80"/>
      <c r="D580" s="80"/>
      <c r="E580" s="80"/>
      <c r="F580" s="80"/>
      <c r="G580" s="80"/>
      <c r="H580" s="80"/>
      <c r="I580" s="80"/>
      <c r="J580" s="80"/>
      <c r="K580" s="80"/>
      <c r="L580" s="80"/>
      <c r="M580" s="80"/>
      <c r="N580" s="80"/>
      <c r="O580" s="80"/>
      <c r="P580" s="80"/>
      <c r="Q580" s="80"/>
      <c r="R580" s="80"/>
      <c r="S580" s="80"/>
      <c r="T580" s="80"/>
    </row>
    <row r="581" spans="1:20" ht="15.75">
      <c r="A581" s="80"/>
      <c r="B581" s="80"/>
      <c r="C581" s="80"/>
      <c r="D581" s="80"/>
      <c r="E581" s="80"/>
      <c r="F581" s="80"/>
      <c r="G581" s="80"/>
      <c r="H581" s="80"/>
      <c r="I581" s="80"/>
      <c r="J581" s="80"/>
      <c r="K581" s="80"/>
      <c r="L581" s="80"/>
      <c r="M581" s="80"/>
      <c r="N581" s="80"/>
      <c r="O581" s="80"/>
      <c r="P581" s="80"/>
      <c r="Q581" s="80"/>
      <c r="R581" s="80"/>
      <c r="S581" s="80"/>
      <c r="T581" s="80"/>
    </row>
    <row r="582" spans="1:20" ht="15.75">
      <c r="A582" s="80"/>
      <c r="B582" s="80"/>
      <c r="C582" s="80"/>
      <c r="D582" s="80"/>
      <c r="E582" s="80"/>
      <c r="F582" s="80"/>
      <c r="G582" s="80"/>
      <c r="H582" s="80"/>
      <c r="I582" s="80"/>
      <c r="J582" s="80"/>
      <c r="K582" s="80"/>
      <c r="L582" s="80"/>
      <c r="M582" s="80"/>
      <c r="N582" s="80"/>
      <c r="O582" s="80"/>
      <c r="P582" s="80"/>
      <c r="Q582" s="80"/>
      <c r="R582" s="80"/>
      <c r="S582" s="80"/>
      <c r="T582" s="80"/>
    </row>
    <row r="583" spans="1:20" ht="15.75">
      <c r="A583" s="80"/>
      <c r="B583" s="80"/>
      <c r="C583" s="80"/>
      <c r="D583" s="80"/>
      <c r="E583" s="80"/>
      <c r="F583" s="80"/>
      <c r="G583" s="80"/>
      <c r="H583" s="80"/>
      <c r="I583" s="80"/>
      <c r="J583" s="80"/>
      <c r="K583" s="80"/>
      <c r="L583" s="80"/>
      <c r="M583" s="80"/>
      <c r="N583" s="80"/>
      <c r="O583" s="80"/>
      <c r="P583" s="80"/>
      <c r="Q583" s="80"/>
      <c r="R583" s="80"/>
      <c r="S583" s="80"/>
      <c r="T583" s="80"/>
    </row>
    <row r="584" spans="1:20" ht="15.75">
      <c r="A584" s="80"/>
      <c r="B584" s="80"/>
      <c r="C584" s="80"/>
      <c r="D584" s="80"/>
      <c r="E584" s="80"/>
      <c r="F584" s="80"/>
      <c r="G584" s="80"/>
      <c r="H584" s="80"/>
      <c r="I584" s="80"/>
      <c r="J584" s="80"/>
      <c r="K584" s="80"/>
      <c r="L584" s="80"/>
      <c r="M584" s="80"/>
      <c r="N584" s="80"/>
      <c r="O584" s="80"/>
      <c r="P584" s="80"/>
      <c r="Q584" s="80"/>
      <c r="R584" s="80"/>
      <c r="S584" s="80"/>
      <c r="T584" s="80"/>
    </row>
    <row r="585" spans="1:20" ht="15.75">
      <c r="A585" s="80"/>
      <c r="B585" s="80"/>
      <c r="C585" s="80"/>
      <c r="D585" s="80"/>
      <c r="E585" s="80"/>
      <c r="F585" s="80"/>
      <c r="G585" s="80"/>
      <c r="H585" s="80"/>
      <c r="I585" s="80"/>
      <c r="J585" s="80"/>
      <c r="K585" s="80"/>
      <c r="L585" s="80"/>
      <c r="M585" s="80"/>
      <c r="N585" s="80"/>
      <c r="O585" s="80"/>
      <c r="P585" s="80"/>
      <c r="Q585" s="80"/>
      <c r="R585" s="80"/>
      <c r="S585" s="80"/>
      <c r="T585" s="80"/>
    </row>
    <row r="586" spans="1:20" ht="15.75">
      <c r="A586" s="80"/>
      <c r="B586" s="80"/>
      <c r="C586" s="80"/>
      <c r="D586" s="80"/>
      <c r="E586" s="80"/>
      <c r="F586" s="80"/>
      <c r="G586" s="80"/>
      <c r="H586" s="80"/>
      <c r="I586" s="80"/>
      <c r="J586" s="80"/>
      <c r="K586" s="80"/>
      <c r="L586" s="80"/>
      <c r="M586" s="80"/>
      <c r="N586" s="80"/>
      <c r="O586" s="80"/>
      <c r="P586" s="80"/>
      <c r="Q586" s="80"/>
      <c r="R586" s="80"/>
      <c r="S586" s="80"/>
      <c r="T586" s="80"/>
    </row>
    <row r="587" spans="1:20" ht="15.75">
      <c r="A587" s="80"/>
      <c r="B587" s="80"/>
      <c r="C587" s="80"/>
      <c r="D587" s="80"/>
      <c r="E587" s="80"/>
      <c r="F587" s="80"/>
      <c r="G587" s="80"/>
      <c r="H587" s="80"/>
      <c r="I587" s="80"/>
      <c r="J587" s="80"/>
      <c r="K587" s="80"/>
      <c r="L587" s="80"/>
      <c r="M587" s="80"/>
      <c r="N587" s="80"/>
      <c r="O587" s="80"/>
      <c r="P587" s="80"/>
      <c r="Q587" s="80"/>
      <c r="R587" s="80"/>
      <c r="S587" s="80"/>
      <c r="T587" s="80"/>
    </row>
    <row r="588" spans="1:20" ht="15.75">
      <c r="A588" s="80"/>
      <c r="B588" s="80"/>
      <c r="C588" s="80"/>
      <c r="D588" s="80"/>
      <c r="E588" s="80"/>
      <c r="F588" s="80"/>
      <c r="G588" s="80"/>
      <c r="H588" s="80"/>
      <c r="I588" s="80"/>
      <c r="J588" s="80"/>
      <c r="K588" s="80"/>
      <c r="L588" s="80"/>
      <c r="M588" s="80"/>
      <c r="N588" s="80"/>
      <c r="O588" s="80"/>
      <c r="P588" s="80"/>
      <c r="Q588" s="80"/>
      <c r="R588" s="80"/>
      <c r="S588" s="80"/>
      <c r="T588" s="80"/>
    </row>
    <row r="589" spans="1:20" ht="15.75">
      <c r="A589" s="80"/>
      <c r="B589" s="80"/>
      <c r="C589" s="80"/>
      <c r="D589" s="80"/>
      <c r="E589" s="80"/>
      <c r="F589" s="80"/>
      <c r="G589" s="80"/>
      <c r="H589" s="80"/>
      <c r="I589" s="80"/>
      <c r="J589" s="80"/>
      <c r="K589" s="80"/>
      <c r="L589" s="80"/>
      <c r="M589" s="80"/>
      <c r="N589" s="80"/>
      <c r="O589" s="80"/>
      <c r="P589" s="80"/>
      <c r="Q589" s="80"/>
      <c r="R589" s="80"/>
      <c r="S589" s="80"/>
      <c r="T589" s="80"/>
    </row>
    <row r="590" spans="1:20" ht="15.75">
      <c r="A590" s="80"/>
      <c r="B590" s="80"/>
      <c r="C590" s="80"/>
      <c r="D590" s="80"/>
      <c r="E590" s="80"/>
      <c r="F590" s="80"/>
      <c r="G590" s="80"/>
      <c r="H590" s="80"/>
      <c r="I590" s="80"/>
      <c r="J590" s="80"/>
      <c r="K590" s="80"/>
      <c r="L590" s="80"/>
      <c r="M590" s="80"/>
      <c r="N590" s="80"/>
      <c r="O590" s="80"/>
      <c r="P590" s="80"/>
      <c r="Q590" s="80"/>
      <c r="R590" s="80"/>
      <c r="S590" s="80"/>
      <c r="T590" s="80"/>
    </row>
    <row r="591" spans="1:20" ht="15.75">
      <c r="A591" s="80"/>
      <c r="B591" s="80"/>
      <c r="C591" s="80"/>
      <c r="D591" s="80"/>
      <c r="E591" s="80"/>
      <c r="F591" s="80"/>
      <c r="G591" s="80"/>
      <c r="H591" s="80"/>
      <c r="I591" s="80"/>
      <c r="J591" s="80"/>
      <c r="K591" s="80"/>
      <c r="L591" s="80"/>
      <c r="M591" s="80"/>
      <c r="N591" s="80"/>
      <c r="O591" s="80"/>
      <c r="P591" s="80"/>
      <c r="Q591" s="80"/>
      <c r="R591" s="80"/>
      <c r="S591" s="80"/>
      <c r="T591" s="80"/>
    </row>
    <row r="592" spans="1:20" ht="15.75">
      <c r="A592" s="80"/>
      <c r="B592" s="80"/>
      <c r="C592" s="80"/>
      <c r="D592" s="80"/>
      <c r="E592" s="80"/>
      <c r="F592" s="80"/>
      <c r="G592" s="80"/>
      <c r="H592" s="80"/>
      <c r="I592" s="80"/>
      <c r="J592" s="80"/>
      <c r="K592" s="80"/>
      <c r="L592" s="80"/>
      <c r="M592" s="80"/>
      <c r="N592" s="80"/>
      <c r="O592" s="80"/>
      <c r="P592" s="80"/>
      <c r="Q592" s="80"/>
      <c r="R592" s="80"/>
      <c r="S592" s="80"/>
      <c r="T592" s="80"/>
    </row>
    <row r="593" spans="1:20" ht="15.75">
      <c r="A593" s="80"/>
      <c r="B593" s="80"/>
      <c r="C593" s="80"/>
      <c r="D593" s="80"/>
      <c r="E593" s="80"/>
      <c r="F593" s="80"/>
      <c r="G593" s="80"/>
      <c r="H593" s="80"/>
      <c r="I593" s="80"/>
      <c r="J593" s="80"/>
      <c r="K593" s="80"/>
      <c r="L593" s="80"/>
      <c r="M593" s="80"/>
      <c r="N593" s="80"/>
      <c r="O593" s="80"/>
      <c r="P593" s="80"/>
      <c r="Q593" s="80"/>
      <c r="R593" s="80"/>
      <c r="S593" s="80"/>
      <c r="T593" s="80"/>
    </row>
    <row r="594" spans="1:20" ht="15.75">
      <c r="A594" s="80"/>
      <c r="B594" s="80"/>
      <c r="C594" s="80"/>
      <c r="D594" s="80"/>
      <c r="E594" s="80"/>
      <c r="F594" s="80"/>
      <c r="G594" s="80"/>
      <c r="H594" s="80"/>
      <c r="I594" s="80"/>
      <c r="J594" s="80"/>
      <c r="K594" s="80"/>
      <c r="L594" s="80"/>
      <c r="M594" s="80"/>
      <c r="N594" s="80"/>
      <c r="O594" s="80"/>
      <c r="P594" s="80"/>
      <c r="Q594" s="80"/>
      <c r="R594" s="80"/>
      <c r="S594" s="80"/>
      <c r="T594" s="80"/>
    </row>
    <row r="595" spans="1:20" ht="15.75">
      <c r="A595" s="80"/>
      <c r="B595" s="80"/>
      <c r="C595" s="80"/>
      <c r="D595" s="80"/>
      <c r="E595" s="80"/>
      <c r="F595" s="80"/>
      <c r="G595" s="80"/>
      <c r="H595" s="80"/>
      <c r="I595" s="80"/>
      <c r="J595" s="80"/>
      <c r="K595" s="80"/>
      <c r="L595" s="80"/>
      <c r="M595" s="80"/>
      <c r="N595" s="80"/>
      <c r="O595" s="80"/>
      <c r="P595" s="80"/>
      <c r="Q595" s="80"/>
      <c r="R595" s="80"/>
      <c r="S595" s="80"/>
      <c r="T595" s="80"/>
    </row>
    <row r="596" spans="1:20" ht="15.75">
      <c r="A596" s="80"/>
      <c r="B596" s="80"/>
      <c r="C596" s="80"/>
      <c r="D596" s="80"/>
      <c r="E596" s="80"/>
      <c r="F596" s="80"/>
      <c r="G596" s="80"/>
      <c r="H596" s="80"/>
      <c r="I596" s="80"/>
      <c r="J596" s="80"/>
      <c r="K596" s="80"/>
      <c r="L596" s="80"/>
      <c r="M596" s="80"/>
      <c r="N596" s="80"/>
      <c r="O596" s="80"/>
      <c r="P596" s="80"/>
      <c r="Q596" s="80"/>
      <c r="R596" s="80"/>
      <c r="S596" s="80"/>
      <c r="T596" s="80"/>
    </row>
    <row r="597" spans="1:20" ht="15.75">
      <c r="A597" s="80"/>
      <c r="B597" s="80"/>
      <c r="C597" s="80"/>
      <c r="D597" s="80"/>
      <c r="E597" s="80"/>
      <c r="F597" s="80"/>
      <c r="G597" s="80"/>
      <c r="H597" s="80"/>
      <c r="I597" s="80"/>
      <c r="J597" s="80"/>
      <c r="K597" s="80"/>
      <c r="L597" s="80"/>
      <c r="M597" s="80"/>
      <c r="N597" s="80"/>
      <c r="O597" s="80"/>
      <c r="P597" s="80"/>
      <c r="Q597" s="80"/>
      <c r="R597" s="80"/>
      <c r="S597" s="80"/>
      <c r="T597" s="80"/>
    </row>
    <row r="598" spans="1:20" ht="15.75">
      <c r="A598" s="80"/>
      <c r="B598" s="80"/>
      <c r="C598" s="80"/>
      <c r="D598" s="80"/>
      <c r="E598" s="80"/>
      <c r="F598" s="80"/>
      <c r="G598" s="80"/>
      <c r="H598" s="80"/>
      <c r="I598" s="80"/>
      <c r="J598" s="80"/>
      <c r="K598" s="80"/>
      <c r="L598" s="80"/>
      <c r="M598" s="80"/>
      <c r="N598" s="80"/>
      <c r="O598" s="80"/>
      <c r="P598" s="80"/>
      <c r="Q598" s="80"/>
      <c r="R598" s="80"/>
      <c r="S598" s="80"/>
      <c r="T598" s="80"/>
    </row>
    <row r="599" spans="1:20" ht="15.75">
      <c r="A599" s="80"/>
      <c r="B599" s="80"/>
      <c r="C599" s="80"/>
      <c r="D599" s="80"/>
      <c r="E599" s="80"/>
      <c r="F599" s="80"/>
      <c r="G599" s="80"/>
      <c r="H599" s="80"/>
      <c r="I599" s="80"/>
      <c r="J599" s="80"/>
      <c r="K599" s="80"/>
      <c r="L599" s="80"/>
      <c r="M599" s="80"/>
      <c r="N599" s="80"/>
      <c r="O599" s="80"/>
      <c r="P599" s="80"/>
      <c r="Q599" s="80"/>
      <c r="R599" s="80"/>
      <c r="S599" s="80"/>
      <c r="T599" s="80"/>
    </row>
    <row r="600" spans="1:20" ht="15.75">
      <c r="A600" s="80"/>
      <c r="B600" s="80"/>
      <c r="C600" s="80"/>
      <c r="D600" s="80"/>
      <c r="E600" s="80"/>
      <c r="F600" s="80"/>
      <c r="G600" s="80"/>
      <c r="H600" s="80"/>
      <c r="I600" s="80"/>
      <c r="J600" s="80"/>
      <c r="K600" s="80"/>
      <c r="L600" s="80"/>
      <c r="M600" s="80"/>
      <c r="N600" s="80"/>
      <c r="O600" s="80"/>
      <c r="P600" s="80"/>
      <c r="Q600" s="80"/>
      <c r="R600" s="80"/>
      <c r="S600" s="80"/>
      <c r="T600" s="80"/>
    </row>
    <row r="601" spans="1:20" ht="15.75">
      <c r="A601" s="80"/>
      <c r="B601" s="80"/>
      <c r="C601" s="80"/>
      <c r="D601" s="80"/>
      <c r="E601" s="80"/>
      <c r="F601" s="80"/>
      <c r="G601" s="80"/>
      <c r="H601" s="80"/>
      <c r="I601" s="80"/>
      <c r="J601" s="80"/>
      <c r="K601" s="80"/>
      <c r="L601" s="80"/>
      <c r="M601" s="80"/>
      <c r="N601" s="80"/>
      <c r="O601" s="80"/>
      <c r="P601" s="80"/>
      <c r="Q601" s="80"/>
      <c r="R601" s="80"/>
      <c r="S601" s="80"/>
      <c r="T601" s="80"/>
    </row>
    <row r="602" spans="1:20" ht="15.75">
      <c r="A602" s="80"/>
      <c r="B602" s="80"/>
      <c r="C602" s="80"/>
      <c r="D602" s="80"/>
      <c r="E602" s="80"/>
      <c r="F602" s="80"/>
      <c r="G602" s="80"/>
      <c r="H602" s="80"/>
      <c r="I602" s="80"/>
      <c r="J602" s="80"/>
      <c r="K602" s="80"/>
      <c r="L602" s="80"/>
      <c r="M602" s="80"/>
      <c r="N602" s="80"/>
      <c r="O602" s="80"/>
      <c r="P602" s="80"/>
      <c r="Q602" s="80"/>
      <c r="R602" s="80"/>
      <c r="S602" s="80"/>
      <c r="T602" s="80"/>
    </row>
    <row r="603" spans="1:20" ht="15.75">
      <c r="A603" s="80"/>
      <c r="B603" s="80"/>
      <c r="C603" s="80"/>
      <c r="D603" s="80"/>
      <c r="E603" s="80"/>
      <c r="F603" s="80"/>
      <c r="G603" s="80"/>
      <c r="H603" s="80"/>
      <c r="I603" s="80"/>
      <c r="J603" s="80"/>
      <c r="K603" s="80"/>
      <c r="L603" s="80"/>
      <c r="M603" s="80"/>
      <c r="N603" s="80"/>
      <c r="O603" s="80"/>
      <c r="P603" s="80"/>
      <c r="Q603" s="80"/>
      <c r="R603" s="80"/>
      <c r="S603" s="80"/>
      <c r="T603" s="80"/>
    </row>
    <row r="604" spans="1:20" ht="15.75">
      <c r="A604" s="80"/>
      <c r="B604" s="80"/>
      <c r="C604" s="80"/>
      <c r="D604" s="80"/>
      <c r="E604" s="80"/>
      <c r="F604" s="80"/>
      <c r="G604" s="80"/>
      <c r="H604" s="80"/>
      <c r="I604" s="80"/>
      <c r="J604" s="80"/>
      <c r="K604" s="80"/>
      <c r="L604" s="80"/>
      <c r="M604" s="80"/>
      <c r="N604" s="80"/>
      <c r="O604" s="80"/>
      <c r="P604" s="80"/>
      <c r="Q604" s="80"/>
      <c r="R604" s="80"/>
      <c r="S604" s="80"/>
      <c r="T604" s="80"/>
    </row>
    <row r="605" spans="1:20" ht="15.75">
      <c r="A605" s="80"/>
      <c r="B605" s="80"/>
      <c r="C605" s="80"/>
      <c r="D605" s="80"/>
      <c r="E605" s="80"/>
      <c r="F605" s="80"/>
      <c r="G605" s="80"/>
      <c r="H605" s="80"/>
      <c r="I605" s="80"/>
      <c r="J605" s="80"/>
      <c r="K605" s="80"/>
      <c r="L605" s="80"/>
      <c r="M605" s="80"/>
      <c r="N605" s="80"/>
      <c r="O605" s="80"/>
      <c r="P605" s="80"/>
      <c r="Q605" s="80"/>
      <c r="R605" s="80"/>
      <c r="S605" s="80"/>
      <c r="T605" s="80"/>
    </row>
    <row r="606" spans="1:20" ht="15.75">
      <c r="A606" s="80"/>
      <c r="B606" s="80"/>
      <c r="C606" s="80"/>
      <c r="D606" s="80"/>
      <c r="E606" s="80"/>
      <c r="F606" s="80"/>
      <c r="G606" s="80"/>
      <c r="H606" s="80"/>
      <c r="I606" s="80"/>
      <c r="J606" s="80"/>
      <c r="K606" s="80"/>
      <c r="L606" s="80"/>
      <c r="M606" s="80"/>
      <c r="N606" s="80"/>
      <c r="O606" s="80"/>
      <c r="P606" s="80"/>
      <c r="Q606" s="80"/>
      <c r="R606" s="80"/>
      <c r="S606" s="80"/>
      <c r="T606" s="80"/>
    </row>
    <row r="607" spans="1:20" ht="15.75">
      <c r="A607" s="80"/>
      <c r="B607" s="80"/>
      <c r="C607" s="80"/>
      <c r="D607" s="80"/>
      <c r="E607" s="80"/>
      <c r="F607" s="80"/>
      <c r="G607" s="80"/>
      <c r="H607" s="80"/>
      <c r="I607" s="80"/>
      <c r="J607" s="80"/>
      <c r="K607" s="80"/>
      <c r="L607" s="80"/>
      <c r="M607" s="80"/>
      <c r="N607" s="80"/>
      <c r="O607" s="80"/>
      <c r="P607" s="80"/>
      <c r="Q607" s="80"/>
      <c r="R607" s="80"/>
      <c r="S607" s="80"/>
      <c r="T607" s="80"/>
    </row>
    <row r="608" spans="1:20" ht="15.75">
      <c r="A608" s="80"/>
      <c r="B608" s="80"/>
      <c r="C608" s="80"/>
      <c r="D608" s="80"/>
      <c r="E608" s="80"/>
      <c r="F608" s="80"/>
      <c r="G608" s="80"/>
      <c r="H608" s="80"/>
      <c r="I608" s="80"/>
      <c r="J608" s="80"/>
      <c r="K608" s="80"/>
      <c r="L608" s="80"/>
      <c r="M608" s="80"/>
      <c r="N608" s="80"/>
      <c r="O608" s="80"/>
      <c r="P608" s="80"/>
      <c r="Q608" s="80"/>
      <c r="R608" s="80"/>
      <c r="S608" s="80"/>
      <c r="T608" s="80"/>
    </row>
    <row r="609" spans="1:20" ht="15.75">
      <c r="A609" s="80"/>
      <c r="B609" s="80"/>
      <c r="C609" s="80"/>
      <c r="D609" s="80"/>
      <c r="E609" s="80"/>
      <c r="F609" s="80"/>
      <c r="G609" s="80"/>
      <c r="H609" s="80"/>
      <c r="I609" s="80"/>
      <c r="J609" s="80"/>
      <c r="K609" s="80"/>
      <c r="L609" s="80"/>
      <c r="M609" s="80"/>
      <c r="N609" s="80"/>
      <c r="O609" s="80"/>
      <c r="P609" s="80"/>
      <c r="Q609" s="80"/>
      <c r="R609" s="80"/>
      <c r="S609" s="80"/>
      <c r="T609" s="80"/>
    </row>
    <row r="610" spans="1:20" ht="15.75">
      <c r="A610" s="80"/>
      <c r="B610" s="80"/>
      <c r="C610" s="80"/>
      <c r="D610" s="80"/>
      <c r="E610" s="80"/>
      <c r="F610" s="80"/>
      <c r="G610" s="80"/>
      <c r="H610" s="80"/>
      <c r="I610" s="80"/>
      <c r="J610" s="80"/>
      <c r="K610" s="80"/>
      <c r="L610" s="80"/>
      <c r="M610" s="80"/>
      <c r="N610" s="80"/>
      <c r="O610" s="80"/>
      <c r="P610" s="80"/>
      <c r="Q610" s="80"/>
      <c r="R610" s="80"/>
      <c r="S610" s="80"/>
      <c r="T610" s="80"/>
    </row>
    <row r="611" spans="1:20" ht="15.75">
      <c r="A611" s="80"/>
      <c r="B611" s="80"/>
      <c r="C611" s="80"/>
      <c r="D611" s="80"/>
      <c r="E611" s="80"/>
      <c r="F611" s="80"/>
      <c r="G611" s="80"/>
      <c r="H611" s="80"/>
      <c r="I611" s="80"/>
      <c r="J611" s="80"/>
      <c r="K611" s="80"/>
      <c r="L611" s="80"/>
      <c r="M611" s="80"/>
      <c r="N611" s="80"/>
      <c r="O611" s="80"/>
      <c r="P611" s="80"/>
      <c r="Q611" s="80"/>
      <c r="R611" s="80"/>
      <c r="S611" s="80"/>
      <c r="T611" s="80"/>
    </row>
    <row r="612" spans="1:20" ht="15.75">
      <c r="A612" s="80"/>
      <c r="B612" s="80"/>
      <c r="C612" s="80"/>
      <c r="D612" s="80"/>
      <c r="E612" s="80"/>
      <c r="F612" s="80"/>
      <c r="G612" s="80"/>
      <c r="H612" s="80"/>
      <c r="I612" s="80"/>
      <c r="J612" s="80"/>
      <c r="K612" s="80"/>
      <c r="L612" s="80"/>
      <c r="M612" s="80"/>
      <c r="N612" s="80"/>
      <c r="O612" s="80"/>
      <c r="P612" s="80"/>
      <c r="Q612" s="80"/>
      <c r="R612" s="80"/>
      <c r="S612" s="80"/>
      <c r="T612" s="80"/>
    </row>
    <row r="613" spans="1:20" ht="15.75">
      <c r="A613" s="80"/>
      <c r="B613" s="80"/>
      <c r="C613" s="80"/>
      <c r="D613" s="80"/>
      <c r="E613" s="80"/>
      <c r="F613" s="80"/>
      <c r="G613" s="80"/>
      <c r="H613" s="80"/>
      <c r="I613" s="80"/>
      <c r="J613" s="80"/>
      <c r="K613" s="80"/>
      <c r="L613" s="80"/>
      <c r="M613" s="80"/>
      <c r="N613" s="80"/>
      <c r="O613" s="80"/>
      <c r="P613" s="80"/>
      <c r="Q613" s="80"/>
      <c r="R613" s="80"/>
      <c r="S613" s="80"/>
      <c r="T613" s="80"/>
    </row>
    <row r="614" spans="1:20" ht="15.75">
      <c r="A614" s="80"/>
      <c r="B614" s="80"/>
      <c r="C614" s="80"/>
      <c r="D614" s="80"/>
      <c r="E614" s="80"/>
      <c r="F614" s="80"/>
      <c r="G614" s="80"/>
      <c r="H614" s="80"/>
      <c r="I614" s="80"/>
      <c r="J614" s="80"/>
      <c r="K614" s="80"/>
      <c r="L614" s="80"/>
      <c r="M614" s="80"/>
      <c r="N614" s="80"/>
      <c r="O614" s="80"/>
      <c r="P614" s="80"/>
      <c r="Q614" s="80"/>
      <c r="R614" s="80"/>
      <c r="S614" s="80"/>
      <c r="T614" s="80"/>
    </row>
    <row r="615" spans="1:20" ht="15.75">
      <c r="A615" s="80"/>
      <c r="B615" s="80"/>
      <c r="C615" s="80"/>
      <c r="D615" s="80"/>
      <c r="E615" s="80"/>
      <c r="F615" s="80"/>
      <c r="G615" s="80"/>
      <c r="H615" s="80"/>
      <c r="I615" s="80"/>
      <c r="J615" s="80"/>
      <c r="K615" s="80"/>
      <c r="L615" s="80"/>
      <c r="M615" s="80"/>
      <c r="N615" s="80"/>
      <c r="O615" s="80"/>
      <c r="P615" s="80"/>
      <c r="Q615" s="80"/>
      <c r="R615" s="80"/>
      <c r="S615" s="80"/>
      <c r="T615" s="80"/>
    </row>
    <row r="616" spans="1:20" ht="15.75">
      <c r="A616" s="80"/>
      <c r="B616" s="80"/>
      <c r="C616" s="80"/>
      <c r="D616" s="80"/>
      <c r="E616" s="80"/>
      <c r="F616" s="80"/>
      <c r="G616" s="80"/>
      <c r="H616" s="80"/>
      <c r="I616" s="80"/>
      <c r="J616" s="80"/>
      <c r="K616" s="80"/>
      <c r="L616" s="80"/>
      <c r="M616" s="80"/>
      <c r="N616" s="80"/>
      <c r="O616" s="80"/>
      <c r="P616" s="80"/>
      <c r="Q616" s="80"/>
      <c r="R616" s="80"/>
      <c r="S616" s="80"/>
      <c r="T616" s="80"/>
    </row>
    <row r="617" spans="1:20" ht="15.75">
      <c r="A617" s="80"/>
      <c r="B617" s="80"/>
      <c r="C617" s="80"/>
      <c r="D617" s="80"/>
      <c r="E617" s="80"/>
      <c r="F617" s="80"/>
      <c r="G617" s="80"/>
      <c r="H617" s="80"/>
      <c r="I617" s="80"/>
      <c r="J617" s="80"/>
      <c r="K617" s="80"/>
      <c r="L617" s="80"/>
      <c r="M617" s="80"/>
      <c r="N617" s="80"/>
      <c r="O617" s="80"/>
      <c r="P617" s="80"/>
      <c r="Q617" s="80"/>
      <c r="R617" s="80"/>
      <c r="S617" s="80"/>
      <c r="T617" s="80"/>
    </row>
    <row r="618" spans="1:20" ht="15.75">
      <c r="A618" s="80"/>
      <c r="B618" s="80"/>
      <c r="C618" s="80"/>
      <c r="D618" s="80"/>
      <c r="E618" s="80"/>
      <c r="F618" s="80"/>
      <c r="G618" s="80"/>
      <c r="H618" s="80"/>
      <c r="I618" s="80"/>
      <c r="J618" s="80"/>
      <c r="K618" s="80"/>
      <c r="L618" s="80"/>
      <c r="M618" s="80"/>
      <c r="N618" s="80"/>
      <c r="O618" s="80"/>
      <c r="P618" s="80"/>
      <c r="Q618" s="80"/>
      <c r="R618" s="80"/>
      <c r="S618" s="80"/>
      <c r="T618" s="80"/>
    </row>
    <row r="619" spans="1:20" ht="15.75">
      <c r="A619" s="80"/>
      <c r="B619" s="80"/>
      <c r="C619" s="80"/>
      <c r="D619" s="80"/>
      <c r="E619" s="80"/>
      <c r="F619" s="80"/>
      <c r="G619" s="80"/>
      <c r="H619" s="80"/>
      <c r="I619" s="80"/>
      <c r="J619" s="80"/>
      <c r="K619" s="80"/>
      <c r="L619" s="80"/>
      <c r="M619" s="80"/>
      <c r="N619" s="80"/>
      <c r="O619" s="80"/>
      <c r="P619" s="80"/>
      <c r="Q619" s="80"/>
      <c r="R619" s="80"/>
      <c r="S619" s="80"/>
      <c r="T619" s="80"/>
    </row>
    <row r="620" spans="1:20" ht="15.75">
      <c r="A620" s="80"/>
      <c r="B620" s="80"/>
      <c r="C620" s="80"/>
      <c r="D620" s="80"/>
      <c r="E620" s="80"/>
      <c r="F620" s="80"/>
      <c r="G620" s="80"/>
      <c r="H620" s="80"/>
      <c r="I620" s="80"/>
      <c r="J620" s="80"/>
      <c r="K620" s="80"/>
      <c r="L620" s="80"/>
      <c r="M620" s="80"/>
      <c r="N620" s="80"/>
      <c r="O620" s="80"/>
      <c r="P620" s="80"/>
      <c r="Q620" s="80"/>
      <c r="R620" s="80"/>
      <c r="S620" s="80"/>
      <c r="T620" s="80"/>
    </row>
    <row r="621" spans="1:20" ht="15.75">
      <c r="A621" s="80"/>
      <c r="B621" s="80"/>
      <c r="C621" s="80"/>
      <c r="D621" s="80"/>
      <c r="E621" s="80"/>
      <c r="F621" s="80"/>
      <c r="G621" s="80"/>
      <c r="H621" s="80"/>
      <c r="I621" s="80"/>
      <c r="J621" s="80"/>
      <c r="K621" s="80"/>
      <c r="L621" s="80"/>
      <c r="M621" s="80"/>
      <c r="N621" s="80"/>
      <c r="O621" s="80"/>
      <c r="P621" s="80"/>
      <c r="Q621" s="80"/>
      <c r="R621" s="80"/>
      <c r="S621" s="80"/>
      <c r="T621" s="80"/>
    </row>
    <row r="622" spans="1:20" ht="15.75">
      <c r="A622" s="80"/>
      <c r="B622" s="80"/>
      <c r="C622" s="80"/>
      <c r="D622" s="80"/>
      <c r="E622" s="80"/>
      <c r="F622" s="80"/>
      <c r="G622" s="80"/>
      <c r="H622" s="80"/>
      <c r="I622" s="80"/>
      <c r="J622" s="80"/>
      <c r="K622" s="80"/>
      <c r="L622" s="80"/>
      <c r="M622" s="80"/>
      <c r="N622" s="80"/>
      <c r="O622" s="80"/>
      <c r="P622" s="80"/>
      <c r="Q622" s="80"/>
      <c r="R622" s="80"/>
      <c r="S622" s="80"/>
      <c r="T622" s="80"/>
    </row>
    <row r="623" spans="1:20" ht="15.75">
      <c r="A623" s="80"/>
      <c r="B623" s="80"/>
      <c r="C623" s="80"/>
      <c r="D623" s="80"/>
      <c r="E623" s="80"/>
      <c r="F623" s="80"/>
      <c r="G623" s="80"/>
      <c r="H623" s="80"/>
      <c r="I623" s="80"/>
      <c r="J623" s="80"/>
      <c r="K623" s="80"/>
      <c r="L623" s="80"/>
      <c r="M623" s="80"/>
      <c r="N623" s="80"/>
      <c r="O623" s="80"/>
      <c r="P623" s="80"/>
      <c r="Q623" s="80"/>
      <c r="R623" s="80"/>
      <c r="S623" s="80"/>
      <c r="T623" s="80"/>
    </row>
    <row r="624" spans="1:20" ht="15.75">
      <c r="A624" s="80"/>
      <c r="B624" s="80"/>
      <c r="C624" s="80"/>
      <c r="D624" s="80"/>
      <c r="E624" s="80"/>
      <c r="F624" s="80"/>
      <c r="G624" s="80"/>
      <c r="H624" s="80"/>
      <c r="I624" s="80"/>
      <c r="J624" s="80"/>
      <c r="K624" s="80"/>
      <c r="L624" s="80"/>
      <c r="M624" s="80"/>
      <c r="N624" s="80"/>
      <c r="O624" s="80"/>
      <c r="P624" s="80"/>
      <c r="Q624" s="80"/>
      <c r="R624" s="80"/>
      <c r="S624" s="80"/>
      <c r="T624" s="80"/>
    </row>
    <row r="625" spans="1:20" ht="15.75">
      <c r="A625" s="80"/>
      <c r="B625" s="80"/>
      <c r="C625" s="80"/>
      <c r="D625" s="80"/>
      <c r="E625" s="80"/>
      <c r="F625" s="80"/>
      <c r="G625" s="80"/>
      <c r="H625" s="80"/>
      <c r="I625" s="80"/>
      <c r="J625" s="80"/>
      <c r="K625" s="80"/>
      <c r="L625" s="80"/>
      <c r="M625" s="80"/>
      <c r="N625" s="80"/>
      <c r="O625" s="80"/>
      <c r="P625" s="80"/>
      <c r="Q625" s="80"/>
      <c r="R625" s="80"/>
      <c r="S625" s="80"/>
      <c r="T625" s="80"/>
    </row>
    <row r="626" spans="1:20" ht="15.75">
      <c r="A626" s="80"/>
      <c r="B626" s="80"/>
      <c r="C626" s="80"/>
      <c r="D626" s="80"/>
      <c r="E626" s="80"/>
      <c r="F626" s="80"/>
      <c r="G626" s="80"/>
      <c r="H626" s="80"/>
      <c r="I626" s="80"/>
      <c r="J626" s="80"/>
      <c r="K626" s="80"/>
      <c r="L626" s="80"/>
      <c r="M626" s="80"/>
      <c r="N626" s="80"/>
      <c r="O626" s="80"/>
      <c r="P626" s="80"/>
      <c r="Q626" s="80"/>
      <c r="R626" s="80"/>
      <c r="S626" s="80"/>
      <c r="T626" s="80"/>
    </row>
    <row r="627" spans="1:20" ht="15.75">
      <c r="A627" s="80"/>
      <c r="B627" s="80"/>
      <c r="C627" s="80"/>
      <c r="D627" s="80"/>
      <c r="E627" s="80"/>
      <c r="F627" s="80"/>
      <c r="G627" s="80"/>
      <c r="H627" s="80"/>
      <c r="I627" s="80"/>
      <c r="J627" s="80"/>
      <c r="K627" s="80"/>
      <c r="L627" s="80"/>
      <c r="M627" s="80"/>
      <c r="N627" s="80"/>
      <c r="O627" s="80"/>
      <c r="P627" s="80"/>
      <c r="Q627" s="80"/>
      <c r="R627" s="80"/>
      <c r="S627" s="80"/>
      <c r="T627" s="80"/>
    </row>
    <row r="628" spans="1:20" ht="15.75">
      <c r="A628" s="80"/>
      <c r="B628" s="80"/>
      <c r="C628" s="80"/>
      <c r="D628" s="80"/>
      <c r="E628" s="80"/>
      <c r="F628" s="80"/>
      <c r="G628" s="80"/>
      <c r="H628" s="80"/>
      <c r="I628" s="80"/>
      <c r="J628" s="80"/>
      <c r="K628" s="80"/>
      <c r="L628" s="80"/>
      <c r="M628" s="80"/>
      <c r="N628" s="80"/>
      <c r="O628" s="80"/>
      <c r="P628" s="80"/>
      <c r="Q628" s="80"/>
      <c r="R628" s="80"/>
      <c r="S628" s="80"/>
      <c r="T628" s="80"/>
    </row>
    <row r="629" spans="1:20" ht="15.75">
      <c r="A629" s="80"/>
      <c r="B629" s="80"/>
      <c r="C629" s="80"/>
      <c r="D629" s="80"/>
      <c r="E629" s="80"/>
      <c r="F629" s="80"/>
      <c r="G629" s="80"/>
      <c r="H629" s="80"/>
      <c r="I629" s="80"/>
      <c r="J629" s="80"/>
      <c r="K629" s="80"/>
      <c r="L629" s="80"/>
      <c r="M629" s="80"/>
      <c r="N629" s="80"/>
      <c r="O629" s="80"/>
      <c r="P629" s="80"/>
      <c r="Q629" s="80"/>
      <c r="R629" s="80"/>
      <c r="S629" s="80"/>
      <c r="T629" s="80"/>
    </row>
    <row r="630" spans="1:20" ht="15.75">
      <c r="A630" s="80"/>
      <c r="B630" s="80"/>
      <c r="C630" s="80"/>
      <c r="D630" s="80"/>
      <c r="E630" s="80"/>
      <c r="F630" s="80"/>
      <c r="G630" s="80"/>
      <c r="H630" s="80"/>
      <c r="I630" s="80"/>
      <c r="J630" s="80"/>
      <c r="K630" s="80"/>
      <c r="L630" s="80"/>
      <c r="M630" s="80"/>
      <c r="N630" s="80"/>
      <c r="O630" s="80"/>
      <c r="P630" s="80"/>
      <c r="Q630" s="80"/>
      <c r="R630" s="80"/>
      <c r="S630" s="80"/>
      <c r="T630" s="80"/>
    </row>
    <row r="631" spans="1:20" ht="15.75">
      <c r="A631" s="80"/>
      <c r="B631" s="80"/>
      <c r="C631" s="80"/>
      <c r="D631" s="80"/>
      <c r="E631" s="80"/>
      <c r="F631" s="80"/>
      <c r="G631" s="80"/>
      <c r="H631" s="80"/>
      <c r="I631" s="80"/>
      <c r="J631" s="80"/>
      <c r="K631" s="80"/>
      <c r="L631" s="80"/>
      <c r="M631" s="80"/>
      <c r="N631" s="80"/>
      <c r="O631" s="80"/>
      <c r="P631" s="80"/>
      <c r="Q631" s="80"/>
      <c r="R631" s="80"/>
      <c r="S631" s="80"/>
      <c r="T631" s="80"/>
    </row>
    <row r="632" spans="1:20" ht="15.75">
      <c r="A632" s="80"/>
      <c r="B632" s="80"/>
      <c r="C632" s="80"/>
      <c r="D632" s="80"/>
      <c r="E632" s="80"/>
      <c r="F632" s="80"/>
      <c r="G632" s="80"/>
      <c r="H632" s="80"/>
      <c r="I632" s="80"/>
      <c r="J632" s="80"/>
      <c r="K632" s="80"/>
      <c r="L632" s="80"/>
      <c r="M632" s="80"/>
      <c r="N632" s="80"/>
      <c r="O632" s="80"/>
      <c r="P632" s="80"/>
      <c r="Q632" s="80"/>
      <c r="R632" s="80"/>
      <c r="S632" s="80"/>
      <c r="T632" s="80"/>
    </row>
    <row r="633" spans="1:20" ht="15.75">
      <c r="A633" s="80"/>
      <c r="B633" s="80"/>
      <c r="C633" s="80"/>
      <c r="D633" s="80"/>
      <c r="E633" s="80"/>
      <c r="F633" s="80"/>
      <c r="G633" s="80"/>
      <c r="H633" s="80"/>
      <c r="I633" s="80"/>
      <c r="J633" s="80"/>
      <c r="K633" s="80"/>
      <c r="L633" s="80"/>
      <c r="M633" s="80"/>
      <c r="N633" s="80"/>
      <c r="O633" s="80"/>
      <c r="P633" s="80"/>
      <c r="Q633" s="80"/>
      <c r="R633" s="80"/>
      <c r="S633" s="80"/>
      <c r="T633" s="80"/>
    </row>
    <row r="634" spans="1:20" ht="15.75">
      <c r="A634" s="80"/>
      <c r="B634" s="80"/>
      <c r="C634" s="80"/>
      <c r="D634" s="80"/>
      <c r="E634" s="80"/>
      <c r="F634" s="80"/>
      <c r="G634" s="80"/>
      <c r="H634" s="80"/>
      <c r="I634" s="80"/>
      <c r="J634" s="80"/>
      <c r="K634" s="80"/>
      <c r="L634" s="80"/>
      <c r="M634" s="80"/>
      <c r="N634" s="80"/>
      <c r="O634" s="80"/>
      <c r="P634" s="80"/>
      <c r="Q634" s="80"/>
      <c r="R634" s="80"/>
      <c r="S634" s="80"/>
      <c r="T634" s="80"/>
    </row>
    <row r="635" spans="1:20" ht="15.75">
      <c r="A635" s="80"/>
      <c r="B635" s="80"/>
      <c r="C635" s="80"/>
      <c r="D635" s="80"/>
      <c r="E635" s="80"/>
      <c r="F635" s="80"/>
      <c r="G635" s="80"/>
      <c r="H635" s="80"/>
      <c r="I635" s="80"/>
      <c r="J635" s="80"/>
      <c r="K635" s="80"/>
      <c r="L635" s="80"/>
      <c r="M635" s="80"/>
      <c r="N635" s="80"/>
      <c r="O635" s="80"/>
      <c r="P635" s="80"/>
      <c r="Q635" s="80"/>
      <c r="R635" s="80"/>
      <c r="S635" s="80"/>
      <c r="T635" s="80"/>
    </row>
    <row r="636" spans="1:20" ht="15.75">
      <c r="A636" s="80"/>
      <c r="B636" s="80"/>
      <c r="C636" s="80"/>
      <c r="D636" s="80"/>
      <c r="E636" s="80"/>
      <c r="F636" s="80"/>
      <c r="G636" s="80"/>
      <c r="H636" s="80"/>
      <c r="I636" s="80"/>
      <c r="J636" s="80"/>
      <c r="K636" s="80"/>
      <c r="L636" s="80"/>
      <c r="M636" s="80"/>
      <c r="N636" s="80"/>
      <c r="O636" s="80"/>
      <c r="P636" s="80"/>
      <c r="Q636" s="80"/>
      <c r="R636" s="80"/>
      <c r="S636" s="80"/>
      <c r="T636" s="80"/>
    </row>
    <row r="637" spans="1:20" ht="15.75">
      <c r="A637" s="80"/>
      <c r="B637" s="80"/>
      <c r="C637" s="80"/>
      <c r="D637" s="80"/>
      <c r="E637" s="80"/>
      <c r="F637" s="80"/>
      <c r="G637" s="80"/>
      <c r="H637" s="80"/>
      <c r="I637" s="80"/>
      <c r="J637" s="80"/>
      <c r="K637" s="80"/>
      <c r="L637" s="80"/>
      <c r="M637" s="80"/>
      <c r="N637" s="80"/>
      <c r="O637" s="80"/>
      <c r="P637" s="80"/>
      <c r="Q637" s="80"/>
      <c r="R637" s="80"/>
      <c r="S637" s="80"/>
      <c r="T637" s="80"/>
    </row>
    <row r="638" spans="1:20" ht="15.75">
      <c r="A638" s="80"/>
      <c r="B638" s="80"/>
      <c r="C638" s="80"/>
      <c r="D638" s="80"/>
      <c r="E638" s="80"/>
      <c r="F638" s="80"/>
      <c r="G638" s="80"/>
      <c r="H638" s="80"/>
      <c r="I638" s="80"/>
      <c r="J638" s="80"/>
      <c r="K638" s="80"/>
      <c r="L638" s="80"/>
      <c r="M638" s="80"/>
      <c r="N638" s="80"/>
      <c r="O638" s="80"/>
      <c r="P638" s="80"/>
      <c r="Q638" s="80"/>
      <c r="R638" s="80"/>
      <c r="S638" s="80"/>
      <c r="T638" s="80"/>
    </row>
    <row r="639" spans="1:20" ht="15.75">
      <c r="A639" s="80"/>
      <c r="B639" s="80"/>
      <c r="C639" s="80"/>
      <c r="D639" s="80"/>
      <c r="E639" s="80"/>
      <c r="F639" s="80"/>
      <c r="G639" s="80"/>
      <c r="H639" s="80"/>
      <c r="I639" s="80"/>
      <c r="J639" s="80"/>
      <c r="K639" s="80"/>
      <c r="L639" s="80"/>
      <c r="M639" s="80"/>
      <c r="N639" s="80"/>
      <c r="O639" s="80"/>
      <c r="P639" s="80"/>
      <c r="Q639" s="80"/>
      <c r="R639" s="80"/>
      <c r="S639" s="80"/>
      <c r="T639" s="80"/>
    </row>
    <row r="640" spans="1:20" ht="15.75">
      <c r="A640" s="80"/>
      <c r="B640" s="80"/>
      <c r="C640" s="80"/>
      <c r="D640" s="80"/>
      <c r="E640" s="80"/>
      <c r="F640" s="80"/>
      <c r="G640" s="80"/>
      <c r="H640" s="80"/>
      <c r="I640" s="80"/>
      <c r="J640" s="80"/>
      <c r="K640" s="80"/>
      <c r="L640" s="80"/>
      <c r="M640" s="80"/>
      <c r="N640" s="80"/>
      <c r="O640" s="80"/>
      <c r="P640" s="80"/>
      <c r="Q640" s="80"/>
      <c r="R640" s="80"/>
      <c r="S640" s="80"/>
      <c r="T640" s="80"/>
    </row>
    <row r="641" spans="1:20" ht="15.75">
      <c r="A641" s="80"/>
      <c r="B641" s="80"/>
      <c r="C641" s="80"/>
      <c r="D641" s="80"/>
      <c r="E641" s="80"/>
      <c r="F641" s="80"/>
      <c r="G641" s="80"/>
      <c r="H641" s="80"/>
      <c r="I641" s="80"/>
      <c r="J641" s="80"/>
      <c r="K641" s="80"/>
      <c r="L641" s="80"/>
      <c r="M641" s="80"/>
      <c r="N641" s="80"/>
      <c r="O641" s="80"/>
      <c r="P641" s="80"/>
      <c r="Q641" s="80"/>
      <c r="R641" s="80"/>
      <c r="S641" s="80"/>
      <c r="T641" s="80"/>
    </row>
    <row r="642" spans="1:20" ht="15.75">
      <c r="A642" s="80"/>
      <c r="B642" s="80"/>
      <c r="C642" s="80"/>
      <c r="D642" s="80"/>
      <c r="E642" s="80"/>
      <c r="F642" s="80"/>
      <c r="G642" s="80"/>
      <c r="H642" s="80"/>
      <c r="I642" s="80"/>
      <c r="J642" s="80"/>
      <c r="K642" s="80"/>
      <c r="L642" s="80"/>
      <c r="M642" s="80"/>
      <c r="N642" s="80"/>
      <c r="O642" s="80"/>
      <c r="P642" s="80"/>
      <c r="Q642" s="80"/>
      <c r="R642" s="80"/>
      <c r="S642" s="80"/>
      <c r="T642" s="80"/>
    </row>
    <row r="643" spans="1:20" ht="15.75">
      <c r="A643" s="80"/>
      <c r="B643" s="80"/>
      <c r="C643" s="80"/>
      <c r="D643" s="80"/>
      <c r="E643" s="80"/>
      <c r="F643" s="80"/>
      <c r="G643" s="80"/>
      <c r="H643" s="80"/>
      <c r="I643" s="80"/>
      <c r="J643" s="80"/>
      <c r="K643" s="80"/>
      <c r="L643" s="80"/>
      <c r="M643" s="80"/>
      <c r="N643" s="80"/>
      <c r="O643" s="80"/>
      <c r="P643" s="80"/>
      <c r="Q643" s="80"/>
      <c r="R643" s="80"/>
      <c r="S643" s="80"/>
      <c r="T643" s="80"/>
    </row>
    <row r="644" spans="1:20" ht="15.75">
      <c r="A644" s="80"/>
      <c r="B644" s="80"/>
      <c r="C644" s="80"/>
      <c r="D644" s="80"/>
      <c r="E644" s="80"/>
      <c r="F644" s="80"/>
      <c r="G644" s="80"/>
      <c r="H644" s="80"/>
      <c r="I644" s="80"/>
      <c r="J644" s="80"/>
      <c r="K644" s="80"/>
      <c r="L644" s="80"/>
      <c r="M644" s="80"/>
      <c r="N644" s="80"/>
      <c r="O644" s="80"/>
      <c r="P644" s="80"/>
      <c r="Q644" s="80"/>
      <c r="R644" s="80"/>
      <c r="S644" s="80"/>
      <c r="T644" s="80"/>
    </row>
    <row r="645" spans="1:20" ht="15.75">
      <c r="A645" s="80"/>
      <c r="B645" s="80"/>
      <c r="C645" s="80"/>
      <c r="D645" s="80"/>
      <c r="E645" s="80"/>
      <c r="F645" s="80"/>
      <c r="G645" s="80"/>
      <c r="H645" s="80"/>
      <c r="I645" s="80"/>
      <c r="J645" s="80"/>
      <c r="K645" s="80"/>
      <c r="L645" s="80"/>
      <c r="M645" s="80"/>
      <c r="N645" s="80"/>
      <c r="O645" s="80"/>
      <c r="P645" s="80"/>
      <c r="Q645" s="80"/>
      <c r="R645" s="80"/>
      <c r="S645" s="80"/>
      <c r="T645" s="80"/>
    </row>
    <row r="646" spans="1:20" ht="15.75">
      <c r="A646" s="80"/>
      <c r="B646" s="80"/>
      <c r="C646" s="80"/>
      <c r="D646" s="80"/>
      <c r="E646" s="80"/>
      <c r="F646" s="80"/>
      <c r="G646" s="80"/>
      <c r="H646" s="80"/>
      <c r="I646" s="80"/>
      <c r="J646" s="80"/>
      <c r="K646" s="80"/>
      <c r="L646" s="80"/>
      <c r="M646" s="80"/>
      <c r="N646" s="80"/>
      <c r="O646" s="80"/>
      <c r="P646" s="80"/>
      <c r="Q646" s="80"/>
      <c r="R646" s="80"/>
      <c r="S646" s="80"/>
      <c r="T646" s="80"/>
    </row>
    <row r="647" spans="1:20" ht="15.75">
      <c r="A647" s="80"/>
      <c r="B647" s="80"/>
      <c r="C647" s="80"/>
      <c r="D647" s="80"/>
      <c r="E647" s="80"/>
      <c r="F647" s="80"/>
      <c r="G647" s="80"/>
      <c r="H647" s="80"/>
      <c r="I647" s="80"/>
      <c r="J647" s="80"/>
      <c r="K647" s="80"/>
      <c r="L647" s="80"/>
      <c r="M647" s="80"/>
      <c r="N647" s="80"/>
      <c r="O647" s="80"/>
      <c r="P647" s="80"/>
      <c r="Q647" s="80"/>
      <c r="R647" s="80"/>
      <c r="S647" s="80"/>
      <c r="T647" s="80"/>
    </row>
    <row r="648" spans="1:20" ht="15.75">
      <c r="A648" s="80"/>
      <c r="B648" s="80"/>
      <c r="C648" s="80"/>
      <c r="D648" s="80"/>
      <c r="E648" s="80"/>
      <c r="F648" s="80"/>
      <c r="G648" s="80"/>
      <c r="H648" s="80"/>
      <c r="I648" s="80"/>
      <c r="J648" s="80"/>
      <c r="K648" s="80"/>
      <c r="L648" s="80"/>
      <c r="M648" s="80"/>
      <c r="N648" s="80"/>
      <c r="O648" s="80"/>
      <c r="P648" s="80"/>
      <c r="Q648" s="80"/>
      <c r="R648" s="80"/>
      <c r="S648" s="80"/>
      <c r="T648" s="80"/>
    </row>
    <row r="649" spans="1:20" ht="15.75">
      <c r="A649" s="80"/>
      <c r="B649" s="80"/>
      <c r="C649" s="80"/>
      <c r="D649" s="80"/>
      <c r="E649" s="80"/>
      <c r="F649" s="80"/>
      <c r="G649" s="80"/>
      <c r="H649" s="80"/>
      <c r="I649" s="80"/>
      <c r="J649" s="80"/>
      <c r="K649" s="80"/>
      <c r="L649" s="80"/>
      <c r="M649" s="80"/>
      <c r="N649" s="80"/>
      <c r="O649" s="80"/>
      <c r="P649" s="80"/>
      <c r="Q649" s="80"/>
      <c r="R649" s="80"/>
      <c r="S649" s="80"/>
      <c r="T649" s="80"/>
    </row>
    <row r="650" spans="1:20" ht="15.75">
      <c r="A650" s="80"/>
      <c r="B650" s="80"/>
      <c r="C650" s="80"/>
      <c r="D650" s="80"/>
      <c r="E650" s="80"/>
      <c r="F650" s="80"/>
      <c r="G650" s="80"/>
      <c r="H650" s="80"/>
      <c r="I650" s="80"/>
      <c r="J650" s="80"/>
      <c r="K650" s="80"/>
      <c r="L650" s="80"/>
      <c r="M650" s="80"/>
      <c r="N650" s="80"/>
      <c r="O650" s="80"/>
      <c r="P650" s="80"/>
      <c r="Q650" s="80"/>
      <c r="R650" s="80"/>
      <c r="S650" s="80"/>
      <c r="T650" s="80"/>
    </row>
    <row r="651" spans="1:20" ht="15.75">
      <c r="A651" s="80"/>
      <c r="B651" s="80"/>
      <c r="C651" s="80"/>
      <c r="D651" s="80"/>
      <c r="E651" s="80"/>
      <c r="F651" s="80"/>
      <c r="G651" s="80"/>
      <c r="H651" s="80"/>
      <c r="I651" s="80"/>
      <c r="J651" s="80"/>
      <c r="K651" s="80"/>
      <c r="L651" s="80"/>
      <c r="M651" s="80"/>
      <c r="N651" s="80"/>
      <c r="O651" s="80"/>
      <c r="P651" s="80"/>
      <c r="Q651" s="80"/>
      <c r="R651" s="80"/>
      <c r="S651" s="80"/>
      <c r="T651" s="80"/>
    </row>
    <row r="652" spans="1:20" ht="15.75">
      <c r="A652" s="80"/>
      <c r="B652" s="80"/>
      <c r="C652" s="80"/>
      <c r="D652" s="80"/>
      <c r="E652" s="80"/>
      <c r="F652" s="80"/>
      <c r="G652" s="80"/>
      <c r="H652" s="80"/>
      <c r="I652" s="80"/>
      <c r="J652" s="80"/>
      <c r="K652" s="80"/>
      <c r="L652" s="80"/>
      <c r="M652" s="80"/>
      <c r="N652" s="80"/>
      <c r="O652" s="80"/>
      <c r="P652" s="80"/>
      <c r="Q652" s="80"/>
      <c r="R652" s="80"/>
      <c r="S652" s="80"/>
      <c r="T652" s="80"/>
    </row>
    <row r="653" spans="1:20" ht="15.75">
      <c r="A653" s="80"/>
      <c r="B653" s="80"/>
      <c r="C653" s="80"/>
      <c r="D653" s="80"/>
      <c r="E653" s="80"/>
      <c r="F653" s="80"/>
      <c r="G653" s="80"/>
      <c r="H653" s="80"/>
      <c r="I653" s="80"/>
      <c r="J653" s="80"/>
      <c r="K653" s="80"/>
      <c r="L653" s="80"/>
      <c r="M653" s="80"/>
      <c r="N653" s="80"/>
      <c r="O653" s="80"/>
      <c r="P653" s="80"/>
      <c r="Q653" s="80"/>
      <c r="R653" s="80"/>
      <c r="S653" s="80"/>
      <c r="T653" s="80"/>
    </row>
    <row r="654" spans="1:20" ht="15.75">
      <c r="A654" s="80"/>
      <c r="B654" s="80"/>
      <c r="C654" s="80"/>
      <c r="D654" s="80"/>
      <c r="E654" s="80"/>
      <c r="F654" s="80"/>
      <c r="G654" s="80"/>
      <c r="H654" s="80"/>
      <c r="I654" s="80"/>
      <c r="J654" s="80"/>
      <c r="K654" s="80"/>
      <c r="L654" s="80"/>
      <c r="M654" s="80"/>
      <c r="N654" s="80"/>
      <c r="O654" s="80"/>
      <c r="P654" s="80"/>
      <c r="Q654" s="80"/>
      <c r="R654" s="80"/>
      <c r="S654" s="80"/>
      <c r="T654" s="80"/>
    </row>
    <row r="655" spans="1:20" ht="15.75">
      <c r="A655" s="80"/>
      <c r="B655" s="80"/>
      <c r="C655" s="80"/>
      <c r="D655" s="80"/>
      <c r="E655" s="80"/>
      <c r="F655" s="80"/>
      <c r="G655" s="80"/>
      <c r="H655" s="80"/>
      <c r="I655" s="80"/>
      <c r="J655" s="80"/>
      <c r="K655" s="80"/>
      <c r="L655" s="80"/>
      <c r="M655" s="80"/>
      <c r="N655" s="80"/>
      <c r="O655" s="80"/>
      <c r="P655" s="80"/>
      <c r="Q655" s="80"/>
      <c r="R655" s="80"/>
      <c r="S655" s="80"/>
      <c r="T655" s="80"/>
    </row>
    <row r="656" spans="1:20" ht="15.75">
      <c r="A656" s="80"/>
      <c r="B656" s="80"/>
      <c r="C656" s="80"/>
      <c r="D656" s="80"/>
      <c r="E656" s="80"/>
      <c r="F656" s="80"/>
      <c r="G656" s="80"/>
      <c r="H656" s="80"/>
      <c r="I656" s="80"/>
      <c r="J656" s="80"/>
      <c r="K656" s="80"/>
      <c r="L656" s="80"/>
      <c r="M656" s="80"/>
      <c r="N656" s="80"/>
      <c r="O656" s="80"/>
      <c r="P656" s="80"/>
      <c r="Q656" s="80"/>
      <c r="R656" s="80"/>
      <c r="S656" s="80"/>
      <c r="T656" s="80"/>
    </row>
    <row r="657" spans="1:20" ht="15.75">
      <c r="A657" s="80"/>
      <c r="B657" s="80"/>
      <c r="C657" s="80"/>
      <c r="D657" s="80"/>
      <c r="E657" s="80"/>
      <c r="F657" s="80"/>
      <c r="G657" s="80"/>
      <c r="H657" s="80"/>
      <c r="I657" s="80"/>
      <c r="J657" s="80"/>
      <c r="K657" s="80"/>
      <c r="L657" s="80"/>
      <c r="M657" s="80"/>
      <c r="N657" s="80"/>
      <c r="O657" s="80"/>
      <c r="P657" s="80"/>
      <c r="Q657" s="80"/>
      <c r="R657" s="80"/>
      <c r="S657" s="80"/>
      <c r="T657" s="80"/>
    </row>
    <row r="658" spans="1:20" ht="15.75">
      <c r="A658" s="80"/>
      <c r="B658" s="80"/>
      <c r="C658" s="80"/>
      <c r="D658" s="80"/>
      <c r="E658" s="80"/>
      <c r="F658" s="80"/>
      <c r="G658" s="80"/>
      <c r="H658" s="80"/>
      <c r="I658" s="80"/>
      <c r="J658" s="80"/>
      <c r="K658" s="80"/>
      <c r="L658" s="80"/>
      <c r="M658" s="80"/>
      <c r="N658" s="80"/>
      <c r="O658" s="80"/>
      <c r="P658" s="80"/>
      <c r="Q658" s="80"/>
      <c r="R658" s="80"/>
      <c r="S658" s="80"/>
      <c r="T658" s="80"/>
    </row>
    <row r="659" spans="1:20" ht="15.75">
      <c r="A659" s="80"/>
      <c r="B659" s="80"/>
      <c r="C659" s="80"/>
      <c r="D659" s="80"/>
      <c r="E659" s="80"/>
      <c r="F659" s="80"/>
      <c r="G659" s="80"/>
      <c r="H659" s="80"/>
      <c r="I659" s="80"/>
      <c r="J659" s="80"/>
      <c r="K659" s="80"/>
      <c r="L659" s="80"/>
      <c r="M659" s="80"/>
      <c r="N659" s="80"/>
      <c r="O659" s="80"/>
      <c r="P659" s="80"/>
      <c r="Q659" s="80"/>
      <c r="R659" s="80"/>
      <c r="S659" s="80"/>
      <c r="T659" s="80"/>
    </row>
    <row r="660" spans="1:20" ht="15.75">
      <c r="A660" s="80"/>
      <c r="B660" s="80"/>
      <c r="C660" s="80"/>
      <c r="D660" s="80"/>
      <c r="E660" s="80"/>
      <c r="F660" s="80"/>
      <c r="G660" s="80"/>
      <c r="H660" s="80"/>
      <c r="I660" s="80"/>
      <c r="J660" s="80"/>
      <c r="K660" s="80"/>
      <c r="L660" s="80"/>
      <c r="M660" s="80"/>
      <c r="N660" s="80"/>
      <c r="O660" s="80"/>
      <c r="P660" s="80"/>
      <c r="Q660" s="80"/>
      <c r="R660" s="80"/>
      <c r="S660" s="80"/>
      <c r="T660" s="80"/>
    </row>
    <row r="661" spans="1:20" ht="15.75">
      <c r="A661" s="80"/>
      <c r="B661" s="80"/>
      <c r="C661" s="80"/>
      <c r="D661" s="80"/>
      <c r="E661" s="80"/>
      <c r="F661" s="80"/>
      <c r="G661" s="80"/>
      <c r="H661" s="80"/>
      <c r="I661" s="80"/>
      <c r="J661" s="80"/>
      <c r="K661" s="80"/>
      <c r="L661" s="80"/>
      <c r="M661" s="80"/>
      <c r="N661" s="80"/>
      <c r="O661" s="80"/>
      <c r="P661" s="80"/>
      <c r="Q661" s="80"/>
      <c r="R661" s="80"/>
      <c r="S661" s="80"/>
      <c r="T661" s="80"/>
    </row>
    <row r="662" spans="1:20" ht="15.75">
      <c r="A662" s="80"/>
      <c r="B662" s="80"/>
      <c r="C662" s="80"/>
      <c r="D662" s="80"/>
      <c r="E662" s="80"/>
      <c r="F662" s="80"/>
      <c r="G662" s="80"/>
      <c r="H662" s="80"/>
      <c r="I662" s="80"/>
      <c r="J662" s="80"/>
      <c r="K662" s="80"/>
      <c r="L662" s="80"/>
      <c r="M662" s="80"/>
      <c r="N662" s="80"/>
      <c r="O662" s="80"/>
      <c r="P662" s="80"/>
      <c r="Q662" s="80"/>
      <c r="R662" s="80"/>
      <c r="S662" s="80"/>
      <c r="T662" s="80"/>
    </row>
    <row r="663" spans="1:20" ht="15.75">
      <c r="A663" s="80"/>
      <c r="B663" s="80"/>
      <c r="C663" s="80"/>
      <c r="D663" s="80"/>
      <c r="E663" s="80"/>
      <c r="F663" s="80"/>
      <c r="G663" s="80"/>
      <c r="H663" s="80"/>
      <c r="I663" s="80"/>
      <c r="J663" s="80"/>
      <c r="K663" s="80"/>
      <c r="L663" s="80"/>
      <c r="M663" s="80"/>
      <c r="N663" s="80"/>
      <c r="O663" s="80"/>
      <c r="P663" s="80"/>
      <c r="Q663" s="80"/>
      <c r="R663" s="80"/>
      <c r="S663" s="80"/>
      <c r="T663" s="80"/>
    </row>
    <row r="664" spans="1:20" ht="15.75">
      <c r="A664" s="80"/>
      <c r="B664" s="80"/>
      <c r="C664" s="80"/>
      <c r="D664" s="80"/>
      <c r="E664" s="80"/>
      <c r="F664" s="80"/>
      <c r="G664" s="80"/>
      <c r="H664" s="80"/>
      <c r="I664" s="80"/>
      <c r="J664" s="80"/>
      <c r="K664" s="80"/>
      <c r="L664" s="80"/>
      <c r="M664" s="80"/>
      <c r="N664" s="80"/>
      <c r="O664" s="80"/>
      <c r="P664" s="80"/>
      <c r="Q664" s="80"/>
      <c r="R664" s="80"/>
      <c r="S664" s="80"/>
      <c r="T664" s="80"/>
    </row>
    <row r="665" spans="1:20" ht="15.75">
      <c r="A665" s="80"/>
      <c r="B665" s="80"/>
      <c r="C665" s="80"/>
      <c r="D665" s="80"/>
      <c r="E665" s="80"/>
      <c r="F665" s="80"/>
      <c r="G665" s="80"/>
      <c r="H665" s="80"/>
      <c r="I665" s="80"/>
      <c r="J665" s="80"/>
      <c r="K665" s="80"/>
      <c r="L665" s="80"/>
      <c r="M665" s="80"/>
      <c r="N665" s="80"/>
      <c r="O665" s="80"/>
      <c r="P665" s="80"/>
      <c r="Q665" s="80"/>
      <c r="R665" s="80"/>
      <c r="S665" s="80"/>
      <c r="T665" s="80"/>
    </row>
    <row r="666" spans="1:20" ht="15.75">
      <c r="A666" s="80"/>
      <c r="B666" s="80"/>
      <c r="C666" s="80"/>
      <c r="D666" s="80"/>
      <c r="E666" s="80"/>
      <c r="F666" s="80"/>
      <c r="G666" s="80"/>
      <c r="H666" s="80"/>
      <c r="I666" s="80"/>
      <c r="J666" s="80"/>
      <c r="K666" s="80"/>
      <c r="L666" s="80"/>
      <c r="M666" s="80"/>
      <c r="N666" s="80"/>
      <c r="O666" s="80"/>
      <c r="P666" s="80"/>
      <c r="Q666" s="80"/>
      <c r="R666" s="80"/>
      <c r="S666" s="80"/>
      <c r="T666" s="80"/>
    </row>
    <row r="667" spans="1:20" ht="15.75">
      <c r="A667" s="80"/>
      <c r="B667" s="80"/>
      <c r="C667" s="80"/>
      <c r="D667" s="80"/>
      <c r="E667" s="80"/>
      <c r="F667" s="80"/>
      <c r="G667" s="80"/>
      <c r="H667" s="80"/>
      <c r="I667" s="80"/>
      <c r="J667" s="80"/>
      <c r="K667" s="80"/>
      <c r="L667" s="80"/>
      <c r="M667" s="80"/>
      <c r="N667" s="80"/>
      <c r="O667" s="80"/>
      <c r="P667" s="80"/>
      <c r="Q667" s="80"/>
      <c r="R667" s="80"/>
      <c r="S667" s="80"/>
      <c r="T667" s="80"/>
    </row>
    <row r="668" spans="1:20" ht="15.75">
      <c r="A668" s="80"/>
      <c r="B668" s="80"/>
      <c r="C668" s="80"/>
      <c r="D668" s="80"/>
      <c r="E668" s="80"/>
      <c r="F668" s="80"/>
      <c r="G668" s="80"/>
      <c r="H668" s="80"/>
      <c r="I668" s="80"/>
      <c r="J668" s="80"/>
      <c r="K668" s="80"/>
      <c r="L668" s="80"/>
      <c r="M668" s="80"/>
      <c r="N668" s="80"/>
      <c r="O668" s="80"/>
      <c r="P668" s="80"/>
      <c r="Q668" s="80"/>
      <c r="R668" s="80"/>
      <c r="S668" s="80"/>
      <c r="T668" s="80"/>
    </row>
    <row r="669" spans="1:20" ht="15.75">
      <c r="A669" s="80"/>
      <c r="B669" s="80"/>
      <c r="C669" s="80"/>
      <c r="D669" s="80"/>
      <c r="E669" s="80"/>
      <c r="F669" s="80"/>
      <c r="G669" s="80"/>
      <c r="H669" s="80"/>
      <c r="I669" s="80"/>
      <c r="J669" s="80"/>
      <c r="K669" s="80"/>
      <c r="L669" s="80"/>
      <c r="M669" s="80"/>
      <c r="N669" s="80"/>
      <c r="O669" s="80"/>
      <c r="P669" s="80"/>
      <c r="Q669" s="80"/>
      <c r="R669" s="80"/>
      <c r="S669" s="80"/>
      <c r="T669" s="80"/>
    </row>
    <row r="670" spans="1:20" ht="15.75">
      <c r="A670" s="80"/>
      <c r="B670" s="80"/>
      <c r="C670" s="80"/>
      <c r="D670" s="80"/>
      <c r="E670" s="80"/>
      <c r="F670" s="80"/>
      <c r="G670" s="80"/>
      <c r="H670" s="80"/>
      <c r="I670" s="80"/>
      <c r="J670" s="80"/>
      <c r="K670" s="80"/>
      <c r="L670" s="80"/>
      <c r="M670" s="80"/>
      <c r="N670" s="80"/>
      <c r="O670" s="80"/>
      <c r="P670" s="80"/>
      <c r="Q670" s="80"/>
      <c r="R670" s="80"/>
      <c r="S670" s="80"/>
      <c r="T670" s="80"/>
    </row>
    <row r="671" spans="1:20" ht="15.75">
      <c r="A671" s="80"/>
      <c r="B671" s="80"/>
      <c r="C671" s="80"/>
      <c r="D671" s="80"/>
      <c r="E671" s="80"/>
      <c r="F671" s="80"/>
      <c r="G671" s="80"/>
      <c r="H671" s="80"/>
      <c r="I671" s="80"/>
      <c r="J671" s="80"/>
      <c r="K671" s="80"/>
      <c r="L671" s="80"/>
      <c r="M671" s="80"/>
      <c r="N671" s="80"/>
      <c r="O671" s="80"/>
      <c r="P671" s="80"/>
      <c r="Q671" s="80"/>
      <c r="R671" s="80"/>
      <c r="S671" s="80"/>
      <c r="T671" s="80"/>
    </row>
    <row r="672" spans="1:20" ht="15.75">
      <c r="A672" s="80"/>
      <c r="B672" s="80"/>
      <c r="C672" s="80"/>
      <c r="D672" s="80"/>
      <c r="E672" s="80"/>
      <c r="F672" s="80"/>
      <c r="G672" s="80"/>
      <c r="H672" s="80"/>
      <c r="I672" s="80"/>
      <c r="J672" s="80"/>
      <c r="K672" s="80"/>
      <c r="L672" s="80"/>
      <c r="M672" s="80"/>
      <c r="N672" s="80"/>
      <c r="O672" s="80"/>
      <c r="P672" s="80"/>
      <c r="Q672" s="80"/>
      <c r="R672" s="80"/>
      <c r="S672" s="80"/>
      <c r="T672" s="80"/>
    </row>
    <row r="673" spans="1:20" ht="15.75">
      <c r="A673" s="80"/>
      <c r="B673" s="80"/>
      <c r="C673" s="80"/>
      <c r="D673" s="80"/>
      <c r="E673" s="80"/>
      <c r="F673" s="80"/>
      <c r="G673" s="80"/>
      <c r="H673" s="80"/>
      <c r="I673" s="80"/>
      <c r="J673" s="80"/>
      <c r="K673" s="80"/>
      <c r="L673" s="80"/>
      <c r="M673" s="80"/>
      <c r="N673" s="80"/>
      <c r="O673" s="80"/>
      <c r="P673" s="80"/>
      <c r="Q673" s="80"/>
      <c r="R673" s="80"/>
      <c r="S673" s="80"/>
      <c r="T673" s="80"/>
    </row>
    <row r="674" spans="1:20" ht="15.75">
      <c r="A674" s="80"/>
      <c r="B674" s="80"/>
      <c r="C674" s="80"/>
      <c r="D674" s="80"/>
      <c r="E674" s="80"/>
      <c r="F674" s="80"/>
      <c r="G674" s="80"/>
      <c r="H674" s="80"/>
      <c r="I674" s="80"/>
      <c r="J674" s="80"/>
      <c r="K674" s="80"/>
      <c r="L674" s="80"/>
      <c r="M674" s="80"/>
      <c r="N674" s="80"/>
      <c r="O674" s="80"/>
      <c r="P674" s="80"/>
      <c r="Q674" s="80"/>
      <c r="R674" s="80"/>
      <c r="S674" s="80"/>
      <c r="T674" s="80"/>
    </row>
    <row r="675" spans="1:20" ht="15.75">
      <c r="A675" s="80"/>
      <c r="B675" s="80"/>
      <c r="C675" s="80"/>
      <c r="D675" s="80"/>
      <c r="E675" s="80"/>
      <c r="F675" s="80"/>
      <c r="G675" s="80"/>
      <c r="H675" s="80"/>
      <c r="I675" s="80"/>
      <c r="J675" s="80"/>
      <c r="K675" s="80"/>
      <c r="L675" s="80"/>
      <c r="M675" s="80"/>
      <c r="N675" s="80"/>
      <c r="O675" s="80"/>
      <c r="P675" s="80"/>
      <c r="Q675" s="80"/>
      <c r="R675" s="80"/>
      <c r="S675" s="80"/>
      <c r="T675" s="80"/>
    </row>
    <row r="676" spans="1:20" ht="15.75">
      <c r="A676" s="80"/>
      <c r="B676" s="80"/>
      <c r="C676" s="80"/>
      <c r="D676" s="80"/>
      <c r="E676" s="80"/>
      <c r="F676" s="80"/>
      <c r="G676" s="80"/>
      <c r="H676" s="80"/>
      <c r="I676" s="80"/>
      <c r="J676" s="80"/>
      <c r="K676" s="80"/>
      <c r="L676" s="80"/>
      <c r="M676" s="80"/>
      <c r="N676" s="80"/>
      <c r="O676" s="80"/>
      <c r="P676" s="80"/>
      <c r="Q676" s="80"/>
      <c r="R676" s="80"/>
      <c r="S676" s="80"/>
      <c r="T676" s="80"/>
    </row>
    <row r="677" spans="1:20" ht="15.75">
      <c r="A677" s="80"/>
      <c r="B677" s="80"/>
      <c r="C677" s="80"/>
      <c r="D677" s="80"/>
      <c r="E677" s="80"/>
      <c r="F677" s="80"/>
      <c r="G677" s="80"/>
      <c r="H677" s="80"/>
      <c r="I677" s="80"/>
      <c r="J677" s="80"/>
      <c r="K677" s="80"/>
      <c r="L677" s="80"/>
      <c r="M677" s="80"/>
      <c r="N677" s="80"/>
      <c r="O677" s="80"/>
      <c r="P677" s="80"/>
      <c r="Q677" s="80"/>
      <c r="R677" s="80"/>
      <c r="S677" s="80"/>
      <c r="T677" s="80"/>
    </row>
    <row r="678" spans="1:20" ht="15.75">
      <c r="A678" s="80"/>
      <c r="B678" s="80"/>
      <c r="C678" s="80"/>
      <c r="D678" s="80"/>
      <c r="E678" s="80"/>
      <c r="F678" s="80"/>
      <c r="G678" s="80"/>
      <c r="H678" s="80"/>
      <c r="I678" s="80"/>
      <c r="J678" s="80"/>
      <c r="K678" s="80"/>
      <c r="L678" s="80"/>
      <c r="M678" s="80"/>
      <c r="N678" s="80"/>
      <c r="O678" s="80"/>
      <c r="P678" s="80"/>
      <c r="Q678" s="80"/>
      <c r="R678" s="80"/>
      <c r="S678" s="80"/>
      <c r="T678" s="80"/>
    </row>
    <row r="679" spans="1:20" ht="15.75">
      <c r="A679" s="80"/>
      <c r="B679" s="80"/>
      <c r="C679" s="80"/>
      <c r="D679" s="80"/>
      <c r="E679" s="80"/>
      <c r="F679" s="80"/>
      <c r="G679" s="80"/>
      <c r="H679" s="80"/>
      <c r="I679" s="80"/>
      <c r="J679" s="80"/>
      <c r="K679" s="80"/>
      <c r="L679" s="80"/>
      <c r="M679" s="80"/>
      <c r="N679" s="80"/>
      <c r="O679" s="80"/>
      <c r="P679" s="80"/>
      <c r="Q679" s="80"/>
      <c r="R679" s="80"/>
      <c r="S679" s="80"/>
      <c r="T679" s="80"/>
    </row>
    <row r="680" spans="1:20" ht="15.75">
      <c r="A680" s="80"/>
      <c r="B680" s="80"/>
      <c r="C680" s="80"/>
      <c r="D680" s="80"/>
      <c r="E680" s="80"/>
      <c r="F680" s="80"/>
      <c r="G680" s="80"/>
      <c r="H680" s="80"/>
      <c r="I680" s="80"/>
      <c r="J680" s="80"/>
      <c r="K680" s="80"/>
      <c r="L680" s="80"/>
      <c r="M680" s="80"/>
      <c r="N680" s="80"/>
      <c r="O680" s="80"/>
      <c r="P680" s="80"/>
      <c r="Q680" s="80"/>
      <c r="R680" s="80"/>
      <c r="S680" s="80"/>
      <c r="T680" s="80"/>
    </row>
    <row r="681" spans="1:20" ht="15.75">
      <c r="A681" s="80"/>
      <c r="B681" s="80"/>
      <c r="C681" s="80"/>
      <c r="D681" s="80"/>
      <c r="E681" s="80"/>
      <c r="F681" s="80"/>
      <c r="G681" s="80"/>
      <c r="H681" s="80"/>
      <c r="I681" s="80"/>
      <c r="J681" s="80"/>
      <c r="K681" s="80"/>
      <c r="L681" s="80"/>
      <c r="M681" s="80"/>
      <c r="N681" s="80"/>
      <c r="O681" s="80"/>
      <c r="P681" s="80"/>
      <c r="Q681" s="80"/>
      <c r="R681" s="80"/>
      <c r="S681" s="80"/>
      <c r="T681" s="80"/>
    </row>
    <row r="682" spans="1:20" ht="15.75">
      <c r="A682" s="80"/>
      <c r="B682" s="80"/>
      <c r="C682" s="80"/>
      <c r="D682" s="80"/>
      <c r="E682" s="80"/>
      <c r="F682" s="80"/>
      <c r="G682" s="80"/>
      <c r="H682" s="80"/>
      <c r="I682" s="80"/>
      <c r="J682" s="80"/>
      <c r="K682" s="80"/>
      <c r="L682" s="80"/>
      <c r="M682" s="80"/>
      <c r="N682" s="80"/>
      <c r="O682" s="80"/>
      <c r="P682" s="80"/>
      <c r="Q682" s="80"/>
      <c r="R682" s="80"/>
      <c r="S682" s="80"/>
      <c r="T682" s="80"/>
    </row>
    <row r="683" spans="1:20" ht="15.75">
      <c r="A683" s="80"/>
      <c r="B683" s="80"/>
      <c r="C683" s="80"/>
      <c r="D683" s="80"/>
      <c r="E683" s="80"/>
      <c r="F683" s="80"/>
      <c r="G683" s="80"/>
      <c r="H683" s="80"/>
      <c r="I683" s="80"/>
      <c r="J683" s="80"/>
      <c r="K683" s="80"/>
      <c r="L683" s="80"/>
      <c r="M683" s="80"/>
      <c r="N683" s="80"/>
      <c r="O683" s="80"/>
      <c r="P683" s="80"/>
      <c r="Q683" s="80"/>
      <c r="R683" s="80"/>
      <c r="S683" s="80"/>
      <c r="T683" s="80"/>
    </row>
    <row r="684" spans="1:20" ht="15.75">
      <c r="A684" s="80"/>
      <c r="B684" s="80"/>
      <c r="C684" s="80"/>
      <c r="D684" s="80"/>
      <c r="E684" s="80"/>
      <c r="F684" s="80"/>
      <c r="G684" s="80"/>
      <c r="H684" s="80"/>
      <c r="I684" s="80"/>
      <c r="J684" s="80"/>
      <c r="K684" s="80"/>
      <c r="L684" s="80"/>
      <c r="M684" s="80"/>
      <c r="N684" s="80"/>
      <c r="O684" s="80"/>
      <c r="P684" s="80"/>
      <c r="Q684" s="80"/>
      <c r="R684" s="80"/>
      <c r="S684" s="80"/>
      <c r="T684" s="80"/>
    </row>
    <row r="685" spans="1:20" ht="15.75">
      <c r="A685" s="80"/>
      <c r="B685" s="80"/>
      <c r="C685" s="80"/>
      <c r="D685" s="80"/>
      <c r="E685" s="80"/>
      <c r="F685" s="80"/>
      <c r="G685" s="80"/>
      <c r="H685" s="80"/>
      <c r="I685" s="80"/>
      <c r="J685" s="80"/>
      <c r="K685" s="80"/>
      <c r="L685" s="80"/>
      <c r="M685" s="80"/>
      <c r="N685" s="80"/>
      <c r="O685" s="80"/>
      <c r="P685" s="80"/>
      <c r="Q685" s="80"/>
      <c r="R685" s="80"/>
      <c r="S685" s="80"/>
      <c r="T685" s="80"/>
    </row>
    <row r="686" spans="1:20" ht="15.75">
      <c r="A686" s="80"/>
      <c r="B686" s="80"/>
      <c r="C686" s="80"/>
      <c r="D686" s="80"/>
      <c r="E686" s="80"/>
      <c r="F686" s="80"/>
      <c r="G686" s="80"/>
      <c r="H686" s="80"/>
      <c r="I686" s="80"/>
      <c r="J686" s="80"/>
      <c r="K686" s="80"/>
      <c r="L686" s="80"/>
      <c r="M686" s="80"/>
      <c r="N686" s="80"/>
      <c r="O686" s="80"/>
      <c r="P686" s="80"/>
      <c r="Q686" s="80"/>
      <c r="R686" s="80"/>
      <c r="S686" s="80"/>
      <c r="T686" s="80"/>
    </row>
    <row r="687" spans="1:20" ht="15.75">
      <c r="A687" s="80"/>
      <c r="B687" s="80"/>
      <c r="C687" s="80"/>
      <c r="D687" s="80"/>
      <c r="E687" s="80"/>
      <c r="F687" s="80"/>
      <c r="G687" s="80"/>
      <c r="H687" s="80"/>
      <c r="I687" s="80"/>
      <c r="J687" s="80"/>
      <c r="K687" s="80"/>
      <c r="L687" s="80"/>
      <c r="M687" s="80"/>
      <c r="N687" s="80"/>
      <c r="O687" s="80"/>
      <c r="P687" s="80"/>
      <c r="Q687" s="80"/>
      <c r="R687" s="80"/>
      <c r="S687" s="80"/>
      <c r="T687" s="80"/>
    </row>
    <row r="688" spans="1:20" ht="15.75">
      <c r="A688" s="80"/>
      <c r="B688" s="80"/>
      <c r="C688" s="80"/>
      <c r="D688" s="80"/>
      <c r="E688" s="80"/>
      <c r="F688" s="80"/>
      <c r="G688" s="80"/>
      <c r="H688" s="80"/>
      <c r="I688" s="80"/>
      <c r="J688" s="80"/>
      <c r="K688" s="80"/>
      <c r="L688" s="80"/>
      <c r="M688" s="80"/>
      <c r="N688" s="80"/>
      <c r="O688" s="80"/>
      <c r="P688" s="80"/>
      <c r="Q688" s="80"/>
      <c r="R688" s="80"/>
      <c r="S688" s="80"/>
      <c r="T688" s="80"/>
    </row>
    <row r="689" spans="1:20" ht="15.75">
      <c r="A689" s="80"/>
      <c r="B689" s="80"/>
      <c r="C689" s="80"/>
      <c r="D689" s="80"/>
      <c r="E689" s="80"/>
      <c r="F689" s="80"/>
      <c r="G689" s="80"/>
      <c r="H689" s="80"/>
      <c r="I689" s="80"/>
      <c r="J689" s="80"/>
      <c r="K689" s="80"/>
      <c r="L689" s="80"/>
      <c r="M689" s="80"/>
      <c r="N689" s="80"/>
      <c r="O689" s="80"/>
      <c r="P689" s="80"/>
      <c r="Q689" s="80"/>
      <c r="R689" s="80"/>
      <c r="S689" s="80"/>
      <c r="T689" s="80"/>
    </row>
    <row r="690" spans="1:20" ht="15.75">
      <c r="A690" s="80"/>
      <c r="B690" s="80"/>
      <c r="C690" s="80"/>
      <c r="D690" s="80"/>
      <c r="E690" s="80"/>
      <c r="F690" s="80"/>
      <c r="G690" s="80"/>
      <c r="H690" s="80"/>
      <c r="I690" s="80"/>
      <c r="J690" s="80"/>
      <c r="K690" s="80"/>
      <c r="L690" s="80"/>
      <c r="M690" s="80"/>
      <c r="N690" s="80"/>
      <c r="O690" s="80"/>
      <c r="P690" s="80"/>
      <c r="Q690" s="80"/>
      <c r="R690" s="80"/>
      <c r="S690" s="80"/>
      <c r="T690" s="80"/>
    </row>
    <row r="691" spans="1:20" ht="15.75">
      <c r="A691" s="80"/>
      <c r="B691" s="80"/>
      <c r="C691" s="80"/>
      <c r="D691" s="80"/>
      <c r="E691" s="80"/>
      <c r="F691" s="80"/>
      <c r="G691" s="80"/>
      <c r="H691" s="80"/>
      <c r="I691" s="80"/>
      <c r="J691" s="80"/>
      <c r="K691" s="80"/>
      <c r="L691" s="80"/>
      <c r="M691" s="80"/>
      <c r="N691" s="80"/>
      <c r="O691" s="80"/>
      <c r="P691" s="80"/>
      <c r="Q691" s="80"/>
      <c r="R691" s="80"/>
      <c r="S691" s="80"/>
      <c r="T691" s="80"/>
    </row>
    <row r="692" spans="1:20" ht="15.75">
      <c r="A692" s="80"/>
      <c r="B692" s="80"/>
      <c r="C692" s="80"/>
      <c r="D692" s="80"/>
      <c r="E692" s="80"/>
      <c r="F692" s="80"/>
      <c r="G692" s="80"/>
      <c r="H692" s="80"/>
      <c r="I692" s="80"/>
      <c r="J692" s="80"/>
      <c r="K692" s="80"/>
      <c r="L692" s="80"/>
      <c r="M692" s="80"/>
      <c r="N692" s="80"/>
      <c r="O692" s="80"/>
      <c r="P692" s="80"/>
      <c r="Q692" s="80"/>
      <c r="R692" s="80"/>
      <c r="S692" s="80"/>
      <c r="T692" s="80"/>
    </row>
    <row r="693" spans="1:20" ht="15.75">
      <c r="A693" s="80"/>
      <c r="B693" s="80"/>
      <c r="C693" s="80"/>
      <c r="D693" s="80"/>
      <c r="E693" s="80"/>
      <c r="F693" s="80"/>
      <c r="G693" s="80"/>
      <c r="H693" s="80"/>
      <c r="I693" s="80"/>
      <c r="J693" s="80"/>
      <c r="K693" s="80"/>
      <c r="L693" s="80"/>
      <c r="M693" s="80"/>
      <c r="N693" s="80"/>
      <c r="O693" s="80"/>
      <c r="P693" s="80"/>
      <c r="Q693" s="80"/>
      <c r="R693" s="80"/>
      <c r="S693" s="80"/>
      <c r="T693" s="80"/>
    </row>
    <row r="694" spans="1:20" ht="15.75">
      <c r="A694" s="80"/>
      <c r="B694" s="80"/>
      <c r="C694" s="80"/>
      <c r="D694" s="80"/>
      <c r="E694" s="80"/>
      <c r="F694" s="80"/>
      <c r="G694" s="80"/>
      <c r="H694" s="80"/>
      <c r="I694" s="80"/>
      <c r="J694" s="80"/>
      <c r="K694" s="80"/>
      <c r="L694" s="80"/>
      <c r="M694" s="80"/>
      <c r="N694" s="80"/>
      <c r="O694" s="80"/>
      <c r="P694" s="80"/>
      <c r="Q694" s="80"/>
      <c r="R694" s="80"/>
      <c r="S694" s="80"/>
      <c r="T694" s="80"/>
    </row>
    <row r="695" spans="1:20" ht="15.75">
      <c r="A695" s="80"/>
      <c r="B695" s="80"/>
      <c r="C695" s="80"/>
      <c r="D695" s="80"/>
      <c r="E695" s="80"/>
      <c r="F695" s="80"/>
      <c r="G695" s="80"/>
      <c r="H695" s="80"/>
      <c r="I695" s="80"/>
      <c r="J695" s="80"/>
      <c r="K695" s="80"/>
      <c r="L695" s="80"/>
      <c r="M695" s="80"/>
      <c r="N695" s="80"/>
      <c r="O695" s="80"/>
      <c r="P695" s="80"/>
      <c r="Q695" s="80"/>
      <c r="R695" s="80"/>
      <c r="S695" s="80"/>
      <c r="T695" s="80"/>
    </row>
    <row r="696" spans="1:20" ht="15.75">
      <c r="A696" s="80"/>
      <c r="B696" s="80"/>
      <c r="C696" s="80"/>
      <c r="D696" s="80"/>
      <c r="E696" s="80"/>
      <c r="F696" s="80"/>
      <c r="G696" s="80"/>
      <c r="H696" s="80"/>
      <c r="I696" s="80"/>
      <c r="J696" s="80"/>
      <c r="K696" s="80"/>
      <c r="L696" s="80"/>
      <c r="M696" s="80"/>
      <c r="N696" s="80"/>
      <c r="O696" s="80"/>
      <c r="P696" s="80"/>
      <c r="Q696" s="80"/>
      <c r="R696" s="80"/>
      <c r="S696" s="80"/>
      <c r="T696" s="80"/>
    </row>
    <row r="697" spans="1:20" ht="15.75">
      <c r="A697" s="80"/>
      <c r="B697" s="80"/>
      <c r="C697" s="80"/>
      <c r="D697" s="80"/>
      <c r="E697" s="80"/>
      <c r="F697" s="80"/>
      <c r="G697" s="80"/>
      <c r="H697" s="80"/>
      <c r="I697" s="80"/>
      <c r="J697" s="80"/>
      <c r="K697" s="80"/>
      <c r="L697" s="80"/>
      <c r="M697" s="80"/>
      <c r="N697" s="80"/>
      <c r="O697" s="80"/>
      <c r="P697" s="80"/>
      <c r="Q697" s="80"/>
      <c r="R697" s="80"/>
      <c r="S697" s="80"/>
      <c r="T697" s="80"/>
    </row>
    <row r="698" spans="1:20" ht="15.75">
      <c r="A698" s="80"/>
      <c r="B698" s="80"/>
      <c r="C698" s="80"/>
      <c r="D698" s="80"/>
      <c r="E698" s="80"/>
      <c r="F698" s="80"/>
      <c r="G698" s="80"/>
      <c r="H698" s="80"/>
      <c r="I698" s="80"/>
      <c r="J698" s="80"/>
      <c r="K698" s="80"/>
      <c r="L698" s="80"/>
      <c r="M698" s="80"/>
      <c r="N698" s="80"/>
      <c r="O698" s="80"/>
      <c r="P698" s="80"/>
      <c r="Q698" s="80"/>
      <c r="R698" s="80"/>
      <c r="S698" s="80"/>
      <c r="T698" s="80"/>
    </row>
    <row r="699" spans="1:20" ht="15.75">
      <c r="A699" s="80"/>
      <c r="B699" s="80"/>
      <c r="C699" s="80"/>
      <c r="D699" s="80"/>
      <c r="E699" s="80"/>
      <c r="F699" s="80"/>
      <c r="G699" s="80"/>
      <c r="H699" s="80"/>
      <c r="I699" s="80"/>
      <c r="J699" s="80"/>
      <c r="K699" s="80"/>
      <c r="L699" s="80"/>
      <c r="M699" s="80"/>
      <c r="N699" s="80"/>
      <c r="O699" s="80"/>
      <c r="P699" s="80"/>
      <c r="Q699" s="80"/>
      <c r="R699" s="80"/>
      <c r="S699" s="80"/>
      <c r="T699" s="80"/>
    </row>
    <row r="700" spans="1:20" ht="15.75">
      <c r="A700" s="80"/>
      <c r="B700" s="80"/>
      <c r="C700" s="80"/>
      <c r="D700" s="80"/>
      <c r="E700" s="80"/>
      <c r="F700" s="80"/>
      <c r="G700" s="80"/>
      <c r="H700" s="80"/>
      <c r="I700" s="80"/>
      <c r="J700" s="80"/>
      <c r="K700" s="80"/>
      <c r="L700" s="80"/>
      <c r="M700" s="80"/>
      <c r="N700" s="80"/>
      <c r="O700" s="80"/>
      <c r="P700" s="80"/>
      <c r="Q700" s="80"/>
      <c r="R700" s="80"/>
      <c r="S700" s="80"/>
      <c r="T700" s="80"/>
    </row>
    <row r="701" spans="1:20" ht="15.75">
      <c r="A701" s="80"/>
      <c r="B701" s="80"/>
      <c r="C701" s="80"/>
      <c r="D701" s="80"/>
      <c r="E701" s="80"/>
      <c r="F701" s="80"/>
      <c r="G701" s="80"/>
      <c r="H701" s="80"/>
      <c r="I701" s="80"/>
      <c r="J701" s="80"/>
      <c r="K701" s="80"/>
      <c r="L701" s="80"/>
      <c r="M701" s="80"/>
      <c r="N701" s="80"/>
      <c r="O701" s="80"/>
      <c r="P701" s="80"/>
      <c r="Q701" s="80"/>
      <c r="R701" s="80"/>
      <c r="S701" s="80"/>
      <c r="T701" s="80"/>
    </row>
    <row r="702" spans="1:20" ht="15.75">
      <c r="A702" s="80"/>
      <c r="B702" s="80"/>
      <c r="C702" s="80"/>
      <c r="D702" s="80"/>
      <c r="E702" s="80"/>
      <c r="F702" s="80"/>
      <c r="G702" s="80"/>
      <c r="H702" s="80"/>
      <c r="I702" s="80"/>
      <c r="J702" s="80"/>
      <c r="K702" s="80"/>
      <c r="L702" s="80"/>
      <c r="M702" s="80"/>
      <c r="N702" s="80"/>
      <c r="O702" s="80"/>
      <c r="P702" s="80"/>
      <c r="Q702" s="80"/>
      <c r="R702" s="80"/>
      <c r="S702" s="80"/>
      <c r="T702" s="80"/>
    </row>
    <row r="703" spans="1:20" ht="15.75">
      <c r="A703" s="80"/>
      <c r="B703" s="80"/>
      <c r="C703" s="80"/>
      <c r="D703" s="80"/>
      <c r="E703" s="80"/>
      <c r="F703" s="80"/>
      <c r="G703" s="80"/>
      <c r="H703" s="80"/>
      <c r="I703" s="80"/>
      <c r="J703" s="80"/>
      <c r="K703" s="80"/>
      <c r="L703" s="80"/>
      <c r="M703" s="80"/>
      <c r="N703" s="80"/>
      <c r="O703" s="80"/>
      <c r="P703" s="80"/>
      <c r="Q703" s="80"/>
      <c r="R703" s="80"/>
      <c r="S703" s="80"/>
      <c r="T703" s="80"/>
    </row>
    <row r="704" spans="1:20" ht="15.75">
      <c r="A704" s="80"/>
      <c r="B704" s="80"/>
      <c r="C704" s="80"/>
      <c r="D704" s="80"/>
      <c r="E704" s="80"/>
      <c r="F704" s="80"/>
      <c r="G704" s="80"/>
      <c r="H704" s="80"/>
      <c r="I704" s="80"/>
      <c r="J704" s="80"/>
      <c r="K704" s="80"/>
      <c r="L704" s="80"/>
      <c r="M704" s="80"/>
      <c r="N704" s="80"/>
      <c r="O704" s="80"/>
      <c r="P704" s="80"/>
      <c r="Q704" s="80"/>
      <c r="R704" s="80"/>
      <c r="S704" s="80"/>
      <c r="T704" s="80"/>
    </row>
    <row r="705" spans="1:20" ht="15.75">
      <c r="A705" s="80"/>
      <c r="B705" s="80"/>
      <c r="C705" s="80"/>
      <c r="D705" s="80"/>
      <c r="E705" s="80"/>
      <c r="F705" s="80"/>
      <c r="G705" s="80"/>
      <c r="H705" s="80"/>
      <c r="I705" s="80"/>
      <c r="J705" s="80"/>
      <c r="K705" s="80"/>
      <c r="L705" s="80"/>
      <c r="M705" s="80"/>
      <c r="N705" s="80"/>
      <c r="O705" s="80"/>
      <c r="P705" s="80"/>
      <c r="Q705" s="80"/>
      <c r="R705" s="80"/>
      <c r="S705" s="80"/>
      <c r="T705" s="80"/>
    </row>
    <row r="706" spans="1:20" ht="15.75">
      <c r="A706" s="80"/>
      <c r="B706" s="80"/>
      <c r="C706" s="80"/>
      <c r="D706" s="80"/>
      <c r="E706" s="80"/>
      <c r="F706" s="80"/>
      <c r="G706" s="80"/>
      <c r="H706" s="80"/>
      <c r="I706" s="80"/>
      <c r="J706" s="80"/>
      <c r="K706" s="80"/>
      <c r="L706" s="80"/>
      <c r="M706" s="80"/>
      <c r="N706" s="80"/>
      <c r="O706" s="80"/>
      <c r="P706" s="80"/>
      <c r="Q706" s="80"/>
      <c r="R706" s="80"/>
      <c r="S706" s="80"/>
      <c r="T706" s="80"/>
    </row>
    <row r="707" spans="1:20" ht="15.75">
      <c r="A707" s="80"/>
      <c r="B707" s="80"/>
      <c r="C707" s="80"/>
      <c r="D707" s="80"/>
      <c r="E707" s="80"/>
      <c r="F707" s="80"/>
      <c r="G707" s="80"/>
      <c r="H707" s="80"/>
      <c r="I707" s="80"/>
      <c r="J707" s="80"/>
      <c r="K707" s="80"/>
      <c r="L707" s="80"/>
      <c r="M707" s="80"/>
      <c r="N707" s="80"/>
      <c r="O707" s="80"/>
      <c r="P707" s="80"/>
      <c r="Q707" s="80"/>
      <c r="R707" s="80"/>
      <c r="S707" s="80"/>
      <c r="T707" s="80"/>
    </row>
    <row r="708" spans="1:20" ht="15.75">
      <c r="A708" s="80"/>
      <c r="B708" s="80"/>
      <c r="C708" s="80"/>
      <c r="D708" s="80"/>
      <c r="E708" s="80"/>
      <c r="F708" s="80"/>
      <c r="G708" s="80"/>
      <c r="H708" s="80"/>
      <c r="I708" s="80"/>
      <c r="J708" s="80"/>
      <c r="K708" s="80"/>
      <c r="L708" s="80"/>
      <c r="M708" s="80"/>
      <c r="N708" s="80"/>
      <c r="O708" s="80"/>
      <c r="P708" s="80"/>
      <c r="Q708" s="80"/>
      <c r="R708" s="80"/>
      <c r="S708" s="80"/>
      <c r="T708" s="80"/>
    </row>
    <row r="709" spans="1:20" ht="15.75">
      <c r="A709" s="80"/>
      <c r="B709" s="80"/>
      <c r="C709" s="80"/>
      <c r="D709" s="80"/>
      <c r="E709" s="80"/>
      <c r="F709" s="80"/>
      <c r="G709" s="80"/>
      <c r="H709" s="80"/>
      <c r="I709" s="80"/>
      <c r="J709" s="80"/>
      <c r="K709" s="80"/>
      <c r="L709" s="80"/>
      <c r="M709" s="80"/>
      <c r="N709" s="80"/>
      <c r="O709" s="80"/>
      <c r="P709" s="80"/>
      <c r="Q709" s="80"/>
      <c r="R709" s="80"/>
      <c r="S709" s="80"/>
      <c r="T709" s="80"/>
    </row>
    <row r="710" spans="1:20" ht="15.75">
      <c r="A710" s="80"/>
      <c r="B710" s="80"/>
      <c r="C710" s="80"/>
      <c r="D710" s="80"/>
      <c r="E710" s="80"/>
      <c r="F710" s="80"/>
      <c r="G710" s="80"/>
      <c r="H710" s="80"/>
      <c r="I710" s="80"/>
      <c r="J710" s="80"/>
      <c r="K710" s="80"/>
      <c r="L710" s="80"/>
      <c r="M710" s="80"/>
      <c r="N710" s="80"/>
      <c r="O710" s="80"/>
      <c r="P710" s="80"/>
      <c r="Q710" s="80"/>
      <c r="R710" s="80"/>
      <c r="S710" s="80"/>
      <c r="T710" s="80"/>
    </row>
    <row r="711" spans="1:20" ht="15.75">
      <c r="A711" s="80"/>
      <c r="B711" s="80"/>
      <c r="C711" s="80"/>
      <c r="D711" s="80"/>
      <c r="E711" s="80"/>
      <c r="F711" s="80"/>
      <c r="G711" s="80"/>
      <c r="H711" s="80"/>
      <c r="I711" s="80"/>
      <c r="J711" s="80"/>
      <c r="K711" s="80"/>
      <c r="L711" s="80"/>
      <c r="M711" s="80"/>
      <c r="N711" s="80"/>
      <c r="O711" s="80"/>
      <c r="P711" s="80"/>
      <c r="Q711" s="80"/>
      <c r="R711" s="80"/>
      <c r="S711" s="80"/>
      <c r="T711" s="80"/>
    </row>
    <row r="712" spans="1:20" ht="15.75">
      <c r="A712" s="80"/>
      <c r="B712" s="80"/>
      <c r="C712" s="80"/>
      <c r="D712" s="80"/>
      <c r="E712" s="80"/>
      <c r="F712" s="80"/>
      <c r="G712" s="80"/>
      <c r="H712" s="80"/>
      <c r="I712" s="80"/>
      <c r="J712" s="80"/>
      <c r="K712" s="80"/>
      <c r="L712" s="80"/>
      <c r="M712" s="80"/>
      <c r="N712" s="80"/>
      <c r="O712" s="80"/>
      <c r="P712" s="80"/>
      <c r="Q712" s="80"/>
      <c r="R712" s="80"/>
      <c r="S712" s="80"/>
      <c r="T712" s="80"/>
    </row>
    <row r="713" spans="1:20" ht="15.75">
      <c r="A713" s="80"/>
      <c r="B713" s="80"/>
      <c r="C713" s="80"/>
      <c r="D713" s="80"/>
      <c r="E713" s="80"/>
      <c r="F713" s="80"/>
      <c r="G713" s="80"/>
      <c r="H713" s="80"/>
      <c r="I713" s="80"/>
      <c r="J713" s="80"/>
      <c r="K713" s="80"/>
      <c r="L713" s="80"/>
      <c r="M713" s="80"/>
      <c r="N713" s="80"/>
      <c r="O713" s="80"/>
      <c r="P713" s="80"/>
      <c r="Q713" s="80"/>
      <c r="R713" s="80"/>
      <c r="S713" s="80"/>
      <c r="T713" s="80"/>
    </row>
    <row r="714" spans="1:20" ht="15.75">
      <c r="A714" s="80"/>
      <c r="B714" s="80"/>
      <c r="C714" s="80"/>
      <c r="D714" s="80"/>
      <c r="E714" s="80"/>
      <c r="F714" s="80"/>
      <c r="G714" s="80"/>
      <c r="H714" s="80"/>
      <c r="I714" s="80"/>
      <c r="J714" s="80"/>
      <c r="K714" s="80"/>
      <c r="L714" s="80"/>
      <c r="M714" s="80"/>
      <c r="N714" s="80"/>
      <c r="O714" s="80"/>
      <c r="P714" s="80"/>
      <c r="Q714" s="80"/>
      <c r="R714" s="80"/>
      <c r="S714" s="80"/>
      <c r="T714" s="80"/>
    </row>
    <row r="715" spans="1:20" ht="15.75">
      <c r="A715" s="80"/>
      <c r="B715" s="80"/>
      <c r="C715" s="80"/>
      <c r="D715" s="80"/>
      <c r="E715" s="80"/>
      <c r="F715" s="80"/>
      <c r="G715" s="80"/>
      <c r="H715" s="80"/>
      <c r="I715" s="80"/>
      <c r="J715" s="80"/>
      <c r="K715" s="80"/>
      <c r="L715" s="80"/>
      <c r="M715" s="80"/>
      <c r="N715" s="80"/>
      <c r="O715" s="80"/>
      <c r="P715" s="80"/>
      <c r="Q715" s="80"/>
      <c r="R715" s="80"/>
      <c r="S715" s="80"/>
      <c r="T715" s="80"/>
    </row>
    <row r="716" spans="1:20" ht="15.75">
      <c r="A716" s="80"/>
      <c r="B716" s="80"/>
      <c r="C716" s="80"/>
      <c r="D716" s="80"/>
      <c r="E716" s="80"/>
      <c r="F716" s="80"/>
      <c r="G716" s="80"/>
      <c r="H716" s="80"/>
      <c r="I716" s="80"/>
      <c r="J716" s="80"/>
      <c r="K716" s="80"/>
      <c r="L716" s="80"/>
      <c r="M716" s="80"/>
      <c r="N716" s="80"/>
      <c r="O716" s="80"/>
      <c r="P716" s="80"/>
      <c r="Q716" s="80"/>
      <c r="R716" s="80"/>
      <c r="S716" s="80"/>
      <c r="T716" s="80"/>
    </row>
    <row r="717" spans="1:20" ht="15.75">
      <c r="A717" s="80"/>
      <c r="B717" s="80"/>
      <c r="C717" s="80"/>
      <c r="D717" s="80"/>
      <c r="E717" s="80"/>
      <c r="F717" s="80"/>
      <c r="G717" s="80"/>
      <c r="H717" s="80"/>
      <c r="I717" s="80"/>
      <c r="J717" s="80"/>
      <c r="K717" s="80"/>
      <c r="L717" s="80"/>
      <c r="M717" s="80"/>
      <c r="N717" s="80"/>
      <c r="O717" s="80"/>
      <c r="P717" s="80"/>
      <c r="Q717" s="80"/>
      <c r="R717" s="80"/>
      <c r="S717" s="80"/>
      <c r="T717" s="80"/>
    </row>
    <row r="718" spans="1:20" ht="15.75">
      <c r="A718" s="80"/>
      <c r="B718" s="80"/>
      <c r="C718" s="80"/>
      <c r="D718" s="80"/>
      <c r="E718" s="80"/>
      <c r="F718" s="80"/>
      <c r="G718" s="80"/>
      <c r="H718" s="80"/>
      <c r="I718" s="80"/>
      <c r="J718" s="80"/>
      <c r="K718" s="80"/>
      <c r="L718" s="80"/>
      <c r="M718" s="80"/>
      <c r="N718" s="80"/>
      <c r="O718" s="80"/>
      <c r="P718" s="80"/>
      <c r="Q718" s="80"/>
      <c r="R718" s="80"/>
      <c r="S718" s="80"/>
      <c r="T718" s="80"/>
    </row>
    <row r="719" spans="1:20" ht="15.75">
      <c r="A719" s="80"/>
      <c r="B719" s="80"/>
      <c r="C719" s="80"/>
      <c r="D719" s="80"/>
      <c r="E719" s="80"/>
      <c r="F719" s="80"/>
      <c r="G719" s="80"/>
      <c r="H719" s="80"/>
      <c r="I719" s="80"/>
      <c r="J719" s="80"/>
      <c r="K719" s="80"/>
      <c r="L719" s="80"/>
      <c r="M719" s="80"/>
      <c r="N719" s="80"/>
      <c r="O719" s="80"/>
      <c r="P719" s="80"/>
      <c r="Q719" s="80"/>
      <c r="R719" s="80"/>
      <c r="S719" s="80"/>
      <c r="T719" s="80"/>
    </row>
    <row r="720" spans="1:20" ht="15.75">
      <c r="A720" s="80"/>
      <c r="B720" s="80"/>
      <c r="C720" s="80"/>
      <c r="D720" s="80"/>
      <c r="E720" s="80"/>
      <c r="F720" s="80"/>
      <c r="G720" s="80"/>
      <c r="H720" s="80"/>
      <c r="I720" s="80"/>
      <c r="J720" s="80"/>
      <c r="K720" s="80"/>
      <c r="L720" s="80"/>
      <c r="M720" s="80"/>
      <c r="N720" s="80"/>
      <c r="O720" s="80"/>
      <c r="P720" s="80"/>
      <c r="Q720" s="80"/>
      <c r="R720" s="80"/>
      <c r="S720" s="80"/>
      <c r="T720" s="80"/>
    </row>
    <row r="721" spans="1:20" ht="15.75">
      <c r="A721" s="80"/>
      <c r="B721" s="80"/>
      <c r="C721" s="80"/>
      <c r="D721" s="80"/>
      <c r="E721" s="80"/>
      <c r="F721" s="80"/>
      <c r="G721" s="80"/>
      <c r="H721" s="80"/>
      <c r="I721" s="80"/>
      <c r="J721" s="80"/>
      <c r="K721" s="80"/>
      <c r="L721" s="80"/>
      <c r="M721" s="80"/>
      <c r="N721" s="80"/>
      <c r="O721" s="80"/>
      <c r="P721" s="80"/>
      <c r="Q721" s="80"/>
      <c r="R721" s="80"/>
      <c r="S721" s="80"/>
      <c r="T721" s="80"/>
    </row>
    <row r="722" spans="1:20" ht="15.75">
      <c r="A722" s="80"/>
      <c r="B722" s="80"/>
      <c r="C722" s="80"/>
      <c r="D722" s="80"/>
      <c r="E722" s="80"/>
      <c r="F722" s="80"/>
      <c r="G722" s="80"/>
      <c r="H722" s="80"/>
      <c r="I722" s="80"/>
      <c r="J722" s="80"/>
      <c r="K722" s="80"/>
      <c r="L722" s="80"/>
      <c r="M722" s="80"/>
      <c r="N722" s="80"/>
      <c r="O722" s="80"/>
      <c r="P722" s="80"/>
      <c r="Q722" s="80"/>
      <c r="R722" s="80"/>
      <c r="S722" s="80"/>
      <c r="T722" s="80"/>
    </row>
    <row r="723" spans="1:20" ht="15.75">
      <c r="A723" s="80"/>
      <c r="B723" s="80"/>
      <c r="C723" s="80"/>
      <c r="D723" s="80"/>
      <c r="E723" s="80"/>
      <c r="F723" s="80"/>
      <c r="G723" s="80"/>
      <c r="H723" s="80"/>
      <c r="I723" s="80"/>
      <c r="J723" s="80"/>
      <c r="K723" s="80"/>
      <c r="L723" s="80"/>
      <c r="M723" s="80"/>
      <c r="N723" s="80"/>
      <c r="O723" s="80"/>
      <c r="P723" s="80"/>
      <c r="Q723" s="80"/>
      <c r="R723" s="80"/>
      <c r="S723" s="80"/>
      <c r="T723" s="80"/>
    </row>
    <row r="724" spans="1:20" ht="15.75">
      <c r="A724" s="80"/>
      <c r="B724" s="80"/>
      <c r="C724" s="80"/>
      <c r="D724" s="80"/>
      <c r="E724" s="80"/>
      <c r="F724" s="80"/>
      <c r="G724" s="80"/>
      <c r="H724" s="80"/>
      <c r="I724" s="80"/>
      <c r="J724" s="80"/>
      <c r="K724" s="80"/>
      <c r="L724" s="80"/>
      <c r="M724" s="80"/>
      <c r="N724" s="80"/>
      <c r="O724" s="80"/>
      <c r="P724" s="80"/>
      <c r="Q724" s="80"/>
      <c r="R724" s="80"/>
      <c r="S724" s="80"/>
      <c r="T724" s="80"/>
    </row>
    <row r="725" spans="1:20" ht="15.75">
      <c r="A725" s="80"/>
      <c r="B725" s="80"/>
      <c r="C725" s="80"/>
      <c r="D725" s="80"/>
      <c r="E725" s="80"/>
      <c r="F725" s="80"/>
      <c r="G725" s="80"/>
      <c r="H725" s="80"/>
      <c r="I725" s="80"/>
      <c r="J725" s="80"/>
      <c r="K725" s="80"/>
      <c r="L725" s="80"/>
      <c r="M725" s="80"/>
      <c r="N725" s="80"/>
      <c r="O725" s="80"/>
      <c r="P725" s="80"/>
      <c r="Q725" s="80"/>
      <c r="R725" s="80"/>
      <c r="S725" s="80"/>
      <c r="T725" s="80"/>
    </row>
    <row r="726" spans="1:20" ht="15.75">
      <c r="A726" s="80"/>
      <c r="B726" s="80"/>
      <c r="C726" s="80"/>
      <c r="D726" s="80"/>
      <c r="E726" s="80"/>
      <c r="F726" s="80"/>
      <c r="G726" s="80"/>
      <c r="H726" s="80"/>
      <c r="I726" s="80"/>
      <c r="J726" s="80"/>
      <c r="K726" s="80"/>
      <c r="L726" s="80"/>
      <c r="M726" s="80"/>
      <c r="N726" s="80"/>
      <c r="O726" s="80"/>
      <c r="P726" s="80"/>
      <c r="Q726" s="80"/>
      <c r="R726" s="80"/>
      <c r="S726" s="80"/>
      <c r="T726" s="80"/>
    </row>
    <row r="727" spans="1:20" ht="15.75">
      <c r="A727" s="80"/>
      <c r="B727" s="80"/>
      <c r="C727" s="80"/>
      <c r="D727" s="80"/>
      <c r="E727" s="80"/>
      <c r="F727" s="80"/>
      <c r="G727" s="80"/>
      <c r="H727" s="80"/>
      <c r="I727" s="80"/>
      <c r="J727" s="80"/>
      <c r="K727" s="80"/>
      <c r="L727" s="80"/>
      <c r="M727" s="80"/>
      <c r="N727" s="80"/>
      <c r="O727" s="80"/>
      <c r="P727" s="80"/>
      <c r="Q727" s="80"/>
      <c r="R727" s="80"/>
      <c r="S727" s="80"/>
      <c r="T727" s="80"/>
    </row>
    <row r="728" spans="1:20" ht="15.75">
      <c r="A728" s="80"/>
      <c r="B728" s="80"/>
      <c r="C728" s="80"/>
      <c r="D728" s="80"/>
      <c r="E728" s="80"/>
      <c r="F728" s="80"/>
      <c r="G728" s="80"/>
      <c r="H728" s="80"/>
      <c r="I728" s="80"/>
      <c r="J728" s="80"/>
      <c r="K728" s="80"/>
      <c r="L728" s="80"/>
      <c r="M728" s="80"/>
      <c r="N728" s="80"/>
      <c r="O728" s="80"/>
      <c r="P728" s="80"/>
      <c r="Q728" s="80"/>
      <c r="R728" s="80"/>
      <c r="S728" s="80"/>
      <c r="T728" s="80"/>
    </row>
    <row r="729" spans="1:20" ht="15.75">
      <c r="A729" s="80"/>
      <c r="B729" s="80"/>
      <c r="C729" s="80"/>
      <c r="D729" s="80"/>
      <c r="E729" s="80"/>
      <c r="F729" s="80"/>
      <c r="G729" s="80"/>
      <c r="H729" s="80"/>
      <c r="I729" s="80"/>
      <c r="J729" s="80"/>
      <c r="K729" s="80"/>
      <c r="L729" s="80"/>
      <c r="M729" s="80"/>
      <c r="N729" s="80"/>
      <c r="O729" s="80"/>
      <c r="P729" s="80"/>
      <c r="Q729" s="80"/>
      <c r="R729" s="80"/>
      <c r="S729" s="80"/>
      <c r="T729" s="80"/>
    </row>
    <row r="730" spans="1:20" ht="15.75">
      <c r="A730" s="80"/>
      <c r="B730" s="80"/>
      <c r="C730" s="80"/>
      <c r="D730" s="80"/>
      <c r="E730" s="80"/>
      <c r="F730" s="80"/>
      <c r="G730" s="80"/>
      <c r="H730" s="80"/>
      <c r="I730" s="80"/>
      <c r="J730" s="80"/>
      <c r="K730" s="80"/>
      <c r="L730" s="80"/>
      <c r="M730" s="80"/>
      <c r="N730" s="80"/>
      <c r="O730" s="80"/>
      <c r="P730" s="80"/>
      <c r="Q730" s="80"/>
      <c r="R730" s="80"/>
      <c r="S730" s="80"/>
      <c r="T730" s="80"/>
    </row>
    <row r="731" spans="1:20" ht="15.75">
      <c r="A731" s="80"/>
      <c r="B731" s="80"/>
      <c r="C731" s="80"/>
      <c r="D731" s="80"/>
      <c r="E731" s="80"/>
      <c r="F731" s="80"/>
      <c r="G731" s="80"/>
      <c r="H731" s="80"/>
      <c r="I731" s="80"/>
      <c r="J731" s="80"/>
      <c r="K731" s="80"/>
      <c r="L731" s="80"/>
      <c r="M731" s="80"/>
      <c r="N731" s="80"/>
      <c r="O731" s="80"/>
      <c r="P731" s="80"/>
      <c r="Q731" s="80"/>
      <c r="R731" s="80"/>
      <c r="S731" s="80"/>
      <c r="T731" s="80"/>
    </row>
    <row r="732" spans="1:20" ht="15.75">
      <c r="A732" s="80"/>
      <c r="B732" s="80"/>
      <c r="C732" s="80"/>
      <c r="D732" s="80"/>
      <c r="E732" s="80"/>
      <c r="F732" s="80"/>
      <c r="G732" s="80"/>
      <c r="H732" s="80"/>
      <c r="I732" s="80"/>
      <c r="J732" s="80"/>
      <c r="K732" s="80"/>
      <c r="L732" s="80"/>
      <c r="M732" s="80"/>
      <c r="N732" s="80"/>
      <c r="O732" s="80"/>
      <c r="P732" s="80"/>
      <c r="Q732" s="80"/>
      <c r="R732" s="80"/>
      <c r="S732" s="80"/>
      <c r="T732" s="80"/>
    </row>
    <row r="733" spans="1:20" ht="15.75">
      <c r="A733" s="80"/>
      <c r="B733" s="80"/>
      <c r="C733" s="80"/>
      <c r="D733" s="80"/>
      <c r="E733" s="80"/>
      <c r="F733" s="80"/>
      <c r="G733" s="80"/>
      <c r="H733" s="80"/>
      <c r="I733" s="80"/>
      <c r="J733" s="80"/>
      <c r="K733" s="80"/>
      <c r="L733" s="80"/>
      <c r="M733" s="80"/>
      <c r="N733" s="80"/>
      <c r="O733" s="80"/>
      <c r="P733" s="80"/>
      <c r="Q733" s="80"/>
      <c r="R733" s="80"/>
      <c r="S733" s="80"/>
      <c r="T733" s="80"/>
    </row>
    <row r="734" spans="1:20" ht="15.75">
      <c r="A734" s="80"/>
      <c r="B734" s="80"/>
      <c r="C734" s="80"/>
      <c r="D734" s="80"/>
      <c r="E734" s="80"/>
      <c r="F734" s="80"/>
      <c r="G734" s="80"/>
      <c r="H734" s="80"/>
      <c r="I734" s="80"/>
      <c r="J734" s="80"/>
      <c r="K734" s="80"/>
      <c r="L734" s="80"/>
      <c r="M734" s="80"/>
      <c r="N734" s="80"/>
      <c r="O734" s="80"/>
      <c r="P734" s="80"/>
      <c r="Q734" s="80"/>
      <c r="R734" s="80"/>
      <c r="S734" s="80"/>
      <c r="T734" s="80"/>
    </row>
    <row r="735" spans="1:20" ht="15.75">
      <c r="A735" s="80"/>
      <c r="B735" s="80"/>
      <c r="C735" s="80"/>
      <c r="D735" s="80"/>
      <c r="E735" s="80"/>
      <c r="F735" s="80"/>
      <c r="G735" s="80"/>
      <c r="H735" s="80"/>
      <c r="I735" s="80"/>
      <c r="J735" s="80"/>
      <c r="K735" s="80"/>
      <c r="L735" s="80"/>
      <c r="M735" s="80"/>
      <c r="N735" s="80"/>
      <c r="O735" s="80"/>
      <c r="P735" s="80"/>
      <c r="Q735" s="80"/>
      <c r="R735" s="80"/>
      <c r="S735" s="80"/>
      <c r="T735" s="80"/>
    </row>
    <row r="736" spans="1:20" ht="15.75">
      <c r="A736" s="80"/>
      <c r="B736" s="80"/>
      <c r="C736" s="80"/>
      <c r="D736" s="80"/>
      <c r="E736" s="80"/>
      <c r="F736" s="80"/>
      <c r="G736" s="80"/>
      <c r="H736" s="80"/>
      <c r="I736" s="80"/>
      <c r="J736" s="80"/>
      <c r="K736" s="80"/>
      <c r="L736" s="80"/>
      <c r="M736" s="80"/>
      <c r="N736" s="80"/>
      <c r="O736" s="80"/>
      <c r="P736" s="80"/>
      <c r="Q736" s="80"/>
      <c r="R736" s="80"/>
      <c r="S736" s="80"/>
      <c r="T736" s="80"/>
    </row>
    <row r="737" spans="1:20" ht="15.75">
      <c r="A737" s="80"/>
      <c r="B737" s="80"/>
      <c r="C737" s="80"/>
      <c r="D737" s="80"/>
      <c r="E737" s="80"/>
      <c r="F737" s="80"/>
      <c r="G737" s="80"/>
      <c r="H737" s="80"/>
      <c r="I737" s="80"/>
      <c r="J737" s="80"/>
      <c r="K737" s="80"/>
      <c r="L737" s="80"/>
      <c r="M737" s="80"/>
      <c r="N737" s="80"/>
      <c r="O737" s="80"/>
      <c r="P737" s="80"/>
      <c r="Q737" s="80"/>
      <c r="R737" s="80"/>
      <c r="S737" s="80"/>
      <c r="T737" s="80"/>
    </row>
    <row r="738" spans="1:20" ht="15.75">
      <c r="A738" s="80"/>
      <c r="B738" s="80"/>
      <c r="C738" s="80"/>
      <c r="D738" s="80"/>
      <c r="E738" s="80"/>
      <c r="F738" s="80"/>
      <c r="G738" s="80"/>
      <c r="H738" s="80"/>
      <c r="I738" s="80"/>
      <c r="J738" s="80"/>
      <c r="K738" s="80"/>
      <c r="L738" s="80"/>
      <c r="M738" s="80"/>
      <c r="N738" s="80"/>
      <c r="O738" s="80"/>
      <c r="P738" s="80"/>
      <c r="Q738" s="80"/>
      <c r="R738" s="80"/>
      <c r="S738" s="80"/>
      <c r="T738" s="80"/>
    </row>
    <row r="739" spans="1:20" ht="15.75">
      <c r="A739" s="80"/>
      <c r="B739" s="80"/>
      <c r="C739" s="80"/>
      <c r="D739" s="80"/>
      <c r="E739" s="80"/>
      <c r="F739" s="80"/>
      <c r="G739" s="80"/>
      <c r="H739" s="80"/>
      <c r="I739" s="80"/>
      <c r="J739" s="80"/>
      <c r="K739" s="80"/>
      <c r="L739" s="80"/>
      <c r="M739" s="80"/>
      <c r="N739" s="80"/>
      <c r="O739" s="80"/>
      <c r="P739" s="80"/>
      <c r="Q739" s="80"/>
      <c r="R739" s="80"/>
      <c r="S739" s="80"/>
      <c r="T739" s="80"/>
    </row>
    <row r="740" spans="1:20" ht="15.75">
      <c r="A740" s="80"/>
      <c r="B740" s="80"/>
      <c r="C740" s="80"/>
      <c r="D740" s="80"/>
      <c r="E740" s="80"/>
      <c r="F740" s="80"/>
      <c r="G740" s="80"/>
      <c r="H740" s="80"/>
      <c r="I740" s="80"/>
      <c r="J740" s="80"/>
      <c r="K740" s="80"/>
      <c r="L740" s="80"/>
      <c r="M740" s="80"/>
      <c r="N740" s="80"/>
      <c r="O740" s="80"/>
      <c r="P740" s="80"/>
      <c r="Q740" s="80"/>
      <c r="R740" s="80"/>
      <c r="S740" s="80"/>
      <c r="T740" s="80"/>
    </row>
    <row r="741" spans="1:20" ht="15.75">
      <c r="A741" s="80"/>
      <c r="B741" s="80"/>
      <c r="C741" s="80"/>
      <c r="D741" s="80"/>
      <c r="E741" s="80"/>
      <c r="F741" s="80"/>
      <c r="G741" s="80"/>
      <c r="H741" s="80"/>
      <c r="I741" s="80"/>
      <c r="J741" s="80"/>
      <c r="K741" s="80"/>
      <c r="L741" s="80"/>
      <c r="M741" s="80"/>
      <c r="N741" s="80"/>
      <c r="O741" s="80"/>
      <c r="P741" s="80"/>
      <c r="Q741" s="80"/>
      <c r="R741" s="80"/>
      <c r="S741" s="80"/>
      <c r="T741" s="80"/>
    </row>
    <row r="742" spans="1:20" ht="15.75">
      <c r="A742" s="80"/>
      <c r="B742" s="80"/>
      <c r="C742" s="80"/>
      <c r="D742" s="80"/>
      <c r="E742" s="80"/>
      <c r="F742" s="80"/>
      <c r="G742" s="80"/>
      <c r="H742" s="80"/>
      <c r="I742" s="80"/>
      <c r="J742" s="80"/>
      <c r="K742" s="80"/>
      <c r="L742" s="80"/>
      <c r="M742" s="80"/>
      <c r="N742" s="80"/>
      <c r="O742" s="80"/>
      <c r="P742" s="80"/>
      <c r="Q742" s="80"/>
      <c r="R742" s="80"/>
      <c r="S742" s="80"/>
      <c r="T742" s="80"/>
    </row>
    <row r="743" spans="1:20" ht="15.75">
      <c r="A743" s="80"/>
      <c r="B743" s="80"/>
      <c r="C743" s="80"/>
      <c r="D743" s="80"/>
      <c r="E743" s="80"/>
      <c r="F743" s="80"/>
      <c r="G743" s="80"/>
      <c r="H743" s="80"/>
      <c r="I743" s="80"/>
      <c r="J743" s="80"/>
      <c r="K743" s="80"/>
      <c r="L743" s="80"/>
      <c r="M743" s="80"/>
      <c r="N743" s="80"/>
      <c r="O743" s="80"/>
      <c r="P743" s="80"/>
      <c r="Q743" s="80"/>
      <c r="R743" s="80"/>
      <c r="S743" s="80"/>
      <c r="T743" s="80"/>
    </row>
    <row r="744" spans="1:20" ht="15.75">
      <c r="A744" s="80"/>
      <c r="B744" s="80"/>
      <c r="C744" s="80"/>
      <c r="D744" s="80"/>
      <c r="E744" s="80"/>
      <c r="F744" s="80"/>
      <c r="G744" s="80"/>
      <c r="H744" s="80"/>
      <c r="I744" s="80"/>
      <c r="J744" s="80"/>
      <c r="K744" s="80"/>
      <c r="L744" s="80"/>
      <c r="M744" s="80"/>
      <c r="N744" s="80"/>
      <c r="O744" s="80"/>
      <c r="P744" s="80"/>
      <c r="Q744" s="80"/>
      <c r="R744" s="80"/>
      <c r="S744" s="80"/>
      <c r="T744" s="80"/>
    </row>
    <row r="745" spans="1:20" ht="15.75">
      <c r="A745" s="80"/>
      <c r="B745" s="80"/>
      <c r="C745" s="80"/>
      <c r="D745" s="80"/>
      <c r="E745" s="80"/>
      <c r="F745" s="80"/>
      <c r="G745" s="80"/>
      <c r="H745" s="80"/>
      <c r="I745" s="80"/>
      <c r="J745" s="80"/>
      <c r="K745" s="80"/>
      <c r="L745" s="80"/>
      <c r="M745" s="80"/>
      <c r="N745" s="80"/>
      <c r="O745" s="80"/>
      <c r="P745" s="80"/>
      <c r="Q745" s="80"/>
      <c r="R745" s="80"/>
      <c r="S745" s="80"/>
      <c r="T745" s="80"/>
    </row>
    <row r="746" spans="1:20" ht="15.75">
      <c r="A746" s="80"/>
      <c r="B746" s="80"/>
      <c r="C746" s="80"/>
      <c r="D746" s="80"/>
      <c r="E746" s="80"/>
      <c r="F746" s="80"/>
      <c r="G746" s="80"/>
      <c r="H746" s="80"/>
      <c r="I746" s="80"/>
      <c r="J746" s="80"/>
      <c r="K746" s="80"/>
      <c r="L746" s="80"/>
      <c r="M746" s="80"/>
      <c r="N746" s="80"/>
      <c r="O746" s="80"/>
      <c r="P746" s="80"/>
      <c r="Q746" s="80"/>
      <c r="R746" s="80"/>
      <c r="S746" s="80"/>
      <c r="T746" s="80"/>
    </row>
    <row r="747" spans="1:20" ht="15.75">
      <c r="A747" s="80"/>
      <c r="B747" s="80"/>
      <c r="C747" s="80"/>
      <c r="D747" s="80"/>
      <c r="E747" s="80"/>
      <c r="F747" s="80"/>
      <c r="G747" s="80"/>
      <c r="H747" s="80"/>
      <c r="I747" s="80"/>
      <c r="J747" s="80"/>
      <c r="K747" s="80"/>
      <c r="L747" s="80"/>
      <c r="M747" s="80"/>
      <c r="N747" s="80"/>
      <c r="O747" s="80"/>
      <c r="P747" s="80"/>
      <c r="Q747" s="80"/>
      <c r="R747" s="80"/>
      <c r="S747" s="80"/>
      <c r="T747" s="80"/>
    </row>
    <row r="748" spans="1:20" ht="15.75">
      <c r="A748" s="80"/>
      <c r="B748" s="80"/>
      <c r="C748" s="80"/>
      <c r="D748" s="80"/>
      <c r="E748" s="80"/>
      <c r="F748" s="80"/>
      <c r="G748" s="80"/>
      <c r="H748" s="80"/>
      <c r="I748" s="80"/>
      <c r="J748" s="80"/>
      <c r="K748" s="80"/>
      <c r="L748" s="80"/>
      <c r="M748" s="80"/>
      <c r="N748" s="80"/>
      <c r="O748" s="80"/>
      <c r="P748" s="80"/>
      <c r="Q748" s="80"/>
      <c r="R748" s="80"/>
      <c r="S748" s="80"/>
      <c r="T748" s="80"/>
    </row>
    <row r="749" spans="1:20" ht="15.75">
      <c r="A749" s="80"/>
      <c r="B749" s="80"/>
      <c r="C749" s="80"/>
      <c r="D749" s="80"/>
      <c r="E749" s="80"/>
      <c r="F749" s="80"/>
      <c r="G749" s="80"/>
      <c r="H749" s="80"/>
      <c r="I749" s="80"/>
      <c r="J749" s="80"/>
      <c r="K749" s="80"/>
      <c r="L749" s="80"/>
      <c r="M749" s="80"/>
      <c r="N749" s="80"/>
      <c r="O749" s="80"/>
      <c r="P749" s="80"/>
      <c r="Q749" s="80"/>
      <c r="R749" s="80"/>
      <c r="S749" s="80"/>
      <c r="T749" s="80"/>
    </row>
    <row r="750" spans="1:20" ht="15.75">
      <c r="A750" s="80"/>
      <c r="B750" s="80"/>
      <c r="C750" s="80"/>
      <c r="D750" s="80"/>
      <c r="E750" s="80"/>
      <c r="F750" s="80"/>
      <c r="G750" s="80"/>
      <c r="H750" s="80"/>
      <c r="I750" s="80"/>
      <c r="J750" s="80"/>
      <c r="K750" s="80"/>
      <c r="L750" s="80"/>
      <c r="M750" s="80"/>
      <c r="N750" s="80"/>
      <c r="O750" s="80"/>
      <c r="P750" s="80"/>
      <c r="Q750" s="80"/>
      <c r="R750" s="80"/>
      <c r="S750" s="80"/>
      <c r="T750" s="80"/>
    </row>
    <row r="751" spans="1:20" ht="15.75">
      <c r="A751" s="80"/>
      <c r="B751" s="80"/>
      <c r="C751" s="80"/>
      <c r="D751" s="80"/>
      <c r="E751" s="80"/>
      <c r="F751" s="80"/>
      <c r="G751" s="80"/>
      <c r="H751" s="80"/>
      <c r="I751" s="80"/>
      <c r="J751" s="80"/>
      <c r="K751" s="80"/>
      <c r="L751" s="80"/>
      <c r="M751" s="80"/>
      <c r="N751" s="80"/>
      <c r="O751" s="80"/>
      <c r="P751" s="80"/>
      <c r="Q751" s="80"/>
      <c r="R751" s="80"/>
      <c r="S751" s="80"/>
      <c r="T751" s="80"/>
    </row>
    <row r="752" spans="1:20" ht="15.75">
      <c r="A752" s="80"/>
      <c r="B752" s="80"/>
      <c r="C752" s="80"/>
      <c r="D752" s="80"/>
      <c r="E752" s="80"/>
      <c r="F752" s="80"/>
      <c r="G752" s="80"/>
      <c r="H752" s="80"/>
      <c r="I752" s="80"/>
      <c r="J752" s="80"/>
      <c r="K752" s="80"/>
      <c r="L752" s="80"/>
      <c r="M752" s="80"/>
      <c r="N752" s="80"/>
      <c r="O752" s="80"/>
      <c r="P752" s="80"/>
      <c r="Q752" s="80"/>
      <c r="R752" s="80"/>
      <c r="S752" s="80"/>
      <c r="T752" s="80"/>
    </row>
    <row r="753" spans="1:20" ht="15.75">
      <c r="A753" s="80"/>
      <c r="B753" s="80"/>
      <c r="C753" s="80"/>
      <c r="D753" s="80"/>
      <c r="E753" s="80"/>
      <c r="F753" s="80"/>
      <c r="G753" s="80"/>
      <c r="H753" s="80"/>
      <c r="I753" s="80"/>
      <c r="J753" s="80"/>
      <c r="K753" s="80"/>
      <c r="L753" s="80"/>
      <c r="M753" s="80"/>
      <c r="N753" s="80"/>
      <c r="O753" s="80"/>
      <c r="P753" s="80"/>
      <c r="Q753" s="80"/>
      <c r="R753" s="80"/>
      <c r="S753" s="80"/>
      <c r="T753" s="80"/>
    </row>
    <row r="754" spans="1:20" ht="15.75">
      <c r="A754" s="80"/>
      <c r="B754" s="80"/>
      <c r="C754" s="80"/>
      <c r="D754" s="80"/>
      <c r="E754" s="80"/>
      <c r="F754" s="80"/>
      <c r="G754" s="80"/>
      <c r="H754" s="80"/>
      <c r="I754" s="80"/>
      <c r="J754" s="80"/>
      <c r="K754" s="80"/>
      <c r="L754" s="80"/>
      <c r="M754" s="80"/>
      <c r="N754" s="80"/>
      <c r="O754" s="80"/>
      <c r="P754" s="80"/>
      <c r="Q754" s="80"/>
      <c r="R754" s="80"/>
      <c r="S754" s="80"/>
      <c r="T754" s="80"/>
    </row>
    <row r="755" spans="1:20" ht="15.75">
      <c r="A755" s="80"/>
      <c r="B755" s="80"/>
      <c r="C755" s="80"/>
      <c r="D755" s="80"/>
      <c r="E755" s="80"/>
      <c r="F755" s="80"/>
      <c r="G755" s="80"/>
      <c r="H755" s="80"/>
      <c r="I755" s="80"/>
      <c r="J755" s="80"/>
      <c r="K755" s="80"/>
      <c r="L755" s="80"/>
      <c r="M755" s="80"/>
      <c r="N755" s="80"/>
      <c r="O755" s="80"/>
      <c r="P755" s="80"/>
      <c r="Q755" s="80"/>
      <c r="R755" s="80"/>
      <c r="S755" s="80"/>
      <c r="T755" s="80"/>
    </row>
    <row r="756" spans="1:20" ht="15.75">
      <c r="A756" s="80"/>
      <c r="B756" s="80"/>
      <c r="C756" s="80"/>
      <c r="D756" s="80"/>
      <c r="E756" s="80"/>
      <c r="F756" s="80"/>
      <c r="G756" s="80"/>
      <c r="H756" s="80"/>
      <c r="I756" s="80"/>
      <c r="J756" s="80"/>
      <c r="K756" s="80"/>
      <c r="L756" s="80"/>
      <c r="M756" s="80"/>
      <c r="N756" s="80"/>
      <c r="O756" s="80"/>
      <c r="P756" s="80"/>
      <c r="Q756" s="80"/>
      <c r="R756" s="80"/>
      <c r="S756" s="80"/>
      <c r="T756" s="80"/>
    </row>
    <row r="757" spans="1:20" ht="15.75">
      <c r="A757" s="80"/>
      <c r="B757" s="80"/>
      <c r="C757" s="80"/>
      <c r="D757" s="80"/>
      <c r="E757" s="80"/>
      <c r="F757" s="80"/>
      <c r="G757" s="80"/>
      <c r="H757" s="80"/>
      <c r="I757" s="80"/>
      <c r="J757" s="80"/>
      <c r="K757" s="80"/>
      <c r="L757" s="80"/>
      <c r="M757" s="80"/>
      <c r="N757" s="80"/>
      <c r="O757" s="80"/>
      <c r="P757" s="80"/>
      <c r="Q757" s="80"/>
      <c r="R757" s="80"/>
      <c r="S757" s="80"/>
      <c r="T757" s="80"/>
    </row>
    <row r="758" spans="1:20" ht="15.75">
      <c r="A758" s="80"/>
      <c r="B758" s="80"/>
      <c r="C758" s="80"/>
      <c r="D758" s="80"/>
      <c r="E758" s="80"/>
      <c r="F758" s="80"/>
      <c r="G758" s="80"/>
      <c r="H758" s="80"/>
      <c r="I758" s="80"/>
      <c r="J758" s="80"/>
      <c r="K758" s="80"/>
      <c r="L758" s="80"/>
      <c r="M758" s="80"/>
      <c r="N758" s="80"/>
      <c r="O758" s="80"/>
      <c r="P758" s="80"/>
      <c r="Q758" s="80"/>
      <c r="R758" s="80"/>
      <c r="S758" s="80"/>
      <c r="T758" s="80"/>
    </row>
    <row r="759" spans="1:20" ht="15.75">
      <c r="A759" s="80"/>
      <c r="B759" s="80"/>
      <c r="C759" s="80"/>
      <c r="D759" s="80"/>
      <c r="E759" s="80"/>
      <c r="F759" s="80"/>
      <c r="G759" s="80"/>
      <c r="H759" s="80"/>
      <c r="I759" s="80"/>
      <c r="J759" s="80"/>
      <c r="K759" s="80"/>
      <c r="L759" s="80"/>
      <c r="M759" s="80"/>
      <c r="N759" s="80"/>
      <c r="O759" s="80"/>
      <c r="P759" s="80"/>
      <c r="Q759" s="80"/>
      <c r="R759" s="80"/>
      <c r="S759" s="80"/>
      <c r="T759" s="80"/>
    </row>
    <row r="760" spans="1:20" ht="15.75">
      <c r="A760" s="80"/>
      <c r="B760" s="80"/>
      <c r="C760" s="80"/>
      <c r="D760" s="80"/>
      <c r="E760" s="80"/>
      <c r="F760" s="80"/>
      <c r="G760" s="80"/>
      <c r="H760" s="80"/>
      <c r="I760" s="80"/>
      <c r="J760" s="80"/>
      <c r="K760" s="80"/>
      <c r="L760" s="80"/>
      <c r="M760" s="80"/>
      <c r="N760" s="80"/>
      <c r="O760" s="80"/>
      <c r="P760" s="80"/>
      <c r="Q760" s="80"/>
      <c r="R760" s="80"/>
      <c r="S760" s="80"/>
      <c r="T760" s="80"/>
    </row>
    <row r="761" spans="1:20" ht="15.75">
      <c r="A761" s="80"/>
      <c r="B761" s="80"/>
      <c r="C761" s="80"/>
      <c r="D761" s="80"/>
      <c r="E761" s="80"/>
      <c r="F761" s="80"/>
      <c r="G761" s="80"/>
      <c r="H761" s="80"/>
      <c r="I761" s="80"/>
      <c r="J761" s="80"/>
      <c r="K761" s="80"/>
      <c r="L761" s="80"/>
      <c r="M761" s="80"/>
      <c r="N761" s="80"/>
      <c r="O761" s="80"/>
      <c r="P761" s="80"/>
      <c r="Q761" s="80"/>
      <c r="R761" s="80"/>
      <c r="S761" s="80"/>
      <c r="T761" s="80"/>
    </row>
    <row r="762" spans="1:20" ht="15.75">
      <c r="A762" s="80"/>
      <c r="B762" s="80"/>
      <c r="C762" s="80"/>
      <c r="D762" s="80"/>
      <c r="E762" s="80"/>
      <c r="F762" s="80"/>
      <c r="G762" s="80"/>
      <c r="H762" s="80"/>
      <c r="I762" s="80"/>
      <c r="J762" s="80"/>
      <c r="K762" s="80"/>
      <c r="L762" s="80"/>
      <c r="M762" s="80"/>
      <c r="N762" s="80"/>
      <c r="O762" s="80"/>
      <c r="P762" s="80"/>
      <c r="Q762" s="80"/>
      <c r="R762" s="80"/>
      <c r="S762" s="80"/>
      <c r="T762" s="80"/>
    </row>
    <row r="763" spans="1:20" ht="15.75">
      <c r="A763" s="80"/>
      <c r="B763" s="80"/>
      <c r="C763" s="80"/>
      <c r="D763" s="80"/>
      <c r="E763" s="80"/>
      <c r="F763" s="80"/>
      <c r="G763" s="80"/>
      <c r="H763" s="80"/>
      <c r="I763" s="80"/>
      <c r="J763" s="80"/>
      <c r="K763" s="80"/>
      <c r="L763" s="80"/>
      <c r="M763" s="80"/>
      <c r="N763" s="80"/>
      <c r="O763" s="80"/>
      <c r="P763" s="80"/>
      <c r="Q763" s="80"/>
      <c r="R763" s="80"/>
      <c r="S763" s="80"/>
      <c r="T763" s="80"/>
    </row>
    <row r="764" spans="1:20" ht="15.75">
      <c r="A764" s="80"/>
      <c r="B764" s="80"/>
      <c r="C764" s="80"/>
      <c r="D764" s="80"/>
      <c r="E764" s="80"/>
      <c r="F764" s="80"/>
      <c r="G764" s="80"/>
      <c r="H764" s="80"/>
      <c r="I764" s="80"/>
      <c r="J764" s="80"/>
      <c r="K764" s="80"/>
      <c r="L764" s="80"/>
      <c r="M764" s="80"/>
      <c r="N764" s="80"/>
      <c r="O764" s="80"/>
      <c r="P764" s="80"/>
      <c r="Q764" s="80"/>
      <c r="R764" s="80"/>
      <c r="S764" s="80"/>
      <c r="T764" s="80"/>
    </row>
    <row r="765" spans="1:20" ht="15.75">
      <c r="A765" s="80"/>
      <c r="B765" s="80"/>
      <c r="C765" s="80"/>
      <c r="D765" s="80"/>
      <c r="E765" s="80"/>
      <c r="F765" s="80"/>
      <c r="G765" s="80"/>
      <c r="H765" s="80"/>
      <c r="I765" s="80"/>
      <c r="J765" s="80"/>
      <c r="K765" s="80"/>
      <c r="L765" s="80"/>
      <c r="M765" s="80"/>
      <c r="N765" s="80"/>
      <c r="O765" s="80"/>
      <c r="P765" s="80"/>
      <c r="Q765" s="80"/>
      <c r="R765" s="80"/>
      <c r="S765" s="80"/>
      <c r="T765" s="80"/>
    </row>
    <row r="766" spans="1:20" ht="15.75">
      <c r="A766" s="80"/>
      <c r="B766" s="80"/>
      <c r="C766" s="80"/>
      <c r="D766" s="80"/>
      <c r="E766" s="80"/>
      <c r="F766" s="80"/>
      <c r="G766" s="80"/>
      <c r="H766" s="80"/>
      <c r="I766" s="80"/>
      <c r="J766" s="80"/>
      <c r="K766" s="80"/>
      <c r="L766" s="80"/>
      <c r="M766" s="80"/>
      <c r="N766" s="80"/>
      <c r="O766" s="80"/>
      <c r="P766" s="80"/>
      <c r="Q766" s="80"/>
      <c r="R766" s="80"/>
      <c r="S766" s="80"/>
      <c r="T766" s="80"/>
    </row>
    <row r="767" spans="1:20" ht="15.75">
      <c r="A767" s="80"/>
      <c r="B767" s="80"/>
      <c r="C767" s="80"/>
      <c r="D767" s="80"/>
      <c r="E767" s="80"/>
      <c r="F767" s="80"/>
      <c r="G767" s="80"/>
      <c r="H767" s="80"/>
      <c r="I767" s="80"/>
      <c r="J767" s="80"/>
      <c r="K767" s="80"/>
      <c r="L767" s="80"/>
      <c r="M767" s="80"/>
      <c r="N767" s="80"/>
      <c r="O767" s="80"/>
      <c r="P767" s="80"/>
      <c r="Q767" s="80"/>
      <c r="R767" s="80"/>
      <c r="S767" s="80"/>
      <c r="T767" s="80"/>
    </row>
    <row r="768" spans="1:20" ht="15.75">
      <c r="A768" s="80"/>
      <c r="B768" s="80"/>
      <c r="C768" s="80"/>
      <c r="D768" s="80"/>
      <c r="E768" s="80"/>
      <c r="F768" s="80"/>
      <c r="G768" s="80"/>
      <c r="H768" s="80"/>
      <c r="I768" s="80"/>
      <c r="J768" s="80"/>
      <c r="K768" s="80"/>
      <c r="L768" s="80"/>
      <c r="M768" s="80"/>
      <c r="N768" s="80"/>
      <c r="O768" s="80"/>
      <c r="P768" s="80"/>
      <c r="Q768" s="80"/>
      <c r="R768" s="80"/>
      <c r="S768" s="80"/>
      <c r="T768" s="80"/>
    </row>
    <row r="769" spans="1:20" ht="15.75">
      <c r="A769" s="80"/>
      <c r="B769" s="80"/>
      <c r="C769" s="80"/>
      <c r="D769" s="80"/>
      <c r="E769" s="80"/>
      <c r="F769" s="80"/>
      <c r="G769" s="80"/>
      <c r="H769" s="80"/>
      <c r="I769" s="80"/>
      <c r="J769" s="80"/>
      <c r="K769" s="80"/>
      <c r="L769" s="80"/>
      <c r="M769" s="80"/>
      <c r="N769" s="80"/>
      <c r="O769" s="80"/>
      <c r="P769" s="80"/>
      <c r="Q769" s="80"/>
      <c r="R769" s="80"/>
      <c r="S769" s="80"/>
      <c r="T769" s="80"/>
    </row>
    <row r="770" spans="1:20" ht="15.75">
      <c r="A770" s="80"/>
      <c r="B770" s="80"/>
      <c r="C770" s="80"/>
      <c r="D770" s="80"/>
      <c r="E770" s="80"/>
      <c r="F770" s="80"/>
      <c r="G770" s="80"/>
      <c r="H770" s="80"/>
      <c r="I770" s="80"/>
      <c r="J770" s="80"/>
      <c r="K770" s="80"/>
      <c r="L770" s="80"/>
      <c r="M770" s="80"/>
      <c r="N770" s="80"/>
      <c r="O770" s="80"/>
      <c r="P770" s="80"/>
      <c r="Q770" s="80"/>
      <c r="R770" s="80"/>
      <c r="S770" s="80"/>
      <c r="T770" s="80"/>
    </row>
    <row r="771" spans="1:20" ht="15.75">
      <c r="A771" s="80"/>
      <c r="B771" s="80"/>
      <c r="C771" s="80"/>
      <c r="D771" s="80"/>
      <c r="E771" s="80"/>
      <c r="F771" s="80"/>
      <c r="G771" s="80"/>
      <c r="H771" s="80"/>
      <c r="I771" s="80"/>
      <c r="J771" s="80"/>
      <c r="K771" s="80"/>
      <c r="L771" s="80"/>
      <c r="M771" s="80"/>
      <c r="N771" s="80"/>
      <c r="O771" s="80"/>
      <c r="P771" s="80"/>
      <c r="Q771" s="80"/>
      <c r="R771" s="80"/>
      <c r="S771" s="80"/>
      <c r="T771" s="80"/>
    </row>
    <row r="772" spans="1:20" ht="15.75">
      <c r="A772" s="80"/>
      <c r="B772" s="80"/>
      <c r="C772" s="80"/>
      <c r="D772" s="80"/>
      <c r="E772" s="80"/>
      <c r="F772" s="80"/>
      <c r="G772" s="80"/>
      <c r="H772" s="80"/>
      <c r="I772" s="80"/>
      <c r="J772" s="80"/>
      <c r="K772" s="80"/>
      <c r="L772" s="80"/>
      <c r="M772" s="80"/>
      <c r="N772" s="80"/>
      <c r="O772" s="80"/>
      <c r="P772" s="80"/>
      <c r="Q772" s="80"/>
      <c r="R772" s="80"/>
      <c r="S772" s="80"/>
      <c r="T772" s="80"/>
    </row>
    <row r="773" spans="1:20" ht="15.75">
      <c r="A773" s="80"/>
      <c r="B773" s="80"/>
      <c r="C773" s="80"/>
      <c r="D773" s="80"/>
      <c r="E773" s="80"/>
      <c r="F773" s="80"/>
      <c r="G773" s="80"/>
      <c r="H773" s="80"/>
      <c r="I773" s="80"/>
      <c r="J773" s="80"/>
      <c r="K773" s="80"/>
      <c r="L773" s="80"/>
      <c r="M773" s="80"/>
      <c r="N773" s="80"/>
      <c r="O773" s="80"/>
      <c r="P773" s="80"/>
      <c r="Q773" s="80"/>
      <c r="R773" s="80"/>
      <c r="S773" s="80"/>
      <c r="T773" s="80"/>
    </row>
    <row r="774" spans="1:20" ht="15.75">
      <c r="A774" s="80"/>
      <c r="B774" s="80"/>
      <c r="C774" s="80"/>
      <c r="D774" s="80"/>
      <c r="E774" s="80"/>
      <c r="F774" s="80"/>
      <c r="G774" s="80"/>
      <c r="H774" s="80"/>
      <c r="I774" s="80"/>
      <c r="J774" s="80"/>
      <c r="K774" s="80"/>
      <c r="L774" s="80"/>
      <c r="M774" s="80"/>
      <c r="N774" s="80"/>
      <c r="O774" s="80"/>
      <c r="P774" s="80"/>
      <c r="Q774" s="80"/>
      <c r="R774" s="80"/>
      <c r="S774" s="80"/>
      <c r="T774" s="80"/>
    </row>
    <row r="775" spans="1:20" ht="15.75">
      <c r="A775" s="80"/>
      <c r="B775" s="80"/>
      <c r="C775" s="80"/>
      <c r="D775" s="80"/>
      <c r="E775" s="80"/>
      <c r="F775" s="80"/>
      <c r="G775" s="80"/>
      <c r="H775" s="80"/>
      <c r="I775" s="80"/>
      <c r="J775" s="80"/>
      <c r="K775" s="80"/>
      <c r="L775" s="80"/>
      <c r="M775" s="80"/>
      <c r="N775" s="80"/>
      <c r="O775" s="80"/>
      <c r="P775" s="80"/>
      <c r="Q775" s="80"/>
      <c r="R775" s="80"/>
      <c r="S775" s="80"/>
      <c r="T775" s="80"/>
    </row>
    <row r="776" spans="1:20" ht="15.75">
      <c r="A776" s="80"/>
      <c r="B776" s="80"/>
      <c r="C776" s="80"/>
      <c r="D776" s="80"/>
      <c r="E776" s="80"/>
      <c r="F776" s="80"/>
      <c r="G776" s="80"/>
      <c r="H776" s="80"/>
      <c r="I776" s="80"/>
      <c r="J776" s="80"/>
      <c r="K776" s="80"/>
      <c r="L776" s="80"/>
      <c r="M776" s="80"/>
      <c r="N776" s="80"/>
      <c r="O776" s="80"/>
      <c r="P776" s="80"/>
      <c r="Q776" s="80"/>
      <c r="R776" s="80"/>
      <c r="S776" s="80"/>
      <c r="T776" s="80"/>
    </row>
    <row r="777" spans="1:20" ht="15.75">
      <c r="A777" s="80"/>
      <c r="B777" s="80"/>
      <c r="C777" s="80"/>
      <c r="D777" s="80"/>
      <c r="E777" s="80"/>
      <c r="F777" s="80"/>
      <c r="G777" s="80"/>
      <c r="H777" s="80"/>
      <c r="I777" s="80"/>
      <c r="J777" s="80"/>
      <c r="K777" s="80"/>
      <c r="L777" s="80"/>
      <c r="M777" s="80"/>
      <c r="N777" s="80"/>
      <c r="O777" s="80"/>
      <c r="P777" s="80"/>
      <c r="Q777" s="80"/>
      <c r="R777" s="80"/>
      <c r="S777" s="80"/>
      <c r="T777" s="80"/>
    </row>
    <row r="778" spans="1:20" ht="15.75">
      <c r="A778" s="80"/>
      <c r="B778" s="80"/>
      <c r="C778" s="80"/>
      <c r="D778" s="80"/>
      <c r="E778" s="80"/>
      <c r="F778" s="80"/>
      <c r="G778" s="80"/>
      <c r="H778" s="80"/>
      <c r="I778" s="80"/>
      <c r="J778" s="80"/>
      <c r="K778" s="80"/>
      <c r="L778" s="80"/>
      <c r="M778" s="80"/>
      <c r="N778" s="80"/>
      <c r="O778" s="80"/>
      <c r="P778" s="80"/>
      <c r="Q778" s="80"/>
      <c r="R778" s="80"/>
      <c r="S778" s="80"/>
      <c r="T778" s="80"/>
    </row>
    <row r="779" spans="1:20" ht="15.75">
      <c r="A779" s="80"/>
      <c r="B779" s="80"/>
      <c r="C779" s="80"/>
      <c r="D779" s="80"/>
      <c r="E779" s="80"/>
      <c r="F779" s="80"/>
      <c r="G779" s="80"/>
      <c r="H779" s="80"/>
      <c r="I779" s="80"/>
      <c r="J779" s="80"/>
      <c r="K779" s="80"/>
      <c r="L779" s="80"/>
      <c r="M779" s="80"/>
      <c r="N779" s="80"/>
      <c r="O779" s="80"/>
      <c r="P779" s="80"/>
      <c r="Q779" s="80"/>
      <c r="R779" s="80"/>
      <c r="S779" s="80"/>
      <c r="T779" s="80"/>
    </row>
    <row r="780" spans="1:20" ht="15.75">
      <c r="A780" s="80"/>
      <c r="B780" s="80"/>
      <c r="C780" s="80"/>
      <c r="D780" s="80"/>
      <c r="E780" s="80"/>
      <c r="F780" s="80"/>
      <c r="G780" s="80"/>
      <c r="H780" s="80"/>
      <c r="I780" s="80"/>
      <c r="J780" s="80"/>
      <c r="K780" s="80"/>
      <c r="L780" s="80"/>
      <c r="M780" s="80"/>
      <c r="N780" s="80"/>
      <c r="O780" s="80"/>
      <c r="P780" s="80"/>
      <c r="Q780" s="80"/>
      <c r="R780" s="80"/>
      <c r="S780" s="80"/>
      <c r="T780" s="80"/>
    </row>
    <row r="781" spans="1:20" ht="15.75">
      <c r="A781" s="80"/>
      <c r="B781" s="80"/>
      <c r="C781" s="80"/>
      <c r="D781" s="80"/>
      <c r="E781" s="80"/>
      <c r="F781" s="80"/>
      <c r="G781" s="80"/>
      <c r="H781" s="80"/>
      <c r="I781" s="80"/>
      <c r="J781" s="80"/>
      <c r="K781" s="80"/>
      <c r="L781" s="80"/>
      <c r="M781" s="80"/>
      <c r="N781" s="80"/>
      <c r="O781" s="80"/>
      <c r="P781" s="80"/>
      <c r="Q781" s="80"/>
      <c r="R781" s="80"/>
      <c r="S781" s="80"/>
      <c r="T781" s="80"/>
    </row>
    <row r="782" spans="1:20" ht="15.75">
      <c r="A782" s="80"/>
      <c r="B782" s="80"/>
      <c r="C782" s="80"/>
      <c r="D782" s="80"/>
      <c r="E782" s="80"/>
      <c r="F782" s="80"/>
      <c r="G782" s="80"/>
      <c r="H782" s="80"/>
      <c r="I782" s="80"/>
      <c r="J782" s="80"/>
      <c r="K782" s="80"/>
      <c r="L782" s="80"/>
      <c r="M782" s="80"/>
      <c r="N782" s="80"/>
      <c r="O782" s="80"/>
      <c r="P782" s="80"/>
      <c r="Q782" s="80"/>
      <c r="R782" s="80"/>
      <c r="S782" s="80"/>
      <c r="T782" s="80"/>
    </row>
    <row r="783" spans="1:20" ht="15.75">
      <c r="A783" s="80"/>
      <c r="B783" s="80"/>
      <c r="C783" s="80"/>
      <c r="D783" s="80"/>
      <c r="E783" s="80"/>
      <c r="F783" s="80"/>
      <c r="G783" s="80"/>
      <c r="H783" s="80"/>
      <c r="I783" s="80"/>
      <c r="J783" s="80"/>
      <c r="K783" s="80"/>
      <c r="L783" s="80"/>
      <c r="M783" s="80"/>
      <c r="N783" s="80"/>
      <c r="O783" s="80"/>
      <c r="P783" s="80"/>
      <c r="Q783" s="80"/>
      <c r="R783" s="80"/>
      <c r="S783" s="80"/>
      <c r="T783" s="80"/>
    </row>
    <row r="784" spans="1:20" ht="15.75">
      <c r="A784" s="80"/>
      <c r="B784" s="80"/>
      <c r="C784" s="80"/>
      <c r="D784" s="80"/>
      <c r="E784" s="80"/>
      <c r="F784" s="80"/>
      <c r="G784" s="80"/>
      <c r="H784" s="80"/>
      <c r="I784" s="80"/>
      <c r="J784" s="80"/>
      <c r="K784" s="80"/>
      <c r="L784" s="80"/>
      <c r="M784" s="80"/>
      <c r="N784" s="80"/>
      <c r="O784" s="80"/>
      <c r="P784" s="80"/>
      <c r="Q784" s="80"/>
      <c r="R784" s="80"/>
      <c r="S784" s="80"/>
      <c r="T784" s="80"/>
    </row>
    <row r="785" spans="1:20" ht="15.75">
      <c r="A785" s="80"/>
      <c r="B785" s="80"/>
      <c r="C785" s="80"/>
      <c r="D785" s="80"/>
      <c r="E785" s="80"/>
      <c r="F785" s="80"/>
      <c r="G785" s="80"/>
      <c r="H785" s="80"/>
      <c r="I785" s="80"/>
      <c r="J785" s="80"/>
      <c r="K785" s="80"/>
      <c r="L785" s="80"/>
      <c r="M785" s="80"/>
      <c r="N785" s="80"/>
      <c r="O785" s="80"/>
      <c r="P785" s="80"/>
      <c r="Q785" s="80"/>
      <c r="R785" s="80"/>
      <c r="S785" s="80"/>
      <c r="T785" s="80"/>
    </row>
    <row r="786" spans="1:20" ht="15.75">
      <c r="A786" s="80"/>
      <c r="B786" s="80"/>
      <c r="C786" s="80"/>
      <c r="D786" s="80"/>
      <c r="E786" s="80"/>
      <c r="F786" s="80"/>
      <c r="G786" s="80"/>
      <c r="H786" s="80"/>
      <c r="I786" s="80"/>
      <c r="J786" s="80"/>
      <c r="K786" s="80"/>
      <c r="L786" s="80"/>
      <c r="M786" s="80"/>
      <c r="N786" s="80"/>
      <c r="O786" s="80"/>
      <c r="P786" s="80"/>
      <c r="Q786" s="80"/>
      <c r="R786" s="80"/>
      <c r="S786" s="80"/>
      <c r="T786" s="80"/>
    </row>
    <row r="787" spans="1:20" ht="15.75">
      <c r="A787" s="80"/>
      <c r="B787" s="80"/>
      <c r="C787" s="80"/>
      <c r="D787" s="80"/>
      <c r="E787" s="80"/>
      <c r="F787" s="80"/>
      <c r="G787" s="80"/>
      <c r="H787" s="80"/>
      <c r="I787" s="80"/>
      <c r="J787" s="80"/>
      <c r="K787" s="80"/>
      <c r="L787" s="80"/>
      <c r="M787" s="80"/>
      <c r="N787" s="80"/>
      <c r="O787" s="80"/>
      <c r="P787" s="80"/>
      <c r="Q787" s="80"/>
      <c r="R787" s="80"/>
      <c r="S787" s="80"/>
      <c r="T787" s="80"/>
    </row>
    <row r="788" spans="1:20" ht="15.75">
      <c r="A788" s="80"/>
      <c r="B788" s="80"/>
      <c r="C788" s="80"/>
      <c r="D788" s="80"/>
      <c r="E788" s="80"/>
      <c r="F788" s="80"/>
      <c r="G788" s="80"/>
      <c r="H788" s="80"/>
      <c r="I788" s="80"/>
      <c r="J788" s="80"/>
      <c r="K788" s="80"/>
      <c r="L788" s="80"/>
      <c r="M788" s="80"/>
      <c r="N788" s="80"/>
      <c r="O788" s="80"/>
      <c r="P788" s="80"/>
      <c r="Q788" s="80"/>
      <c r="R788" s="80"/>
      <c r="S788" s="80"/>
      <c r="T788" s="80"/>
    </row>
    <row r="789" spans="1:20" ht="15.75">
      <c r="A789" s="80"/>
      <c r="B789" s="80"/>
      <c r="C789" s="80"/>
      <c r="D789" s="80"/>
      <c r="E789" s="80"/>
      <c r="F789" s="80"/>
      <c r="G789" s="80"/>
      <c r="H789" s="80"/>
      <c r="I789" s="80"/>
      <c r="J789" s="80"/>
      <c r="K789" s="80"/>
      <c r="L789" s="80"/>
      <c r="M789" s="80"/>
      <c r="N789" s="80"/>
      <c r="O789" s="80"/>
      <c r="P789" s="80"/>
      <c r="Q789" s="80"/>
      <c r="R789" s="80"/>
      <c r="S789" s="80"/>
      <c r="T789" s="80"/>
    </row>
    <row r="790" spans="1:20" ht="15.75">
      <c r="A790" s="80"/>
      <c r="B790" s="80"/>
      <c r="C790" s="80"/>
      <c r="D790" s="80"/>
      <c r="E790" s="80"/>
      <c r="F790" s="80"/>
      <c r="G790" s="80"/>
      <c r="H790" s="80"/>
      <c r="I790" s="80"/>
      <c r="J790" s="80"/>
      <c r="K790" s="80"/>
      <c r="L790" s="80"/>
      <c r="M790" s="80"/>
      <c r="N790" s="80"/>
      <c r="O790" s="80"/>
      <c r="P790" s="80"/>
      <c r="Q790" s="80"/>
      <c r="R790" s="80"/>
      <c r="S790" s="80"/>
      <c r="T790" s="80"/>
    </row>
    <row r="791" spans="1:20" ht="15.75">
      <c r="A791" s="80"/>
      <c r="B791" s="80"/>
      <c r="C791" s="80"/>
      <c r="D791" s="80"/>
      <c r="E791" s="80"/>
      <c r="F791" s="80"/>
      <c r="G791" s="80"/>
      <c r="H791" s="80"/>
      <c r="I791" s="80"/>
      <c r="J791" s="80"/>
      <c r="K791" s="80"/>
      <c r="L791" s="80"/>
      <c r="M791" s="80"/>
      <c r="N791" s="80"/>
      <c r="O791" s="80"/>
      <c r="P791" s="80"/>
      <c r="Q791" s="80"/>
      <c r="R791" s="80"/>
      <c r="S791" s="80"/>
      <c r="T791" s="80"/>
    </row>
    <row r="792" spans="1:20" ht="15.75">
      <c r="A792" s="80"/>
      <c r="B792" s="80"/>
      <c r="C792" s="80"/>
      <c r="D792" s="80"/>
      <c r="E792" s="80"/>
      <c r="F792" s="80"/>
      <c r="G792" s="80"/>
      <c r="H792" s="80"/>
      <c r="I792" s="80"/>
      <c r="J792" s="80"/>
      <c r="K792" s="80"/>
      <c r="L792" s="80"/>
      <c r="M792" s="80"/>
      <c r="N792" s="80"/>
      <c r="O792" s="80"/>
      <c r="P792" s="80"/>
      <c r="Q792" s="80"/>
      <c r="R792" s="80"/>
      <c r="S792" s="80"/>
      <c r="T792" s="80"/>
    </row>
    <row r="793" spans="1:20" ht="15.75">
      <c r="A793" s="80"/>
      <c r="B793" s="80"/>
      <c r="C793" s="80"/>
      <c r="D793" s="80"/>
      <c r="E793" s="80"/>
      <c r="F793" s="80"/>
      <c r="G793" s="80"/>
      <c r="H793" s="80"/>
      <c r="I793" s="80"/>
      <c r="J793" s="80"/>
      <c r="K793" s="80"/>
      <c r="L793" s="80"/>
      <c r="M793" s="80"/>
      <c r="N793" s="80"/>
      <c r="O793" s="80"/>
      <c r="P793" s="80"/>
      <c r="Q793" s="80"/>
      <c r="R793" s="80"/>
      <c r="S793" s="80"/>
      <c r="T793" s="80"/>
    </row>
    <row r="794" spans="1:20" ht="15.75">
      <c r="A794" s="80"/>
      <c r="B794" s="80"/>
      <c r="C794" s="80"/>
      <c r="D794" s="80"/>
      <c r="E794" s="80"/>
      <c r="F794" s="80"/>
      <c r="G794" s="80"/>
      <c r="H794" s="80"/>
      <c r="I794" s="80"/>
      <c r="J794" s="80"/>
      <c r="K794" s="80"/>
      <c r="L794" s="80"/>
      <c r="M794" s="80"/>
      <c r="N794" s="80"/>
      <c r="O794" s="80"/>
      <c r="P794" s="80"/>
      <c r="Q794" s="80"/>
      <c r="R794" s="80"/>
      <c r="S794" s="80"/>
      <c r="T794" s="80"/>
    </row>
    <row r="795" spans="1:20" ht="15.75">
      <c r="A795" s="80"/>
      <c r="B795" s="80"/>
      <c r="C795" s="80"/>
      <c r="D795" s="80"/>
      <c r="E795" s="80"/>
      <c r="F795" s="80"/>
      <c r="G795" s="80"/>
      <c r="H795" s="80"/>
      <c r="I795" s="80"/>
      <c r="J795" s="80"/>
      <c r="K795" s="80"/>
      <c r="L795" s="80"/>
      <c r="M795" s="80"/>
      <c r="N795" s="80"/>
      <c r="O795" s="80"/>
      <c r="P795" s="80"/>
      <c r="Q795" s="80"/>
      <c r="R795" s="80"/>
      <c r="S795" s="80"/>
      <c r="T795" s="80"/>
    </row>
    <row r="796" spans="1:20" ht="15.75">
      <c r="A796" s="80"/>
      <c r="B796" s="80"/>
      <c r="C796" s="80"/>
      <c r="D796" s="80"/>
      <c r="E796" s="80"/>
      <c r="F796" s="80"/>
      <c r="G796" s="80"/>
      <c r="H796" s="80"/>
      <c r="I796" s="80"/>
      <c r="J796" s="80"/>
      <c r="K796" s="80"/>
      <c r="L796" s="80"/>
      <c r="M796" s="80"/>
      <c r="N796" s="80"/>
      <c r="O796" s="80"/>
      <c r="P796" s="80"/>
      <c r="Q796" s="80"/>
      <c r="R796" s="80"/>
      <c r="S796" s="80"/>
      <c r="T796" s="80"/>
    </row>
    <row r="797" spans="1:20" ht="15.75">
      <c r="A797" s="80"/>
      <c r="B797" s="80"/>
      <c r="C797" s="80"/>
      <c r="D797" s="80"/>
      <c r="E797" s="80"/>
      <c r="F797" s="80"/>
      <c r="G797" s="80"/>
      <c r="H797" s="80"/>
      <c r="I797" s="80"/>
      <c r="J797" s="80"/>
      <c r="K797" s="80"/>
      <c r="L797" s="80"/>
      <c r="M797" s="80"/>
      <c r="N797" s="80"/>
      <c r="O797" s="80"/>
      <c r="P797" s="80"/>
      <c r="Q797" s="80"/>
      <c r="R797" s="80"/>
      <c r="S797" s="80"/>
      <c r="T797" s="80"/>
    </row>
    <row r="798" spans="1:20" ht="15.75">
      <c r="A798" s="80"/>
      <c r="B798" s="80"/>
      <c r="C798" s="80"/>
      <c r="D798" s="80"/>
      <c r="E798" s="80"/>
      <c r="F798" s="80"/>
      <c r="G798" s="80"/>
      <c r="H798" s="80"/>
      <c r="I798" s="80"/>
      <c r="J798" s="80"/>
      <c r="K798" s="80"/>
      <c r="L798" s="80"/>
      <c r="M798" s="80"/>
      <c r="N798" s="80"/>
      <c r="O798" s="80"/>
      <c r="P798" s="80"/>
      <c r="Q798" s="80"/>
      <c r="R798" s="80"/>
      <c r="S798" s="80"/>
      <c r="T798" s="80"/>
    </row>
    <row r="799" spans="1:20" ht="15.75">
      <c r="A799" s="80"/>
      <c r="B799" s="80"/>
      <c r="C799" s="80"/>
      <c r="D799" s="80"/>
      <c r="E799" s="80"/>
      <c r="F799" s="80"/>
      <c r="G799" s="80"/>
      <c r="H799" s="80"/>
      <c r="I799" s="80"/>
      <c r="J799" s="80"/>
      <c r="K799" s="80"/>
      <c r="L799" s="80"/>
      <c r="M799" s="80"/>
      <c r="N799" s="80"/>
      <c r="O799" s="80"/>
      <c r="P799" s="80"/>
      <c r="Q799" s="80"/>
      <c r="R799" s="80"/>
      <c r="S799" s="80"/>
      <c r="T799" s="80"/>
    </row>
    <row r="800" spans="1:20" ht="15.75">
      <c r="A800" s="80"/>
      <c r="B800" s="80"/>
      <c r="C800" s="80"/>
      <c r="D800" s="80"/>
      <c r="E800" s="80"/>
      <c r="F800" s="80"/>
      <c r="G800" s="80"/>
      <c r="H800" s="80"/>
      <c r="I800" s="80"/>
      <c r="J800" s="80"/>
      <c r="K800" s="80"/>
      <c r="L800" s="80"/>
      <c r="M800" s="80"/>
      <c r="N800" s="80"/>
      <c r="O800" s="80"/>
      <c r="P800" s="80"/>
      <c r="Q800" s="80"/>
      <c r="R800" s="80"/>
      <c r="S800" s="80"/>
      <c r="T800" s="80"/>
    </row>
    <row r="801" spans="1:20" ht="15.75">
      <c r="A801" s="80"/>
      <c r="B801" s="80"/>
      <c r="C801" s="80"/>
      <c r="D801" s="80"/>
      <c r="E801" s="80"/>
      <c r="F801" s="80"/>
      <c r="G801" s="80"/>
      <c r="H801" s="80"/>
      <c r="I801" s="80"/>
      <c r="J801" s="80"/>
      <c r="K801" s="80"/>
      <c r="L801" s="80"/>
      <c r="M801" s="80"/>
      <c r="N801" s="80"/>
      <c r="O801" s="80"/>
      <c r="P801" s="80"/>
      <c r="Q801" s="80"/>
      <c r="R801" s="80"/>
      <c r="S801" s="80"/>
      <c r="T801" s="80"/>
    </row>
    <row r="802" spans="1:20" ht="15.75">
      <c r="A802" s="80"/>
      <c r="B802" s="80"/>
      <c r="C802" s="80"/>
      <c r="D802" s="80"/>
      <c r="E802" s="80"/>
      <c r="F802" s="80"/>
      <c r="G802" s="80"/>
      <c r="H802" s="80"/>
      <c r="I802" s="80"/>
      <c r="J802" s="80"/>
      <c r="K802" s="80"/>
      <c r="L802" s="80"/>
      <c r="M802" s="80"/>
      <c r="N802" s="80"/>
      <c r="O802" s="80"/>
      <c r="P802" s="80"/>
      <c r="Q802" s="80"/>
      <c r="R802" s="80"/>
      <c r="S802" s="80"/>
      <c r="T802" s="80"/>
    </row>
    <row r="803" spans="1:20" ht="15.75">
      <c r="A803" s="80"/>
      <c r="B803" s="80"/>
      <c r="C803" s="80"/>
      <c r="D803" s="80"/>
      <c r="E803" s="80"/>
      <c r="F803" s="80"/>
      <c r="G803" s="80"/>
      <c r="H803" s="80"/>
      <c r="I803" s="80"/>
      <c r="J803" s="80"/>
      <c r="K803" s="80"/>
      <c r="L803" s="80"/>
      <c r="M803" s="80"/>
      <c r="N803" s="80"/>
      <c r="O803" s="80"/>
      <c r="P803" s="80"/>
      <c r="Q803" s="80"/>
      <c r="R803" s="80"/>
      <c r="S803" s="80"/>
      <c r="T803" s="80"/>
    </row>
    <row r="804" spans="1:20" ht="15.75">
      <c r="A804" s="80"/>
      <c r="B804" s="80"/>
      <c r="C804" s="80"/>
      <c r="D804" s="80"/>
      <c r="E804" s="80"/>
      <c r="F804" s="80"/>
      <c r="G804" s="80"/>
      <c r="H804" s="80"/>
      <c r="I804" s="80"/>
      <c r="J804" s="80"/>
      <c r="K804" s="80"/>
      <c r="L804" s="80"/>
      <c r="M804" s="80"/>
      <c r="N804" s="80"/>
      <c r="O804" s="80"/>
      <c r="P804" s="80"/>
      <c r="Q804" s="80"/>
      <c r="R804" s="80"/>
      <c r="S804" s="80"/>
      <c r="T804" s="80"/>
    </row>
    <row r="805" spans="1:20" ht="15.75">
      <c r="A805" s="80"/>
      <c r="B805" s="80"/>
      <c r="C805" s="80"/>
      <c r="D805" s="80"/>
      <c r="E805" s="80"/>
      <c r="F805" s="80"/>
      <c r="G805" s="80"/>
      <c r="H805" s="80"/>
      <c r="I805" s="80"/>
      <c r="J805" s="80"/>
      <c r="K805" s="80"/>
      <c r="L805" s="80"/>
      <c r="M805" s="80"/>
      <c r="N805" s="80"/>
      <c r="O805" s="80"/>
      <c r="P805" s="80"/>
      <c r="Q805" s="80"/>
      <c r="R805" s="80"/>
      <c r="S805" s="80"/>
      <c r="T805" s="80"/>
    </row>
    <row r="806" spans="1:20" ht="15.75">
      <c r="A806" s="80"/>
      <c r="B806" s="80"/>
      <c r="C806" s="80"/>
      <c r="D806" s="80"/>
      <c r="E806" s="80"/>
      <c r="F806" s="80"/>
      <c r="G806" s="80"/>
      <c r="H806" s="80"/>
      <c r="I806" s="80"/>
      <c r="J806" s="80"/>
      <c r="K806" s="80"/>
      <c r="L806" s="80"/>
      <c r="M806" s="80"/>
      <c r="N806" s="80"/>
      <c r="O806" s="80"/>
      <c r="P806" s="80"/>
      <c r="Q806" s="80"/>
      <c r="R806" s="80"/>
      <c r="S806" s="80"/>
      <c r="T806" s="80"/>
    </row>
    <row r="807" spans="1:20" ht="15.75">
      <c r="A807" s="80"/>
      <c r="B807" s="80"/>
      <c r="C807" s="80"/>
      <c r="D807" s="80"/>
      <c r="E807" s="80"/>
      <c r="F807" s="80"/>
      <c r="G807" s="80"/>
      <c r="H807" s="80"/>
      <c r="I807" s="80"/>
      <c r="J807" s="80"/>
      <c r="K807" s="80"/>
      <c r="L807" s="80"/>
      <c r="M807" s="80"/>
      <c r="N807" s="80"/>
      <c r="O807" s="80"/>
      <c r="P807" s="80"/>
      <c r="Q807" s="80"/>
      <c r="R807" s="80"/>
      <c r="S807" s="80"/>
      <c r="T807" s="80"/>
    </row>
    <row r="808" spans="1:20" ht="15.75">
      <c r="A808" s="80"/>
      <c r="B808" s="80"/>
      <c r="C808" s="80"/>
      <c r="D808" s="80"/>
      <c r="E808" s="80"/>
      <c r="F808" s="80"/>
      <c r="G808" s="80"/>
      <c r="H808" s="80"/>
      <c r="I808" s="80"/>
      <c r="J808" s="80"/>
      <c r="K808" s="80"/>
      <c r="L808" s="80"/>
      <c r="M808" s="80"/>
      <c r="N808" s="80"/>
      <c r="O808" s="80"/>
      <c r="P808" s="80"/>
      <c r="Q808" s="80"/>
      <c r="R808" s="80"/>
      <c r="S808" s="80"/>
      <c r="T808" s="80"/>
    </row>
    <row r="809" spans="1:20" ht="15.75">
      <c r="A809" s="80"/>
      <c r="B809" s="80"/>
      <c r="C809" s="80"/>
      <c r="D809" s="80"/>
      <c r="E809" s="80"/>
      <c r="F809" s="80"/>
      <c r="G809" s="80"/>
      <c r="H809" s="80"/>
      <c r="I809" s="80"/>
      <c r="J809" s="80"/>
      <c r="K809" s="80"/>
      <c r="L809" s="80"/>
      <c r="M809" s="80"/>
      <c r="N809" s="80"/>
      <c r="O809" s="80"/>
      <c r="P809" s="80"/>
      <c r="Q809" s="80"/>
      <c r="R809" s="80"/>
      <c r="S809" s="80"/>
      <c r="T809" s="80"/>
    </row>
    <row r="810" spans="1:20" ht="15.75">
      <c r="A810" s="80"/>
      <c r="B810" s="80"/>
      <c r="C810" s="80"/>
      <c r="D810" s="80"/>
      <c r="E810" s="80"/>
      <c r="F810" s="80"/>
      <c r="G810" s="80"/>
      <c r="H810" s="80"/>
      <c r="I810" s="80"/>
      <c r="J810" s="80"/>
      <c r="K810" s="80"/>
      <c r="L810" s="80"/>
      <c r="M810" s="80"/>
      <c r="N810" s="80"/>
      <c r="O810" s="80"/>
      <c r="P810" s="80"/>
      <c r="Q810" s="80"/>
      <c r="R810" s="80"/>
      <c r="S810" s="80"/>
      <c r="T810" s="80"/>
    </row>
    <row r="811" spans="1:20" ht="15.75">
      <c r="A811" s="80"/>
      <c r="B811" s="80"/>
      <c r="C811" s="80"/>
      <c r="D811" s="80"/>
      <c r="E811" s="80"/>
      <c r="F811" s="80"/>
      <c r="G811" s="80"/>
      <c r="H811" s="80"/>
      <c r="I811" s="80"/>
      <c r="J811" s="80"/>
      <c r="K811" s="80"/>
      <c r="L811" s="80"/>
      <c r="M811" s="80"/>
      <c r="N811" s="80"/>
      <c r="O811" s="80"/>
      <c r="P811" s="80"/>
      <c r="Q811" s="80"/>
      <c r="R811" s="80"/>
      <c r="S811" s="80"/>
      <c r="T811" s="80"/>
    </row>
    <row r="812" spans="1:20" ht="15.75">
      <c r="A812" s="80"/>
      <c r="B812" s="80"/>
      <c r="C812" s="80"/>
      <c r="D812" s="80"/>
      <c r="E812" s="80"/>
      <c r="F812" s="80"/>
      <c r="G812" s="80"/>
      <c r="H812" s="80"/>
      <c r="I812" s="80"/>
      <c r="J812" s="80"/>
      <c r="K812" s="80"/>
      <c r="L812" s="80"/>
      <c r="M812" s="80"/>
      <c r="N812" s="80"/>
      <c r="O812" s="80"/>
      <c r="P812" s="80"/>
      <c r="Q812" s="80"/>
      <c r="R812" s="80"/>
      <c r="S812" s="80"/>
      <c r="T812" s="80"/>
    </row>
    <row r="813" spans="1:20" ht="15.75">
      <c r="A813" s="80"/>
      <c r="B813" s="80"/>
      <c r="C813" s="80"/>
      <c r="D813" s="80"/>
      <c r="E813" s="80"/>
      <c r="F813" s="80"/>
      <c r="G813" s="80"/>
      <c r="H813" s="80"/>
      <c r="I813" s="80"/>
      <c r="J813" s="80"/>
      <c r="K813" s="80"/>
      <c r="L813" s="80"/>
      <c r="M813" s="80"/>
      <c r="N813" s="80"/>
      <c r="O813" s="80"/>
      <c r="P813" s="80"/>
      <c r="Q813" s="80"/>
      <c r="R813" s="80"/>
      <c r="S813" s="80"/>
      <c r="T813" s="80"/>
    </row>
    <row r="814" spans="1:20" ht="15.75">
      <c r="A814" s="80"/>
      <c r="B814" s="80"/>
      <c r="C814" s="80"/>
      <c r="D814" s="80"/>
      <c r="E814" s="80"/>
      <c r="F814" s="80"/>
      <c r="G814" s="80"/>
      <c r="H814" s="80"/>
      <c r="I814" s="80"/>
      <c r="J814" s="80"/>
      <c r="K814" s="80"/>
      <c r="L814" s="80"/>
      <c r="M814" s="80"/>
      <c r="N814" s="80"/>
      <c r="O814" s="80"/>
      <c r="P814" s="80"/>
      <c r="Q814" s="80"/>
      <c r="R814" s="80"/>
      <c r="S814" s="80"/>
      <c r="T814" s="80"/>
    </row>
    <row r="815" spans="1:20" ht="15.75">
      <c r="A815" s="80"/>
      <c r="B815" s="80"/>
      <c r="C815" s="80"/>
      <c r="D815" s="80"/>
      <c r="E815" s="80"/>
      <c r="F815" s="80"/>
      <c r="G815" s="80"/>
      <c r="H815" s="80"/>
      <c r="I815" s="80"/>
      <c r="J815" s="80"/>
      <c r="K815" s="80"/>
      <c r="L815" s="80"/>
      <c r="M815" s="80"/>
      <c r="N815" s="80"/>
      <c r="O815" s="80"/>
      <c r="P815" s="80"/>
      <c r="Q815" s="80"/>
      <c r="R815" s="80"/>
      <c r="S815" s="80"/>
      <c r="T815" s="80"/>
    </row>
    <row r="816" spans="1:20" ht="15.75">
      <c r="A816" s="80"/>
      <c r="B816" s="80"/>
      <c r="C816" s="80"/>
      <c r="D816" s="80"/>
      <c r="E816" s="80"/>
      <c r="F816" s="80"/>
      <c r="G816" s="80"/>
      <c r="H816" s="80"/>
      <c r="I816" s="80"/>
      <c r="J816" s="80"/>
      <c r="K816" s="80"/>
      <c r="L816" s="80"/>
      <c r="M816" s="80"/>
      <c r="N816" s="80"/>
      <c r="O816" s="80"/>
      <c r="P816" s="80"/>
      <c r="Q816" s="80"/>
      <c r="R816" s="80"/>
      <c r="S816" s="80"/>
      <c r="T816" s="80"/>
    </row>
    <row r="817" spans="1:20" ht="15.75">
      <c r="A817" s="80"/>
      <c r="B817" s="80"/>
      <c r="C817" s="80"/>
      <c r="D817" s="80"/>
      <c r="E817" s="80"/>
      <c r="F817" s="80"/>
      <c r="G817" s="80"/>
      <c r="H817" s="80"/>
      <c r="I817" s="80"/>
      <c r="J817" s="80"/>
      <c r="K817" s="80"/>
      <c r="L817" s="80"/>
      <c r="M817" s="80"/>
      <c r="N817" s="80"/>
      <c r="O817" s="80"/>
      <c r="P817" s="80"/>
      <c r="Q817" s="80"/>
      <c r="R817" s="80"/>
      <c r="S817" s="80"/>
      <c r="T817" s="80"/>
    </row>
    <row r="818" spans="1:20" ht="15.75">
      <c r="A818" s="80"/>
      <c r="B818" s="80"/>
      <c r="C818" s="80"/>
      <c r="D818" s="80"/>
      <c r="E818" s="80"/>
      <c r="F818" s="80"/>
      <c r="G818" s="80"/>
      <c r="H818" s="80"/>
      <c r="I818" s="80"/>
      <c r="J818" s="80"/>
      <c r="K818" s="80"/>
      <c r="L818" s="80"/>
      <c r="M818" s="80"/>
      <c r="N818" s="80"/>
      <c r="O818" s="80"/>
      <c r="P818" s="80"/>
      <c r="Q818" s="80"/>
      <c r="R818" s="80"/>
      <c r="S818" s="80"/>
      <c r="T818" s="80"/>
    </row>
    <row r="819" spans="1:20" ht="15.75">
      <c r="A819" s="80"/>
      <c r="B819" s="80"/>
      <c r="C819" s="80"/>
      <c r="D819" s="80"/>
      <c r="E819" s="80"/>
      <c r="F819" s="80"/>
      <c r="G819" s="80"/>
      <c r="H819" s="80"/>
      <c r="I819" s="80"/>
      <c r="J819" s="80"/>
      <c r="K819" s="80"/>
      <c r="L819" s="80"/>
      <c r="M819" s="80"/>
      <c r="N819" s="80"/>
      <c r="O819" s="80"/>
      <c r="P819" s="80"/>
      <c r="Q819" s="80"/>
      <c r="R819" s="80"/>
      <c r="S819" s="80"/>
      <c r="T819" s="80"/>
    </row>
    <row r="820" spans="1:20" ht="15.75">
      <c r="A820" s="80"/>
      <c r="B820" s="80"/>
      <c r="C820" s="80"/>
      <c r="D820" s="80"/>
      <c r="E820" s="80"/>
      <c r="F820" s="80"/>
      <c r="G820" s="80"/>
      <c r="H820" s="80"/>
      <c r="I820" s="80"/>
      <c r="J820" s="80"/>
      <c r="K820" s="80"/>
      <c r="L820" s="80"/>
      <c r="M820" s="80"/>
      <c r="N820" s="80"/>
      <c r="O820" s="80"/>
      <c r="P820" s="80"/>
      <c r="Q820" s="80"/>
      <c r="R820" s="80"/>
      <c r="S820" s="80"/>
      <c r="T820" s="80"/>
    </row>
    <row r="821" spans="1:20" ht="15.75">
      <c r="A821" s="80"/>
      <c r="B821" s="80"/>
      <c r="C821" s="80"/>
      <c r="D821" s="80"/>
      <c r="E821" s="80"/>
      <c r="F821" s="80"/>
      <c r="G821" s="80"/>
      <c r="H821" s="80"/>
      <c r="I821" s="80"/>
      <c r="J821" s="80"/>
      <c r="K821" s="80"/>
      <c r="L821" s="80"/>
      <c r="M821" s="80"/>
      <c r="N821" s="80"/>
      <c r="O821" s="80"/>
      <c r="P821" s="80"/>
      <c r="Q821" s="80"/>
      <c r="R821" s="80"/>
      <c r="S821" s="80"/>
      <c r="T821" s="80"/>
    </row>
    <row r="822" spans="1:20" ht="15.75">
      <c r="A822" s="80"/>
      <c r="B822" s="80"/>
      <c r="C822" s="80"/>
      <c r="D822" s="80"/>
      <c r="E822" s="80"/>
      <c r="F822" s="80"/>
      <c r="G822" s="80"/>
      <c r="H822" s="80"/>
      <c r="I822" s="80"/>
      <c r="J822" s="80"/>
      <c r="K822" s="80"/>
      <c r="L822" s="80"/>
      <c r="M822" s="80"/>
      <c r="N822" s="80"/>
      <c r="O822" s="80"/>
      <c r="P822" s="80"/>
      <c r="Q822" s="80"/>
      <c r="R822" s="80"/>
      <c r="S822" s="80"/>
      <c r="T822" s="80"/>
    </row>
    <row r="823" spans="1:20" ht="15.75">
      <c r="A823" s="80"/>
      <c r="B823" s="80"/>
      <c r="C823" s="80"/>
      <c r="D823" s="80"/>
      <c r="E823" s="80"/>
      <c r="F823" s="80"/>
      <c r="G823" s="80"/>
      <c r="H823" s="80"/>
      <c r="I823" s="80"/>
      <c r="J823" s="80"/>
      <c r="K823" s="80"/>
      <c r="L823" s="80"/>
      <c r="M823" s="80"/>
      <c r="N823" s="80"/>
      <c r="O823" s="80"/>
      <c r="P823" s="80"/>
      <c r="Q823" s="80"/>
      <c r="R823" s="80"/>
      <c r="S823" s="80"/>
      <c r="T823" s="80"/>
    </row>
    <row r="824" spans="1:20" ht="15.75">
      <c r="A824" s="80"/>
      <c r="B824" s="80"/>
      <c r="C824" s="80"/>
      <c r="D824" s="80"/>
      <c r="E824" s="80"/>
      <c r="F824" s="80"/>
      <c r="G824" s="80"/>
      <c r="H824" s="80"/>
      <c r="I824" s="80"/>
      <c r="J824" s="80"/>
      <c r="K824" s="80"/>
      <c r="L824" s="80"/>
      <c r="M824" s="80"/>
      <c r="N824" s="80"/>
      <c r="O824" s="80"/>
      <c r="P824" s="80"/>
      <c r="Q824" s="80"/>
      <c r="R824" s="80"/>
      <c r="S824" s="80"/>
      <c r="T824" s="80"/>
    </row>
    <row r="825" spans="1:20" ht="15.75">
      <c r="A825" s="80"/>
      <c r="B825" s="80"/>
      <c r="C825" s="80"/>
      <c r="D825" s="80"/>
      <c r="E825" s="80"/>
      <c r="F825" s="80"/>
      <c r="G825" s="80"/>
      <c r="H825" s="80"/>
      <c r="I825" s="80"/>
      <c r="J825" s="80"/>
      <c r="K825" s="80"/>
      <c r="L825" s="80"/>
      <c r="M825" s="80"/>
      <c r="N825" s="80"/>
      <c r="O825" s="80"/>
      <c r="P825" s="80"/>
      <c r="Q825" s="80"/>
      <c r="R825" s="80"/>
      <c r="S825" s="80"/>
      <c r="T825" s="80"/>
    </row>
    <row r="826" spans="1:20" ht="15.75">
      <c r="A826" s="80"/>
      <c r="B826" s="80"/>
      <c r="C826" s="80"/>
      <c r="D826" s="80"/>
      <c r="E826" s="80"/>
      <c r="F826" s="80"/>
      <c r="G826" s="80"/>
      <c r="H826" s="80"/>
      <c r="I826" s="80"/>
      <c r="J826" s="80"/>
      <c r="K826" s="80"/>
      <c r="L826" s="80"/>
      <c r="M826" s="80"/>
      <c r="N826" s="80"/>
      <c r="O826" s="80"/>
      <c r="P826" s="80"/>
      <c r="Q826" s="80"/>
      <c r="R826" s="80"/>
      <c r="S826" s="80"/>
      <c r="T826" s="80"/>
    </row>
    <row r="827" spans="1:20" ht="15.75">
      <c r="A827" s="80"/>
      <c r="B827" s="80"/>
      <c r="C827" s="80"/>
      <c r="D827" s="80"/>
      <c r="E827" s="80"/>
      <c r="F827" s="80"/>
      <c r="G827" s="80"/>
      <c r="H827" s="80"/>
      <c r="I827" s="80"/>
      <c r="J827" s="80"/>
      <c r="K827" s="80"/>
      <c r="L827" s="80"/>
      <c r="M827" s="80"/>
      <c r="N827" s="80"/>
      <c r="O827" s="80"/>
      <c r="P827" s="80"/>
      <c r="Q827" s="80"/>
      <c r="R827" s="80"/>
      <c r="S827" s="80"/>
      <c r="T827" s="80"/>
    </row>
    <row r="828" spans="1:20" ht="15.75">
      <c r="A828" s="80"/>
      <c r="B828" s="80"/>
      <c r="C828" s="80"/>
      <c r="D828" s="80"/>
      <c r="E828" s="80"/>
      <c r="F828" s="80"/>
      <c r="G828" s="80"/>
      <c r="H828" s="80"/>
      <c r="I828" s="80"/>
      <c r="J828" s="80"/>
      <c r="K828" s="80"/>
      <c r="L828" s="80"/>
      <c r="M828" s="80"/>
      <c r="N828" s="80"/>
      <c r="O828" s="80"/>
      <c r="P828" s="80"/>
      <c r="Q828" s="80"/>
      <c r="R828" s="80"/>
      <c r="S828" s="80"/>
      <c r="T828" s="80"/>
    </row>
    <row r="829" spans="1:20" ht="15.75">
      <c r="A829" s="80"/>
      <c r="B829" s="80"/>
      <c r="C829" s="80"/>
      <c r="D829" s="80"/>
      <c r="E829" s="80"/>
      <c r="F829" s="80"/>
      <c r="G829" s="80"/>
      <c r="H829" s="80"/>
      <c r="I829" s="80"/>
      <c r="J829" s="80"/>
      <c r="K829" s="80"/>
      <c r="L829" s="80"/>
      <c r="M829" s="80"/>
      <c r="N829" s="80"/>
      <c r="O829" s="80"/>
      <c r="P829" s="80"/>
      <c r="Q829" s="80"/>
      <c r="R829" s="80"/>
      <c r="S829" s="80"/>
      <c r="T829" s="80"/>
    </row>
    <row r="830" spans="1:20" ht="15.75">
      <c r="A830" s="80"/>
      <c r="B830" s="80"/>
      <c r="C830" s="80"/>
      <c r="D830" s="80"/>
      <c r="E830" s="80"/>
      <c r="F830" s="80"/>
      <c r="G830" s="80"/>
      <c r="H830" s="80"/>
      <c r="I830" s="80"/>
      <c r="J830" s="80"/>
      <c r="K830" s="80"/>
      <c r="L830" s="80"/>
      <c r="M830" s="80"/>
      <c r="N830" s="80"/>
      <c r="O830" s="80"/>
      <c r="P830" s="80"/>
      <c r="Q830" s="80"/>
      <c r="R830" s="80"/>
      <c r="S830" s="80"/>
      <c r="T830" s="80"/>
    </row>
    <row r="831" spans="1:20" ht="15.75">
      <c r="A831" s="80"/>
      <c r="B831" s="80"/>
      <c r="C831" s="80"/>
      <c r="D831" s="80"/>
      <c r="E831" s="80"/>
      <c r="F831" s="80"/>
      <c r="G831" s="80"/>
      <c r="H831" s="80"/>
      <c r="I831" s="80"/>
      <c r="J831" s="80"/>
      <c r="K831" s="80"/>
      <c r="L831" s="80"/>
      <c r="M831" s="80"/>
      <c r="N831" s="80"/>
      <c r="O831" s="80"/>
      <c r="P831" s="80"/>
      <c r="Q831" s="80"/>
      <c r="R831" s="80"/>
      <c r="S831" s="80"/>
      <c r="T831" s="80"/>
    </row>
    <row r="832" spans="1:20" ht="15.75">
      <c r="A832" s="80"/>
      <c r="B832" s="80"/>
      <c r="C832" s="80"/>
      <c r="D832" s="80"/>
      <c r="E832" s="80"/>
      <c r="F832" s="80"/>
      <c r="G832" s="80"/>
      <c r="H832" s="80"/>
      <c r="I832" s="80"/>
      <c r="J832" s="80"/>
      <c r="K832" s="80"/>
      <c r="L832" s="80"/>
      <c r="M832" s="80"/>
      <c r="N832" s="80"/>
      <c r="O832" s="80"/>
      <c r="P832" s="80"/>
      <c r="Q832" s="80"/>
      <c r="R832" s="80"/>
      <c r="S832" s="80"/>
      <c r="T832" s="80"/>
    </row>
    <row r="833" spans="1:20" ht="15.75">
      <c r="A833" s="80"/>
      <c r="B833" s="80"/>
      <c r="C833" s="80"/>
      <c r="D833" s="80"/>
      <c r="E833" s="80"/>
      <c r="F833" s="80"/>
      <c r="G833" s="80"/>
      <c r="H833" s="80"/>
      <c r="I833" s="80"/>
      <c r="J833" s="80"/>
      <c r="K833" s="80"/>
      <c r="L833" s="80"/>
      <c r="M833" s="80"/>
      <c r="N833" s="80"/>
      <c r="O833" s="80"/>
      <c r="P833" s="80"/>
      <c r="Q833" s="80"/>
      <c r="R833" s="80"/>
      <c r="S833" s="80"/>
      <c r="T833" s="80"/>
    </row>
    <row r="834" spans="1:20" ht="15.75">
      <c r="A834" s="80"/>
      <c r="B834" s="80"/>
      <c r="C834" s="80"/>
      <c r="D834" s="80"/>
      <c r="E834" s="80"/>
      <c r="F834" s="80"/>
      <c r="G834" s="80"/>
      <c r="H834" s="80"/>
      <c r="I834" s="80"/>
      <c r="J834" s="80"/>
      <c r="K834" s="80"/>
      <c r="L834" s="80"/>
      <c r="M834" s="80"/>
      <c r="N834" s="80"/>
      <c r="O834" s="80"/>
      <c r="P834" s="80"/>
      <c r="Q834" s="80"/>
      <c r="R834" s="80"/>
      <c r="S834" s="80"/>
      <c r="T834" s="80"/>
    </row>
    <row r="835" spans="1:20" ht="15.75">
      <c r="A835" s="80"/>
      <c r="B835" s="80"/>
      <c r="C835" s="80"/>
      <c r="D835" s="80"/>
      <c r="E835" s="80"/>
      <c r="F835" s="80"/>
      <c r="G835" s="80"/>
      <c r="H835" s="80"/>
      <c r="I835" s="80"/>
      <c r="J835" s="80"/>
      <c r="K835" s="80"/>
      <c r="L835" s="80"/>
      <c r="M835" s="80"/>
      <c r="N835" s="80"/>
      <c r="O835" s="80"/>
      <c r="P835" s="80"/>
      <c r="Q835" s="80"/>
      <c r="R835" s="80"/>
      <c r="S835" s="80"/>
      <c r="T835" s="80"/>
    </row>
    <row r="836" spans="1:20" ht="15.75">
      <c r="A836" s="80"/>
      <c r="B836" s="80"/>
      <c r="C836" s="80"/>
      <c r="D836" s="80"/>
      <c r="E836" s="80"/>
      <c r="F836" s="80"/>
      <c r="G836" s="80"/>
      <c r="H836" s="80"/>
      <c r="I836" s="80"/>
      <c r="J836" s="80"/>
      <c r="K836" s="80"/>
      <c r="L836" s="80"/>
      <c r="M836" s="80"/>
      <c r="N836" s="80"/>
      <c r="O836" s="80"/>
      <c r="P836" s="80"/>
      <c r="Q836" s="80"/>
      <c r="R836" s="80"/>
      <c r="S836" s="80"/>
      <c r="T836" s="80"/>
    </row>
    <row r="837" spans="1:20" ht="15.75">
      <c r="A837" s="80"/>
      <c r="B837" s="80"/>
      <c r="C837" s="80"/>
      <c r="D837" s="80"/>
      <c r="E837" s="80"/>
      <c r="F837" s="80"/>
      <c r="G837" s="80"/>
      <c r="H837" s="80"/>
      <c r="I837" s="80"/>
      <c r="J837" s="80"/>
      <c r="K837" s="80"/>
      <c r="L837" s="80"/>
      <c r="M837" s="80"/>
      <c r="N837" s="80"/>
      <c r="O837" s="80"/>
      <c r="P837" s="80"/>
      <c r="Q837" s="80"/>
      <c r="R837" s="80"/>
      <c r="S837" s="80"/>
      <c r="T837" s="80"/>
    </row>
    <row r="838" spans="1:20" ht="15.75">
      <c r="A838" s="80"/>
      <c r="B838" s="80"/>
      <c r="C838" s="80"/>
      <c r="D838" s="80"/>
      <c r="E838" s="80"/>
      <c r="F838" s="80"/>
      <c r="G838" s="80"/>
      <c r="H838" s="80"/>
      <c r="I838" s="80"/>
      <c r="J838" s="80"/>
      <c r="K838" s="80"/>
      <c r="L838" s="80"/>
      <c r="M838" s="80"/>
      <c r="N838" s="80"/>
      <c r="O838" s="80"/>
      <c r="P838" s="80"/>
      <c r="Q838" s="80"/>
      <c r="R838" s="80"/>
      <c r="S838" s="80"/>
      <c r="T838" s="80"/>
    </row>
    <row r="839" spans="1:20" ht="15.75">
      <c r="A839" s="80"/>
      <c r="B839" s="80"/>
      <c r="C839" s="80"/>
      <c r="D839" s="80"/>
      <c r="E839" s="80"/>
      <c r="F839" s="80"/>
      <c r="G839" s="80"/>
      <c r="H839" s="80"/>
      <c r="I839" s="80"/>
      <c r="J839" s="80"/>
      <c r="K839" s="80"/>
      <c r="L839" s="80"/>
      <c r="M839" s="80"/>
      <c r="N839" s="80"/>
      <c r="O839" s="80"/>
      <c r="P839" s="80"/>
      <c r="Q839" s="80"/>
      <c r="R839" s="80"/>
      <c r="S839" s="80"/>
      <c r="T839" s="80"/>
    </row>
    <row r="840" spans="1:20" ht="15.75">
      <c r="A840" s="80"/>
      <c r="B840" s="80"/>
      <c r="C840" s="80"/>
      <c r="D840" s="80"/>
      <c r="E840" s="80"/>
      <c r="F840" s="80"/>
      <c r="G840" s="80"/>
      <c r="H840" s="80"/>
      <c r="I840" s="80"/>
      <c r="J840" s="80"/>
      <c r="K840" s="80"/>
      <c r="L840" s="80"/>
      <c r="M840" s="80"/>
      <c r="N840" s="80"/>
      <c r="O840" s="80"/>
      <c r="P840" s="80"/>
      <c r="Q840" s="80"/>
      <c r="R840" s="80"/>
      <c r="S840" s="80"/>
      <c r="T840" s="80"/>
    </row>
    <row r="841" spans="1:20" ht="15.75">
      <c r="A841" s="80"/>
      <c r="B841" s="80"/>
      <c r="C841" s="80"/>
      <c r="D841" s="80"/>
      <c r="E841" s="80"/>
      <c r="F841" s="80"/>
      <c r="G841" s="80"/>
      <c r="H841" s="80"/>
      <c r="I841" s="80"/>
      <c r="J841" s="80"/>
      <c r="K841" s="80"/>
      <c r="L841" s="80"/>
      <c r="M841" s="80"/>
      <c r="N841" s="80"/>
      <c r="O841" s="80"/>
      <c r="P841" s="80"/>
      <c r="Q841" s="80"/>
      <c r="R841" s="80"/>
      <c r="S841" s="80"/>
      <c r="T841" s="80"/>
    </row>
    <row r="842" spans="1:20" ht="15.75">
      <c r="A842" s="80"/>
      <c r="B842" s="80"/>
      <c r="C842" s="80"/>
      <c r="D842" s="80"/>
      <c r="E842" s="80"/>
      <c r="F842" s="80"/>
      <c r="G842" s="80"/>
      <c r="H842" s="80"/>
      <c r="I842" s="80"/>
      <c r="J842" s="80"/>
      <c r="K842" s="80"/>
      <c r="L842" s="80"/>
      <c r="M842" s="80"/>
      <c r="N842" s="80"/>
      <c r="O842" s="80"/>
      <c r="P842" s="80"/>
      <c r="Q842" s="80"/>
      <c r="R842" s="80"/>
      <c r="S842" s="80"/>
      <c r="T842" s="80"/>
    </row>
    <row r="843" spans="1:20" ht="15.75">
      <c r="A843" s="80"/>
      <c r="B843" s="80"/>
      <c r="C843" s="80"/>
      <c r="D843" s="80"/>
      <c r="E843" s="80"/>
      <c r="F843" s="80"/>
      <c r="G843" s="80"/>
      <c r="H843" s="80"/>
      <c r="I843" s="80"/>
      <c r="J843" s="80"/>
      <c r="K843" s="80"/>
      <c r="L843" s="80"/>
      <c r="M843" s="80"/>
      <c r="N843" s="80"/>
      <c r="O843" s="80"/>
      <c r="P843" s="80"/>
      <c r="Q843" s="80"/>
      <c r="R843" s="80"/>
      <c r="S843" s="80"/>
      <c r="T843" s="80"/>
    </row>
    <row r="844" spans="1:20" ht="15.75">
      <c r="A844" s="80"/>
      <c r="B844" s="80"/>
      <c r="C844" s="80"/>
      <c r="D844" s="80"/>
      <c r="E844" s="80"/>
      <c r="F844" s="80"/>
      <c r="G844" s="80"/>
      <c r="H844" s="80"/>
      <c r="I844" s="80"/>
      <c r="J844" s="80"/>
      <c r="K844" s="80"/>
      <c r="L844" s="80"/>
      <c r="M844" s="80"/>
      <c r="N844" s="80"/>
      <c r="O844" s="80"/>
      <c r="P844" s="80"/>
      <c r="Q844" s="80"/>
      <c r="R844" s="80"/>
      <c r="S844" s="80"/>
      <c r="T844" s="80"/>
    </row>
    <row r="845" spans="1:20" ht="15.75">
      <c r="A845" s="80"/>
      <c r="B845" s="80"/>
      <c r="C845" s="80"/>
      <c r="D845" s="80"/>
      <c r="E845" s="80"/>
      <c r="F845" s="80"/>
      <c r="G845" s="80"/>
      <c r="H845" s="80"/>
      <c r="I845" s="80"/>
      <c r="J845" s="80"/>
      <c r="K845" s="80"/>
      <c r="L845" s="80"/>
      <c r="M845" s="80"/>
      <c r="N845" s="80"/>
      <c r="O845" s="80"/>
      <c r="P845" s="80"/>
      <c r="Q845" s="80"/>
      <c r="R845" s="80"/>
      <c r="S845" s="80"/>
      <c r="T845" s="80"/>
    </row>
    <row r="846" spans="1:20" ht="15.75">
      <c r="A846" s="80"/>
      <c r="B846" s="80"/>
      <c r="C846" s="80"/>
      <c r="D846" s="80"/>
      <c r="E846" s="80"/>
      <c r="F846" s="80"/>
      <c r="G846" s="80"/>
      <c r="H846" s="80"/>
      <c r="I846" s="80"/>
      <c r="J846" s="80"/>
      <c r="K846" s="80"/>
      <c r="L846" s="80"/>
      <c r="M846" s="80"/>
      <c r="N846" s="80"/>
      <c r="O846" s="80"/>
      <c r="P846" s="80"/>
      <c r="Q846" s="80"/>
      <c r="R846" s="80"/>
      <c r="S846" s="80"/>
      <c r="T846" s="80"/>
    </row>
    <row r="847" spans="1:20" ht="15.75">
      <c r="A847" s="80"/>
      <c r="B847" s="80"/>
      <c r="C847" s="80"/>
      <c r="D847" s="80"/>
      <c r="E847" s="80"/>
      <c r="F847" s="80"/>
      <c r="G847" s="80"/>
      <c r="H847" s="80"/>
      <c r="I847" s="80"/>
      <c r="J847" s="80"/>
      <c r="K847" s="80"/>
      <c r="L847" s="80"/>
      <c r="M847" s="80"/>
      <c r="N847" s="80"/>
      <c r="O847" s="80"/>
      <c r="P847" s="80"/>
      <c r="Q847" s="80"/>
      <c r="R847" s="80"/>
      <c r="S847" s="80"/>
      <c r="T847" s="80"/>
    </row>
    <row r="848" spans="1:20" ht="15.75">
      <c r="A848" s="80"/>
      <c r="B848" s="80"/>
      <c r="C848" s="80"/>
      <c r="D848" s="80"/>
      <c r="E848" s="80"/>
      <c r="F848" s="80"/>
      <c r="G848" s="80"/>
      <c r="H848" s="80"/>
      <c r="I848" s="80"/>
      <c r="J848" s="80"/>
      <c r="K848" s="80"/>
      <c r="L848" s="80"/>
      <c r="M848" s="80"/>
      <c r="N848" s="80"/>
      <c r="O848" s="80"/>
      <c r="P848" s="80"/>
      <c r="Q848" s="80"/>
      <c r="R848" s="80"/>
      <c r="S848" s="80"/>
      <c r="T848" s="80"/>
    </row>
    <row r="849" spans="1:20" ht="15.75">
      <c r="A849" s="80"/>
      <c r="B849" s="80"/>
      <c r="C849" s="80"/>
      <c r="D849" s="80"/>
      <c r="E849" s="80"/>
      <c r="F849" s="80"/>
      <c r="G849" s="80"/>
      <c r="H849" s="80"/>
      <c r="I849" s="80"/>
      <c r="J849" s="80"/>
      <c r="K849" s="80"/>
      <c r="L849" s="80"/>
      <c r="M849" s="80"/>
      <c r="N849" s="80"/>
      <c r="O849" s="80"/>
      <c r="P849" s="80"/>
      <c r="Q849" s="80"/>
      <c r="R849" s="80"/>
      <c r="S849" s="80"/>
      <c r="T849" s="80"/>
    </row>
    <row r="850" spans="1:20" ht="15.75">
      <c r="A850" s="80"/>
      <c r="B850" s="80"/>
      <c r="C850" s="80"/>
      <c r="D850" s="80"/>
      <c r="E850" s="80"/>
      <c r="F850" s="80"/>
      <c r="G850" s="80"/>
      <c r="H850" s="80"/>
      <c r="I850" s="80"/>
      <c r="J850" s="80"/>
      <c r="K850" s="80"/>
      <c r="L850" s="80"/>
      <c r="M850" s="80"/>
      <c r="N850" s="80"/>
      <c r="O850" s="80"/>
      <c r="P850" s="80"/>
      <c r="Q850" s="80"/>
      <c r="R850" s="80"/>
      <c r="S850" s="80"/>
      <c r="T850" s="80"/>
    </row>
    <row r="851" spans="1:20" ht="15.75">
      <c r="A851" s="80"/>
      <c r="B851" s="80"/>
      <c r="C851" s="80"/>
      <c r="D851" s="80"/>
      <c r="E851" s="80"/>
      <c r="F851" s="80"/>
      <c r="G851" s="80"/>
      <c r="H851" s="80"/>
      <c r="I851" s="80"/>
      <c r="J851" s="80"/>
      <c r="K851" s="80"/>
      <c r="L851" s="80"/>
      <c r="M851" s="80"/>
      <c r="N851" s="80"/>
      <c r="O851" s="80"/>
      <c r="P851" s="80"/>
      <c r="Q851" s="80"/>
      <c r="R851" s="80"/>
      <c r="S851" s="80"/>
      <c r="T851" s="80"/>
    </row>
    <row r="852" spans="1:20" ht="15.75">
      <c r="A852" s="80"/>
      <c r="B852" s="80"/>
      <c r="C852" s="80"/>
      <c r="D852" s="80"/>
      <c r="E852" s="80"/>
      <c r="F852" s="80"/>
      <c r="G852" s="80"/>
      <c r="H852" s="80"/>
      <c r="I852" s="80"/>
      <c r="J852" s="80"/>
      <c r="K852" s="80"/>
      <c r="L852" s="80"/>
      <c r="M852" s="80"/>
      <c r="N852" s="80"/>
      <c r="O852" s="80"/>
      <c r="P852" s="80"/>
      <c r="Q852" s="80"/>
      <c r="R852" s="80"/>
      <c r="S852" s="80"/>
      <c r="T852" s="80"/>
    </row>
    <row r="853" spans="1:20" ht="15.75">
      <c r="A853" s="80"/>
      <c r="B853" s="80"/>
      <c r="C853" s="80"/>
      <c r="D853" s="80"/>
      <c r="E853" s="80"/>
      <c r="F853" s="80"/>
      <c r="G853" s="80"/>
      <c r="H853" s="80"/>
      <c r="I853" s="80"/>
      <c r="J853" s="80"/>
      <c r="K853" s="80"/>
      <c r="L853" s="80"/>
      <c r="M853" s="80"/>
      <c r="N853" s="80"/>
      <c r="O853" s="80"/>
      <c r="P853" s="80"/>
      <c r="Q853" s="80"/>
      <c r="R853" s="80"/>
      <c r="S853" s="80"/>
      <c r="T853" s="80"/>
    </row>
    <row r="854" spans="1:20" ht="15.75">
      <c r="A854" s="80"/>
      <c r="B854" s="80"/>
      <c r="C854" s="80"/>
      <c r="D854" s="80"/>
      <c r="E854" s="80"/>
      <c r="F854" s="80"/>
      <c r="G854" s="80"/>
      <c r="H854" s="80"/>
      <c r="I854" s="80"/>
      <c r="J854" s="80"/>
      <c r="K854" s="80"/>
      <c r="L854" s="80"/>
      <c r="M854" s="80"/>
      <c r="N854" s="80"/>
      <c r="O854" s="80"/>
      <c r="P854" s="80"/>
      <c r="Q854" s="80"/>
      <c r="R854" s="80"/>
      <c r="S854" s="80"/>
      <c r="T854" s="80"/>
    </row>
    <row r="855" spans="1:20" ht="15.75">
      <c r="A855" s="80"/>
      <c r="B855" s="80"/>
      <c r="C855" s="80"/>
      <c r="D855" s="80"/>
      <c r="E855" s="80"/>
      <c r="F855" s="80"/>
      <c r="G855" s="80"/>
      <c r="H855" s="80"/>
      <c r="I855" s="80"/>
      <c r="J855" s="80"/>
      <c r="K855" s="80"/>
      <c r="L855" s="80"/>
      <c r="M855" s="80"/>
      <c r="N855" s="80"/>
      <c r="O855" s="80"/>
      <c r="P855" s="80"/>
      <c r="Q855" s="80"/>
      <c r="R855" s="80"/>
      <c r="S855" s="80"/>
      <c r="T855" s="80"/>
    </row>
    <row r="856" spans="1:20" ht="15.75">
      <c r="A856" s="80"/>
      <c r="B856" s="80"/>
      <c r="C856" s="80"/>
      <c r="D856" s="80"/>
      <c r="E856" s="80"/>
      <c r="F856" s="80"/>
      <c r="G856" s="80"/>
      <c r="H856" s="80"/>
      <c r="I856" s="80"/>
      <c r="J856" s="80"/>
      <c r="K856" s="80"/>
      <c r="L856" s="80"/>
      <c r="M856" s="80"/>
      <c r="N856" s="80"/>
      <c r="O856" s="80"/>
      <c r="P856" s="80"/>
      <c r="Q856" s="80"/>
      <c r="R856" s="80"/>
      <c r="S856" s="80"/>
      <c r="T856" s="80"/>
    </row>
    <row r="857" spans="1:20" ht="15.75">
      <c r="A857" s="80"/>
      <c r="B857" s="80"/>
      <c r="C857" s="80"/>
      <c r="D857" s="80"/>
      <c r="E857" s="80"/>
      <c r="F857" s="80"/>
      <c r="G857" s="80"/>
      <c r="H857" s="80"/>
      <c r="I857" s="80"/>
      <c r="J857" s="80"/>
      <c r="K857" s="80"/>
      <c r="L857" s="80"/>
      <c r="M857" s="80"/>
      <c r="N857" s="80"/>
      <c r="O857" s="80"/>
      <c r="P857" s="80"/>
      <c r="Q857" s="80"/>
      <c r="R857" s="80"/>
      <c r="S857" s="80"/>
      <c r="T857" s="80"/>
    </row>
    <row r="858" spans="1:20" ht="15.75">
      <c r="A858" s="80"/>
      <c r="B858" s="80"/>
      <c r="C858" s="80"/>
      <c r="D858" s="80"/>
      <c r="E858" s="80"/>
      <c r="F858" s="80"/>
      <c r="G858" s="80"/>
      <c r="H858" s="80"/>
      <c r="I858" s="80"/>
      <c r="J858" s="80"/>
      <c r="K858" s="80"/>
      <c r="L858" s="80"/>
      <c r="M858" s="80"/>
      <c r="N858" s="80"/>
      <c r="O858" s="80"/>
      <c r="P858" s="80"/>
      <c r="Q858" s="80"/>
      <c r="R858" s="80"/>
      <c r="S858" s="80"/>
      <c r="T858" s="80"/>
    </row>
    <row r="859" spans="1:20" ht="15.75">
      <c r="A859" s="80"/>
      <c r="B859" s="80"/>
      <c r="C859" s="80"/>
      <c r="D859" s="80"/>
      <c r="E859" s="80"/>
      <c r="F859" s="80"/>
      <c r="G859" s="80"/>
      <c r="H859" s="80"/>
      <c r="I859" s="80"/>
      <c r="J859" s="80"/>
      <c r="K859" s="80"/>
      <c r="L859" s="80"/>
      <c r="M859" s="80"/>
      <c r="N859" s="80"/>
      <c r="O859" s="80"/>
      <c r="P859" s="80"/>
      <c r="Q859" s="80"/>
      <c r="R859" s="80"/>
      <c r="S859" s="80"/>
      <c r="T859" s="80"/>
    </row>
    <row r="860" spans="1:20" ht="15.75">
      <c r="A860" s="80"/>
      <c r="B860" s="80"/>
      <c r="C860" s="80"/>
      <c r="D860" s="80"/>
      <c r="E860" s="80"/>
      <c r="F860" s="80"/>
      <c r="G860" s="80"/>
      <c r="H860" s="80"/>
      <c r="I860" s="80"/>
      <c r="J860" s="80"/>
      <c r="K860" s="80"/>
      <c r="L860" s="80"/>
      <c r="M860" s="80"/>
      <c r="N860" s="80"/>
      <c r="O860" s="80"/>
      <c r="P860" s="80"/>
      <c r="Q860" s="80"/>
      <c r="R860" s="80"/>
      <c r="S860" s="80"/>
      <c r="T860" s="80"/>
    </row>
    <row r="861" spans="1:20" ht="15.75">
      <c r="A861" s="80"/>
      <c r="B861" s="80"/>
      <c r="C861" s="80"/>
      <c r="D861" s="80"/>
      <c r="E861" s="80"/>
      <c r="F861" s="80"/>
      <c r="G861" s="80"/>
      <c r="H861" s="80"/>
      <c r="I861" s="80"/>
      <c r="J861" s="80"/>
      <c r="K861" s="80"/>
      <c r="L861" s="80"/>
      <c r="M861" s="80"/>
      <c r="N861" s="80"/>
      <c r="O861" s="80"/>
      <c r="P861" s="80"/>
      <c r="Q861" s="80"/>
      <c r="R861" s="80"/>
      <c r="S861" s="80"/>
      <c r="T861" s="80"/>
    </row>
    <row r="862" spans="1:20" ht="15.75">
      <c r="A862" s="80"/>
      <c r="B862" s="80"/>
      <c r="C862" s="80"/>
      <c r="D862" s="80"/>
      <c r="E862" s="80"/>
      <c r="F862" s="80"/>
      <c r="G862" s="80"/>
      <c r="H862" s="80"/>
      <c r="I862" s="80"/>
      <c r="J862" s="80"/>
      <c r="K862" s="80"/>
      <c r="L862" s="80"/>
      <c r="M862" s="80"/>
      <c r="N862" s="80"/>
      <c r="O862" s="80"/>
      <c r="P862" s="80"/>
      <c r="Q862" s="80"/>
      <c r="R862" s="80"/>
      <c r="S862" s="80"/>
      <c r="T862" s="80"/>
    </row>
    <row r="863" spans="1:20" ht="15.75">
      <c r="A863" s="80"/>
      <c r="B863" s="80"/>
      <c r="C863" s="80"/>
      <c r="D863" s="80"/>
      <c r="E863" s="80"/>
      <c r="F863" s="80"/>
      <c r="G863" s="80"/>
      <c r="H863" s="80"/>
      <c r="I863" s="80"/>
      <c r="J863" s="80"/>
      <c r="K863" s="80"/>
      <c r="L863" s="80"/>
      <c r="M863" s="80"/>
      <c r="N863" s="80"/>
      <c r="O863" s="80"/>
      <c r="P863" s="80"/>
      <c r="Q863" s="80"/>
      <c r="R863" s="80"/>
      <c r="S863" s="80"/>
      <c r="T863" s="80"/>
    </row>
    <row r="864" spans="1:20" ht="15.75">
      <c r="A864" s="80"/>
      <c r="B864" s="80"/>
      <c r="C864" s="80"/>
      <c r="D864" s="80"/>
      <c r="E864" s="80"/>
      <c r="F864" s="80"/>
      <c r="G864" s="80"/>
      <c r="H864" s="80"/>
      <c r="I864" s="80"/>
      <c r="J864" s="80"/>
      <c r="K864" s="80"/>
      <c r="L864" s="80"/>
      <c r="M864" s="80"/>
      <c r="N864" s="80"/>
      <c r="O864" s="80"/>
      <c r="P864" s="80"/>
      <c r="Q864" s="80"/>
      <c r="R864" s="80"/>
      <c r="S864" s="80"/>
      <c r="T864" s="80"/>
    </row>
    <row r="865" spans="1:20" ht="15.75">
      <c r="A865" s="80"/>
      <c r="B865" s="80"/>
      <c r="C865" s="80"/>
      <c r="D865" s="80"/>
      <c r="E865" s="80"/>
      <c r="F865" s="80"/>
      <c r="G865" s="80"/>
      <c r="H865" s="80"/>
      <c r="I865" s="80"/>
      <c r="J865" s="80"/>
      <c r="K865" s="80"/>
      <c r="L865" s="80"/>
      <c r="M865" s="80"/>
      <c r="N865" s="80"/>
      <c r="O865" s="80"/>
      <c r="P865" s="80"/>
      <c r="Q865" s="80"/>
      <c r="R865" s="80"/>
      <c r="S865" s="80"/>
      <c r="T865" s="80"/>
    </row>
    <row r="866" spans="1:20" ht="15.75">
      <c r="A866" s="80"/>
      <c r="B866" s="80"/>
      <c r="C866" s="80"/>
      <c r="D866" s="80"/>
      <c r="E866" s="80"/>
      <c r="F866" s="80"/>
      <c r="G866" s="80"/>
      <c r="H866" s="80"/>
      <c r="I866" s="80"/>
      <c r="J866" s="80"/>
      <c r="K866" s="80"/>
      <c r="L866" s="80"/>
      <c r="M866" s="80"/>
      <c r="N866" s="80"/>
      <c r="O866" s="80"/>
      <c r="P866" s="80"/>
      <c r="Q866" s="80"/>
      <c r="R866" s="80"/>
      <c r="S866" s="80"/>
      <c r="T866" s="80"/>
    </row>
    <row r="867" spans="1:20" ht="15.75">
      <c r="A867" s="80"/>
      <c r="B867" s="80"/>
      <c r="C867" s="80"/>
      <c r="D867" s="80"/>
      <c r="E867" s="80"/>
      <c r="F867" s="80"/>
      <c r="G867" s="80"/>
      <c r="H867" s="80"/>
      <c r="I867" s="80"/>
      <c r="J867" s="80"/>
      <c r="K867" s="80"/>
      <c r="L867" s="80"/>
      <c r="M867" s="80"/>
      <c r="N867" s="80"/>
      <c r="O867" s="80"/>
      <c r="P867" s="80"/>
      <c r="Q867" s="80"/>
      <c r="R867" s="80"/>
      <c r="S867" s="80"/>
      <c r="T867" s="80"/>
    </row>
    <row r="868" spans="1:20" ht="15.75">
      <c r="A868" s="80"/>
      <c r="B868" s="80"/>
      <c r="C868" s="80"/>
      <c r="D868" s="80"/>
      <c r="E868" s="80"/>
      <c r="F868" s="80"/>
      <c r="G868" s="80"/>
      <c r="H868" s="80"/>
      <c r="I868" s="80"/>
      <c r="J868" s="80"/>
      <c r="K868" s="80"/>
      <c r="L868" s="80"/>
      <c r="M868" s="80"/>
      <c r="N868" s="80"/>
      <c r="O868" s="80"/>
      <c r="P868" s="80"/>
      <c r="Q868" s="80"/>
      <c r="R868" s="80"/>
      <c r="S868" s="80"/>
      <c r="T868" s="80"/>
    </row>
    <row r="869" spans="1:20" ht="15.75">
      <c r="A869" s="80"/>
      <c r="B869" s="80"/>
      <c r="C869" s="80"/>
      <c r="D869" s="80"/>
      <c r="E869" s="80"/>
      <c r="F869" s="80"/>
      <c r="G869" s="80"/>
      <c r="H869" s="80"/>
      <c r="I869" s="80"/>
      <c r="J869" s="80"/>
      <c r="K869" s="80"/>
      <c r="L869" s="80"/>
      <c r="M869" s="80"/>
      <c r="N869" s="80"/>
      <c r="O869" s="80"/>
      <c r="P869" s="80"/>
      <c r="Q869" s="80"/>
      <c r="R869" s="80"/>
      <c r="S869" s="80"/>
      <c r="T869" s="80"/>
    </row>
    <row r="870" spans="1:20" ht="15.75">
      <c r="A870" s="80"/>
      <c r="B870" s="80"/>
      <c r="C870" s="80"/>
      <c r="D870" s="80"/>
      <c r="E870" s="80"/>
      <c r="F870" s="80"/>
      <c r="G870" s="80"/>
      <c r="H870" s="80"/>
      <c r="I870" s="80"/>
      <c r="J870" s="80"/>
      <c r="K870" s="80"/>
      <c r="L870" s="80"/>
      <c r="M870" s="80"/>
      <c r="N870" s="80"/>
      <c r="O870" s="80"/>
      <c r="P870" s="80"/>
      <c r="Q870" s="80"/>
      <c r="R870" s="80"/>
      <c r="S870" s="80"/>
      <c r="T870" s="80"/>
    </row>
    <row r="871" spans="1:20" ht="15.75">
      <c r="A871" s="80"/>
      <c r="B871" s="80"/>
      <c r="C871" s="80"/>
      <c r="D871" s="80"/>
      <c r="E871" s="80"/>
      <c r="F871" s="80"/>
      <c r="G871" s="80"/>
      <c r="H871" s="80"/>
      <c r="I871" s="80"/>
      <c r="J871" s="80"/>
      <c r="K871" s="80"/>
      <c r="L871" s="80"/>
      <c r="M871" s="80"/>
      <c r="N871" s="80"/>
      <c r="O871" s="80"/>
      <c r="P871" s="80"/>
      <c r="Q871" s="80"/>
      <c r="R871" s="80"/>
      <c r="S871" s="80"/>
      <c r="T871" s="80"/>
    </row>
    <row r="872" spans="1:20" ht="15.75">
      <c r="A872" s="80"/>
      <c r="B872" s="80"/>
      <c r="C872" s="80"/>
      <c r="D872" s="80"/>
      <c r="E872" s="80"/>
      <c r="F872" s="80"/>
      <c r="G872" s="80"/>
      <c r="H872" s="80"/>
      <c r="I872" s="80"/>
      <c r="J872" s="80"/>
      <c r="K872" s="80"/>
      <c r="L872" s="80"/>
      <c r="M872" s="80"/>
      <c r="N872" s="80"/>
      <c r="O872" s="80"/>
      <c r="P872" s="80"/>
      <c r="Q872" s="80"/>
      <c r="R872" s="80"/>
      <c r="S872" s="80"/>
      <c r="T872" s="80"/>
    </row>
    <row r="873" spans="1:20" ht="15.75">
      <c r="A873" s="80"/>
      <c r="B873" s="80"/>
      <c r="C873" s="80"/>
      <c r="D873" s="80"/>
      <c r="E873" s="80"/>
      <c r="F873" s="80"/>
      <c r="G873" s="80"/>
      <c r="H873" s="80"/>
      <c r="I873" s="80"/>
      <c r="J873" s="80"/>
      <c r="K873" s="80"/>
      <c r="L873" s="80"/>
      <c r="M873" s="80"/>
      <c r="N873" s="80"/>
      <c r="O873" s="80"/>
      <c r="P873" s="80"/>
      <c r="Q873" s="80"/>
      <c r="R873" s="80"/>
      <c r="S873" s="80"/>
      <c r="T873" s="80"/>
    </row>
    <row r="874" spans="1:20" ht="15.75">
      <c r="A874" s="80"/>
      <c r="B874" s="80"/>
      <c r="C874" s="80"/>
      <c r="D874" s="80"/>
      <c r="E874" s="80"/>
      <c r="F874" s="80"/>
      <c r="G874" s="80"/>
      <c r="H874" s="80"/>
      <c r="I874" s="80"/>
      <c r="J874" s="80"/>
      <c r="K874" s="80"/>
      <c r="L874" s="80"/>
      <c r="M874" s="80"/>
      <c r="N874" s="80"/>
      <c r="O874" s="80"/>
      <c r="P874" s="80"/>
      <c r="Q874" s="80"/>
      <c r="R874" s="80"/>
      <c r="S874" s="80"/>
      <c r="T874" s="80"/>
    </row>
    <row r="875" spans="1:20" ht="15.75">
      <c r="A875" s="80"/>
      <c r="B875" s="80"/>
      <c r="C875" s="80"/>
      <c r="D875" s="80"/>
      <c r="E875" s="80"/>
      <c r="F875" s="80"/>
      <c r="G875" s="80"/>
      <c r="H875" s="80"/>
      <c r="I875" s="80"/>
      <c r="J875" s="80"/>
      <c r="K875" s="80"/>
      <c r="L875" s="80"/>
      <c r="M875" s="80"/>
      <c r="N875" s="80"/>
      <c r="O875" s="80"/>
      <c r="P875" s="80"/>
      <c r="Q875" s="80"/>
      <c r="R875" s="80"/>
      <c r="S875" s="80"/>
      <c r="T875" s="80"/>
    </row>
    <row r="876" spans="1:20" ht="15.75">
      <c r="A876" s="80"/>
      <c r="B876" s="80"/>
      <c r="C876" s="80"/>
      <c r="D876" s="80"/>
      <c r="E876" s="80"/>
      <c r="F876" s="80"/>
      <c r="G876" s="80"/>
      <c r="H876" s="80"/>
      <c r="I876" s="80"/>
      <c r="J876" s="80"/>
      <c r="K876" s="80"/>
      <c r="L876" s="80"/>
      <c r="M876" s="80"/>
      <c r="N876" s="80"/>
      <c r="O876" s="80"/>
      <c r="P876" s="80"/>
      <c r="Q876" s="80"/>
      <c r="R876" s="80"/>
      <c r="S876" s="80"/>
      <c r="T876" s="80"/>
    </row>
    <row r="877" spans="1:20" ht="15.75">
      <c r="A877" s="80"/>
      <c r="B877" s="80"/>
      <c r="C877" s="80"/>
      <c r="D877" s="80"/>
      <c r="E877" s="80"/>
      <c r="F877" s="80"/>
      <c r="G877" s="80"/>
      <c r="H877" s="80"/>
      <c r="I877" s="80"/>
      <c r="J877" s="80"/>
      <c r="K877" s="80"/>
      <c r="L877" s="80"/>
      <c r="M877" s="80"/>
      <c r="N877" s="80"/>
      <c r="O877" s="80"/>
      <c r="P877" s="80"/>
      <c r="Q877" s="80"/>
      <c r="R877" s="80"/>
      <c r="S877" s="80"/>
      <c r="T877" s="80"/>
    </row>
    <row r="878" spans="1:20" ht="15.75">
      <c r="A878" s="80"/>
      <c r="B878" s="80"/>
      <c r="C878" s="80"/>
      <c r="D878" s="80"/>
      <c r="E878" s="80"/>
      <c r="F878" s="80"/>
      <c r="G878" s="80"/>
      <c r="H878" s="80"/>
      <c r="I878" s="80"/>
      <c r="J878" s="80"/>
      <c r="K878" s="80"/>
      <c r="L878" s="80"/>
      <c r="M878" s="80"/>
      <c r="N878" s="80"/>
      <c r="O878" s="80"/>
      <c r="P878" s="80"/>
      <c r="Q878" s="80"/>
      <c r="R878" s="80"/>
      <c r="S878" s="80"/>
      <c r="T878" s="80"/>
    </row>
    <row r="879" spans="1:20" ht="15.75">
      <c r="A879" s="80"/>
      <c r="B879" s="80"/>
      <c r="C879" s="80"/>
      <c r="D879" s="80"/>
      <c r="E879" s="80"/>
      <c r="F879" s="80"/>
      <c r="G879" s="80"/>
      <c r="H879" s="80"/>
      <c r="I879" s="80"/>
      <c r="J879" s="80"/>
      <c r="K879" s="80"/>
      <c r="L879" s="80"/>
      <c r="M879" s="80"/>
      <c r="N879" s="80"/>
      <c r="O879" s="80"/>
      <c r="P879" s="80"/>
      <c r="Q879" s="80"/>
      <c r="R879" s="80"/>
      <c r="S879" s="80"/>
      <c r="T879" s="80"/>
    </row>
    <row r="880" spans="1:20" ht="15.75">
      <c r="A880" s="80"/>
      <c r="B880" s="80"/>
      <c r="C880" s="80"/>
      <c r="D880" s="80"/>
      <c r="E880" s="80"/>
      <c r="F880" s="80"/>
      <c r="G880" s="80"/>
      <c r="H880" s="80"/>
      <c r="I880" s="80"/>
      <c r="J880" s="80"/>
      <c r="K880" s="80"/>
      <c r="L880" s="80"/>
      <c r="M880" s="80"/>
      <c r="N880" s="80"/>
      <c r="O880" s="80"/>
      <c r="P880" s="80"/>
      <c r="Q880" s="80"/>
      <c r="R880" s="80"/>
      <c r="S880" s="80"/>
      <c r="T880" s="80"/>
    </row>
    <row r="881" spans="1:20" ht="15.75">
      <c r="A881" s="80"/>
      <c r="B881" s="80"/>
      <c r="C881" s="80"/>
      <c r="D881" s="80"/>
      <c r="E881" s="80"/>
      <c r="F881" s="80"/>
      <c r="G881" s="80"/>
      <c r="H881" s="80"/>
      <c r="I881" s="80"/>
      <c r="J881" s="80"/>
      <c r="K881" s="80"/>
      <c r="L881" s="80"/>
      <c r="M881" s="80"/>
      <c r="N881" s="80"/>
      <c r="O881" s="80"/>
      <c r="P881" s="80"/>
      <c r="Q881" s="80"/>
      <c r="R881" s="80"/>
      <c r="S881" s="80"/>
      <c r="T881" s="80"/>
    </row>
    <row r="882" spans="1:20" ht="15.75">
      <c r="A882" s="80"/>
      <c r="B882" s="80"/>
      <c r="C882" s="80"/>
      <c r="D882" s="80"/>
      <c r="E882" s="80"/>
      <c r="F882" s="80"/>
      <c r="G882" s="80"/>
      <c r="H882" s="80"/>
      <c r="I882" s="80"/>
      <c r="J882" s="80"/>
      <c r="K882" s="80"/>
      <c r="L882" s="80"/>
      <c r="M882" s="80"/>
      <c r="N882" s="80"/>
      <c r="O882" s="80"/>
      <c r="P882" s="80"/>
      <c r="Q882" s="80"/>
      <c r="R882" s="80"/>
      <c r="S882" s="80"/>
      <c r="T882" s="80"/>
    </row>
    <row r="883" spans="1:20" ht="15.75">
      <c r="A883" s="80"/>
      <c r="B883" s="80"/>
      <c r="C883" s="80"/>
      <c r="D883" s="80"/>
      <c r="E883" s="80"/>
      <c r="F883" s="80"/>
      <c r="G883" s="80"/>
      <c r="H883" s="80"/>
      <c r="I883" s="80"/>
      <c r="J883" s="80"/>
      <c r="K883" s="80"/>
      <c r="L883" s="80"/>
      <c r="M883" s="80"/>
      <c r="N883" s="80"/>
      <c r="O883" s="80"/>
      <c r="P883" s="80"/>
      <c r="Q883" s="80"/>
      <c r="R883" s="80"/>
      <c r="S883" s="80"/>
      <c r="T883" s="80"/>
    </row>
    <row r="884" spans="1:20" ht="15.75">
      <c r="A884" s="80"/>
      <c r="B884" s="80"/>
      <c r="C884" s="80"/>
      <c r="D884" s="80"/>
      <c r="E884" s="80"/>
      <c r="F884" s="80"/>
      <c r="G884" s="80"/>
      <c r="H884" s="80"/>
      <c r="I884" s="80"/>
      <c r="J884" s="80"/>
      <c r="K884" s="80"/>
      <c r="L884" s="80"/>
      <c r="M884" s="80"/>
      <c r="N884" s="80"/>
      <c r="O884" s="80"/>
      <c r="P884" s="80"/>
      <c r="Q884" s="80"/>
      <c r="R884" s="80"/>
      <c r="S884" s="80"/>
      <c r="T884" s="80"/>
    </row>
    <row r="885" spans="1:20" ht="15.75">
      <c r="A885" s="80"/>
      <c r="B885" s="80"/>
      <c r="C885" s="80"/>
      <c r="D885" s="80"/>
      <c r="E885" s="80"/>
      <c r="F885" s="80"/>
      <c r="G885" s="80"/>
      <c r="H885" s="80"/>
      <c r="I885" s="80"/>
      <c r="J885" s="80"/>
      <c r="K885" s="80"/>
      <c r="L885" s="80"/>
      <c r="M885" s="80"/>
      <c r="N885" s="80"/>
      <c r="O885" s="80"/>
      <c r="P885" s="80"/>
      <c r="Q885" s="80"/>
      <c r="R885" s="80"/>
      <c r="S885" s="80"/>
      <c r="T885" s="80"/>
    </row>
    <row r="886" spans="1:20" ht="15.75">
      <c r="A886" s="80"/>
      <c r="B886" s="80"/>
      <c r="C886" s="80"/>
      <c r="D886" s="80"/>
      <c r="E886" s="80"/>
      <c r="F886" s="80"/>
      <c r="G886" s="80"/>
      <c r="H886" s="80"/>
      <c r="I886" s="80"/>
      <c r="J886" s="80"/>
      <c r="K886" s="80"/>
      <c r="L886" s="80"/>
      <c r="M886" s="80"/>
      <c r="N886" s="80"/>
      <c r="O886" s="80"/>
      <c r="P886" s="80"/>
      <c r="Q886" s="80"/>
      <c r="R886" s="80"/>
      <c r="S886" s="80"/>
      <c r="T886" s="80"/>
    </row>
    <row r="887" spans="1:20" ht="15.75">
      <c r="A887" s="80"/>
      <c r="B887" s="80"/>
      <c r="C887" s="80"/>
      <c r="D887" s="80"/>
      <c r="E887" s="80"/>
      <c r="F887" s="80"/>
      <c r="G887" s="80"/>
      <c r="H887" s="80"/>
      <c r="I887" s="80"/>
      <c r="J887" s="80"/>
      <c r="K887" s="80"/>
      <c r="L887" s="80"/>
      <c r="M887" s="80"/>
      <c r="N887" s="80"/>
      <c r="O887" s="80"/>
      <c r="P887" s="80"/>
      <c r="Q887" s="80"/>
      <c r="R887" s="80"/>
      <c r="S887" s="80"/>
      <c r="T887" s="80"/>
    </row>
    <row r="888" spans="1:20" ht="15.75">
      <c r="A888" s="80"/>
      <c r="B888" s="80"/>
      <c r="C888" s="80"/>
      <c r="D888" s="80"/>
      <c r="E888" s="80"/>
      <c r="F888" s="80"/>
      <c r="G888" s="80"/>
      <c r="H888" s="80"/>
      <c r="I888" s="80"/>
      <c r="J888" s="80"/>
      <c r="K888" s="80"/>
      <c r="L888" s="80"/>
      <c r="M888" s="80"/>
      <c r="N888" s="80"/>
      <c r="O888" s="80"/>
      <c r="P888" s="80"/>
      <c r="Q888" s="80"/>
      <c r="R888" s="80"/>
      <c r="S888" s="80"/>
      <c r="T888" s="80"/>
    </row>
    <row r="889" spans="1:20" ht="15.75">
      <c r="A889" s="80"/>
      <c r="B889" s="80"/>
      <c r="C889" s="80"/>
      <c r="D889" s="80"/>
      <c r="E889" s="80"/>
      <c r="F889" s="80"/>
      <c r="G889" s="80"/>
      <c r="H889" s="80"/>
      <c r="I889" s="80"/>
      <c r="J889" s="80"/>
      <c r="K889" s="80"/>
      <c r="L889" s="80"/>
      <c r="M889" s="80"/>
      <c r="N889" s="80"/>
      <c r="O889" s="80"/>
      <c r="P889" s="80"/>
      <c r="Q889" s="80"/>
      <c r="R889" s="80"/>
      <c r="S889" s="80"/>
      <c r="T889" s="80"/>
    </row>
    <row r="890" spans="1:20" ht="15.75">
      <c r="A890" s="80"/>
      <c r="B890" s="80"/>
      <c r="C890" s="80"/>
      <c r="D890" s="80"/>
      <c r="E890" s="80"/>
      <c r="F890" s="80"/>
      <c r="G890" s="80"/>
      <c r="H890" s="80"/>
      <c r="I890" s="80"/>
      <c r="J890" s="80"/>
      <c r="K890" s="80"/>
      <c r="L890" s="80"/>
      <c r="M890" s="80"/>
      <c r="N890" s="80"/>
      <c r="O890" s="80"/>
      <c r="P890" s="80"/>
      <c r="Q890" s="80"/>
      <c r="R890" s="80"/>
      <c r="S890" s="80"/>
      <c r="T890" s="80"/>
    </row>
    <row r="891" spans="1:20" ht="15.75">
      <c r="A891" s="80"/>
      <c r="B891" s="80"/>
      <c r="C891" s="80"/>
      <c r="D891" s="80"/>
      <c r="E891" s="80"/>
      <c r="F891" s="80"/>
      <c r="G891" s="80"/>
      <c r="H891" s="80"/>
      <c r="I891" s="80"/>
      <c r="J891" s="80"/>
      <c r="K891" s="80"/>
      <c r="L891" s="80"/>
      <c r="M891" s="80"/>
      <c r="N891" s="80"/>
      <c r="O891" s="80"/>
      <c r="P891" s="80"/>
      <c r="Q891" s="80"/>
      <c r="R891" s="80"/>
      <c r="S891" s="80"/>
      <c r="T891" s="80"/>
    </row>
    <row r="892" spans="1:20" ht="15.75">
      <c r="A892" s="80"/>
      <c r="B892" s="80"/>
      <c r="C892" s="80"/>
      <c r="D892" s="80"/>
      <c r="E892" s="80"/>
      <c r="F892" s="80"/>
      <c r="G892" s="80"/>
      <c r="H892" s="80"/>
      <c r="I892" s="80"/>
      <c r="J892" s="80"/>
      <c r="K892" s="80"/>
      <c r="L892" s="80"/>
      <c r="M892" s="80"/>
      <c r="N892" s="80"/>
      <c r="O892" s="80"/>
      <c r="P892" s="80"/>
      <c r="Q892" s="80"/>
      <c r="R892" s="80"/>
      <c r="S892" s="80"/>
      <c r="T892" s="80"/>
    </row>
    <row r="893" spans="1:20" ht="15.75">
      <c r="A893" s="80"/>
      <c r="B893" s="80"/>
      <c r="C893" s="80"/>
      <c r="D893" s="80"/>
      <c r="E893" s="80"/>
      <c r="F893" s="80"/>
      <c r="G893" s="80"/>
      <c r="H893" s="80"/>
      <c r="I893" s="80"/>
      <c r="J893" s="80"/>
      <c r="K893" s="80"/>
      <c r="L893" s="80"/>
      <c r="M893" s="80"/>
      <c r="N893" s="80"/>
      <c r="O893" s="80"/>
      <c r="P893" s="80"/>
      <c r="Q893" s="80"/>
      <c r="R893" s="80"/>
      <c r="S893" s="80"/>
      <c r="T893" s="80"/>
    </row>
    <row r="894" spans="1:20" ht="15.75">
      <c r="A894" s="80"/>
      <c r="B894" s="80"/>
      <c r="C894" s="80"/>
      <c r="D894" s="80"/>
      <c r="E894" s="80"/>
      <c r="F894" s="80"/>
      <c r="G894" s="80"/>
      <c r="H894" s="80"/>
      <c r="I894" s="80"/>
      <c r="J894" s="80"/>
      <c r="K894" s="80"/>
      <c r="L894" s="80"/>
      <c r="M894" s="80"/>
      <c r="N894" s="80"/>
      <c r="O894" s="80"/>
      <c r="P894" s="80"/>
      <c r="Q894" s="80"/>
      <c r="R894" s="80"/>
      <c r="S894" s="80"/>
      <c r="T894" s="80"/>
    </row>
    <row r="895" spans="1:20" ht="15.75">
      <c r="A895" s="80"/>
      <c r="B895" s="80"/>
      <c r="C895" s="80"/>
      <c r="D895" s="80"/>
      <c r="E895" s="80"/>
      <c r="F895" s="80"/>
      <c r="G895" s="80"/>
      <c r="H895" s="80"/>
      <c r="I895" s="80"/>
      <c r="J895" s="80"/>
      <c r="K895" s="80"/>
      <c r="L895" s="80"/>
      <c r="M895" s="80"/>
      <c r="N895" s="80"/>
      <c r="O895" s="80"/>
      <c r="P895" s="80"/>
      <c r="Q895" s="80"/>
      <c r="R895" s="80"/>
      <c r="S895" s="80"/>
      <c r="T895" s="80"/>
    </row>
    <row r="896" spans="1:20" ht="15.75">
      <c r="A896" s="80"/>
      <c r="B896" s="80"/>
      <c r="C896" s="80"/>
      <c r="D896" s="80"/>
      <c r="E896" s="80"/>
      <c r="F896" s="80"/>
      <c r="G896" s="80"/>
      <c r="H896" s="80"/>
      <c r="I896" s="80"/>
      <c r="J896" s="80"/>
      <c r="K896" s="80"/>
      <c r="L896" s="80"/>
      <c r="M896" s="80"/>
      <c r="N896" s="80"/>
      <c r="O896" s="80"/>
      <c r="P896" s="80"/>
      <c r="Q896" s="80"/>
      <c r="R896" s="80"/>
      <c r="S896" s="80"/>
      <c r="T896" s="80"/>
    </row>
    <row r="897" spans="1:20" ht="15.75">
      <c r="A897" s="80"/>
      <c r="B897" s="80"/>
      <c r="C897" s="80"/>
      <c r="D897" s="80"/>
      <c r="E897" s="80"/>
      <c r="F897" s="80"/>
      <c r="G897" s="80"/>
      <c r="H897" s="80"/>
      <c r="I897" s="80"/>
      <c r="J897" s="80"/>
      <c r="K897" s="80"/>
      <c r="L897" s="80"/>
      <c r="M897" s="80"/>
      <c r="N897" s="80"/>
      <c r="O897" s="80"/>
      <c r="P897" s="80"/>
      <c r="Q897" s="80"/>
      <c r="R897" s="80"/>
      <c r="S897" s="80"/>
      <c r="T897" s="80"/>
    </row>
    <row r="898" spans="1:20" ht="15.75">
      <c r="A898" s="80"/>
      <c r="B898" s="80"/>
      <c r="C898" s="80"/>
      <c r="D898" s="80"/>
      <c r="E898" s="80"/>
      <c r="F898" s="80"/>
      <c r="G898" s="80"/>
      <c r="H898" s="80"/>
      <c r="I898" s="80"/>
      <c r="J898" s="80"/>
      <c r="K898" s="80"/>
      <c r="L898" s="80"/>
      <c r="M898" s="80"/>
      <c r="N898" s="80"/>
      <c r="O898" s="80"/>
      <c r="P898" s="80"/>
      <c r="Q898" s="80"/>
      <c r="R898" s="80"/>
      <c r="S898" s="80"/>
      <c r="T898" s="80"/>
    </row>
    <row r="899" spans="1:20" ht="15.75">
      <c r="A899" s="80"/>
      <c r="B899" s="80"/>
      <c r="C899" s="80"/>
      <c r="D899" s="80"/>
      <c r="E899" s="80"/>
      <c r="F899" s="80"/>
      <c r="G899" s="80"/>
      <c r="H899" s="80"/>
      <c r="I899" s="80"/>
      <c r="J899" s="80"/>
      <c r="K899" s="80"/>
      <c r="L899" s="80"/>
      <c r="M899" s="80"/>
      <c r="N899" s="80"/>
      <c r="O899" s="80"/>
      <c r="P899" s="80"/>
      <c r="Q899" s="80"/>
      <c r="R899" s="80"/>
      <c r="S899" s="80"/>
      <c r="T899" s="80"/>
    </row>
    <row r="900" spans="1:20" ht="15.75">
      <c r="A900" s="80"/>
      <c r="B900" s="80"/>
      <c r="C900" s="80"/>
      <c r="D900" s="80"/>
      <c r="E900" s="80"/>
      <c r="F900" s="80"/>
      <c r="G900" s="80"/>
      <c r="H900" s="80"/>
      <c r="I900" s="80"/>
      <c r="J900" s="80"/>
      <c r="K900" s="80"/>
      <c r="L900" s="80"/>
      <c r="M900" s="80"/>
      <c r="N900" s="80"/>
      <c r="O900" s="80"/>
      <c r="P900" s="80"/>
      <c r="Q900" s="80"/>
      <c r="R900" s="80"/>
      <c r="S900" s="80"/>
      <c r="T900" s="80"/>
    </row>
    <row r="901" spans="1:20" ht="15.75">
      <c r="A901" s="80"/>
      <c r="B901" s="80"/>
      <c r="C901" s="80"/>
      <c r="D901" s="80"/>
      <c r="E901" s="80"/>
      <c r="F901" s="80"/>
      <c r="G901" s="80"/>
      <c r="H901" s="80"/>
      <c r="I901" s="80"/>
      <c r="J901" s="80"/>
      <c r="K901" s="80"/>
      <c r="L901" s="80"/>
      <c r="M901" s="80"/>
      <c r="N901" s="80"/>
      <c r="O901" s="80"/>
      <c r="P901" s="80"/>
      <c r="Q901" s="80"/>
      <c r="R901" s="80"/>
      <c r="S901" s="80"/>
      <c r="T901" s="80"/>
    </row>
    <row r="902" spans="1:20" ht="15.75">
      <c r="A902" s="80"/>
      <c r="B902" s="80"/>
      <c r="C902" s="80"/>
      <c r="D902" s="80"/>
      <c r="E902" s="80"/>
      <c r="F902" s="80"/>
      <c r="G902" s="80"/>
      <c r="H902" s="80"/>
      <c r="I902" s="80"/>
      <c r="J902" s="80"/>
      <c r="K902" s="80"/>
      <c r="L902" s="80"/>
      <c r="M902" s="80"/>
      <c r="N902" s="80"/>
      <c r="O902" s="80"/>
      <c r="P902" s="80"/>
      <c r="Q902" s="80"/>
      <c r="R902" s="80"/>
      <c r="S902" s="80"/>
      <c r="T902" s="80"/>
    </row>
    <row r="903" spans="1:20" ht="15.75">
      <c r="A903" s="80"/>
      <c r="B903" s="80"/>
      <c r="C903" s="80"/>
      <c r="D903" s="80"/>
      <c r="E903" s="80"/>
      <c r="F903" s="80"/>
      <c r="G903" s="80"/>
      <c r="H903" s="80"/>
      <c r="I903" s="80"/>
      <c r="J903" s="80"/>
      <c r="K903" s="80"/>
      <c r="L903" s="80"/>
      <c r="M903" s="80"/>
      <c r="N903" s="80"/>
      <c r="O903" s="80"/>
      <c r="P903" s="80"/>
      <c r="Q903" s="80"/>
      <c r="R903" s="80"/>
      <c r="S903" s="80"/>
      <c r="T903" s="80"/>
    </row>
    <row r="904" spans="1:20" ht="15.75">
      <c r="A904" s="80"/>
      <c r="B904" s="80"/>
      <c r="C904" s="80"/>
      <c r="D904" s="80"/>
      <c r="E904" s="80"/>
      <c r="F904" s="80"/>
      <c r="G904" s="80"/>
      <c r="H904" s="80"/>
      <c r="I904" s="80"/>
      <c r="J904" s="80"/>
      <c r="K904" s="80"/>
      <c r="L904" s="80"/>
      <c r="M904" s="80"/>
      <c r="N904" s="80"/>
      <c r="O904" s="80"/>
      <c r="P904" s="80"/>
      <c r="Q904" s="80"/>
      <c r="R904" s="80"/>
      <c r="S904" s="80"/>
      <c r="T904" s="80"/>
    </row>
    <row r="905" spans="1:20" ht="15.75">
      <c r="A905" s="80"/>
      <c r="B905" s="80"/>
      <c r="C905" s="80"/>
      <c r="D905" s="80"/>
      <c r="E905" s="80"/>
      <c r="F905" s="80"/>
      <c r="G905" s="80"/>
      <c r="H905" s="80"/>
      <c r="I905" s="80"/>
      <c r="J905" s="80"/>
      <c r="K905" s="80"/>
      <c r="L905" s="80"/>
      <c r="M905" s="80"/>
      <c r="N905" s="80"/>
      <c r="O905" s="80"/>
      <c r="P905" s="80"/>
      <c r="Q905" s="80"/>
      <c r="R905" s="80"/>
      <c r="S905" s="80"/>
      <c r="T905" s="80"/>
    </row>
    <row r="906" spans="1:20" ht="15.75">
      <c r="A906" s="80"/>
      <c r="B906" s="80"/>
      <c r="C906" s="80"/>
      <c r="D906" s="80"/>
      <c r="E906" s="80"/>
      <c r="F906" s="80"/>
      <c r="G906" s="80"/>
      <c r="H906" s="80"/>
      <c r="I906" s="80"/>
      <c r="J906" s="80"/>
      <c r="K906" s="80"/>
      <c r="L906" s="80"/>
      <c r="M906" s="80"/>
      <c r="N906" s="80"/>
      <c r="O906" s="80"/>
      <c r="P906" s="80"/>
      <c r="Q906" s="80"/>
      <c r="R906" s="80"/>
      <c r="S906" s="80"/>
      <c r="T906" s="80"/>
    </row>
    <row r="907" spans="1:20" ht="15.75">
      <c r="A907" s="80"/>
      <c r="B907" s="80"/>
      <c r="C907" s="80"/>
      <c r="D907" s="80"/>
      <c r="E907" s="80"/>
      <c r="F907" s="80"/>
      <c r="G907" s="80"/>
      <c r="H907" s="80"/>
      <c r="I907" s="80"/>
      <c r="J907" s="80"/>
      <c r="K907" s="80"/>
      <c r="L907" s="80"/>
      <c r="M907" s="80"/>
      <c r="N907" s="80"/>
      <c r="O907" s="80"/>
      <c r="P907" s="80"/>
      <c r="Q907" s="80"/>
      <c r="R907" s="80"/>
      <c r="S907" s="80"/>
      <c r="T907" s="80"/>
    </row>
    <row r="908" spans="1:20" ht="15.75">
      <c r="A908" s="80"/>
      <c r="B908" s="80"/>
      <c r="C908" s="80"/>
      <c r="D908" s="80"/>
      <c r="E908" s="80"/>
      <c r="F908" s="80"/>
      <c r="G908" s="80"/>
      <c r="H908" s="80"/>
      <c r="I908" s="80"/>
      <c r="J908" s="80"/>
      <c r="K908" s="80"/>
      <c r="L908" s="80"/>
      <c r="M908" s="80"/>
      <c r="N908" s="80"/>
      <c r="O908" s="80"/>
      <c r="P908" s="80"/>
      <c r="Q908" s="80"/>
      <c r="R908" s="80"/>
      <c r="S908" s="80"/>
      <c r="T908" s="80"/>
    </row>
    <row r="909" spans="1:20" ht="15.75">
      <c r="A909" s="80"/>
      <c r="B909" s="80"/>
      <c r="C909" s="80"/>
      <c r="D909" s="80"/>
      <c r="E909" s="80"/>
      <c r="F909" s="80"/>
      <c r="G909" s="80"/>
      <c r="H909" s="80"/>
      <c r="I909" s="80"/>
      <c r="J909" s="80"/>
      <c r="K909" s="80"/>
      <c r="L909" s="80"/>
      <c r="M909" s="80"/>
      <c r="N909" s="80"/>
      <c r="O909" s="80"/>
      <c r="P909" s="80"/>
      <c r="Q909" s="80"/>
      <c r="R909" s="80"/>
      <c r="S909" s="80"/>
      <c r="T909" s="80"/>
    </row>
    <row r="910" spans="1:20" ht="15.75">
      <c r="A910" s="80"/>
      <c r="B910" s="80"/>
      <c r="C910" s="80"/>
      <c r="D910" s="80"/>
      <c r="E910" s="80"/>
      <c r="F910" s="80"/>
      <c r="G910" s="80"/>
      <c r="H910" s="80"/>
      <c r="I910" s="80"/>
      <c r="J910" s="80"/>
      <c r="K910" s="80"/>
      <c r="L910" s="80"/>
      <c r="M910" s="80"/>
      <c r="N910" s="80"/>
      <c r="O910" s="80"/>
      <c r="P910" s="80"/>
      <c r="Q910" s="80"/>
      <c r="R910" s="80"/>
      <c r="S910" s="80"/>
      <c r="T910" s="80"/>
    </row>
    <row r="911" spans="1:20" ht="15.75">
      <c r="A911" s="80"/>
      <c r="B911" s="80"/>
      <c r="C911" s="80"/>
      <c r="D911" s="80"/>
      <c r="E911" s="80"/>
      <c r="F911" s="80"/>
      <c r="G911" s="80"/>
      <c r="H911" s="80"/>
      <c r="I911" s="80"/>
      <c r="J911" s="80"/>
      <c r="K911" s="80"/>
      <c r="L911" s="80"/>
      <c r="M911" s="80"/>
      <c r="N911" s="80"/>
      <c r="O911" s="80"/>
      <c r="P911" s="80"/>
      <c r="Q911" s="80"/>
      <c r="R911" s="80"/>
      <c r="S911" s="80"/>
      <c r="T911" s="80"/>
    </row>
    <row r="912" spans="1:20" ht="15.75">
      <c r="A912" s="80"/>
      <c r="B912" s="80"/>
      <c r="C912" s="80"/>
      <c r="D912" s="80"/>
      <c r="E912" s="80"/>
      <c r="F912" s="80"/>
      <c r="G912" s="80"/>
      <c r="H912" s="80"/>
      <c r="I912" s="80"/>
      <c r="J912" s="80"/>
      <c r="K912" s="80"/>
      <c r="L912" s="80"/>
      <c r="M912" s="80"/>
      <c r="N912" s="80"/>
      <c r="O912" s="80"/>
      <c r="P912" s="80"/>
      <c r="Q912" s="80"/>
      <c r="R912" s="80"/>
      <c r="S912" s="80"/>
      <c r="T912" s="80"/>
    </row>
    <row r="913" spans="1:20" ht="15.75">
      <c r="A913" s="80"/>
      <c r="B913" s="80"/>
      <c r="C913" s="80"/>
      <c r="D913" s="80"/>
      <c r="E913" s="80"/>
      <c r="F913" s="80"/>
      <c r="G913" s="80"/>
      <c r="H913" s="80"/>
      <c r="I913" s="80"/>
      <c r="J913" s="80"/>
      <c r="K913" s="80"/>
      <c r="L913" s="80"/>
      <c r="M913" s="80"/>
      <c r="N913" s="80"/>
      <c r="O913" s="80"/>
      <c r="P913" s="80"/>
      <c r="Q913" s="80"/>
      <c r="R913" s="80"/>
      <c r="S913" s="80"/>
      <c r="T913" s="80"/>
    </row>
    <row r="914" spans="1:20" ht="15.75">
      <c r="A914" s="80"/>
      <c r="B914" s="80"/>
      <c r="C914" s="80"/>
      <c r="D914" s="80"/>
      <c r="E914" s="80"/>
      <c r="F914" s="80"/>
      <c r="G914" s="80"/>
      <c r="H914" s="80"/>
      <c r="I914" s="80"/>
      <c r="J914" s="80"/>
      <c r="K914" s="80"/>
      <c r="L914" s="80"/>
      <c r="M914" s="80"/>
      <c r="N914" s="80"/>
      <c r="O914" s="80"/>
      <c r="P914" s="80"/>
      <c r="Q914" s="80"/>
      <c r="R914" s="80"/>
      <c r="S914" s="80"/>
      <c r="T914" s="80"/>
    </row>
    <row r="915" spans="1:20" ht="15.75">
      <c r="A915" s="80"/>
      <c r="B915" s="80"/>
      <c r="C915" s="80"/>
      <c r="D915" s="80"/>
      <c r="E915" s="80"/>
      <c r="F915" s="80"/>
      <c r="G915" s="80"/>
      <c r="H915" s="80"/>
      <c r="I915" s="80"/>
      <c r="J915" s="80"/>
      <c r="K915" s="80"/>
      <c r="L915" s="80"/>
      <c r="M915" s="80"/>
      <c r="N915" s="80"/>
      <c r="O915" s="80"/>
      <c r="P915" s="80"/>
      <c r="Q915" s="80"/>
      <c r="R915" s="80"/>
      <c r="S915" s="80"/>
      <c r="T915" s="80"/>
    </row>
    <row r="916" spans="1:20" ht="15.75">
      <c r="A916" s="80"/>
      <c r="B916" s="80"/>
      <c r="C916" s="80"/>
      <c r="D916" s="80"/>
      <c r="E916" s="80"/>
      <c r="F916" s="80"/>
      <c r="G916" s="80"/>
      <c r="H916" s="80"/>
      <c r="I916" s="80"/>
      <c r="J916" s="80"/>
      <c r="K916" s="80"/>
      <c r="L916" s="80"/>
      <c r="M916" s="80"/>
      <c r="N916" s="80"/>
      <c r="O916" s="80"/>
      <c r="P916" s="80"/>
      <c r="Q916" s="80"/>
      <c r="R916" s="80"/>
      <c r="S916" s="80"/>
      <c r="T916" s="80"/>
    </row>
    <row r="917" spans="1:20" ht="15.75">
      <c r="A917" s="80"/>
      <c r="B917" s="80"/>
      <c r="C917" s="80"/>
      <c r="D917" s="80"/>
      <c r="E917" s="80"/>
      <c r="F917" s="80"/>
      <c r="G917" s="80"/>
      <c r="H917" s="80"/>
      <c r="I917" s="80"/>
      <c r="J917" s="80"/>
      <c r="K917" s="80"/>
      <c r="L917" s="80"/>
      <c r="M917" s="80"/>
      <c r="N917" s="80"/>
      <c r="O917" s="80"/>
      <c r="P917" s="80"/>
      <c r="Q917" s="80"/>
      <c r="R917" s="80"/>
      <c r="S917" s="80"/>
      <c r="T917" s="80"/>
    </row>
    <row r="918" spans="1:20" ht="15.75">
      <c r="A918" s="80"/>
      <c r="B918" s="80"/>
      <c r="C918" s="80"/>
      <c r="D918" s="80"/>
      <c r="E918" s="80"/>
      <c r="F918" s="80"/>
      <c r="G918" s="80"/>
      <c r="H918" s="80"/>
      <c r="I918" s="80"/>
      <c r="J918" s="80"/>
      <c r="K918" s="80"/>
      <c r="L918" s="80"/>
      <c r="M918" s="80"/>
      <c r="N918" s="80"/>
      <c r="O918" s="80"/>
      <c r="P918" s="80"/>
      <c r="Q918" s="80"/>
      <c r="R918" s="80"/>
      <c r="S918" s="80"/>
      <c r="T918" s="80"/>
    </row>
    <row r="919" spans="1:20" ht="15.75">
      <c r="A919" s="80"/>
      <c r="B919" s="80"/>
      <c r="C919" s="80"/>
      <c r="D919" s="80"/>
      <c r="E919" s="80"/>
      <c r="F919" s="80"/>
      <c r="G919" s="80"/>
      <c r="H919" s="80"/>
      <c r="I919" s="80"/>
      <c r="J919" s="80"/>
      <c r="K919" s="80"/>
      <c r="L919" s="80"/>
      <c r="M919" s="80"/>
      <c r="N919" s="80"/>
      <c r="O919" s="80"/>
      <c r="P919" s="80"/>
      <c r="Q919" s="80"/>
      <c r="R919" s="80"/>
      <c r="S919" s="80"/>
      <c r="T919" s="80"/>
    </row>
    <row r="920" spans="1:20" ht="15.75">
      <c r="A920" s="80"/>
      <c r="B920" s="80"/>
      <c r="C920" s="80"/>
      <c r="D920" s="80"/>
      <c r="E920" s="80"/>
      <c r="F920" s="80"/>
      <c r="G920" s="80"/>
      <c r="H920" s="80"/>
      <c r="I920" s="80"/>
      <c r="J920" s="80"/>
      <c r="K920" s="80"/>
      <c r="L920" s="80"/>
      <c r="M920" s="80"/>
      <c r="N920" s="80"/>
      <c r="O920" s="80"/>
      <c r="P920" s="80"/>
      <c r="Q920" s="80"/>
      <c r="R920" s="80"/>
      <c r="S920" s="80"/>
      <c r="T920" s="80"/>
    </row>
    <row r="921" spans="1:20" ht="15.75">
      <c r="A921" s="80"/>
      <c r="B921" s="80"/>
      <c r="C921" s="80"/>
      <c r="D921" s="80"/>
      <c r="E921" s="80"/>
      <c r="F921" s="80"/>
      <c r="G921" s="80"/>
      <c r="H921" s="80"/>
      <c r="I921" s="80"/>
      <c r="J921" s="80"/>
      <c r="K921" s="80"/>
      <c r="L921" s="80"/>
      <c r="M921" s="80"/>
      <c r="N921" s="80"/>
      <c r="O921" s="80"/>
      <c r="P921" s="80"/>
      <c r="Q921" s="80"/>
      <c r="R921" s="80"/>
      <c r="S921" s="80"/>
      <c r="T921" s="80"/>
    </row>
    <row r="922" spans="1:20" ht="15.75">
      <c r="A922" s="80"/>
      <c r="B922" s="80"/>
      <c r="C922" s="80"/>
      <c r="D922" s="80"/>
      <c r="E922" s="80"/>
      <c r="F922" s="80"/>
      <c r="G922" s="80"/>
      <c r="H922" s="80"/>
      <c r="I922" s="80"/>
      <c r="J922" s="80"/>
      <c r="K922" s="80"/>
      <c r="L922" s="80"/>
      <c r="M922" s="80"/>
      <c r="N922" s="80"/>
      <c r="O922" s="80"/>
      <c r="P922" s="80"/>
      <c r="Q922" s="80"/>
      <c r="R922" s="80"/>
      <c r="S922" s="80"/>
      <c r="T922" s="80"/>
    </row>
    <row r="923" spans="1:20" ht="15.75">
      <c r="A923" s="80"/>
      <c r="B923" s="80"/>
      <c r="C923" s="80"/>
      <c r="D923" s="80"/>
      <c r="E923" s="80"/>
      <c r="F923" s="80"/>
      <c r="G923" s="80"/>
      <c r="H923" s="80"/>
      <c r="I923" s="80"/>
      <c r="J923" s="80"/>
      <c r="K923" s="80"/>
      <c r="L923" s="80"/>
      <c r="M923" s="80"/>
      <c r="N923" s="80"/>
      <c r="O923" s="80"/>
      <c r="P923" s="80"/>
      <c r="Q923" s="80"/>
      <c r="R923" s="80"/>
      <c r="S923" s="80"/>
      <c r="T923" s="80"/>
    </row>
    <row r="924" spans="1:20" ht="15.75">
      <c r="A924" s="80"/>
      <c r="B924" s="80"/>
      <c r="C924" s="80"/>
      <c r="D924" s="80"/>
      <c r="E924" s="80"/>
      <c r="F924" s="80"/>
      <c r="G924" s="80"/>
      <c r="H924" s="80"/>
      <c r="I924" s="80"/>
      <c r="J924" s="80"/>
      <c r="K924" s="80"/>
      <c r="L924" s="80"/>
      <c r="M924" s="80"/>
      <c r="N924" s="80"/>
      <c r="O924" s="80"/>
      <c r="P924" s="80"/>
      <c r="Q924" s="80"/>
      <c r="R924" s="80"/>
      <c r="S924" s="80"/>
      <c r="T924" s="80"/>
    </row>
    <row r="925" spans="1:20" ht="15.75">
      <c r="A925" s="80"/>
      <c r="B925" s="80"/>
      <c r="C925" s="80"/>
      <c r="D925" s="80"/>
      <c r="E925" s="80"/>
      <c r="F925" s="80"/>
      <c r="G925" s="80"/>
      <c r="H925" s="80"/>
      <c r="I925" s="80"/>
      <c r="J925" s="80"/>
      <c r="K925" s="80"/>
      <c r="L925" s="80"/>
      <c r="M925" s="80"/>
      <c r="N925" s="80"/>
      <c r="O925" s="80"/>
      <c r="P925" s="80"/>
      <c r="Q925" s="80"/>
      <c r="R925" s="80"/>
      <c r="S925" s="80"/>
      <c r="T925" s="80"/>
    </row>
    <row r="926" spans="1:20" ht="15.75">
      <c r="A926" s="80"/>
      <c r="B926" s="80"/>
      <c r="C926" s="80"/>
      <c r="D926" s="80"/>
      <c r="E926" s="80"/>
      <c r="F926" s="80"/>
      <c r="G926" s="80"/>
      <c r="H926" s="80"/>
      <c r="I926" s="80"/>
      <c r="J926" s="80"/>
      <c r="K926" s="80"/>
      <c r="L926" s="80"/>
      <c r="M926" s="80"/>
      <c r="N926" s="80"/>
      <c r="O926" s="80"/>
      <c r="P926" s="80"/>
      <c r="Q926" s="80"/>
      <c r="R926" s="80"/>
      <c r="S926" s="80"/>
      <c r="T926" s="80"/>
    </row>
    <row r="927" spans="1:20" ht="15.75">
      <c r="A927" s="80"/>
      <c r="B927" s="80"/>
      <c r="C927" s="80"/>
      <c r="D927" s="80"/>
      <c r="E927" s="80"/>
      <c r="F927" s="80"/>
      <c r="G927" s="80"/>
      <c r="H927" s="80"/>
      <c r="I927" s="80"/>
      <c r="J927" s="80"/>
      <c r="K927" s="80"/>
      <c r="L927" s="80"/>
      <c r="M927" s="80"/>
      <c r="N927" s="80"/>
      <c r="O927" s="80"/>
      <c r="P927" s="80"/>
      <c r="Q927" s="80"/>
      <c r="R927" s="80"/>
      <c r="S927" s="80"/>
      <c r="T927" s="80"/>
    </row>
    <row r="928" spans="1:20" ht="15.75">
      <c r="A928" s="80"/>
      <c r="B928" s="80"/>
      <c r="C928" s="80"/>
      <c r="D928" s="80"/>
      <c r="E928" s="80"/>
      <c r="F928" s="80"/>
      <c r="G928" s="80"/>
      <c r="H928" s="80"/>
      <c r="I928" s="80"/>
      <c r="J928" s="80"/>
      <c r="K928" s="80"/>
      <c r="L928" s="80"/>
      <c r="M928" s="80"/>
      <c r="N928" s="80"/>
      <c r="O928" s="80"/>
      <c r="P928" s="80"/>
      <c r="Q928" s="80"/>
      <c r="R928" s="80"/>
      <c r="S928" s="80"/>
      <c r="T928" s="80"/>
    </row>
    <row r="929" spans="1:20" ht="15.75">
      <c r="A929" s="80"/>
      <c r="B929" s="80"/>
      <c r="C929" s="80"/>
      <c r="D929" s="80"/>
      <c r="E929" s="80"/>
      <c r="F929" s="80"/>
      <c r="G929" s="80"/>
      <c r="H929" s="80"/>
      <c r="I929" s="80"/>
      <c r="J929" s="80"/>
      <c r="K929" s="80"/>
      <c r="L929" s="80"/>
      <c r="M929" s="80"/>
      <c r="N929" s="80"/>
      <c r="O929" s="80"/>
      <c r="P929" s="80"/>
      <c r="Q929" s="80"/>
      <c r="R929" s="80"/>
      <c r="S929" s="80"/>
      <c r="T929" s="80"/>
    </row>
    <row r="930" spans="1:20" ht="15.75">
      <c r="A930" s="80"/>
      <c r="B930" s="80"/>
      <c r="C930" s="80"/>
      <c r="D930" s="80"/>
      <c r="E930" s="80"/>
      <c r="F930" s="80"/>
      <c r="G930" s="80"/>
      <c r="H930" s="80"/>
      <c r="I930" s="80"/>
      <c r="J930" s="80"/>
      <c r="K930" s="80"/>
      <c r="L930" s="80"/>
      <c r="M930" s="80"/>
      <c r="N930" s="80"/>
      <c r="O930" s="80"/>
      <c r="P930" s="80"/>
      <c r="Q930" s="80"/>
      <c r="R930" s="80"/>
      <c r="S930" s="80"/>
      <c r="T930" s="80"/>
    </row>
    <row r="931" spans="1:20" ht="15.75">
      <c r="A931" s="80"/>
      <c r="B931" s="80"/>
      <c r="C931" s="80"/>
      <c r="D931" s="80"/>
      <c r="E931" s="80"/>
      <c r="F931" s="80"/>
      <c r="G931" s="80"/>
      <c r="H931" s="80"/>
      <c r="I931" s="80"/>
      <c r="J931" s="80"/>
      <c r="K931" s="80"/>
      <c r="L931" s="80"/>
      <c r="M931" s="80"/>
      <c r="N931" s="80"/>
      <c r="O931" s="80"/>
      <c r="P931" s="80"/>
      <c r="Q931" s="80"/>
      <c r="R931" s="80"/>
      <c r="S931" s="80"/>
      <c r="T931" s="80"/>
    </row>
    <row r="932" spans="1:20" ht="15.75">
      <c r="A932" s="80"/>
      <c r="B932" s="80"/>
      <c r="C932" s="80"/>
      <c r="D932" s="80"/>
      <c r="E932" s="80"/>
      <c r="F932" s="80"/>
      <c r="G932" s="80"/>
      <c r="H932" s="80"/>
      <c r="I932" s="80"/>
      <c r="J932" s="80"/>
      <c r="K932" s="80"/>
      <c r="L932" s="80"/>
      <c r="M932" s="80"/>
      <c r="N932" s="80"/>
      <c r="O932" s="80"/>
      <c r="P932" s="80"/>
      <c r="Q932" s="80"/>
      <c r="R932" s="80"/>
      <c r="S932" s="80"/>
      <c r="T932" s="80"/>
    </row>
    <row r="933" spans="1:20" ht="15.75">
      <c r="A933" s="80"/>
      <c r="B933" s="80"/>
      <c r="C933" s="80"/>
      <c r="D933" s="80"/>
      <c r="E933" s="80"/>
      <c r="F933" s="80"/>
      <c r="G933" s="80"/>
      <c r="H933" s="80"/>
      <c r="I933" s="80"/>
      <c r="J933" s="80"/>
      <c r="K933" s="80"/>
      <c r="L933" s="80"/>
      <c r="M933" s="80"/>
      <c r="N933" s="80"/>
      <c r="O933" s="80"/>
      <c r="P933" s="80"/>
      <c r="Q933" s="80"/>
      <c r="R933" s="80"/>
      <c r="S933" s="80"/>
      <c r="T933" s="80"/>
    </row>
    <row r="934" spans="1:20" ht="15.75">
      <c r="A934" s="80"/>
      <c r="B934" s="80"/>
      <c r="C934" s="80"/>
      <c r="D934" s="80"/>
      <c r="E934" s="80"/>
      <c r="F934" s="80"/>
      <c r="G934" s="80"/>
      <c r="H934" s="80"/>
      <c r="I934" s="80"/>
      <c r="J934" s="80"/>
      <c r="K934" s="80"/>
      <c r="L934" s="80"/>
      <c r="M934" s="80"/>
      <c r="N934" s="80"/>
      <c r="O934" s="80"/>
      <c r="P934" s="80"/>
      <c r="Q934" s="80"/>
      <c r="R934" s="80"/>
      <c r="S934" s="80"/>
      <c r="T934" s="80"/>
    </row>
    <row r="935" spans="1:20" ht="15.75">
      <c r="A935" s="80"/>
      <c r="B935" s="80"/>
      <c r="C935" s="80"/>
      <c r="D935" s="80"/>
      <c r="E935" s="80"/>
      <c r="F935" s="80"/>
      <c r="G935" s="80"/>
      <c r="H935" s="80"/>
      <c r="I935" s="80"/>
      <c r="J935" s="80"/>
      <c r="K935" s="80"/>
      <c r="L935" s="80"/>
      <c r="M935" s="80"/>
      <c r="N935" s="80"/>
      <c r="O935" s="80"/>
      <c r="P935" s="80"/>
      <c r="Q935" s="80"/>
      <c r="R935" s="80"/>
      <c r="S935" s="80"/>
      <c r="T935" s="80"/>
    </row>
    <row r="936" spans="1:20" ht="15.75">
      <c r="A936" s="80"/>
      <c r="B936" s="80"/>
      <c r="C936" s="80"/>
      <c r="D936" s="80"/>
      <c r="E936" s="80"/>
      <c r="F936" s="80"/>
      <c r="G936" s="80"/>
      <c r="H936" s="80"/>
      <c r="I936" s="80"/>
      <c r="J936" s="80"/>
      <c r="K936" s="80"/>
      <c r="L936" s="80"/>
      <c r="M936" s="80"/>
      <c r="N936" s="80"/>
      <c r="O936" s="80"/>
      <c r="P936" s="80"/>
      <c r="Q936" s="80"/>
      <c r="R936" s="80"/>
      <c r="S936" s="80"/>
      <c r="T936" s="80"/>
    </row>
    <row r="937" spans="1:20" ht="15.75">
      <c r="A937" s="80"/>
      <c r="B937" s="80"/>
      <c r="C937" s="80"/>
      <c r="D937" s="80"/>
      <c r="E937" s="80"/>
      <c r="F937" s="80"/>
      <c r="G937" s="80"/>
      <c r="H937" s="80"/>
      <c r="I937" s="80"/>
      <c r="J937" s="80"/>
      <c r="K937" s="80"/>
      <c r="L937" s="80"/>
      <c r="M937" s="80"/>
      <c r="N937" s="80"/>
      <c r="O937" s="80"/>
      <c r="P937" s="80"/>
      <c r="Q937" s="80"/>
      <c r="R937" s="80"/>
      <c r="S937" s="80"/>
      <c r="T937" s="80"/>
    </row>
    <row r="938" spans="1:20" ht="15.75">
      <c r="A938" s="80"/>
      <c r="B938" s="80"/>
      <c r="C938" s="80"/>
      <c r="D938" s="80"/>
      <c r="E938" s="80"/>
      <c r="F938" s="80"/>
      <c r="G938" s="80"/>
      <c r="H938" s="80"/>
      <c r="I938" s="80"/>
      <c r="J938" s="80"/>
      <c r="K938" s="80"/>
      <c r="L938" s="80"/>
      <c r="M938" s="80"/>
      <c r="N938" s="80"/>
      <c r="O938" s="80"/>
      <c r="P938" s="80"/>
      <c r="Q938" s="80"/>
      <c r="R938" s="80"/>
      <c r="S938" s="80"/>
      <c r="T938" s="80"/>
    </row>
    <row r="939" spans="1:20" ht="15.75">
      <c r="A939" s="80"/>
      <c r="B939" s="80"/>
      <c r="C939" s="80"/>
      <c r="D939" s="80"/>
      <c r="E939" s="80"/>
      <c r="F939" s="80"/>
      <c r="G939" s="80"/>
      <c r="H939" s="80"/>
      <c r="I939" s="80"/>
      <c r="J939" s="80"/>
      <c r="K939" s="80"/>
      <c r="L939" s="80"/>
      <c r="M939" s="80"/>
      <c r="N939" s="80"/>
      <c r="O939" s="80"/>
      <c r="P939" s="80"/>
      <c r="Q939" s="80"/>
      <c r="R939" s="80"/>
      <c r="S939" s="80"/>
      <c r="T939" s="80"/>
    </row>
    <row r="940" spans="1:20" ht="15.75">
      <c r="A940" s="80"/>
      <c r="B940" s="80"/>
      <c r="C940" s="80"/>
      <c r="D940" s="80"/>
      <c r="E940" s="80"/>
      <c r="F940" s="80"/>
      <c r="G940" s="80"/>
      <c r="H940" s="80"/>
      <c r="I940" s="80"/>
      <c r="J940" s="80"/>
      <c r="K940" s="80"/>
      <c r="L940" s="80"/>
      <c r="M940" s="80"/>
      <c r="N940" s="80"/>
      <c r="O940" s="80"/>
      <c r="P940" s="80"/>
      <c r="Q940" s="80"/>
      <c r="R940" s="80"/>
      <c r="S940" s="80"/>
      <c r="T940" s="80"/>
    </row>
    <row r="941" spans="1:20" ht="15.75">
      <c r="A941" s="80"/>
      <c r="B941" s="80"/>
      <c r="C941" s="80"/>
      <c r="D941" s="80"/>
      <c r="E941" s="80"/>
      <c r="F941" s="80"/>
      <c r="G941" s="80"/>
      <c r="H941" s="80"/>
      <c r="I941" s="80"/>
      <c r="J941" s="80"/>
      <c r="K941" s="80"/>
      <c r="L941" s="80"/>
      <c r="M941" s="80"/>
      <c r="N941" s="80"/>
      <c r="O941" s="80"/>
      <c r="P941" s="80"/>
      <c r="Q941" s="80"/>
      <c r="R941" s="80"/>
      <c r="S941" s="80"/>
      <c r="T941" s="80"/>
    </row>
    <row r="942" spans="1:20" ht="15.75">
      <c r="A942" s="80"/>
      <c r="B942" s="80"/>
      <c r="C942" s="80"/>
      <c r="D942" s="80"/>
      <c r="E942" s="80"/>
      <c r="F942" s="80"/>
      <c r="G942" s="80"/>
      <c r="H942" s="80"/>
      <c r="I942" s="80"/>
      <c r="J942" s="80"/>
      <c r="K942" s="80"/>
      <c r="L942" s="80"/>
      <c r="M942" s="80"/>
      <c r="N942" s="80"/>
      <c r="O942" s="80"/>
      <c r="P942" s="80"/>
      <c r="Q942" s="80"/>
      <c r="R942" s="80"/>
      <c r="S942" s="80"/>
      <c r="T942" s="80"/>
    </row>
    <row r="943" spans="1:20" ht="15.75">
      <c r="A943" s="80"/>
      <c r="B943" s="80"/>
      <c r="C943" s="80"/>
      <c r="D943" s="80"/>
      <c r="E943" s="80"/>
      <c r="F943" s="80"/>
      <c r="G943" s="80"/>
      <c r="H943" s="80"/>
      <c r="I943" s="80"/>
      <c r="J943" s="80"/>
      <c r="K943" s="80"/>
      <c r="L943" s="80"/>
      <c r="M943" s="80"/>
      <c r="N943" s="80"/>
      <c r="O943" s="80"/>
      <c r="P943" s="80"/>
      <c r="Q943" s="80"/>
      <c r="R943" s="80"/>
      <c r="S943" s="80"/>
      <c r="T943" s="80"/>
    </row>
    <row r="944" spans="1:20" ht="15.75">
      <c r="A944" s="80"/>
      <c r="B944" s="80"/>
      <c r="C944" s="80"/>
      <c r="D944" s="80"/>
      <c r="E944" s="80"/>
      <c r="F944" s="80"/>
      <c r="G944" s="80"/>
      <c r="H944" s="80"/>
      <c r="I944" s="80"/>
      <c r="J944" s="80"/>
      <c r="K944" s="80"/>
      <c r="L944" s="80"/>
      <c r="M944" s="80"/>
      <c r="N944" s="80"/>
      <c r="O944" s="80"/>
      <c r="P944" s="80"/>
      <c r="Q944" s="80"/>
      <c r="R944" s="80"/>
      <c r="S944" s="80"/>
      <c r="T944" s="80"/>
    </row>
    <row r="945" spans="1:20" ht="15.75">
      <c r="A945" s="80"/>
      <c r="B945" s="80"/>
      <c r="C945" s="80"/>
      <c r="D945" s="80"/>
      <c r="E945" s="80"/>
      <c r="F945" s="80"/>
      <c r="G945" s="80"/>
      <c r="H945" s="80"/>
      <c r="I945" s="80"/>
      <c r="J945" s="80"/>
      <c r="K945" s="80"/>
      <c r="L945" s="80"/>
      <c r="M945" s="80"/>
      <c r="N945" s="80"/>
      <c r="O945" s="80"/>
      <c r="P945" s="80"/>
      <c r="Q945" s="80"/>
      <c r="R945" s="80"/>
      <c r="S945" s="80"/>
      <c r="T945" s="80"/>
    </row>
    <row r="946" spans="1:20" ht="15.75">
      <c r="A946" s="80"/>
      <c r="B946" s="80"/>
      <c r="C946" s="80"/>
      <c r="D946" s="80"/>
      <c r="E946" s="80"/>
      <c r="F946" s="80"/>
      <c r="G946" s="80"/>
      <c r="H946" s="80"/>
      <c r="I946" s="80"/>
      <c r="J946" s="80"/>
      <c r="K946" s="80"/>
      <c r="L946" s="80"/>
      <c r="M946" s="80"/>
      <c r="N946" s="80"/>
      <c r="O946" s="80"/>
      <c r="P946" s="80"/>
      <c r="Q946" s="80"/>
      <c r="R946" s="80"/>
      <c r="S946" s="80"/>
      <c r="T946" s="80"/>
    </row>
    <row r="947" spans="1:20" ht="15.75">
      <c r="A947" s="80"/>
      <c r="B947" s="80"/>
      <c r="C947" s="80"/>
      <c r="D947" s="80"/>
      <c r="E947" s="80"/>
      <c r="F947" s="80"/>
      <c r="G947" s="80"/>
      <c r="H947" s="80"/>
      <c r="I947" s="80"/>
      <c r="J947" s="80"/>
      <c r="K947" s="80"/>
      <c r="L947" s="80"/>
      <c r="M947" s="80"/>
      <c r="N947" s="80"/>
      <c r="O947" s="80"/>
      <c r="P947" s="80"/>
      <c r="Q947" s="80"/>
      <c r="R947" s="80"/>
      <c r="S947" s="80"/>
      <c r="T947" s="80"/>
    </row>
    <row r="948" spans="1:20" ht="15.75">
      <c r="A948" s="80"/>
      <c r="B948" s="80"/>
      <c r="C948" s="80"/>
      <c r="D948" s="80"/>
      <c r="E948" s="80"/>
      <c r="F948" s="80"/>
      <c r="G948" s="80"/>
      <c r="H948" s="80"/>
      <c r="I948" s="80"/>
      <c r="J948" s="80"/>
      <c r="K948" s="80"/>
      <c r="L948" s="80"/>
      <c r="M948" s="80"/>
      <c r="N948" s="80"/>
      <c r="O948" s="80"/>
      <c r="P948" s="80"/>
      <c r="Q948" s="80"/>
      <c r="R948" s="80"/>
      <c r="S948" s="80"/>
      <c r="T948" s="80"/>
    </row>
    <row r="949" spans="1:20" ht="15.75">
      <c r="A949" s="80"/>
      <c r="B949" s="80"/>
      <c r="C949" s="80"/>
      <c r="D949" s="80"/>
      <c r="E949" s="80"/>
      <c r="F949" s="80"/>
      <c r="G949" s="80"/>
      <c r="H949" s="80"/>
      <c r="I949" s="80"/>
      <c r="J949" s="80"/>
      <c r="K949" s="80"/>
      <c r="L949" s="80"/>
      <c r="M949" s="80"/>
      <c r="N949" s="80"/>
      <c r="O949" s="80"/>
      <c r="P949" s="80"/>
      <c r="Q949" s="80"/>
      <c r="R949" s="80"/>
      <c r="S949" s="80"/>
      <c r="T949" s="80"/>
    </row>
    <row r="950" spans="1:20" ht="15.75">
      <c r="A950" s="80"/>
      <c r="B950" s="80"/>
      <c r="C950" s="80"/>
      <c r="D950" s="80"/>
      <c r="E950" s="80"/>
      <c r="F950" s="80"/>
      <c r="G950" s="80"/>
      <c r="H950" s="80"/>
      <c r="I950" s="80"/>
      <c r="J950" s="80"/>
      <c r="K950" s="80"/>
      <c r="L950" s="80"/>
      <c r="M950" s="80"/>
      <c r="N950" s="80"/>
      <c r="O950" s="80"/>
      <c r="P950" s="80"/>
      <c r="Q950" s="80"/>
      <c r="R950" s="80"/>
      <c r="S950" s="80"/>
      <c r="T950" s="80"/>
    </row>
    <row r="951" spans="1:20" ht="15.75">
      <c r="A951" s="80"/>
      <c r="B951" s="80"/>
      <c r="C951" s="80"/>
      <c r="D951" s="80"/>
      <c r="E951" s="80"/>
      <c r="F951" s="80"/>
      <c r="G951" s="80"/>
      <c r="H951" s="80"/>
      <c r="I951" s="80"/>
      <c r="J951" s="80"/>
      <c r="K951" s="80"/>
      <c r="L951" s="80"/>
      <c r="M951" s="80"/>
      <c r="N951" s="80"/>
      <c r="O951" s="80"/>
      <c r="P951" s="80"/>
      <c r="Q951" s="80"/>
      <c r="R951" s="80"/>
      <c r="S951" s="80"/>
      <c r="T951" s="80"/>
    </row>
    <row r="952" spans="1:20" ht="15.75">
      <c r="A952" s="80"/>
      <c r="B952" s="80"/>
      <c r="C952" s="80"/>
      <c r="D952" s="80"/>
      <c r="E952" s="80"/>
      <c r="F952" s="80"/>
      <c r="G952" s="80"/>
      <c r="H952" s="80"/>
      <c r="I952" s="80"/>
      <c r="J952" s="80"/>
      <c r="K952" s="80"/>
      <c r="L952" s="80"/>
      <c r="M952" s="80"/>
      <c r="N952" s="80"/>
      <c r="O952" s="80"/>
      <c r="P952" s="80"/>
      <c r="Q952" s="80"/>
      <c r="R952" s="80"/>
      <c r="S952" s="80"/>
      <c r="T952" s="80"/>
    </row>
    <row r="953" spans="1:20" ht="15.75">
      <c r="A953" s="80"/>
      <c r="B953" s="80"/>
      <c r="C953" s="80"/>
      <c r="D953" s="80"/>
      <c r="E953" s="80"/>
      <c r="F953" s="80"/>
      <c r="G953" s="80"/>
      <c r="H953" s="80"/>
      <c r="I953" s="80"/>
      <c r="J953" s="80"/>
      <c r="K953" s="80"/>
      <c r="L953" s="80"/>
      <c r="M953" s="80"/>
      <c r="N953" s="80"/>
      <c r="O953" s="80"/>
      <c r="P953" s="80"/>
      <c r="Q953" s="80"/>
      <c r="R953" s="80"/>
      <c r="S953" s="80"/>
      <c r="T953" s="80"/>
    </row>
    <row r="954" spans="1:20" ht="15.75">
      <c r="A954" s="80"/>
      <c r="B954" s="80"/>
      <c r="C954" s="80"/>
      <c r="D954" s="80"/>
      <c r="E954" s="80"/>
      <c r="F954" s="80"/>
      <c r="G954" s="80"/>
      <c r="H954" s="80"/>
      <c r="I954" s="80"/>
      <c r="J954" s="80"/>
      <c r="K954" s="80"/>
      <c r="L954" s="80"/>
      <c r="M954" s="80"/>
      <c r="N954" s="80"/>
      <c r="O954" s="80"/>
      <c r="P954" s="80"/>
      <c r="Q954" s="80"/>
      <c r="R954" s="80"/>
      <c r="S954" s="80"/>
      <c r="T954" s="80"/>
    </row>
    <row r="955" spans="1:20" ht="15.75">
      <c r="A955" s="80"/>
      <c r="B955" s="80"/>
      <c r="C955" s="80"/>
      <c r="D955" s="80"/>
      <c r="E955" s="80"/>
      <c r="F955" s="80"/>
      <c r="G955" s="80"/>
      <c r="H955" s="80"/>
      <c r="I955" s="80"/>
      <c r="J955" s="80"/>
      <c r="K955" s="80"/>
      <c r="L955" s="80"/>
      <c r="M955" s="80"/>
      <c r="N955" s="80"/>
      <c r="O955" s="80"/>
      <c r="P955" s="80"/>
      <c r="Q955" s="80"/>
      <c r="R955" s="80"/>
      <c r="S955" s="80"/>
      <c r="T955" s="80"/>
    </row>
    <row r="956" spans="1:20" ht="15.75">
      <c r="A956" s="80"/>
      <c r="B956" s="80"/>
      <c r="C956" s="80"/>
      <c r="D956" s="80"/>
      <c r="E956" s="80"/>
      <c r="F956" s="80"/>
      <c r="G956" s="80"/>
      <c r="H956" s="80"/>
      <c r="I956" s="80"/>
      <c r="J956" s="80"/>
      <c r="K956" s="80"/>
      <c r="L956" s="80"/>
      <c r="M956" s="80"/>
      <c r="N956" s="80"/>
      <c r="O956" s="80"/>
      <c r="P956" s="80"/>
      <c r="Q956" s="80"/>
      <c r="R956" s="80"/>
      <c r="S956" s="80"/>
      <c r="T956" s="80"/>
    </row>
    <row r="957" spans="1:20" ht="15.75">
      <c r="A957" s="80"/>
      <c r="B957" s="80"/>
      <c r="C957" s="80"/>
      <c r="D957" s="80"/>
      <c r="E957" s="80"/>
      <c r="F957" s="80"/>
      <c r="G957" s="80"/>
      <c r="H957" s="80"/>
      <c r="I957" s="80"/>
      <c r="J957" s="80"/>
      <c r="K957" s="80"/>
      <c r="L957" s="80"/>
      <c r="M957" s="80"/>
      <c r="N957" s="80"/>
      <c r="O957" s="80"/>
      <c r="P957" s="80"/>
      <c r="Q957" s="80"/>
      <c r="R957" s="80"/>
      <c r="S957" s="80"/>
      <c r="T957" s="80"/>
    </row>
    <row r="958" spans="1:20" ht="15.75">
      <c r="A958" s="80"/>
      <c r="B958" s="80"/>
      <c r="C958" s="80"/>
      <c r="D958" s="80"/>
      <c r="E958" s="80"/>
      <c r="F958" s="80"/>
      <c r="G958" s="80"/>
      <c r="H958" s="80"/>
      <c r="I958" s="80"/>
      <c r="J958" s="80"/>
      <c r="K958" s="80"/>
      <c r="L958" s="80"/>
      <c r="M958" s="80"/>
      <c r="N958" s="80"/>
      <c r="O958" s="80"/>
      <c r="P958" s="80"/>
      <c r="Q958" s="80"/>
      <c r="R958" s="80"/>
      <c r="S958" s="80"/>
      <c r="T958" s="80"/>
    </row>
    <row r="959" spans="1:20" ht="15.75">
      <c r="A959" s="80"/>
      <c r="B959" s="80"/>
      <c r="C959" s="80"/>
      <c r="D959" s="80"/>
      <c r="E959" s="80"/>
      <c r="F959" s="80"/>
      <c r="G959" s="80"/>
      <c r="H959" s="80"/>
      <c r="I959" s="80"/>
      <c r="J959" s="80"/>
      <c r="K959" s="80"/>
      <c r="L959" s="80"/>
      <c r="M959" s="80"/>
      <c r="N959" s="80"/>
      <c r="O959" s="80"/>
      <c r="P959" s="80"/>
      <c r="Q959" s="80"/>
      <c r="R959" s="80"/>
      <c r="S959" s="80"/>
      <c r="T959" s="80"/>
    </row>
    <row r="960" spans="1:20" ht="15.75">
      <c r="A960" s="80"/>
      <c r="B960" s="80"/>
      <c r="C960" s="80"/>
      <c r="D960" s="80"/>
      <c r="E960" s="80"/>
      <c r="F960" s="80"/>
      <c r="G960" s="80"/>
      <c r="H960" s="80"/>
      <c r="I960" s="80"/>
      <c r="J960" s="80"/>
      <c r="K960" s="80"/>
      <c r="L960" s="80"/>
      <c r="M960" s="80"/>
      <c r="N960" s="80"/>
      <c r="O960" s="80"/>
      <c r="P960" s="80"/>
      <c r="Q960" s="80"/>
      <c r="R960" s="80"/>
      <c r="S960" s="80"/>
      <c r="T960" s="80"/>
    </row>
    <row r="961" spans="1:20" ht="15.75">
      <c r="A961" s="80"/>
      <c r="B961" s="80"/>
      <c r="C961" s="80"/>
      <c r="D961" s="80"/>
      <c r="E961" s="80"/>
      <c r="F961" s="80"/>
      <c r="G961" s="80"/>
      <c r="H961" s="80"/>
      <c r="I961" s="80"/>
      <c r="J961" s="80"/>
      <c r="K961" s="80"/>
      <c r="L961" s="80"/>
      <c r="M961" s="80"/>
      <c r="N961" s="80"/>
      <c r="O961" s="80"/>
      <c r="P961" s="80"/>
      <c r="Q961" s="80"/>
      <c r="R961" s="80"/>
      <c r="S961" s="80"/>
      <c r="T961" s="80"/>
    </row>
    <row r="962" spans="1:20" ht="15.75">
      <c r="A962" s="80"/>
      <c r="B962" s="80"/>
      <c r="C962" s="80"/>
      <c r="D962" s="80"/>
      <c r="E962" s="80"/>
      <c r="F962" s="80"/>
      <c r="G962" s="80"/>
      <c r="H962" s="80"/>
      <c r="I962" s="80"/>
      <c r="J962" s="80"/>
      <c r="K962" s="80"/>
      <c r="L962" s="80"/>
      <c r="M962" s="80"/>
      <c r="N962" s="80"/>
      <c r="O962" s="80"/>
      <c r="P962" s="80"/>
      <c r="Q962" s="80"/>
      <c r="R962" s="80"/>
      <c r="S962" s="80"/>
      <c r="T962" s="80"/>
    </row>
    <row r="963" spans="1:20" ht="15.75">
      <c r="A963" s="80"/>
      <c r="B963" s="80"/>
      <c r="C963" s="80"/>
      <c r="D963" s="80"/>
      <c r="E963" s="80"/>
      <c r="F963" s="80"/>
      <c r="G963" s="80"/>
      <c r="H963" s="80"/>
      <c r="I963" s="80"/>
      <c r="J963" s="80"/>
      <c r="K963" s="80"/>
      <c r="L963" s="80"/>
      <c r="M963" s="80"/>
      <c r="N963" s="80"/>
      <c r="O963" s="80"/>
      <c r="P963" s="80"/>
      <c r="Q963" s="80"/>
      <c r="R963" s="80"/>
      <c r="S963" s="80"/>
      <c r="T963" s="80"/>
    </row>
    <row r="964" spans="1:20" ht="15.75">
      <c r="A964" s="80"/>
      <c r="B964" s="80"/>
      <c r="C964" s="80"/>
      <c r="D964" s="80"/>
      <c r="E964" s="80"/>
      <c r="F964" s="80"/>
      <c r="G964" s="80"/>
      <c r="H964" s="80"/>
      <c r="I964" s="80"/>
      <c r="J964" s="80"/>
      <c r="K964" s="80"/>
      <c r="L964" s="80"/>
      <c r="M964" s="80"/>
      <c r="N964" s="80"/>
      <c r="O964" s="80"/>
      <c r="P964" s="80"/>
      <c r="Q964" s="80"/>
      <c r="R964" s="80"/>
      <c r="S964" s="80"/>
      <c r="T964" s="80"/>
    </row>
    <row r="965" spans="1:20" ht="15.75">
      <c r="A965" s="80"/>
      <c r="B965" s="80"/>
      <c r="C965" s="80"/>
      <c r="D965" s="80"/>
      <c r="E965" s="80"/>
      <c r="F965" s="80"/>
      <c r="G965" s="80"/>
      <c r="H965" s="80"/>
      <c r="I965" s="80"/>
      <c r="J965" s="80"/>
      <c r="K965" s="80"/>
      <c r="L965" s="80"/>
      <c r="M965" s="80"/>
      <c r="N965" s="80"/>
      <c r="O965" s="80"/>
      <c r="P965" s="80"/>
      <c r="Q965" s="80"/>
      <c r="R965" s="80"/>
      <c r="S965" s="80"/>
      <c r="T965" s="80"/>
    </row>
    <row r="966" spans="1:20" ht="15.75">
      <c r="A966" s="80"/>
      <c r="B966" s="80"/>
      <c r="C966" s="80"/>
      <c r="D966" s="80"/>
      <c r="E966" s="80"/>
      <c r="F966" s="80"/>
      <c r="G966" s="80"/>
      <c r="H966" s="80"/>
      <c r="I966" s="80"/>
      <c r="J966" s="80"/>
      <c r="K966" s="80"/>
      <c r="L966" s="80"/>
      <c r="M966" s="80"/>
      <c r="N966" s="80"/>
      <c r="O966" s="80"/>
      <c r="P966" s="80"/>
      <c r="Q966" s="80"/>
      <c r="R966" s="80"/>
      <c r="S966" s="80"/>
      <c r="T966" s="80"/>
    </row>
    <row r="967" spans="1:20" ht="15.75">
      <c r="A967" s="80"/>
      <c r="B967" s="80"/>
      <c r="C967" s="80"/>
      <c r="D967" s="80"/>
      <c r="E967" s="80"/>
      <c r="F967" s="80"/>
      <c r="G967" s="80"/>
      <c r="H967" s="80"/>
      <c r="I967" s="80"/>
      <c r="J967" s="80"/>
      <c r="K967" s="80"/>
      <c r="L967" s="80"/>
      <c r="M967" s="80"/>
      <c r="N967" s="80"/>
      <c r="O967" s="80"/>
      <c r="P967" s="80"/>
      <c r="Q967" s="80"/>
      <c r="R967" s="80"/>
      <c r="S967" s="80"/>
      <c r="T967" s="80"/>
    </row>
    <row r="968" spans="1:20" ht="15.75">
      <c r="A968" s="80"/>
      <c r="B968" s="80"/>
      <c r="C968" s="80"/>
      <c r="D968" s="80"/>
      <c r="E968" s="80"/>
      <c r="F968" s="80"/>
      <c r="G968" s="80"/>
      <c r="H968" s="80"/>
      <c r="I968" s="80"/>
      <c r="J968" s="80"/>
      <c r="K968" s="80"/>
      <c r="L968" s="80"/>
      <c r="M968" s="80"/>
      <c r="N968" s="80"/>
      <c r="O968" s="80"/>
      <c r="P968" s="80"/>
      <c r="Q968" s="80"/>
      <c r="R968" s="80"/>
      <c r="S968" s="80"/>
      <c r="T968" s="80"/>
    </row>
    <row r="969" spans="1:20" ht="15.75">
      <c r="A969" s="80"/>
      <c r="B969" s="80"/>
      <c r="C969" s="80"/>
      <c r="D969" s="80"/>
      <c r="E969" s="80"/>
      <c r="F969" s="80"/>
      <c r="G969" s="80"/>
      <c r="H969" s="80"/>
      <c r="I969" s="80"/>
      <c r="J969" s="80"/>
      <c r="K969" s="80"/>
      <c r="L969" s="80"/>
      <c r="M969" s="80"/>
      <c r="N969" s="80"/>
      <c r="O969" s="80"/>
      <c r="P969" s="80"/>
      <c r="Q969" s="80"/>
      <c r="R969" s="80"/>
      <c r="S969" s="80"/>
      <c r="T969" s="80"/>
    </row>
    <row r="970" spans="1:20" ht="15.75">
      <c r="A970" s="80"/>
      <c r="B970" s="80"/>
      <c r="C970" s="80"/>
      <c r="D970" s="80"/>
      <c r="E970" s="80"/>
      <c r="F970" s="80"/>
      <c r="G970" s="80"/>
      <c r="H970" s="80"/>
      <c r="I970" s="80"/>
      <c r="J970" s="80"/>
      <c r="K970" s="80"/>
      <c r="L970" s="80"/>
      <c r="M970" s="80"/>
      <c r="N970" s="80"/>
      <c r="O970" s="80"/>
      <c r="P970" s="80"/>
      <c r="Q970" s="80"/>
      <c r="R970" s="80"/>
      <c r="S970" s="80"/>
      <c r="T970" s="80"/>
    </row>
    <row r="971" spans="1:20" ht="15.75">
      <c r="A971" s="80"/>
      <c r="B971" s="80"/>
      <c r="C971" s="80"/>
      <c r="D971" s="80"/>
      <c r="E971" s="80"/>
      <c r="F971" s="80"/>
      <c r="G971" s="80"/>
      <c r="H971" s="80"/>
      <c r="I971" s="80"/>
      <c r="J971" s="80"/>
      <c r="K971" s="80"/>
      <c r="L971" s="80"/>
      <c r="M971" s="80"/>
      <c r="N971" s="80"/>
      <c r="O971" s="80"/>
      <c r="P971" s="80"/>
      <c r="Q971" s="80"/>
      <c r="R971" s="80"/>
      <c r="S971" s="80"/>
      <c r="T971" s="80"/>
    </row>
    <row r="972" spans="1:20" ht="15.75">
      <c r="A972" s="80"/>
      <c r="B972" s="80"/>
      <c r="C972" s="80"/>
      <c r="D972" s="80"/>
      <c r="E972" s="80"/>
      <c r="F972" s="80"/>
      <c r="G972" s="80"/>
      <c r="H972" s="80"/>
      <c r="I972" s="80"/>
      <c r="J972" s="80"/>
      <c r="K972" s="80"/>
      <c r="L972" s="80"/>
      <c r="M972" s="80"/>
      <c r="N972" s="80"/>
      <c r="O972" s="80"/>
      <c r="P972" s="80"/>
      <c r="Q972" s="80"/>
      <c r="R972" s="80"/>
      <c r="S972" s="80"/>
      <c r="T972" s="80"/>
    </row>
    <row r="973" spans="1:20" ht="15.75">
      <c r="A973" s="80"/>
      <c r="B973" s="80"/>
      <c r="C973" s="80"/>
      <c r="D973" s="80"/>
      <c r="E973" s="80"/>
      <c r="F973" s="80"/>
      <c r="G973" s="80"/>
      <c r="H973" s="80"/>
      <c r="I973" s="80"/>
      <c r="J973" s="80"/>
      <c r="K973" s="80"/>
      <c r="L973" s="80"/>
      <c r="M973" s="80"/>
      <c r="N973" s="80"/>
      <c r="O973" s="80"/>
      <c r="P973" s="80"/>
      <c r="Q973" s="80"/>
      <c r="R973" s="80"/>
      <c r="S973" s="80"/>
      <c r="T973" s="80"/>
    </row>
    <row r="974" spans="1:20" ht="15.75">
      <c r="A974" s="80"/>
      <c r="B974" s="80"/>
      <c r="C974" s="80"/>
      <c r="D974" s="80"/>
      <c r="E974" s="80"/>
      <c r="F974" s="80"/>
      <c r="G974" s="80"/>
      <c r="H974" s="80"/>
      <c r="I974" s="80"/>
      <c r="J974" s="80"/>
      <c r="K974" s="80"/>
      <c r="L974" s="80"/>
      <c r="M974" s="80"/>
      <c r="N974" s="80"/>
      <c r="O974" s="80"/>
      <c r="P974" s="80"/>
      <c r="Q974" s="80"/>
      <c r="R974" s="80"/>
      <c r="S974" s="80"/>
      <c r="T974" s="80"/>
    </row>
    <row r="975" spans="1:20" ht="15.75">
      <c r="A975" s="80"/>
      <c r="B975" s="80"/>
      <c r="C975" s="80"/>
      <c r="D975" s="80"/>
      <c r="E975" s="80"/>
      <c r="F975" s="80"/>
      <c r="G975" s="80"/>
      <c r="H975" s="80"/>
      <c r="I975" s="80"/>
      <c r="J975" s="80"/>
      <c r="K975" s="80"/>
      <c r="L975" s="80"/>
      <c r="M975" s="80"/>
      <c r="N975" s="80"/>
      <c r="O975" s="80"/>
      <c r="P975" s="80"/>
      <c r="Q975" s="80"/>
      <c r="R975" s="80"/>
      <c r="S975" s="80"/>
      <c r="T975" s="80"/>
    </row>
    <row r="976" spans="1:20" ht="15.75">
      <c r="A976" s="80"/>
      <c r="B976" s="80"/>
      <c r="C976" s="80"/>
      <c r="D976" s="80"/>
      <c r="E976" s="80"/>
      <c r="F976" s="80"/>
      <c r="G976" s="80"/>
      <c r="H976" s="80"/>
      <c r="I976" s="80"/>
      <c r="J976" s="80"/>
      <c r="K976" s="80"/>
      <c r="L976" s="80"/>
      <c r="M976" s="80"/>
      <c r="N976" s="80"/>
      <c r="O976" s="80"/>
      <c r="P976" s="80"/>
      <c r="Q976" s="80"/>
      <c r="R976" s="80"/>
      <c r="S976" s="80"/>
      <c r="T976" s="80"/>
    </row>
    <row r="977" spans="1:20" ht="15.75">
      <c r="A977" s="80"/>
      <c r="B977" s="80"/>
      <c r="C977" s="80"/>
      <c r="D977" s="80"/>
      <c r="E977" s="80"/>
      <c r="F977" s="80"/>
      <c r="G977" s="80"/>
      <c r="H977" s="80"/>
      <c r="I977" s="80"/>
      <c r="J977" s="80"/>
      <c r="K977" s="80"/>
      <c r="L977" s="80"/>
      <c r="M977" s="80"/>
      <c r="N977" s="80"/>
      <c r="O977" s="80"/>
      <c r="P977" s="80"/>
      <c r="Q977" s="80"/>
      <c r="R977" s="80"/>
      <c r="S977" s="80"/>
      <c r="T977" s="80"/>
    </row>
    <row r="978" spans="1:20" ht="15.75">
      <c r="A978" s="80"/>
      <c r="B978" s="80"/>
      <c r="C978" s="80"/>
      <c r="D978" s="80"/>
      <c r="E978" s="80"/>
      <c r="F978" s="80"/>
      <c r="G978" s="80"/>
      <c r="H978" s="80"/>
      <c r="I978" s="80"/>
      <c r="J978" s="80"/>
      <c r="K978" s="80"/>
      <c r="L978" s="80"/>
      <c r="M978" s="80"/>
      <c r="N978" s="80"/>
      <c r="O978" s="80"/>
      <c r="P978" s="80"/>
      <c r="Q978" s="80"/>
      <c r="R978" s="80"/>
      <c r="S978" s="80"/>
      <c r="T978" s="80"/>
    </row>
    <row r="979" spans="1:20" ht="15.75">
      <c r="A979" s="80"/>
      <c r="B979" s="80"/>
      <c r="C979" s="80"/>
      <c r="D979" s="80"/>
      <c r="E979" s="80"/>
      <c r="F979" s="80"/>
      <c r="G979" s="80"/>
      <c r="H979" s="80"/>
      <c r="I979" s="80"/>
      <c r="J979" s="80"/>
      <c r="K979" s="80"/>
      <c r="L979" s="80"/>
      <c r="M979" s="80"/>
      <c r="N979" s="80"/>
      <c r="O979" s="80"/>
      <c r="P979" s="80"/>
      <c r="Q979" s="80"/>
      <c r="R979" s="80"/>
      <c r="S979" s="80"/>
      <c r="T979" s="80"/>
    </row>
    <row r="980" spans="1:20" ht="15.75">
      <c r="A980" s="80"/>
      <c r="B980" s="80"/>
      <c r="C980" s="80"/>
      <c r="D980" s="80"/>
      <c r="E980" s="80"/>
      <c r="F980" s="80"/>
      <c r="G980" s="80"/>
      <c r="H980" s="80"/>
      <c r="I980" s="80"/>
      <c r="J980" s="80"/>
      <c r="K980" s="80"/>
      <c r="L980" s="80"/>
      <c r="M980" s="80"/>
      <c r="N980" s="80"/>
      <c r="O980" s="80"/>
      <c r="P980" s="80"/>
      <c r="Q980" s="80"/>
      <c r="R980" s="80"/>
      <c r="S980" s="80"/>
      <c r="T980" s="80"/>
    </row>
    <row r="981" spans="1:20" ht="15.75">
      <c r="A981" s="80"/>
      <c r="B981" s="80"/>
      <c r="C981" s="80"/>
      <c r="D981" s="80"/>
      <c r="E981" s="80"/>
      <c r="F981" s="80"/>
      <c r="G981" s="80"/>
      <c r="H981" s="80"/>
      <c r="I981" s="80"/>
      <c r="J981" s="80"/>
      <c r="K981" s="80"/>
      <c r="L981" s="80"/>
      <c r="M981" s="80"/>
      <c r="N981" s="80"/>
      <c r="O981" s="80"/>
      <c r="P981" s="80"/>
      <c r="Q981" s="80"/>
      <c r="R981" s="80"/>
      <c r="S981" s="80"/>
      <c r="T981" s="80"/>
    </row>
    <row r="982" spans="1:20" ht="15.75">
      <c r="A982" s="80"/>
      <c r="B982" s="80"/>
      <c r="C982" s="80"/>
      <c r="D982" s="80"/>
      <c r="E982" s="80"/>
      <c r="F982" s="80"/>
      <c r="G982" s="80"/>
      <c r="H982" s="80"/>
      <c r="I982" s="80"/>
      <c r="J982" s="80"/>
      <c r="K982" s="80"/>
      <c r="L982" s="80"/>
      <c r="M982" s="80"/>
      <c r="N982" s="80"/>
      <c r="O982" s="80"/>
      <c r="P982" s="80"/>
      <c r="Q982" s="80"/>
      <c r="R982" s="80"/>
      <c r="S982" s="80"/>
      <c r="T982" s="80"/>
    </row>
    <row r="983" spans="1:20" ht="15.75">
      <c r="A983" s="80"/>
      <c r="B983" s="80"/>
      <c r="C983" s="80"/>
      <c r="D983" s="80"/>
      <c r="E983" s="80"/>
      <c r="F983" s="80"/>
      <c r="G983" s="80"/>
      <c r="H983" s="80"/>
      <c r="I983" s="80"/>
      <c r="J983" s="80"/>
      <c r="K983" s="80"/>
      <c r="L983" s="80"/>
      <c r="M983" s="80"/>
      <c r="N983" s="80"/>
      <c r="O983" s="80"/>
      <c r="P983" s="80"/>
      <c r="Q983" s="80"/>
      <c r="R983" s="80"/>
      <c r="S983" s="80"/>
      <c r="T983" s="80"/>
    </row>
    <row r="984" spans="1:20" ht="15.75">
      <c r="A984" s="80"/>
      <c r="B984" s="80"/>
      <c r="C984" s="80"/>
      <c r="D984" s="80"/>
      <c r="E984" s="80"/>
      <c r="F984" s="80"/>
      <c r="G984" s="80"/>
      <c r="H984" s="80"/>
      <c r="I984" s="80"/>
      <c r="J984" s="80"/>
      <c r="K984" s="80"/>
      <c r="L984" s="80"/>
      <c r="M984" s="80"/>
      <c r="N984" s="80"/>
      <c r="O984" s="80"/>
      <c r="P984" s="80"/>
      <c r="Q984" s="80"/>
      <c r="R984" s="80"/>
      <c r="S984" s="80"/>
      <c r="T984" s="80"/>
    </row>
    <row r="985" spans="1:20" ht="15.75">
      <c r="A985" s="80"/>
      <c r="B985" s="80"/>
      <c r="C985" s="80"/>
      <c r="D985" s="80"/>
      <c r="E985" s="80"/>
      <c r="F985" s="80"/>
      <c r="G985" s="80"/>
      <c r="H985" s="80"/>
      <c r="I985" s="80"/>
      <c r="J985" s="80"/>
      <c r="K985" s="80"/>
      <c r="L985" s="80"/>
      <c r="M985" s="80"/>
      <c r="N985" s="80"/>
      <c r="O985" s="80"/>
      <c r="P985" s="80"/>
      <c r="Q985" s="80"/>
      <c r="R985" s="80"/>
      <c r="S985" s="80"/>
      <c r="T985" s="80"/>
    </row>
    <row r="986" spans="1:20" ht="15.75">
      <c r="A986" s="80"/>
      <c r="B986" s="80"/>
      <c r="C986" s="80"/>
      <c r="D986" s="80"/>
      <c r="E986" s="80"/>
      <c r="F986" s="80"/>
      <c r="G986" s="80"/>
      <c r="H986" s="80"/>
      <c r="I986" s="80"/>
      <c r="J986" s="80"/>
      <c r="K986" s="80"/>
      <c r="L986" s="80"/>
      <c r="M986" s="80"/>
      <c r="N986" s="80"/>
      <c r="O986" s="80"/>
      <c r="P986" s="80"/>
      <c r="Q986" s="80"/>
      <c r="R986" s="80"/>
      <c r="S986" s="80"/>
      <c r="T986" s="80"/>
    </row>
    <row r="987" spans="1:20" ht="15.75">
      <c r="A987" s="80"/>
      <c r="B987" s="80"/>
      <c r="C987" s="80"/>
      <c r="D987" s="80"/>
      <c r="E987" s="80"/>
      <c r="F987" s="80"/>
      <c r="G987" s="80"/>
      <c r="H987" s="80"/>
      <c r="I987" s="80"/>
      <c r="J987" s="80"/>
      <c r="K987" s="80"/>
      <c r="L987" s="80"/>
      <c r="M987" s="80"/>
      <c r="N987" s="80"/>
      <c r="O987" s="80"/>
      <c r="P987" s="80"/>
      <c r="Q987" s="80"/>
      <c r="R987" s="80"/>
      <c r="S987" s="80"/>
      <c r="T987" s="80"/>
    </row>
    <row r="988" spans="1:20" ht="15.75">
      <c r="A988" s="80"/>
      <c r="B988" s="80"/>
      <c r="C988" s="80"/>
      <c r="D988" s="80"/>
      <c r="E988" s="80"/>
      <c r="F988" s="80"/>
      <c r="G988" s="80"/>
      <c r="H988" s="80"/>
      <c r="I988" s="80"/>
      <c r="J988" s="80"/>
      <c r="K988" s="80"/>
      <c r="L988" s="80"/>
      <c r="M988" s="80"/>
      <c r="N988" s="80"/>
      <c r="O988" s="80"/>
      <c r="P988" s="80"/>
      <c r="Q988" s="80"/>
      <c r="R988" s="80"/>
      <c r="S988" s="80"/>
      <c r="T988" s="80"/>
    </row>
    <row r="989" spans="1:20" ht="15.75">
      <c r="A989" s="80"/>
      <c r="B989" s="80"/>
      <c r="C989" s="80"/>
      <c r="D989" s="80"/>
      <c r="E989" s="80"/>
      <c r="F989" s="80"/>
      <c r="G989" s="80"/>
      <c r="H989" s="80"/>
      <c r="I989" s="80"/>
      <c r="J989" s="80"/>
      <c r="K989" s="80"/>
      <c r="L989" s="80"/>
      <c r="M989" s="80"/>
      <c r="N989" s="80"/>
      <c r="O989" s="80"/>
      <c r="P989" s="80"/>
      <c r="Q989" s="80"/>
      <c r="R989" s="80"/>
      <c r="S989" s="80"/>
      <c r="T989" s="80"/>
    </row>
    <row r="990" spans="1:20" ht="15.75">
      <c r="A990" s="80"/>
      <c r="B990" s="80"/>
      <c r="C990" s="80"/>
      <c r="D990" s="80"/>
      <c r="E990" s="80"/>
      <c r="F990" s="80"/>
      <c r="G990" s="80"/>
      <c r="H990" s="80"/>
      <c r="I990" s="80"/>
      <c r="J990" s="80"/>
      <c r="K990" s="80"/>
      <c r="L990" s="80"/>
      <c r="M990" s="80"/>
      <c r="N990" s="80"/>
      <c r="O990" s="80"/>
      <c r="P990" s="80"/>
      <c r="Q990" s="80"/>
      <c r="R990" s="80"/>
      <c r="S990" s="80"/>
      <c r="T990" s="80"/>
    </row>
    <row r="991" spans="1:20" ht="15.75">
      <c r="A991" s="80"/>
      <c r="B991" s="80"/>
      <c r="C991" s="80"/>
      <c r="D991" s="80"/>
      <c r="E991" s="80"/>
      <c r="F991" s="80"/>
      <c r="G991" s="80"/>
      <c r="H991" s="80"/>
      <c r="I991" s="80"/>
      <c r="J991" s="80"/>
      <c r="K991" s="80"/>
      <c r="L991" s="80"/>
      <c r="M991" s="80"/>
      <c r="N991" s="80"/>
      <c r="O991" s="80"/>
      <c r="P991" s="80"/>
      <c r="Q991" s="80"/>
      <c r="R991" s="80"/>
      <c r="S991" s="80"/>
      <c r="T991" s="80"/>
    </row>
    <row r="992" spans="1:20" ht="15.75">
      <c r="A992" s="80"/>
      <c r="B992" s="80"/>
      <c r="C992" s="80"/>
      <c r="D992" s="80"/>
      <c r="E992" s="80"/>
      <c r="F992" s="80"/>
      <c r="G992" s="80"/>
      <c r="H992" s="80"/>
      <c r="I992" s="80"/>
      <c r="J992" s="80"/>
      <c r="K992" s="80"/>
      <c r="L992" s="80"/>
      <c r="M992" s="80"/>
      <c r="N992" s="80"/>
      <c r="O992" s="80"/>
      <c r="P992" s="80"/>
      <c r="Q992" s="80"/>
      <c r="R992" s="80"/>
      <c r="S992" s="80"/>
      <c r="T992" s="80"/>
    </row>
    <row r="993" spans="1:20" ht="15.75">
      <c r="A993" s="80"/>
      <c r="B993" s="80"/>
      <c r="C993" s="80"/>
      <c r="D993" s="80"/>
      <c r="E993" s="80"/>
      <c r="F993" s="80"/>
      <c r="G993" s="80"/>
      <c r="H993" s="80"/>
      <c r="I993" s="80"/>
      <c r="J993" s="80"/>
      <c r="K993" s="80"/>
      <c r="L993" s="80"/>
      <c r="M993" s="80"/>
      <c r="N993" s="80"/>
      <c r="O993" s="80"/>
      <c r="P993" s="80"/>
      <c r="Q993" s="80"/>
      <c r="R993" s="80"/>
      <c r="S993" s="80"/>
      <c r="T993" s="80"/>
    </row>
    <row r="994" spans="1:20" ht="15.75">
      <c r="A994" s="80"/>
      <c r="B994" s="80"/>
      <c r="C994" s="80"/>
      <c r="D994" s="80"/>
      <c r="E994" s="80"/>
      <c r="F994" s="80"/>
      <c r="G994" s="80"/>
      <c r="H994" s="80"/>
      <c r="I994" s="80"/>
      <c r="J994" s="80"/>
      <c r="K994" s="80"/>
      <c r="L994" s="80"/>
      <c r="M994" s="80"/>
      <c r="N994" s="80"/>
      <c r="O994" s="80"/>
      <c r="P994" s="80"/>
      <c r="Q994" s="80"/>
      <c r="R994" s="80"/>
      <c r="S994" s="80"/>
      <c r="T994" s="80"/>
    </row>
    <row r="995" spans="1:20" ht="15.75">
      <c r="A995" s="80"/>
      <c r="B995" s="80"/>
      <c r="C995" s="80"/>
      <c r="D995" s="80"/>
      <c r="E995" s="80"/>
      <c r="F995" s="80"/>
      <c r="G995" s="80"/>
      <c r="H995" s="80"/>
      <c r="I995" s="80"/>
      <c r="J995" s="80"/>
      <c r="K995" s="80"/>
      <c r="L995" s="80"/>
      <c r="M995" s="80"/>
      <c r="N995" s="80"/>
      <c r="O995" s="80"/>
      <c r="P995" s="80"/>
      <c r="Q995" s="80"/>
      <c r="R995" s="80"/>
      <c r="S995" s="80"/>
      <c r="T995" s="80"/>
    </row>
    <row r="996" spans="1:20" ht="15.75">
      <c r="A996" s="80"/>
      <c r="B996" s="80"/>
      <c r="C996" s="80"/>
      <c r="D996" s="80"/>
      <c r="E996" s="80"/>
      <c r="F996" s="80"/>
      <c r="G996" s="80"/>
      <c r="H996" s="80"/>
      <c r="I996" s="80"/>
      <c r="J996" s="80"/>
      <c r="K996" s="80"/>
      <c r="L996" s="80"/>
      <c r="M996" s="80"/>
      <c r="N996" s="80"/>
      <c r="O996" s="80"/>
      <c r="P996" s="80"/>
      <c r="Q996" s="80"/>
      <c r="R996" s="80"/>
      <c r="S996" s="80"/>
      <c r="T996" s="80"/>
    </row>
    <row r="997" spans="1:20" ht="15.75">
      <c r="A997" s="80"/>
      <c r="B997" s="80"/>
      <c r="C997" s="80"/>
      <c r="D997" s="80"/>
      <c r="E997" s="80"/>
      <c r="F997" s="80"/>
      <c r="G997" s="80"/>
      <c r="H997" s="80"/>
      <c r="I997" s="80"/>
      <c r="J997" s="80"/>
      <c r="K997" s="80"/>
      <c r="L997" s="80"/>
      <c r="M997" s="80"/>
      <c r="N997" s="80"/>
      <c r="O997" s="80"/>
      <c r="P997" s="80"/>
      <c r="Q997" s="80"/>
      <c r="R997" s="80"/>
      <c r="S997" s="80"/>
      <c r="T997" s="80"/>
    </row>
    <row r="998" spans="1:20" ht="15.75">
      <c r="A998" s="80"/>
      <c r="B998" s="80"/>
      <c r="C998" s="80"/>
      <c r="D998" s="80"/>
      <c r="E998" s="80"/>
      <c r="F998" s="80"/>
      <c r="G998" s="80"/>
      <c r="H998" s="80"/>
      <c r="I998" s="80"/>
      <c r="J998" s="80"/>
      <c r="K998" s="80"/>
      <c r="L998" s="80"/>
      <c r="M998" s="80"/>
      <c r="N998" s="80"/>
      <c r="O998" s="80"/>
      <c r="P998" s="80"/>
      <c r="Q998" s="80"/>
      <c r="R998" s="80"/>
      <c r="S998" s="80"/>
      <c r="T998" s="80"/>
    </row>
    <row r="999" spans="1:20" ht="15.75">
      <c r="A999" s="80"/>
      <c r="B999" s="80"/>
      <c r="C999" s="80"/>
      <c r="D999" s="80"/>
      <c r="E999" s="80"/>
      <c r="F999" s="80"/>
      <c r="G999" s="80"/>
      <c r="H999" s="80"/>
      <c r="I999" s="80"/>
      <c r="J999" s="80"/>
      <c r="K999" s="80"/>
      <c r="L999" s="80"/>
      <c r="M999" s="80"/>
      <c r="N999" s="80"/>
      <c r="O999" s="80"/>
      <c r="P999" s="80"/>
      <c r="Q999" s="80"/>
      <c r="R999" s="80"/>
      <c r="S999" s="80"/>
      <c r="T999" s="80"/>
    </row>
    <row r="1000" spans="1:20" ht="15.75">
      <c r="A1000" s="80"/>
      <c r="B1000" s="80"/>
      <c r="C1000" s="80"/>
      <c r="D1000" s="80"/>
      <c r="E1000" s="80"/>
      <c r="F1000" s="80"/>
      <c r="G1000" s="80"/>
      <c r="H1000" s="80"/>
      <c r="I1000" s="80"/>
      <c r="J1000" s="80"/>
      <c r="K1000" s="80"/>
      <c r="L1000" s="80"/>
      <c r="M1000" s="80"/>
      <c r="N1000" s="80"/>
      <c r="O1000" s="80"/>
      <c r="P1000" s="80"/>
      <c r="Q1000" s="80"/>
      <c r="R1000" s="80"/>
      <c r="S1000" s="80"/>
      <c r="T1000" s="80"/>
    </row>
    <row r="1001" spans="1:20" ht="15.75">
      <c r="A1001" s="80"/>
      <c r="B1001" s="80"/>
      <c r="C1001" s="80"/>
      <c r="D1001" s="80"/>
      <c r="E1001" s="80"/>
      <c r="F1001" s="80"/>
      <c r="G1001" s="80"/>
      <c r="H1001" s="80"/>
      <c r="I1001" s="80"/>
      <c r="J1001" s="80"/>
      <c r="K1001" s="80"/>
      <c r="L1001" s="80"/>
      <c r="M1001" s="80"/>
      <c r="N1001" s="80"/>
      <c r="O1001" s="80"/>
      <c r="P1001" s="80"/>
      <c r="Q1001" s="80"/>
      <c r="R1001" s="80"/>
      <c r="S1001" s="80"/>
      <c r="T1001" s="80"/>
    </row>
    <row r="1002" spans="1:20" ht="15.75">
      <c r="A1002" s="80"/>
      <c r="B1002" s="80"/>
      <c r="C1002" s="80"/>
      <c r="D1002" s="80"/>
      <c r="E1002" s="80"/>
      <c r="F1002" s="80"/>
      <c r="G1002" s="80"/>
      <c r="H1002" s="80"/>
      <c r="I1002" s="80"/>
      <c r="J1002" s="80"/>
      <c r="K1002" s="80"/>
      <c r="L1002" s="80"/>
      <c r="M1002" s="80"/>
      <c r="N1002" s="80"/>
      <c r="O1002" s="80"/>
      <c r="P1002" s="80"/>
      <c r="Q1002" s="80"/>
      <c r="R1002" s="80"/>
      <c r="S1002" s="80"/>
      <c r="T1002" s="80"/>
    </row>
    <row r="1003" spans="1:20" ht="15.75">
      <c r="A1003" s="80"/>
      <c r="B1003" s="80"/>
      <c r="C1003" s="80"/>
      <c r="D1003" s="80"/>
      <c r="E1003" s="80"/>
      <c r="F1003" s="80"/>
      <c r="G1003" s="80"/>
      <c r="H1003" s="80"/>
      <c r="I1003" s="80"/>
      <c r="J1003" s="80"/>
      <c r="K1003" s="80"/>
      <c r="L1003" s="80"/>
      <c r="M1003" s="80"/>
      <c r="N1003" s="80"/>
      <c r="O1003" s="80"/>
      <c r="P1003" s="80"/>
      <c r="Q1003" s="80"/>
      <c r="R1003" s="80"/>
      <c r="S1003" s="80"/>
      <c r="T1003" s="80"/>
    </row>
    <row r="1004" spans="1:20" ht="15.75">
      <c r="A1004" s="80"/>
      <c r="B1004" s="80"/>
      <c r="C1004" s="80"/>
      <c r="D1004" s="80"/>
      <c r="E1004" s="80"/>
      <c r="F1004" s="80"/>
      <c r="G1004" s="80"/>
      <c r="H1004" s="80"/>
      <c r="I1004" s="80"/>
      <c r="J1004" s="80"/>
      <c r="K1004" s="80"/>
      <c r="L1004" s="80"/>
      <c r="M1004" s="80"/>
      <c r="N1004" s="80"/>
      <c r="O1004" s="80"/>
      <c r="P1004" s="80"/>
      <c r="Q1004" s="80"/>
      <c r="R1004" s="80"/>
      <c r="S1004" s="80"/>
      <c r="T1004" s="80"/>
    </row>
    <row r="1005" spans="1:20" ht="15.75">
      <c r="A1005" s="80"/>
      <c r="B1005" s="80"/>
      <c r="C1005" s="80"/>
      <c r="D1005" s="80"/>
      <c r="E1005" s="80"/>
      <c r="F1005" s="80"/>
      <c r="G1005" s="80"/>
      <c r="H1005" s="80"/>
      <c r="I1005" s="80"/>
      <c r="J1005" s="80"/>
      <c r="K1005" s="80"/>
      <c r="L1005" s="80"/>
      <c r="M1005" s="80"/>
      <c r="N1005" s="80"/>
      <c r="O1005" s="80"/>
      <c r="P1005" s="80"/>
      <c r="Q1005" s="80"/>
      <c r="R1005" s="80"/>
      <c r="S1005" s="80"/>
      <c r="T1005" s="80"/>
    </row>
    <row r="1006" spans="1:20" ht="15.75">
      <c r="A1006" s="80"/>
      <c r="B1006" s="80"/>
      <c r="C1006" s="80"/>
      <c r="D1006" s="80"/>
      <c r="E1006" s="80"/>
      <c r="F1006" s="80"/>
      <c r="G1006" s="80"/>
      <c r="H1006" s="80"/>
      <c r="I1006" s="80"/>
      <c r="J1006" s="80"/>
      <c r="K1006" s="80"/>
      <c r="L1006" s="80"/>
      <c r="M1006" s="80"/>
      <c r="N1006" s="80"/>
      <c r="O1006" s="80"/>
      <c r="P1006" s="80"/>
      <c r="Q1006" s="80"/>
      <c r="R1006" s="80"/>
      <c r="S1006" s="80"/>
      <c r="T1006" s="80"/>
    </row>
    <row r="1007" spans="1:20" ht="15.75">
      <c r="A1007" s="80"/>
      <c r="B1007" s="80"/>
      <c r="C1007" s="80"/>
      <c r="D1007" s="80"/>
      <c r="E1007" s="80"/>
      <c r="F1007" s="80"/>
      <c r="G1007" s="80"/>
      <c r="H1007" s="80"/>
      <c r="I1007" s="80"/>
      <c r="J1007" s="80"/>
      <c r="K1007" s="80"/>
      <c r="L1007" s="80"/>
      <c r="M1007" s="80"/>
      <c r="N1007" s="80"/>
      <c r="O1007" s="80"/>
      <c r="P1007" s="80"/>
      <c r="Q1007" s="80"/>
      <c r="R1007" s="80"/>
      <c r="S1007" s="80"/>
      <c r="T1007" s="80"/>
    </row>
    <row r="1008" spans="1:20" ht="15.75">
      <c r="A1008" s="80"/>
      <c r="B1008" s="80"/>
      <c r="C1008" s="80"/>
      <c r="D1008" s="80"/>
      <c r="E1008" s="80"/>
      <c r="F1008" s="80"/>
      <c r="G1008" s="80"/>
      <c r="H1008" s="80"/>
      <c r="I1008" s="80"/>
      <c r="J1008" s="80"/>
      <c r="K1008" s="80"/>
      <c r="L1008" s="80"/>
      <c r="M1008" s="80"/>
      <c r="N1008" s="80"/>
      <c r="O1008" s="80"/>
      <c r="P1008" s="80"/>
      <c r="Q1008" s="80"/>
      <c r="R1008" s="80"/>
      <c r="S1008" s="80"/>
      <c r="T1008" s="80"/>
    </row>
    <row r="1009" spans="1:20" ht="15.75">
      <c r="A1009" s="80"/>
      <c r="B1009" s="80"/>
      <c r="C1009" s="80"/>
      <c r="D1009" s="80"/>
      <c r="E1009" s="80"/>
      <c r="F1009" s="80"/>
      <c r="G1009" s="80"/>
      <c r="H1009" s="80"/>
      <c r="I1009" s="80"/>
      <c r="J1009" s="80"/>
      <c r="K1009" s="80"/>
      <c r="L1009" s="80"/>
      <c r="M1009" s="80"/>
      <c r="N1009" s="80"/>
      <c r="O1009" s="80"/>
      <c r="P1009" s="80"/>
      <c r="Q1009" s="80"/>
      <c r="R1009" s="80"/>
      <c r="S1009" s="80"/>
      <c r="T1009" s="80"/>
    </row>
    <row r="1010" spans="1:20" ht="15.75">
      <c r="A1010" s="80"/>
      <c r="B1010" s="80"/>
      <c r="C1010" s="80"/>
      <c r="D1010" s="80"/>
      <c r="E1010" s="80"/>
      <c r="F1010" s="80"/>
      <c r="G1010" s="80"/>
      <c r="H1010" s="80"/>
      <c r="I1010" s="80"/>
      <c r="J1010" s="80"/>
      <c r="K1010" s="80"/>
      <c r="L1010" s="80"/>
      <c r="M1010" s="80"/>
      <c r="N1010" s="80"/>
      <c r="O1010" s="80"/>
      <c r="P1010" s="80"/>
      <c r="Q1010" s="80"/>
      <c r="R1010" s="80"/>
      <c r="S1010" s="80"/>
      <c r="T1010" s="80"/>
    </row>
    <row r="1011" spans="1:20" ht="15.75">
      <c r="I1011" s="80"/>
      <c r="J1011" s="80"/>
      <c r="K1011" s="80"/>
      <c r="L1011" s="80"/>
      <c r="M1011" s="80"/>
      <c r="N1011" s="80"/>
      <c r="O1011" s="80"/>
      <c r="P1011" s="80"/>
      <c r="Q1011" s="80"/>
      <c r="R1011" s="80"/>
      <c r="S1011" s="80"/>
      <c r="T1011" s="80"/>
    </row>
    <row r="1012" spans="1:20" ht="15.75">
      <c r="I1012" s="80"/>
      <c r="J1012" s="80"/>
      <c r="K1012" s="80"/>
      <c r="L1012" s="80"/>
      <c r="M1012" s="80"/>
      <c r="N1012" s="80"/>
      <c r="O1012" s="80"/>
      <c r="P1012" s="80"/>
      <c r="Q1012" s="80"/>
      <c r="R1012" s="80"/>
      <c r="S1012" s="80"/>
      <c r="T1012" s="80"/>
    </row>
    <row r="1013" spans="1:20" ht="15.75">
      <c r="I1013" s="80"/>
      <c r="J1013" s="80"/>
      <c r="K1013" s="80"/>
      <c r="L1013" s="80"/>
      <c r="M1013" s="80"/>
      <c r="N1013" s="80"/>
      <c r="O1013" s="80"/>
      <c r="P1013" s="80"/>
      <c r="Q1013" s="80"/>
      <c r="R1013" s="80"/>
      <c r="S1013" s="80"/>
      <c r="T1013" s="80"/>
    </row>
    <row r="1014" spans="1:20" ht="15.75">
      <c r="I1014" s="80"/>
      <c r="J1014" s="80"/>
      <c r="K1014" s="80"/>
      <c r="L1014" s="80"/>
      <c r="M1014" s="80"/>
      <c r="N1014" s="80"/>
      <c r="O1014" s="80"/>
      <c r="P1014" s="80"/>
      <c r="Q1014" s="80"/>
      <c r="R1014" s="80"/>
      <c r="S1014" s="80"/>
      <c r="T1014" s="80"/>
    </row>
    <row r="1015" spans="1:20" ht="15.75">
      <c r="I1015" s="80"/>
      <c r="J1015" s="80"/>
      <c r="K1015" s="80"/>
      <c r="L1015" s="80"/>
      <c r="M1015" s="80"/>
      <c r="N1015" s="80"/>
      <c r="O1015" s="80"/>
      <c r="P1015" s="80"/>
      <c r="Q1015" s="80"/>
      <c r="R1015" s="80"/>
      <c r="S1015" s="80"/>
      <c r="T1015" s="80"/>
    </row>
    <row r="1016" spans="1:20" ht="15.75">
      <c r="I1016" s="80"/>
      <c r="J1016" s="80"/>
      <c r="K1016" s="80"/>
      <c r="L1016" s="80"/>
      <c r="M1016" s="80"/>
      <c r="N1016" s="80"/>
      <c r="O1016" s="80"/>
      <c r="P1016" s="80"/>
      <c r="Q1016" s="80"/>
      <c r="R1016" s="80"/>
      <c r="S1016" s="80"/>
      <c r="T1016" s="80"/>
    </row>
    <row r="1017" spans="1:20" ht="15.75">
      <c r="I1017" s="80"/>
      <c r="J1017" s="80"/>
      <c r="K1017" s="80"/>
      <c r="L1017" s="80"/>
      <c r="M1017" s="80"/>
      <c r="N1017" s="80"/>
      <c r="O1017" s="80"/>
      <c r="P1017" s="80"/>
      <c r="Q1017" s="80"/>
      <c r="R1017" s="80"/>
      <c r="S1017" s="80"/>
      <c r="T1017" s="80"/>
    </row>
    <row r="1018" spans="1:20" ht="15.75">
      <c r="I1018" s="80"/>
      <c r="J1018" s="80"/>
      <c r="K1018" s="80"/>
      <c r="L1018" s="80"/>
      <c r="M1018" s="80"/>
      <c r="N1018" s="80"/>
      <c r="O1018" s="80"/>
      <c r="P1018" s="80"/>
      <c r="Q1018" s="80"/>
      <c r="R1018" s="80"/>
      <c r="S1018" s="80"/>
      <c r="T1018" s="80"/>
    </row>
  </sheetData>
  <hyperlinks>
    <hyperlink ref="A1" location="Index!A1" display="Index!A1"/>
  </hyperlinks>
  <pageMargins left="0.7" right="0.7" top="0.75" bottom="0.75" header="0.3" footer="0.3"/>
  <pageSetup orientation="portrait" r:id="rId1"/>
  <ignoredErrors>
    <ignoredError sqref="H21" formula="1"/>
    <ignoredError sqref="H63:H65" formulaRange="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FC5E8"/>
  </sheetPr>
  <dimension ref="A1:Z1000"/>
  <sheetViews>
    <sheetView workbookViewId="0">
      <selection activeCell="A5" sqref="A5"/>
    </sheetView>
  </sheetViews>
  <sheetFormatPr defaultColWidth="14.33203125" defaultRowHeight="15" customHeight="1"/>
  <cols>
    <col min="1" max="1" width="65.796875" customWidth="1"/>
  </cols>
  <sheetData>
    <row r="1" spans="1:26" s="739" customFormat="1" ht="15" customHeight="1">
      <c r="A1" s="765" t="s">
        <v>0</v>
      </c>
    </row>
    <row r="2" spans="1:26" ht="14.25">
      <c r="A2" s="1337" t="s">
        <v>550</v>
      </c>
      <c r="B2" s="1297"/>
      <c r="C2" s="1297"/>
      <c r="D2" s="1297"/>
      <c r="E2" s="1297"/>
      <c r="F2" s="1297"/>
      <c r="G2" s="1"/>
      <c r="H2" s="1"/>
      <c r="I2" s="1"/>
      <c r="J2" s="1"/>
      <c r="K2" s="1"/>
      <c r="L2" s="1"/>
      <c r="M2" s="1"/>
      <c r="N2" s="1"/>
      <c r="O2" s="1"/>
      <c r="P2" s="1"/>
      <c r="Q2" s="1"/>
      <c r="R2" s="1"/>
      <c r="S2" s="1"/>
      <c r="T2" s="1"/>
      <c r="U2" s="1"/>
      <c r="V2" s="1"/>
      <c r="W2" s="1"/>
      <c r="X2" s="1"/>
      <c r="Y2" s="1"/>
      <c r="Z2" s="1"/>
    </row>
    <row r="3" spans="1:26" ht="15" customHeight="1">
      <c r="A3" s="664" t="s">
        <v>551</v>
      </c>
      <c r="B3" s="858">
        <v>40</v>
      </c>
      <c r="C3" s="417"/>
      <c r="D3" s="417"/>
      <c r="E3" s="417"/>
      <c r="F3" s="417"/>
      <c r="G3" s="1"/>
      <c r="H3" s="1"/>
      <c r="I3" s="1"/>
      <c r="J3" s="1"/>
      <c r="K3" s="1"/>
      <c r="L3" s="1"/>
      <c r="M3" s="1"/>
      <c r="N3" s="1"/>
      <c r="O3" s="1"/>
      <c r="P3" s="1"/>
      <c r="Q3" s="1"/>
      <c r="R3" s="1"/>
      <c r="S3" s="1"/>
      <c r="T3" s="1"/>
      <c r="U3" s="1"/>
      <c r="V3" s="1"/>
      <c r="W3" s="1"/>
      <c r="X3" s="1"/>
      <c r="Y3" s="1"/>
      <c r="Z3" s="1"/>
    </row>
    <row r="4" spans="1:26" ht="15" customHeight="1">
      <c r="A4" s="664" t="s">
        <v>552</v>
      </c>
      <c r="B4" s="858">
        <v>4</v>
      </c>
      <c r="C4" s="417"/>
      <c r="D4" s="417"/>
      <c r="E4" s="417"/>
      <c r="F4" s="417"/>
      <c r="G4" s="1"/>
      <c r="H4" s="1"/>
      <c r="I4" s="1"/>
      <c r="J4" s="1"/>
      <c r="K4" s="1"/>
      <c r="L4" s="1"/>
      <c r="M4" s="1"/>
      <c r="N4" s="1"/>
      <c r="O4" s="1"/>
      <c r="P4" s="1"/>
      <c r="Q4" s="1"/>
      <c r="R4" s="1"/>
      <c r="S4" s="1"/>
      <c r="T4" s="1"/>
      <c r="U4" s="1"/>
      <c r="V4" s="1"/>
      <c r="W4" s="1"/>
      <c r="X4" s="1"/>
      <c r="Y4" s="1"/>
      <c r="Z4" s="1"/>
    </row>
    <row r="5" spans="1:26" ht="15" customHeight="1">
      <c r="A5" s="859" t="s">
        <v>933</v>
      </c>
      <c r="B5" s="860">
        <v>12</v>
      </c>
      <c r="C5" s="417"/>
      <c r="D5" s="417"/>
      <c r="E5" s="417"/>
      <c r="F5" s="417"/>
      <c r="G5" s="1"/>
      <c r="H5" s="1"/>
      <c r="I5" s="1"/>
      <c r="J5" s="1"/>
      <c r="K5" s="1"/>
      <c r="L5" s="1"/>
      <c r="M5" s="1"/>
      <c r="N5" s="1"/>
      <c r="O5" s="1"/>
      <c r="P5" s="1"/>
      <c r="Q5" s="1"/>
      <c r="R5" s="1"/>
      <c r="S5" s="1"/>
      <c r="T5" s="1"/>
      <c r="U5" s="1"/>
      <c r="V5" s="1"/>
      <c r="W5" s="1"/>
      <c r="X5" s="1"/>
      <c r="Y5" s="1"/>
      <c r="Z5" s="1"/>
    </row>
    <row r="6" spans="1:26" ht="15" customHeight="1">
      <c r="A6" s="664" t="s">
        <v>553</v>
      </c>
      <c r="B6" s="861">
        <f>B3*B4*B5</f>
        <v>1920</v>
      </c>
      <c r="C6" s="417"/>
      <c r="D6" s="417"/>
      <c r="E6" s="417"/>
      <c r="F6" s="417"/>
      <c r="G6" s="1"/>
      <c r="H6" s="1"/>
      <c r="I6" s="1"/>
      <c r="J6" s="1"/>
      <c r="K6" s="1"/>
      <c r="L6" s="1"/>
      <c r="M6" s="1"/>
      <c r="N6" s="1"/>
      <c r="O6" s="1"/>
      <c r="P6" s="1"/>
      <c r="Q6" s="1"/>
      <c r="R6" s="1"/>
      <c r="S6" s="1"/>
      <c r="T6" s="1"/>
      <c r="U6" s="1"/>
      <c r="V6" s="1"/>
      <c r="W6" s="1"/>
      <c r="X6" s="1"/>
      <c r="Y6" s="1"/>
      <c r="Z6" s="1"/>
    </row>
    <row r="7" spans="1:26" ht="15" customHeight="1">
      <c r="A7" s="664" t="s">
        <v>554</v>
      </c>
      <c r="B7" s="858">
        <v>60</v>
      </c>
      <c r="C7" s="417"/>
      <c r="D7" s="417"/>
      <c r="E7" s="417"/>
      <c r="F7" s="417"/>
      <c r="G7" s="1"/>
      <c r="H7" s="1"/>
      <c r="I7" s="1"/>
      <c r="J7" s="1"/>
      <c r="K7" s="1"/>
      <c r="L7" s="1"/>
      <c r="M7" s="1"/>
      <c r="N7" s="1"/>
      <c r="O7" s="1"/>
      <c r="P7" s="1"/>
      <c r="Q7" s="1"/>
      <c r="R7" s="1"/>
      <c r="S7" s="1"/>
      <c r="T7" s="1"/>
      <c r="U7" s="1"/>
      <c r="V7" s="1"/>
      <c r="W7" s="1"/>
      <c r="X7" s="1"/>
      <c r="Y7" s="1"/>
      <c r="Z7" s="1"/>
    </row>
    <row r="8" spans="1:26" ht="15" customHeight="1">
      <c r="A8" s="859" t="s">
        <v>555</v>
      </c>
      <c r="B8" s="860">
        <v>60</v>
      </c>
      <c r="C8" s="417"/>
      <c r="D8" s="417"/>
      <c r="E8" s="417"/>
      <c r="F8" s="417"/>
      <c r="G8" s="1"/>
      <c r="H8" s="1"/>
      <c r="I8" s="1"/>
      <c r="J8" s="1"/>
      <c r="K8" s="1"/>
      <c r="L8" s="1"/>
      <c r="M8" s="1"/>
      <c r="N8" s="1"/>
      <c r="O8" s="1"/>
      <c r="P8" s="1"/>
      <c r="Q8" s="1"/>
      <c r="R8" s="1"/>
      <c r="S8" s="1"/>
      <c r="T8" s="1"/>
      <c r="U8" s="1"/>
      <c r="V8" s="1"/>
      <c r="W8" s="1"/>
      <c r="X8" s="1"/>
      <c r="Y8" s="1"/>
      <c r="Z8" s="1"/>
    </row>
    <row r="9" spans="1:26" ht="15" customHeight="1">
      <c r="A9" s="664" t="s">
        <v>556</v>
      </c>
      <c r="B9" s="861">
        <f>B6*B7*B8</f>
        <v>6912000</v>
      </c>
      <c r="C9" s="417"/>
      <c r="D9" s="417"/>
      <c r="E9" s="417"/>
      <c r="F9" s="417"/>
      <c r="G9" s="1"/>
      <c r="H9" s="1"/>
      <c r="I9" s="1"/>
      <c r="J9" s="1"/>
      <c r="K9" s="1"/>
      <c r="L9" s="1"/>
      <c r="M9" s="1"/>
      <c r="N9" s="1"/>
      <c r="O9" s="1"/>
      <c r="P9" s="1"/>
      <c r="Q9" s="1"/>
      <c r="R9" s="1"/>
      <c r="S9" s="1"/>
      <c r="T9" s="1"/>
      <c r="U9" s="1"/>
      <c r="V9" s="1"/>
      <c r="W9" s="1"/>
      <c r="X9" s="1"/>
      <c r="Y9" s="1"/>
      <c r="Z9" s="1"/>
    </row>
    <row r="10" spans="1:26" ht="14.25">
      <c r="A10" s="1338" t="s">
        <v>557</v>
      </c>
      <c r="B10" s="1339"/>
      <c r="C10" s="1339"/>
      <c r="D10" s="1339"/>
      <c r="E10" s="1339"/>
      <c r="F10" s="1340"/>
      <c r="G10" s="1"/>
      <c r="H10" s="1"/>
      <c r="I10" s="1"/>
      <c r="J10" s="1"/>
      <c r="K10" s="1"/>
      <c r="L10" s="1"/>
      <c r="M10" s="1"/>
      <c r="N10" s="1"/>
      <c r="O10" s="1"/>
      <c r="P10" s="1"/>
      <c r="Q10" s="1"/>
      <c r="R10" s="1"/>
      <c r="S10" s="1"/>
      <c r="T10" s="1"/>
      <c r="U10" s="1"/>
      <c r="V10" s="1"/>
      <c r="W10" s="1"/>
      <c r="X10" s="1"/>
      <c r="Y10" s="1"/>
      <c r="Z10" s="1"/>
    </row>
    <row r="11" spans="1:26" ht="14.25">
      <c r="A11" s="418" t="s">
        <v>17</v>
      </c>
      <c r="B11" s="664">
        <v>1</v>
      </c>
      <c r="C11" s="664">
        <v>2</v>
      </c>
      <c r="D11" s="664">
        <v>3</v>
      </c>
      <c r="E11" s="664">
        <v>4</v>
      </c>
      <c r="F11" s="420">
        <v>5</v>
      </c>
      <c r="G11" s="1"/>
      <c r="H11" s="1"/>
      <c r="I11" s="1"/>
      <c r="J11" s="1"/>
      <c r="K11" s="1"/>
      <c r="L11" s="1"/>
      <c r="M11" s="1"/>
      <c r="N11" s="1"/>
      <c r="O11" s="1"/>
      <c r="P11" s="1"/>
      <c r="Q11" s="1"/>
      <c r="R11" s="1"/>
      <c r="S11" s="1"/>
      <c r="T11" s="1"/>
      <c r="U11" s="1"/>
      <c r="V11" s="1"/>
      <c r="W11" s="1"/>
      <c r="X11" s="1"/>
      <c r="Y11" s="1"/>
      <c r="Z11" s="1"/>
    </row>
    <row r="12" spans="1:26" ht="14.25">
      <c r="A12" s="421" t="s">
        <v>558</v>
      </c>
      <c r="B12" s="422">
        <v>2.3800000000000002E-2</v>
      </c>
      <c r="C12" s="422">
        <v>2.64E-2</v>
      </c>
      <c r="D12" s="422">
        <v>2.3199999999999998E-2</v>
      </c>
      <c r="E12" s="422">
        <v>2.18E-2</v>
      </c>
      <c r="F12" s="423">
        <v>2.2700000000000001E-2</v>
      </c>
      <c r="G12" s="1"/>
      <c r="H12" s="1"/>
      <c r="I12" s="1"/>
      <c r="J12" s="1"/>
      <c r="K12" s="1"/>
      <c r="L12" s="1"/>
      <c r="M12" s="1"/>
      <c r="N12" s="1"/>
      <c r="O12" s="1"/>
      <c r="P12" s="1"/>
      <c r="Q12" s="1"/>
      <c r="R12" s="1"/>
      <c r="S12" s="1"/>
      <c r="T12" s="1"/>
      <c r="U12" s="1"/>
      <c r="V12" s="1"/>
      <c r="W12" s="1"/>
      <c r="X12" s="1"/>
      <c r="Y12" s="1"/>
      <c r="Z12" s="1"/>
    </row>
    <row r="13" spans="1:26" ht="14.25">
      <c r="A13" s="424"/>
      <c r="B13" s="1"/>
      <c r="C13" s="425"/>
      <c r="D13" s="1"/>
      <c r="E13" s="1"/>
      <c r="F13" s="1"/>
      <c r="G13" s="1"/>
      <c r="H13" s="1"/>
      <c r="I13" s="1"/>
      <c r="J13" s="1"/>
      <c r="K13" s="1"/>
      <c r="L13" s="1"/>
      <c r="M13" s="1"/>
      <c r="N13" s="1"/>
      <c r="O13" s="1"/>
      <c r="P13" s="1"/>
      <c r="Q13" s="1"/>
      <c r="R13" s="1"/>
      <c r="S13" s="1"/>
      <c r="T13" s="1"/>
      <c r="U13" s="1"/>
      <c r="V13" s="1"/>
      <c r="W13" s="1"/>
      <c r="X13" s="1"/>
      <c r="Y13" s="1"/>
      <c r="Z13" s="1"/>
    </row>
    <row r="14" spans="1:26" ht="14.25">
      <c r="A14" s="1337" t="s">
        <v>20</v>
      </c>
      <c r="B14" s="1297"/>
      <c r="C14" s="1"/>
      <c r="D14" s="1"/>
      <c r="E14" s="1"/>
      <c r="F14" s="1"/>
      <c r="G14" s="1"/>
      <c r="H14" s="1"/>
      <c r="I14" s="1"/>
      <c r="J14" s="1"/>
      <c r="K14" s="1"/>
      <c r="L14" s="1"/>
      <c r="M14" s="1"/>
      <c r="N14" s="1"/>
      <c r="O14" s="1"/>
      <c r="P14" s="1"/>
      <c r="Q14" s="1"/>
      <c r="R14" s="1"/>
      <c r="S14" s="1"/>
      <c r="T14" s="1"/>
      <c r="U14" s="1"/>
      <c r="V14" s="1"/>
      <c r="W14" s="1"/>
      <c r="X14" s="1"/>
      <c r="Y14" s="1"/>
      <c r="Z14" s="1"/>
    </row>
    <row r="15" spans="1:26" ht="14.25">
      <c r="A15" s="419" t="s">
        <v>560</v>
      </c>
      <c r="B15" s="427">
        <v>0.05</v>
      </c>
      <c r="C15" s="1"/>
      <c r="D15" s="1"/>
      <c r="E15" s="1"/>
      <c r="F15" s="1"/>
      <c r="G15" s="1"/>
      <c r="H15" s="1"/>
      <c r="I15" s="1"/>
      <c r="J15" s="1"/>
      <c r="K15" s="1"/>
      <c r="L15" s="1"/>
      <c r="M15" s="1"/>
      <c r="N15" s="1"/>
      <c r="O15" s="1"/>
      <c r="P15" s="1"/>
      <c r="Q15" s="1"/>
      <c r="R15" s="1"/>
      <c r="S15" s="1"/>
      <c r="T15" s="1"/>
      <c r="U15" s="1"/>
      <c r="V15" s="1"/>
      <c r="W15" s="1"/>
      <c r="X15" s="1"/>
      <c r="Y15" s="1"/>
      <c r="Z15" s="1"/>
    </row>
    <row r="16" spans="1:26" ht="14.25">
      <c r="A16" s="419" t="s">
        <v>561</v>
      </c>
      <c r="B16" s="862">
        <f>5*(1/60)</f>
        <v>8.3333333333333329E-2</v>
      </c>
      <c r="C16" s="1"/>
      <c r="D16" s="1"/>
      <c r="E16" s="1"/>
      <c r="F16" s="1"/>
      <c r="G16" s="1"/>
      <c r="H16" s="1"/>
      <c r="I16" s="1"/>
      <c r="J16" s="1"/>
      <c r="K16" s="1"/>
      <c r="L16" s="1"/>
      <c r="M16" s="1"/>
      <c r="N16" s="1"/>
      <c r="O16" s="1"/>
      <c r="P16" s="1"/>
      <c r="Q16" s="1"/>
      <c r="R16" s="1"/>
      <c r="S16" s="1"/>
      <c r="T16" s="1"/>
      <c r="U16" s="1"/>
      <c r="V16" s="1"/>
      <c r="W16" s="1"/>
      <c r="X16" s="1"/>
      <c r="Y16" s="1"/>
      <c r="Z16" s="1"/>
    </row>
    <row r="17" spans="1:26" ht="14.25">
      <c r="A17" s="419" t="s">
        <v>562</v>
      </c>
      <c r="B17" s="419">
        <v>3</v>
      </c>
      <c r="C17" s="1"/>
      <c r="D17" s="1"/>
      <c r="E17" s="1"/>
      <c r="F17" s="1"/>
      <c r="G17" s="1"/>
      <c r="H17" s="1"/>
      <c r="I17" s="1"/>
      <c r="J17" s="1"/>
      <c r="K17" s="1"/>
      <c r="L17" s="1"/>
      <c r="M17" s="1"/>
      <c r="N17" s="1"/>
      <c r="O17" s="1"/>
      <c r="P17" s="1"/>
      <c r="Q17" s="1"/>
      <c r="R17" s="1"/>
      <c r="S17" s="1"/>
      <c r="T17" s="1"/>
      <c r="U17" s="1"/>
      <c r="V17" s="1"/>
      <c r="W17" s="1"/>
      <c r="X17" s="1"/>
      <c r="Y17" s="1"/>
      <c r="Z17" s="1"/>
    </row>
    <row r="18" spans="1:26" ht="14.25">
      <c r="A18" s="419" t="s">
        <v>563</v>
      </c>
      <c r="B18" s="419">
        <v>1.5</v>
      </c>
      <c r="C18" s="1"/>
      <c r="D18" s="1"/>
      <c r="E18" s="1"/>
      <c r="F18" s="1"/>
      <c r="G18" s="1"/>
      <c r="H18" s="1"/>
      <c r="I18" s="1"/>
      <c r="J18" s="1"/>
      <c r="K18" s="1"/>
      <c r="L18" s="1"/>
      <c r="M18" s="1"/>
      <c r="N18" s="1"/>
      <c r="O18" s="1"/>
      <c r="P18" s="1"/>
      <c r="Q18" s="1"/>
      <c r="R18" s="1"/>
      <c r="S18" s="1"/>
      <c r="T18" s="1"/>
      <c r="U18" s="1"/>
      <c r="V18" s="1"/>
      <c r="W18" s="1"/>
      <c r="X18" s="1"/>
      <c r="Y18" s="1"/>
      <c r="Z18" s="1"/>
    </row>
    <row r="19" spans="1:26" ht="14.25">
      <c r="A19" s="419" t="s">
        <v>564</v>
      </c>
      <c r="B19" s="427"/>
      <c r="C19" s="1"/>
      <c r="D19" s="1"/>
      <c r="E19" s="1"/>
      <c r="F19" s="1"/>
      <c r="G19" s="1"/>
      <c r="H19" s="1"/>
      <c r="I19" s="1"/>
      <c r="J19" s="1"/>
      <c r="K19" s="1"/>
      <c r="L19" s="1"/>
      <c r="M19" s="1"/>
      <c r="N19" s="1"/>
      <c r="O19" s="1"/>
      <c r="P19" s="1"/>
      <c r="Q19" s="1"/>
      <c r="R19" s="1"/>
      <c r="S19" s="1"/>
      <c r="T19" s="1"/>
      <c r="U19" s="1"/>
      <c r="V19" s="1"/>
      <c r="W19" s="1"/>
      <c r="X19" s="1"/>
      <c r="Y19" s="1"/>
      <c r="Z19" s="1"/>
    </row>
    <row r="20" spans="1:26" ht="14.2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 r="A21" s="1337" t="s">
        <v>27</v>
      </c>
      <c r="B21" s="1297"/>
      <c r="C21" s="1"/>
      <c r="D21" s="1"/>
      <c r="E21" s="1"/>
      <c r="F21" s="1"/>
      <c r="G21" s="1"/>
      <c r="H21" s="1"/>
      <c r="I21" s="1"/>
      <c r="J21" s="1"/>
      <c r="K21" s="1"/>
      <c r="L21" s="1"/>
      <c r="M21" s="1"/>
      <c r="N21" s="1"/>
      <c r="O21" s="1"/>
      <c r="P21" s="1"/>
      <c r="Q21" s="1"/>
      <c r="R21" s="1"/>
      <c r="S21" s="1"/>
      <c r="T21" s="1"/>
      <c r="U21" s="1"/>
      <c r="V21" s="1"/>
      <c r="W21" s="1"/>
      <c r="X21" s="1"/>
      <c r="Y21" s="1"/>
      <c r="Z21" s="1"/>
    </row>
    <row r="22" spans="1:26" ht="14.25">
      <c r="A22" s="428" t="s">
        <v>566</v>
      </c>
      <c r="B22" s="427">
        <v>0.3</v>
      </c>
      <c r="C22" s="1"/>
      <c r="D22" s="1"/>
      <c r="E22" s="1"/>
      <c r="F22" s="1"/>
      <c r="G22" s="1"/>
      <c r="H22" s="1"/>
      <c r="I22" s="1"/>
      <c r="J22" s="1"/>
      <c r="K22" s="1"/>
      <c r="L22" s="1"/>
      <c r="M22" s="1"/>
      <c r="N22" s="1"/>
      <c r="O22" s="1"/>
      <c r="P22" s="1"/>
      <c r="Q22" s="1"/>
      <c r="R22" s="1"/>
      <c r="S22" s="1"/>
      <c r="T22" s="1"/>
      <c r="U22" s="1"/>
      <c r="V22" s="1"/>
      <c r="W22" s="1"/>
      <c r="X22" s="1"/>
      <c r="Y22" s="1"/>
      <c r="Z22" s="1"/>
    </row>
    <row r="23" spans="1:26" ht="14.25">
      <c r="A23" s="419" t="s">
        <v>567</v>
      </c>
      <c r="B23" s="863">
        <v>40</v>
      </c>
      <c r="C23" s="1"/>
      <c r="D23" s="1"/>
      <c r="E23" s="1"/>
      <c r="F23" s="1"/>
      <c r="G23" s="1"/>
      <c r="H23" s="1"/>
      <c r="I23" s="1"/>
      <c r="J23" s="1"/>
      <c r="K23" s="1"/>
      <c r="L23" s="1"/>
      <c r="M23" s="1"/>
      <c r="N23" s="1"/>
      <c r="O23" s="1"/>
      <c r="P23" s="1"/>
      <c r="Q23" s="1"/>
      <c r="R23" s="1"/>
      <c r="S23" s="1"/>
      <c r="T23" s="1"/>
      <c r="U23" s="1"/>
      <c r="V23" s="1"/>
      <c r="W23" s="1"/>
      <c r="X23" s="1"/>
      <c r="Y23" s="1"/>
      <c r="Z23" s="1"/>
    </row>
    <row r="24" spans="1:26" ht="14.25">
      <c r="A24" s="419" t="s">
        <v>568</v>
      </c>
      <c r="B24" s="419">
        <v>52</v>
      </c>
      <c r="C24" s="1"/>
      <c r="D24" s="1"/>
      <c r="E24" s="1"/>
      <c r="F24" s="1"/>
      <c r="G24" s="1"/>
      <c r="H24" s="1"/>
      <c r="I24" s="1"/>
      <c r="J24" s="1"/>
      <c r="K24" s="1"/>
      <c r="L24" s="1"/>
      <c r="M24" s="1"/>
      <c r="N24" s="1"/>
      <c r="O24" s="1"/>
      <c r="P24" s="1"/>
      <c r="Q24" s="1"/>
      <c r="R24" s="1"/>
      <c r="S24" s="1"/>
      <c r="T24" s="1"/>
      <c r="U24" s="1"/>
      <c r="V24" s="1"/>
      <c r="W24" s="1"/>
      <c r="X24" s="1"/>
      <c r="Y24" s="1"/>
      <c r="Z24" s="1"/>
    </row>
    <row r="25" spans="1:26" ht="14.25">
      <c r="A25" s="424"/>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 r="A26" s="1337" t="s">
        <v>570</v>
      </c>
      <c r="B26" s="1297"/>
      <c r="C26" s="1"/>
      <c r="D26" s="1"/>
      <c r="E26" s="1"/>
      <c r="F26" s="1"/>
      <c r="G26" s="1"/>
      <c r="H26" s="1"/>
      <c r="I26" s="1"/>
      <c r="J26" s="1"/>
      <c r="K26" s="1"/>
      <c r="L26" s="1"/>
      <c r="M26" s="1"/>
      <c r="N26" s="1"/>
      <c r="O26" s="1"/>
      <c r="P26" s="1"/>
      <c r="Q26" s="1"/>
      <c r="R26" s="1"/>
      <c r="S26" s="1"/>
      <c r="T26" s="1"/>
      <c r="U26" s="1"/>
      <c r="V26" s="1"/>
      <c r="W26" s="1"/>
      <c r="X26" s="1"/>
      <c r="Y26" s="1"/>
      <c r="Z26" s="1"/>
    </row>
    <row r="27" spans="1:26" ht="14.25">
      <c r="A27" s="419" t="s">
        <v>571</v>
      </c>
      <c r="B27" s="430">
        <v>10</v>
      </c>
      <c r="C27" s="1"/>
      <c r="D27" s="1"/>
      <c r="E27" s="1"/>
      <c r="F27" s="1"/>
      <c r="G27" s="1"/>
      <c r="H27" s="1"/>
      <c r="I27" s="1"/>
      <c r="J27" s="1"/>
      <c r="K27" s="1"/>
      <c r="L27" s="1"/>
      <c r="M27" s="1"/>
      <c r="N27" s="1"/>
      <c r="O27" s="1"/>
      <c r="P27" s="1"/>
      <c r="Q27" s="1"/>
      <c r="R27" s="1"/>
      <c r="S27" s="1"/>
      <c r="T27" s="1"/>
      <c r="U27" s="1"/>
      <c r="V27" s="1"/>
      <c r="W27" s="1"/>
      <c r="X27" s="1"/>
      <c r="Y27" s="1"/>
      <c r="Z27" s="1"/>
    </row>
    <row r="28" spans="1:26" ht="14.25">
      <c r="A28" s="419" t="s">
        <v>572</v>
      </c>
      <c r="B28" s="431">
        <f>B27*1.73</f>
        <v>17.3</v>
      </c>
      <c r="C28" s="1"/>
      <c r="D28" s="1"/>
      <c r="E28" s="1"/>
      <c r="F28" s="1"/>
      <c r="G28" s="1"/>
      <c r="H28" s="1"/>
      <c r="I28" s="1"/>
      <c r="J28" s="1"/>
      <c r="K28" s="1"/>
      <c r="L28" s="1"/>
      <c r="M28" s="1"/>
      <c r="N28" s="1"/>
      <c r="O28" s="1"/>
      <c r="P28" s="1"/>
      <c r="Q28" s="1"/>
      <c r="R28" s="1"/>
      <c r="S28" s="1"/>
      <c r="T28" s="1"/>
      <c r="U28" s="1"/>
      <c r="V28" s="1"/>
      <c r="W28" s="1"/>
      <c r="X28" s="1"/>
      <c r="Y28" s="1"/>
      <c r="Z28" s="1"/>
    </row>
    <row r="29" spans="1:26" ht="14.25">
      <c r="A29" s="432" t="s">
        <v>573</v>
      </c>
      <c r="B29" s="433">
        <v>9314.24</v>
      </c>
      <c r="C29" s="1"/>
      <c r="D29" s="1"/>
      <c r="E29" s="1"/>
      <c r="F29" s="1"/>
      <c r="G29" s="1"/>
      <c r="H29" s="1"/>
      <c r="I29" s="1"/>
      <c r="J29" s="1"/>
      <c r="K29" s="1"/>
      <c r="L29" s="1"/>
      <c r="M29" s="1"/>
      <c r="N29" s="1"/>
      <c r="O29" s="1"/>
      <c r="P29" s="1"/>
      <c r="Q29" s="1"/>
      <c r="R29" s="1"/>
      <c r="S29" s="1"/>
      <c r="T29" s="1"/>
      <c r="U29" s="1"/>
      <c r="V29" s="1"/>
      <c r="W29" s="1"/>
      <c r="X29" s="1"/>
      <c r="Y29" s="1"/>
      <c r="Z29" s="1"/>
    </row>
    <row r="30" spans="1:26" ht="14.25">
      <c r="A30" s="434" t="s">
        <v>574</v>
      </c>
      <c r="B30" s="435">
        <v>0.2</v>
      </c>
      <c r="C30" s="1"/>
      <c r="D30" s="1"/>
      <c r="E30" s="1"/>
      <c r="F30" s="1"/>
      <c r="G30" s="1"/>
      <c r="H30" s="1"/>
      <c r="I30" s="1"/>
      <c r="J30" s="1"/>
      <c r="K30" s="1"/>
      <c r="L30" s="1"/>
      <c r="M30" s="1"/>
      <c r="N30" s="1"/>
      <c r="O30" s="1"/>
      <c r="P30" s="1"/>
      <c r="Q30" s="1"/>
      <c r="R30" s="1"/>
      <c r="S30" s="1"/>
      <c r="T30" s="1"/>
      <c r="U30" s="1"/>
      <c r="V30" s="1"/>
      <c r="W30" s="1"/>
      <c r="X30" s="1"/>
      <c r="Y30" s="1"/>
      <c r="Z30" s="1"/>
    </row>
    <row r="31" spans="1:26" ht="14.25">
      <c r="A31" s="432" t="s">
        <v>576</v>
      </c>
      <c r="B31" s="433">
        <f>B29*B30</f>
        <v>1862.848</v>
      </c>
      <c r="C31" s="1"/>
      <c r="D31" s="1"/>
      <c r="E31" s="1"/>
      <c r="F31" s="1"/>
      <c r="G31" s="1"/>
      <c r="H31" s="1"/>
      <c r="I31" s="1"/>
      <c r="J31" s="1"/>
      <c r="K31" s="1"/>
      <c r="L31" s="1"/>
      <c r="M31" s="1"/>
      <c r="N31" s="1"/>
      <c r="O31" s="1"/>
      <c r="P31" s="1"/>
      <c r="Q31" s="1"/>
      <c r="R31" s="1"/>
      <c r="S31" s="1"/>
      <c r="T31" s="1"/>
      <c r="U31" s="1"/>
      <c r="V31" s="1"/>
      <c r="W31" s="1"/>
      <c r="X31" s="1"/>
      <c r="Y31" s="1"/>
      <c r="Z31" s="1"/>
    </row>
    <row r="32" spans="1:26" ht="14.25">
      <c r="A32" s="432" t="s">
        <v>577</v>
      </c>
      <c r="B32" s="433">
        <f>B31*B5</f>
        <v>22354.175999999999</v>
      </c>
      <c r="C32" s="1"/>
      <c r="D32" s="1"/>
      <c r="E32" s="1"/>
      <c r="F32" s="1"/>
      <c r="G32" s="1"/>
      <c r="H32" s="1"/>
      <c r="I32" s="1"/>
      <c r="J32" s="1"/>
      <c r="K32" s="1"/>
      <c r="L32" s="1"/>
      <c r="M32" s="1"/>
      <c r="N32" s="1"/>
      <c r="O32" s="1"/>
      <c r="P32" s="1"/>
      <c r="Q32" s="1"/>
      <c r="R32" s="1"/>
      <c r="S32" s="1"/>
      <c r="T32" s="1"/>
      <c r="U32" s="1"/>
      <c r="V32" s="1"/>
      <c r="W32" s="1"/>
      <c r="X32" s="1"/>
      <c r="Y32" s="1"/>
      <c r="Z32" s="1"/>
    </row>
    <row r="33" spans="1:26" ht="14.25">
      <c r="A33" s="434" t="s">
        <v>578</v>
      </c>
      <c r="B33" s="433">
        <f>B32/'BASES Model'!I11</f>
        <v>0.32771617897144195</v>
      </c>
      <c r="C33" s="1"/>
      <c r="D33" s="1"/>
      <c r="E33" s="1"/>
      <c r="F33" s="1"/>
      <c r="G33" s="1"/>
      <c r="H33" s="1"/>
      <c r="I33" s="1"/>
      <c r="J33" s="1"/>
      <c r="K33" s="1"/>
      <c r="L33" s="1"/>
      <c r="M33" s="1"/>
      <c r="N33" s="1"/>
      <c r="O33" s="1"/>
      <c r="P33" s="1"/>
      <c r="Q33" s="1"/>
      <c r="R33" s="1"/>
      <c r="S33" s="1"/>
      <c r="T33" s="1"/>
      <c r="U33" s="1"/>
      <c r="V33" s="1"/>
      <c r="W33" s="1"/>
      <c r="X33" s="1"/>
      <c r="Y33" s="1"/>
      <c r="Z33" s="1"/>
    </row>
    <row r="34" spans="1:26" ht="14.25">
      <c r="A34" s="419" t="s">
        <v>579</v>
      </c>
      <c r="B34" s="431">
        <v>101400</v>
      </c>
      <c r="C34" s="1"/>
      <c r="D34" s="1"/>
      <c r="E34" s="1"/>
      <c r="F34" s="1"/>
      <c r="G34" s="1"/>
      <c r="H34" s="1"/>
      <c r="I34" s="1"/>
      <c r="J34" s="1"/>
      <c r="K34" s="1"/>
      <c r="L34" s="1"/>
      <c r="M34" s="1"/>
      <c r="N34" s="1"/>
      <c r="O34" s="1"/>
      <c r="P34" s="1"/>
      <c r="Q34" s="1"/>
      <c r="R34" s="1"/>
      <c r="S34" s="1"/>
      <c r="T34" s="1"/>
      <c r="U34" s="1"/>
      <c r="V34" s="1"/>
      <c r="W34" s="1"/>
      <c r="X34" s="1"/>
      <c r="Y34" s="1"/>
      <c r="Z34" s="1"/>
    </row>
    <row r="35" spans="1:26" ht="14.25">
      <c r="A35" s="419" t="s">
        <v>580</v>
      </c>
      <c r="B35" s="431">
        <v>59000</v>
      </c>
      <c r="C35" s="1"/>
      <c r="D35" s="1"/>
      <c r="E35" s="1"/>
      <c r="F35" s="1"/>
      <c r="G35" s="1"/>
      <c r="H35" s="1"/>
      <c r="I35" s="1"/>
      <c r="J35" s="1"/>
      <c r="K35" s="1"/>
      <c r="L35" s="1"/>
      <c r="M35" s="1"/>
      <c r="N35" s="1"/>
      <c r="O35" s="1"/>
      <c r="P35" s="1"/>
      <c r="Q35" s="1"/>
      <c r="R35" s="1"/>
      <c r="S35" s="1"/>
      <c r="T35" s="1"/>
      <c r="U35" s="1"/>
      <c r="V35" s="1"/>
      <c r="W35" s="1"/>
      <c r="X35" s="1"/>
      <c r="Y35" s="1"/>
      <c r="Z35" s="1"/>
    </row>
    <row r="36" spans="1:26" ht="14.2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 r="A37" s="1337" t="s">
        <v>581</v>
      </c>
      <c r="B37" s="1297"/>
      <c r="C37" s="1"/>
      <c r="D37" s="1"/>
      <c r="E37" s="1"/>
      <c r="F37" s="1"/>
      <c r="G37" s="1"/>
      <c r="H37" s="1"/>
      <c r="I37" s="1"/>
      <c r="J37" s="1"/>
      <c r="K37" s="1"/>
      <c r="L37" s="1"/>
      <c r="M37" s="1"/>
      <c r="N37" s="1"/>
      <c r="O37" s="1"/>
      <c r="P37" s="1"/>
      <c r="Q37" s="1"/>
      <c r="R37" s="1"/>
      <c r="S37" s="1"/>
      <c r="T37" s="1"/>
      <c r="U37" s="1"/>
      <c r="V37" s="1"/>
      <c r="W37" s="1"/>
      <c r="X37" s="1"/>
      <c r="Y37" s="1"/>
      <c r="Z37" s="1"/>
    </row>
    <row r="38" spans="1:26" ht="14.25">
      <c r="A38" s="419" t="s">
        <v>582</v>
      </c>
      <c r="B38" s="429">
        <v>1100</v>
      </c>
      <c r="C38" s="1"/>
      <c r="D38" s="1"/>
      <c r="E38" s="1"/>
      <c r="F38" s="1"/>
      <c r="G38" s="1"/>
      <c r="H38" s="1"/>
      <c r="I38" s="1"/>
      <c r="J38" s="1"/>
      <c r="K38" s="1"/>
      <c r="L38" s="1"/>
      <c r="M38" s="1"/>
      <c r="N38" s="1"/>
      <c r="O38" s="1"/>
      <c r="P38" s="1"/>
      <c r="Q38" s="1"/>
      <c r="R38" s="1"/>
      <c r="S38" s="1"/>
      <c r="T38" s="1"/>
      <c r="U38" s="1"/>
      <c r="V38" s="1"/>
      <c r="W38" s="1"/>
      <c r="X38" s="1"/>
      <c r="Y38" s="1"/>
      <c r="Z38" s="1"/>
    </row>
    <row r="39" spans="1:26" ht="14.25">
      <c r="A39" s="419" t="s">
        <v>583</v>
      </c>
      <c r="B39" s="429">
        <v>5200</v>
      </c>
      <c r="C39" s="1"/>
      <c r="D39" s="1"/>
      <c r="E39" s="1"/>
      <c r="F39" s="1"/>
      <c r="G39" s="1"/>
      <c r="H39" s="1"/>
      <c r="I39" s="1"/>
      <c r="J39" s="1"/>
      <c r="K39" s="1"/>
      <c r="L39" s="1"/>
      <c r="M39" s="1"/>
      <c r="N39" s="1"/>
      <c r="O39" s="1"/>
      <c r="P39" s="1"/>
      <c r="Q39" s="1"/>
      <c r="R39" s="1"/>
      <c r="S39" s="1"/>
      <c r="T39" s="1"/>
      <c r="U39" s="1"/>
      <c r="V39" s="1"/>
      <c r="W39" s="1"/>
      <c r="X39" s="1"/>
      <c r="Y39" s="1"/>
      <c r="Z39" s="1"/>
    </row>
    <row r="40" spans="1:26" ht="14.25">
      <c r="A40" s="419" t="s">
        <v>584</v>
      </c>
      <c r="B40" s="427">
        <v>0.01</v>
      </c>
      <c r="C40" s="1"/>
      <c r="D40" s="1"/>
      <c r="E40" s="1"/>
      <c r="F40" s="1"/>
      <c r="G40" s="1"/>
      <c r="H40" s="1"/>
      <c r="I40" s="1"/>
      <c r="J40" s="1"/>
      <c r="K40" s="1"/>
      <c r="L40" s="1"/>
      <c r="M40" s="1"/>
      <c r="N40" s="1"/>
      <c r="O40" s="1"/>
      <c r="P40" s="1"/>
      <c r="Q40" s="1"/>
      <c r="R40" s="1"/>
      <c r="S40" s="1"/>
      <c r="T40" s="1"/>
      <c r="U40" s="1"/>
      <c r="V40" s="1"/>
      <c r="W40" s="1"/>
      <c r="X40" s="1"/>
      <c r="Y40" s="1"/>
      <c r="Z40" s="1"/>
    </row>
    <row r="41" spans="1:26" ht="14.2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 r="A42" s="1337" t="s">
        <v>586</v>
      </c>
      <c r="B42" s="1297"/>
      <c r="C42" s="1"/>
      <c r="D42" s="1"/>
      <c r="E42" s="1"/>
      <c r="F42" s="1"/>
      <c r="G42" s="1"/>
      <c r="H42" s="1"/>
      <c r="I42" s="1"/>
      <c r="J42" s="1"/>
      <c r="K42" s="1"/>
      <c r="L42" s="1"/>
      <c r="M42" s="1"/>
      <c r="N42" s="1"/>
      <c r="O42" s="1"/>
      <c r="P42" s="1"/>
      <c r="Q42" s="1"/>
      <c r="R42" s="1"/>
      <c r="S42" s="1"/>
      <c r="T42" s="1"/>
      <c r="U42" s="1"/>
      <c r="V42" s="1"/>
      <c r="W42" s="1"/>
      <c r="X42" s="1"/>
      <c r="Y42" s="1"/>
      <c r="Z42" s="1"/>
    </row>
    <row r="43" spans="1:26" ht="14.25">
      <c r="A43" s="419" t="s">
        <v>587</v>
      </c>
      <c r="B43" s="427">
        <v>0.05</v>
      </c>
      <c r="C43" s="1"/>
      <c r="D43" s="1"/>
      <c r="E43" s="1"/>
      <c r="F43" s="1"/>
      <c r="G43" s="1"/>
      <c r="H43" s="1"/>
      <c r="I43" s="1"/>
      <c r="J43" s="1"/>
      <c r="K43" s="1"/>
      <c r="L43" s="1"/>
      <c r="M43" s="1"/>
      <c r="N43" s="1"/>
      <c r="O43" s="1"/>
      <c r="P43" s="1"/>
      <c r="Q43" s="1"/>
      <c r="R43" s="1"/>
      <c r="S43" s="1"/>
      <c r="T43" s="1"/>
      <c r="U43" s="1"/>
      <c r="V43" s="1"/>
      <c r="W43" s="1"/>
      <c r="X43" s="1"/>
      <c r="Y43" s="1"/>
      <c r="Z43" s="1"/>
    </row>
    <row r="44" spans="1:26" ht="14.25">
      <c r="A44" s="419" t="s">
        <v>588</v>
      </c>
      <c r="B44" s="427">
        <v>0.05</v>
      </c>
      <c r="C44" s="1"/>
      <c r="D44" s="1"/>
      <c r="E44" s="1"/>
      <c r="F44" s="1"/>
      <c r="G44" s="1"/>
      <c r="H44" s="1"/>
      <c r="I44" s="1"/>
      <c r="J44" s="1"/>
      <c r="K44" s="1"/>
      <c r="L44" s="1"/>
      <c r="M44" s="1"/>
      <c r="N44" s="1"/>
      <c r="O44" s="1"/>
      <c r="P44" s="1"/>
      <c r="Q44" s="1"/>
      <c r="R44" s="1"/>
      <c r="S44" s="1"/>
      <c r="T44" s="1"/>
      <c r="U44" s="1"/>
      <c r="V44" s="1"/>
      <c r="W44" s="1"/>
      <c r="X44" s="1"/>
      <c r="Y44" s="1"/>
      <c r="Z44" s="1"/>
    </row>
    <row r="45" spans="1:26" ht="14.25">
      <c r="A45" s="436" t="s">
        <v>589</v>
      </c>
      <c r="B45" s="417"/>
      <c r="C45" s="1"/>
      <c r="D45" s="1"/>
      <c r="E45" s="1"/>
      <c r="F45" s="1"/>
      <c r="G45" s="1"/>
      <c r="H45" s="1"/>
      <c r="I45" s="1"/>
      <c r="J45" s="1"/>
      <c r="K45" s="1"/>
      <c r="L45" s="1"/>
      <c r="M45" s="1"/>
      <c r="N45" s="1"/>
      <c r="O45" s="1"/>
      <c r="P45" s="1"/>
      <c r="Q45" s="1"/>
      <c r="R45" s="1"/>
      <c r="S45" s="1"/>
      <c r="T45" s="1"/>
      <c r="U45" s="1"/>
      <c r="V45" s="1"/>
      <c r="W45" s="1"/>
      <c r="X45" s="1"/>
      <c r="Y45" s="1"/>
      <c r="Z45" s="1"/>
    </row>
    <row r="46" spans="1:26" ht="14.2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7">
    <mergeCell ref="A42:B42"/>
    <mergeCell ref="A2:F2"/>
    <mergeCell ref="A10:F10"/>
    <mergeCell ref="A14:B14"/>
    <mergeCell ref="A21:B21"/>
    <mergeCell ref="A26:B26"/>
    <mergeCell ref="A37:B37"/>
  </mergeCells>
  <hyperlinks>
    <hyperlink ref="A1" location="Index!A1" display="Index!A1"/>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FC5E8"/>
  </sheetPr>
  <dimension ref="A1:M133"/>
  <sheetViews>
    <sheetView workbookViewId="0">
      <selection activeCell="A3" sqref="A3"/>
    </sheetView>
  </sheetViews>
  <sheetFormatPr defaultColWidth="14.33203125" defaultRowHeight="14.25"/>
  <cols>
    <col min="1" max="1" width="33.1328125" bestFit="1" customWidth="1"/>
    <col min="2" max="2" width="15.33203125" bestFit="1" customWidth="1"/>
    <col min="3" max="3" width="20.796875" bestFit="1" customWidth="1"/>
    <col min="4" max="4" width="19.33203125" bestFit="1" customWidth="1"/>
    <col min="5" max="5" width="20.1328125" bestFit="1" customWidth="1"/>
    <col min="6" max="6" width="10.796875" bestFit="1" customWidth="1"/>
    <col min="7" max="7" width="10.6640625" bestFit="1" customWidth="1"/>
    <col min="9" max="9" width="29.6640625" bestFit="1" customWidth="1"/>
    <col min="10" max="10" width="15.33203125" bestFit="1" customWidth="1"/>
    <col min="11" max="11" width="20.6640625" bestFit="1" customWidth="1"/>
    <col min="12" max="12" width="19.33203125" bestFit="1" customWidth="1"/>
    <col min="13" max="13" width="20.1328125" bestFit="1" customWidth="1"/>
  </cols>
  <sheetData>
    <row r="1" spans="1:13" s="739" customFormat="1">
      <c r="A1" s="765" t="s">
        <v>0</v>
      </c>
    </row>
    <row r="2" spans="1:13">
      <c r="A2" s="1344" t="s">
        <v>608</v>
      </c>
      <c r="B2" s="1345"/>
      <c r="C2" s="1345"/>
      <c r="D2" s="1345"/>
      <c r="E2" s="1345"/>
      <c r="F2" s="1345"/>
      <c r="G2" s="1346"/>
      <c r="I2" s="1344" t="s">
        <v>609</v>
      </c>
      <c r="J2" s="1345"/>
      <c r="K2" s="1345"/>
      <c r="L2" s="1345"/>
      <c r="M2" s="1346"/>
    </row>
    <row r="3" spans="1:13">
      <c r="A3" s="438" t="s">
        <v>438</v>
      </c>
      <c r="B3" s="439">
        <v>0</v>
      </c>
      <c r="C3" s="439">
        <v>1</v>
      </c>
      <c r="D3" s="439">
        <v>2</v>
      </c>
      <c r="E3" s="439">
        <v>3</v>
      </c>
      <c r="F3" s="439">
        <v>4</v>
      </c>
      <c r="G3" s="440">
        <v>5</v>
      </c>
      <c r="I3" s="1341" t="s">
        <v>4</v>
      </c>
      <c r="J3" s="1297"/>
      <c r="K3" s="1297"/>
      <c r="L3" s="1297"/>
      <c r="M3" s="1342"/>
    </row>
    <row r="4" spans="1:13">
      <c r="A4" s="442" t="s">
        <v>610</v>
      </c>
      <c r="B4" s="444">
        <v>1</v>
      </c>
      <c r="C4" s="444">
        <v>0</v>
      </c>
      <c r="D4" s="444">
        <v>0</v>
      </c>
      <c r="E4" s="444">
        <v>1</v>
      </c>
      <c r="F4" s="444">
        <v>0</v>
      </c>
      <c r="G4" s="445">
        <v>0</v>
      </c>
      <c r="I4" s="1343"/>
      <c r="J4" s="1297"/>
      <c r="K4" s="1297"/>
      <c r="L4" s="1297"/>
      <c r="M4" s="1342"/>
    </row>
    <row r="5" spans="1:13">
      <c r="A5" s="447" t="s">
        <v>611</v>
      </c>
      <c r="B5" s="450">
        <f>B4*8500</f>
        <v>8500</v>
      </c>
      <c r="C5" s="451">
        <f>B5*(1+'OM Assumptions'!B12)</f>
        <v>8702.3000000000011</v>
      </c>
      <c r="D5" s="451">
        <f>C5*(1+'OM Assumptions'!C12)</f>
        <v>8932.0407200000009</v>
      </c>
      <c r="E5" s="451">
        <f>D5*(1+'OM Assumptions'!D12)</f>
        <v>9139.2640647040025</v>
      </c>
      <c r="F5" s="451">
        <f>E5*(1+'OM Assumptions'!E12)</f>
        <v>9338.5000213145504</v>
      </c>
      <c r="G5" s="452">
        <f>F5*(1+'OM Assumptions'!F12)</f>
        <v>9550.4839717983905</v>
      </c>
      <c r="I5" s="453" t="s">
        <v>612</v>
      </c>
      <c r="J5" s="454">
        <f>'Avg. Weighted Manufacturer''s Pr'!H24</f>
        <v>30986.5</v>
      </c>
      <c r="M5" s="441"/>
    </row>
    <row r="6" spans="1:13">
      <c r="A6" s="447" t="s">
        <v>613</v>
      </c>
      <c r="B6" s="451">
        <f t="shared" ref="B6:G6" si="0">B4*B5</f>
        <v>8500</v>
      </c>
      <c r="C6" s="451">
        <f t="shared" si="0"/>
        <v>0</v>
      </c>
      <c r="D6" s="451">
        <f t="shared" si="0"/>
        <v>0</v>
      </c>
      <c r="E6" s="451">
        <f t="shared" si="0"/>
        <v>9139.2640647040025</v>
      </c>
      <c r="F6" s="451">
        <f t="shared" si="0"/>
        <v>0</v>
      </c>
      <c r="G6" s="452">
        <f t="shared" si="0"/>
        <v>0</v>
      </c>
      <c r="I6" s="453" t="s">
        <v>614</v>
      </c>
      <c r="J6" s="837">
        <f>'OM Assumptions'!B9/J5</f>
        <v>223.06488309425072</v>
      </c>
      <c r="M6" s="441"/>
    </row>
    <row r="7" spans="1:13">
      <c r="I7" s="455"/>
      <c r="J7" s="456"/>
      <c r="M7" s="441"/>
    </row>
    <row r="8" spans="1:13" ht="15.75">
      <c r="A8" s="1344" t="s">
        <v>615</v>
      </c>
      <c r="B8" s="1345"/>
      <c r="C8" s="1345"/>
      <c r="D8" s="1345"/>
      <c r="E8" s="1345"/>
      <c r="F8" s="1346"/>
      <c r="I8" s="457" t="s">
        <v>616</v>
      </c>
      <c r="J8" s="458" t="s">
        <v>617</v>
      </c>
      <c r="K8" s="457" t="s">
        <v>618</v>
      </c>
      <c r="L8" s="458" t="s">
        <v>619</v>
      </c>
      <c r="M8" s="458" t="s">
        <v>620</v>
      </c>
    </row>
    <row r="9" spans="1:13">
      <c r="A9" s="459" t="s">
        <v>17</v>
      </c>
      <c r="B9" s="460">
        <v>1</v>
      </c>
      <c r="C9" s="460">
        <v>2</v>
      </c>
      <c r="D9" s="460">
        <v>3</v>
      </c>
      <c r="E9" s="460">
        <v>4</v>
      </c>
      <c r="F9" s="461">
        <v>5</v>
      </c>
      <c r="G9" s="398"/>
      <c r="I9" s="462" t="s">
        <v>621</v>
      </c>
      <c r="J9" s="398">
        <v>6</v>
      </c>
      <c r="K9" s="835">
        <f t="shared" ref="K9:K12" si="1">J9/$J$6</f>
        <v>2.6898003472222223E-2</v>
      </c>
      <c r="L9" s="833">
        <f t="shared" ref="L9:L12" si="2">J9/K9</f>
        <v>223.06488309425072</v>
      </c>
      <c r="M9" s="463">
        <f t="shared" ref="M9:M12" si="3">L9/$J$13</f>
        <v>0.99999999999999989</v>
      </c>
    </row>
    <row r="10" spans="1:13">
      <c r="A10" s="442" t="s">
        <v>622</v>
      </c>
      <c r="B10" s="830">
        <f>'BASES Model'!I11</f>
        <v>68212</v>
      </c>
      <c r="C10" s="831">
        <f>'BASES Model'!J11</f>
        <v>91223</v>
      </c>
      <c r="D10" s="831">
        <f>'BASES Model'!K11</f>
        <v>161606</v>
      </c>
      <c r="E10" s="831">
        <f>'BASES Model'!L11</f>
        <v>245757</v>
      </c>
      <c r="F10" s="832">
        <f>'BASES Model'!M11</f>
        <v>297058</v>
      </c>
      <c r="I10" s="462" t="s">
        <v>624</v>
      </c>
      <c r="J10" s="398">
        <v>24</v>
      </c>
      <c r="K10" s="835">
        <f t="shared" si="1"/>
        <v>0.10759201388888889</v>
      </c>
      <c r="L10" s="833">
        <f t="shared" si="2"/>
        <v>223.06488309425072</v>
      </c>
      <c r="M10" s="463">
        <f t="shared" si="3"/>
        <v>0.99999999999999989</v>
      </c>
    </row>
    <row r="11" spans="1:13">
      <c r="A11" s="442" t="s">
        <v>625</v>
      </c>
      <c r="B11" s="831">
        <f>B10*'OM Assumptions'!B15</f>
        <v>3410.6000000000004</v>
      </c>
      <c r="C11" s="831">
        <f>C10*'OM Assumptions'!B15</f>
        <v>4561.1500000000005</v>
      </c>
      <c r="D11" s="831">
        <f>D10*'OM Assumptions'!B15</f>
        <v>8080.3</v>
      </c>
      <c r="E11" s="831">
        <f>E10*'OM Assumptions'!B15</f>
        <v>12287.85</v>
      </c>
      <c r="F11" s="832">
        <f>F10*'OM Assumptions'!B15</f>
        <v>14852.900000000001</v>
      </c>
      <c r="I11" s="462" t="s">
        <v>626</v>
      </c>
      <c r="J11" s="398">
        <v>60</v>
      </c>
      <c r="K11" s="835">
        <f t="shared" si="1"/>
        <v>0.26898003472222221</v>
      </c>
      <c r="L11" s="833">
        <f t="shared" si="2"/>
        <v>223.06488309425075</v>
      </c>
      <c r="M11" s="463">
        <f t="shared" si="3"/>
        <v>1</v>
      </c>
    </row>
    <row r="12" spans="1:13">
      <c r="A12" s="442" t="s">
        <v>627</v>
      </c>
      <c r="B12" s="471">
        <f>B11/'OM Assumptions'!B6</f>
        <v>1.7763541666666669</v>
      </c>
      <c r="C12" s="471">
        <f>C11/'OM Assumptions'!B6</f>
        <v>2.3755989583333337</v>
      </c>
      <c r="D12" s="471">
        <f>D11/'OM Assumptions'!B6</f>
        <v>4.2084895833333338</v>
      </c>
      <c r="E12" s="471">
        <f>E11/'OM Assumptions'!B6</f>
        <v>6.3999218750000004</v>
      </c>
      <c r="F12" s="472">
        <f>F11/'OM Assumptions'!B6</f>
        <v>7.7358854166666671</v>
      </c>
      <c r="I12" s="473" t="s">
        <v>628</v>
      </c>
      <c r="J12" s="474">
        <v>12</v>
      </c>
      <c r="K12" s="836">
        <f t="shared" si="1"/>
        <v>5.3796006944444447E-2</v>
      </c>
      <c r="L12" s="834">
        <f t="shared" si="2"/>
        <v>223.06488309425072</v>
      </c>
      <c r="M12" s="475">
        <f t="shared" si="3"/>
        <v>0.99999999999999989</v>
      </c>
    </row>
    <row r="13" spans="1:13">
      <c r="A13" s="442" t="s">
        <v>630</v>
      </c>
      <c r="B13" s="469">
        <f>(1/'OM Assumptions'!B17)*60</f>
        <v>20</v>
      </c>
      <c r="C13" s="469">
        <f t="shared" ref="C13:F13" si="4">B13</f>
        <v>20</v>
      </c>
      <c r="D13" s="469">
        <f t="shared" si="4"/>
        <v>20</v>
      </c>
      <c r="E13" s="469">
        <f t="shared" si="4"/>
        <v>20</v>
      </c>
      <c r="F13" s="470">
        <f t="shared" si="4"/>
        <v>20</v>
      </c>
      <c r="I13" s="478" t="s">
        <v>632</v>
      </c>
      <c r="J13" s="833">
        <f>MAX(L9:L12)</f>
        <v>223.06488309425075</v>
      </c>
      <c r="M13" s="441"/>
    </row>
    <row r="14" spans="1:13">
      <c r="A14" s="480" t="s">
        <v>633</v>
      </c>
      <c r="B14" s="481">
        <f t="shared" ref="B14:F14" si="5">B12/B13</f>
        <v>8.8817708333333342E-2</v>
      </c>
      <c r="C14" s="483">
        <f t="shared" si="5"/>
        <v>0.11877994791666668</v>
      </c>
      <c r="D14" s="483">
        <f t="shared" si="5"/>
        <v>0.21042447916666668</v>
      </c>
      <c r="E14" s="483">
        <f t="shared" si="5"/>
        <v>0.31999609375000004</v>
      </c>
      <c r="F14" s="484">
        <f t="shared" si="5"/>
        <v>0.38679427083333334</v>
      </c>
      <c r="I14" s="485" t="s">
        <v>635</v>
      </c>
      <c r="J14" s="834">
        <f>SUM(K9:K12)</f>
        <v>0.45726605902777773</v>
      </c>
      <c r="K14" s="360"/>
      <c r="L14" s="360"/>
      <c r="M14" s="119"/>
    </row>
    <row r="15" spans="1:13">
      <c r="A15" s="447" t="s">
        <v>636</v>
      </c>
      <c r="B15" s="460">
        <v>2.5999999999999999E-2</v>
      </c>
      <c r="C15" s="460">
        <v>2.5999999999999999E-2</v>
      </c>
      <c r="D15" s="460">
        <v>2.5999999999999999E-2</v>
      </c>
      <c r="E15" s="460">
        <v>2.5999999999999999E-2</v>
      </c>
      <c r="F15" s="461">
        <v>2.5999999999999999E-2</v>
      </c>
      <c r="I15" s="446"/>
      <c r="M15" s="441"/>
    </row>
    <row r="16" spans="1:13">
      <c r="A16" s="459" t="s">
        <v>637</v>
      </c>
      <c r="B16" s="460">
        <f>IF((B15/B12)&lt;'OM Assumptions'!$B$16,1,2)</f>
        <v>1</v>
      </c>
      <c r="C16" s="460">
        <f>IF((C15/C12)&lt;'OM Assumptions'!$B$16,1,2)</f>
        <v>1</v>
      </c>
      <c r="D16" s="460">
        <f>IF((D15/D12)&lt;'OM Assumptions'!$B$16,1,2)</f>
        <v>1</v>
      </c>
      <c r="E16" s="460">
        <f>IF((E15/E12)&lt;'OM Assumptions'!$B$16,1,2)</f>
        <v>1</v>
      </c>
      <c r="F16" s="461">
        <f>IF((F15/F12)&lt;'OM Assumptions'!$B$16,1,2)</f>
        <v>1</v>
      </c>
      <c r="I16" s="1341" t="s">
        <v>61</v>
      </c>
      <c r="J16" s="1297"/>
      <c r="K16" s="1297"/>
      <c r="L16" s="1297"/>
      <c r="M16" s="1342"/>
    </row>
    <row r="17" spans="1:13">
      <c r="A17" s="456"/>
      <c r="B17" s="398"/>
      <c r="I17" s="1343"/>
      <c r="J17" s="1297"/>
      <c r="K17" s="1297"/>
      <c r="L17" s="1297"/>
      <c r="M17" s="1342"/>
    </row>
    <row r="18" spans="1:13">
      <c r="A18" s="1344" t="s">
        <v>638</v>
      </c>
      <c r="B18" s="1345"/>
      <c r="C18" s="1345"/>
      <c r="D18" s="1345"/>
      <c r="E18" s="1346"/>
      <c r="I18" s="453" t="s">
        <v>612</v>
      </c>
      <c r="J18" s="454">
        <f>'Avg. Weighted Manufacturer''s Pr'!I24</f>
        <v>38752.5</v>
      </c>
      <c r="M18" s="441"/>
    </row>
    <row r="19" spans="1:13">
      <c r="A19" s="1341" t="s">
        <v>4</v>
      </c>
      <c r="B19" s="1297"/>
      <c r="C19" s="1297"/>
      <c r="D19" s="1297"/>
      <c r="E19" s="1342"/>
      <c r="I19" s="453" t="s">
        <v>614</v>
      </c>
      <c r="J19" s="837">
        <f>'OM Assumptions'!B9/J18</f>
        <v>178.36268627830464</v>
      </c>
      <c r="M19" s="441"/>
    </row>
    <row r="20" spans="1:13">
      <c r="A20" s="1343"/>
      <c r="B20" s="1297"/>
      <c r="C20" s="1297"/>
      <c r="D20" s="1297"/>
      <c r="E20" s="1342"/>
      <c r="I20" s="455"/>
      <c r="J20" s="456"/>
      <c r="M20" s="441"/>
    </row>
    <row r="21" spans="1:13" ht="15.75">
      <c r="A21" s="453" t="s">
        <v>612</v>
      </c>
      <c r="B21" s="486">
        <f>'BASES Model'!I11</f>
        <v>68212</v>
      </c>
      <c r="E21" s="441"/>
      <c r="I21" s="457" t="s">
        <v>616</v>
      </c>
      <c r="J21" s="458" t="s">
        <v>617</v>
      </c>
      <c r="K21" s="457" t="s">
        <v>618</v>
      </c>
      <c r="L21" s="458" t="s">
        <v>619</v>
      </c>
      <c r="M21" s="458" t="s">
        <v>620</v>
      </c>
    </row>
    <row r="22" spans="1:13">
      <c r="A22" s="453" t="s">
        <v>614</v>
      </c>
      <c r="B22" s="829">
        <f>'OM Assumptions'!B9/B21</f>
        <v>101.33114408022048</v>
      </c>
      <c r="E22" s="441"/>
      <c r="I22" s="462" t="s">
        <v>621</v>
      </c>
      <c r="J22" s="398">
        <v>6</v>
      </c>
      <c r="K22" s="835">
        <f t="shared" ref="K22:K25" si="6">J22/$J$19</f>
        <v>3.3639322916666665E-2</v>
      </c>
      <c r="L22" s="833">
        <f t="shared" ref="L22:L25" si="7">J22/K22</f>
        <v>178.36268627830464</v>
      </c>
      <c r="M22" s="463">
        <f t="shared" ref="M22:M25" si="8">L22/$J$26</f>
        <v>1</v>
      </c>
    </row>
    <row r="23" spans="1:13">
      <c r="A23" s="455"/>
      <c r="E23" s="441"/>
      <c r="I23" s="462" t="s">
        <v>624</v>
      </c>
      <c r="J23" s="398">
        <v>24</v>
      </c>
      <c r="K23" s="835">
        <f t="shared" si="6"/>
        <v>0.13455729166666666</v>
      </c>
      <c r="L23" s="833">
        <f t="shared" si="7"/>
        <v>178.36268627830464</v>
      </c>
      <c r="M23" s="463">
        <f t="shared" si="8"/>
        <v>1</v>
      </c>
    </row>
    <row r="24" spans="1:13">
      <c r="A24" s="597" t="s">
        <v>616</v>
      </c>
      <c r="B24" s="597" t="s">
        <v>617</v>
      </c>
      <c r="C24" s="597" t="s">
        <v>618</v>
      </c>
      <c r="D24" s="597" t="s">
        <v>619</v>
      </c>
      <c r="E24" s="597" t="s">
        <v>620</v>
      </c>
      <c r="I24" s="462" t="s">
        <v>626</v>
      </c>
      <c r="J24" s="398">
        <v>60</v>
      </c>
      <c r="K24" s="835">
        <f t="shared" si="6"/>
        <v>0.33639322916666664</v>
      </c>
      <c r="L24" s="833">
        <f t="shared" si="7"/>
        <v>178.36268627830464</v>
      </c>
      <c r="M24" s="463">
        <f t="shared" si="8"/>
        <v>1</v>
      </c>
    </row>
    <row r="25" spans="1:13">
      <c r="A25" s="496" t="s">
        <v>639</v>
      </c>
      <c r="B25" s="727">
        <v>30</v>
      </c>
      <c r="C25" s="727">
        <v>1</v>
      </c>
      <c r="D25" s="727">
        <f t="shared" ref="D25:D36" si="9">B25/C25</f>
        <v>30</v>
      </c>
      <c r="E25" s="838">
        <f t="shared" ref="E25:E36" si="10">D25/$B$37</f>
        <v>0.33333333333333331</v>
      </c>
      <c r="I25" s="473" t="s">
        <v>628</v>
      </c>
      <c r="J25" s="474">
        <v>12</v>
      </c>
      <c r="K25" s="836">
        <f t="shared" si="6"/>
        <v>6.7278645833333331E-2</v>
      </c>
      <c r="L25" s="834">
        <f t="shared" si="7"/>
        <v>178.36268627830464</v>
      </c>
      <c r="M25" s="475">
        <f t="shared" si="8"/>
        <v>1</v>
      </c>
    </row>
    <row r="26" spans="1:13">
      <c r="A26" s="496" t="s">
        <v>640</v>
      </c>
      <c r="B26" s="727">
        <v>120</v>
      </c>
      <c r="C26" s="727">
        <v>2</v>
      </c>
      <c r="D26" s="727">
        <f t="shared" si="9"/>
        <v>60</v>
      </c>
      <c r="E26" s="838">
        <f t="shared" si="10"/>
        <v>0.66666666666666663</v>
      </c>
      <c r="I26" s="478" t="s">
        <v>632</v>
      </c>
      <c r="J26" s="833">
        <f>MAX(L22:L25)</f>
        <v>178.36268627830464</v>
      </c>
      <c r="M26" s="441"/>
    </row>
    <row r="27" spans="1:13">
      <c r="A27" s="496" t="s">
        <v>641</v>
      </c>
      <c r="B27" s="727">
        <v>30</v>
      </c>
      <c r="C27" s="727">
        <v>1</v>
      </c>
      <c r="D27" s="727">
        <f t="shared" si="9"/>
        <v>30</v>
      </c>
      <c r="E27" s="838">
        <f t="shared" si="10"/>
        <v>0.33333333333333331</v>
      </c>
      <c r="I27" s="485" t="s">
        <v>635</v>
      </c>
      <c r="J27" s="834">
        <f>SUM(K22:K25)</f>
        <v>0.57186848958333325</v>
      </c>
      <c r="K27" s="360"/>
      <c r="L27" s="360"/>
      <c r="M27" s="119"/>
    </row>
    <row r="28" spans="1:13">
      <c r="A28" s="496" t="s">
        <v>642</v>
      </c>
      <c r="B28" s="727">
        <v>80</v>
      </c>
      <c r="C28" s="727">
        <v>1</v>
      </c>
      <c r="D28" s="727">
        <f t="shared" si="9"/>
        <v>80</v>
      </c>
      <c r="E28" s="838">
        <f t="shared" si="10"/>
        <v>0.88888888888888884</v>
      </c>
      <c r="I28" s="446"/>
      <c r="M28" s="441"/>
    </row>
    <row r="29" spans="1:13">
      <c r="A29" s="496" t="s">
        <v>643</v>
      </c>
      <c r="B29" s="727">
        <v>80</v>
      </c>
      <c r="C29" s="727">
        <v>1</v>
      </c>
      <c r="D29" s="727">
        <f t="shared" si="9"/>
        <v>80</v>
      </c>
      <c r="E29" s="838">
        <f t="shared" si="10"/>
        <v>0.88888888888888884</v>
      </c>
      <c r="I29" s="1341" t="s">
        <v>63</v>
      </c>
      <c r="J29" s="1297"/>
      <c r="K29" s="1297"/>
      <c r="L29" s="1297"/>
      <c r="M29" s="1342"/>
    </row>
    <row r="30" spans="1:13">
      <c r="A30" s="496" t="s">
        <v>644</v>
      </c>
      <c r="B30" s="727">
        <v>80</v>
      </c>
      <c r="C30" s="727">
        <v>1</v>
      </c>
      <c r="D30" s="727">
        <f t="shared" si="9"/>
        <v>80</v>
      </c>
      <c r="E30" s="838">
        <f t="shared" si="10"/>
        <v>0.88888888888888884</v>
      </c>
      <c r="I30" s="1343"/>
      <c r="J30" s="1297"/>
      <c r="K30" s="1297"/>
      <c r="L30" s="1297"/>
      <c r="M30" s="1342"/>
    </row>
    <row r="31" spans="1:13">
      <c r="A31" s="496" t="s">
        <v>645</v>
      </c>
      <c r="B31" s="727">
        <v>30</v>
      </c>
      <c r="C31" s="727">
        <v>1</v>
      </c>
      <c r="D31" s="727">
        <f t="shared" si="9"/>
        <v>30</v>
      </c>
      <c r="E31" s="838">
        <f t="shared" si="10"/>
        <v>0.33333333333333331</v>
      </c>
      <c r="I31" s="453" t="s">
        <v>612</v>
      </c>
      <c r="J31" s="454">
        <f>'Avg. Weighted Manufacturer''s Pr'!J24</f>
        <v>59310</v>
      </c>
      <c r="M31" s="441"/>
    </row>
    <row r="32" spans="1:13">
      <c r="A32" s="496" t="s">
        <v>647</v>
      </c>
      <c r="B32" s="727">
        <v>120</v>
      </c>
      <c r="C32" s="727">
        <v>2</v>
      </c>
      <c r="D32" s="727">
        <f t="shared" si="9"/>
        <v>60</v>
      </c>
      <c r="E32" s="838">
        <f t="shared" si="10"/>
        <v>0.66666666666666663</v>
      </c>
      <c r="I32" s="453" t="s">
        <v>614</v>
      </c>
      <c r="J32" s="837">
        <f>'OM Assumptions'!B9/J31</f>
        <v>116.5402124430956</v>
      </c>
      <c r="M32" s="441"/>
    </row>
    <row r="33" spans="1:13">
      <c r="A33" s="496" t="s">
        <v>648</v>
      </c>
      <c r="B33" s="727">
        <v>90</v>
      </c>
      <c r="C33" s="727">
        <v>1</v>
      </c>
      <c r="D33" s="727">
        <f t="shared" si="9"/>
        <v>90</v>
      </c>
      <c r="E33" s="838">
        <f t="shared" si="10"/>
        <v>1</v>
      </c>
      <c r="I33" s="455"/>
      <c r="J33" s="456"/>
      <c r="M33" s="441"/>
    </row>
    <row r="34" spans="1:13" ht="15.75">
      <c r="A34" s="496" t="s">
        <v>649</v>
      </c>
      <c r="B34" s="727">
        <v>10</v>
      </c>
      <c r="C34" s="727">
        <v>1</v>
      </c>
      <c r="D34" s="727">
        <f t="shared" si="9"/>
        <v>10</v>
      </c>
      <c r="E34" s="838">
        <f t="shared" si="10"/>
        <v>0.1111111111111111</v>
      </c>
      <c r="I34" s="457" t="s">
        <v>616</v>
      </c>
      <c r="J34" s="458" t="s">
        <v>617</v>
      </c>
      <c r="K34" s="457" t="s">
        <v>618</v>
      </c>
      <c r="L34" s="458" t="s">
        <v>619</v>
      </c>
      <c r="M34" s="458" t="s">
        <v>620</v>
      </c>
    </row>
    <row r="35" spans="1:13">
      <c r="A35" s="496" t="s">
        <v>650</v>
      </c>
      <c r="B35" s="727">
        <v>20</v>
      </c>
      <c r="C35" s="727">
        <v>1</v>
      </c>
      <c r="D35" s="727">
        <f t="shared" si="9"/>
        <v>20</v>
      </c>
      <c r="E35" s="838">
        <f t="shared" si="10"/>
        <v>0.22222222222222221</v>
      </c>
      <c r="I35" s="462" t="s">
        <v>621</v>
      </c>
      <c r="J35" s="398">
        <v>6</v>
      </c>
      <c r="K35" s="835">
        <f t="shared" ref="K35:K38" si="11">J35/$J$32</f>
        <v>5.1484374999999999E-2</v>
      </c>
      <c r="L35" s="833">
        <f t="shared" ref="L35:L38" si="12">J35/K35</f>
        <v>116.5402124430956</v>
      </c>
      <c r="M35" s="463">
        <f t="shared" ref="M35:M38" si="13">L35/$J$39</f>
        <v>1</v>
      </c>
    </row>
    <row r="36" spans="1:13">
      <c r="A36" s="511" t="s">
        <v>651</v>
      </c>
      <c r="B36" s="839">
        <v>30</v>
      </c>
      <c r="C36" s="839">
        <v>1</v>
      </c>
      <c r="D36" s="839">
        <f t="shared" si="9"/>
        <v>30</v>
      </c>
      <c r="E36" s="840">
        <f t="shared" si="10"/>
        <v>0.33333333333333331</v>
      </c>
      <c r="I36" s="462" t="s">
        <v>624</v>
      </c>
      <c r="J36" s="398">
        <v>24</v>
      </c>
      <c r="K36" s="835">
        <f t="shared" si="11"/>
        <v>0.2059375</v>
      </c>
      <c r="L36" s="833">
        <f t="shared" si="12"/>
        <v>116.5402124430956</v>
      </c>
      <c r="M36" s="463">
        <f t="shared" si="13"/>
        <v>1</v>
      </c>
    </row>
    <row r="37" spans="1:13">
      <c r="A37" s="496" t="s">
        <v>652</v>
      </c>
      <c r="B37" s="841">
        <f>MAX(D25:D36)</f>
        <v>90</v>
      </c>
      <c r="C37" s="842">
        <f>SUM(C27:C36, C25)</f>
        <v>12</v>
      </c>
      <c r="D37" s="730"/>
      <c r="E37" s="843"/>
      <c r="I37" s="462" t="s">
        <v>626</v>
      </c>
      <c r="J37" s="398">
        <v>60</v>
      </c>
      <c r="K37" s="835">
        <f t="shared" si="11"/>
        <v>0.51484375000000004</v>
      </c>
      <c r="L37" s="833">
        <f t="shared" si="12"/>
        <v>116.54021244309558</v>
      </c>
      <c r="M37" s="463">
        <f t="shared" si="13"/>
        <v>0.99999999999999989</v>
      </c>
    </row>
    <row r="38" spans="1:13">
      <c r="A38" s="496" t="s">
        <v>653</v>
      </c>
      <c r="B38" s="844">
        <f>AVERAGE(E25:E36)</f>
        <v>0.55555555555555547</v>
      </c>
      <c r="C38" s="845"/>
      <c r="D38" s="845"/>
      <c r="E38" s="843"/>
      <c r="I38" s="473" t="s">
        <v>628</v>
      </c>
      <c r="J38" s="474">
        <v>12</v>
      </c>
      <c r="K38" s="836">
        <f t="shared" si="11"/>
        <v>0.10296875</v>
      </c>
      <c r="L38" s="834">
        <f t="shared" si="12"/>
        <v>116.5402124430956</v>
      </c>
      <c r="M38" s="475">
        <f t="shared" si="13"/>
        <v>1</v>
      </c>
    </row>
    <row r="39" spans="1:13">
      <c r="A39" s="496" t="s">
        <v>654</v>
      </c>
      <c r="B39" s="825">
        <f>'OM Assumptions'!B9/B37</f>
        <v>76800</v>
      </c>
      <c r="C39" s="730"/>
      <c r="D39" s="730"/>
      <c r="E39" s="843"/>
      <c r="I39" s="478" t="s">
        <v>632</v>
      </c>
      <c r="J39" s="833">
        <f>MAX(L35:L38)</f>
        <v>116.5402124430956</v>
      </c>
      <c r="M39" s="441"/>
    </row>
    <row r="40" spans="1:13">
      <c r="A40" s="852" t="s">
        <v>655</v>
      </c>
      <c r="B40" s="846">
        <f>B39/'OM Assumptions'!B16</f>
        <v>921600</v>
      </c>
      <c r="C40" s="506"/>
      <c r="D40" s="506"/>
      <c r="E40" s="500"/>
      <c r="I40" s="485" t="s">
        <v>635</v>
      </c>
      <c r="J40" s="834">
        <f>SUM(K35:K38)</f>
        <v>0.87523437500000001</v>
      </c>
      <c r="K40" s="360"/>
      <c r="L40" s="360"/>
      <c r="M40" s="119"/>
    </row>
    <row r="41" spans="1:13">
      <c r="A41" s="446"/>
      <c r="E41" s="441"/>
      <c r="I41" s="446"/>
      <c r="M41" s="441"/>
    </row>
    <row r="42" spans="1:13">
      <c r="A42" s="1341" t="s">
        <v>61</v>
      </c>
      <c r="B42" s="1297"/>
      <c r="C42" s="1297"/>
      <c r="D42" s="1297"/>
      <c r="E42" s="1342"/>
      <c r="I42" s="1341" t="s">
        <v>65</v>
      </c>
      <c r="J42" s="1297"/>
      <c r="K42" s="1297"/>
      <c r="L42" s="1297"/>
      <c r="M42" s="1342"/>
    </row>
    <row r="43" spans="1:13">
      <c r="A43" s="1343"/>
      <c r="B43" s="1297"/>
      <c r="C43" s="1297"/>
      <c r="D43" s="1297"/>
      <c r="E43" s="1342"/>
      <c r="I43" s="1343"/>
      <c r="J43" s="1297"/>
      <c r="K43" s="1297"/>
      <c r="L43" s="1297"/>
      <c r="M43" s="1342"/>
    </row>
    <row r="44" spans="1:13" ht="15.75">
      <c r="A44" s="453" t="s">
        <v>612</v>
      </c>
      <c r="B44" s="486">
        <f>'BASES Model'!J11</f>
        <v>91223</v>
      </c>
      <c r="C44" s="489"/>
      <c r="D44" s="95"/>
      <c r="E44" s="490"/>
      <c r="I44" s="453" t="s">
        <v>612</v>
      </c>
      <c r="J44" s="454">
        <f>'Avg. Weighted Manufacturer''s Pr'!K24</f>
        <v>60534.5</v>
      </c>
      <c r="M44" s="441"/>
    </row>
    <row r="45" spans="1:13" ht="15.75">
      <c r="A45" s="453" t="s">
        <v>614</v>
      </c>
      <c r="B45" s="829">
        <f>'OM Assumptions'!B9/B44</f>
        <v>75.77036492989707</v>
      </c>
      <c r="C45" s="489"/>
      <c r="D45" s="95"/>
      <c r="E45" s="490"/>
      <c r="I45" s="453" t="s">
        <v>614</v>
      </c>
      <c r="J45" s="837">
        <f>'OM Assumptions'!B9/J44</f>
        <v>114.1828213663283</v>
      </c>
      <c r="M45" s="441"/>
    </row>
    <row r="46" spans="1:13" ht="15.75">
      <c r="A46" s="491"/>
      <c r="B46" s="95"/>
      <c r="C46" s="489"/>
      <c r="D46" s="95"/>
      <c r="E46" s="490"/>
      <c r="I46" s="455"/>
      <c r="J46" s="456"/>
      <c r="M46" s="441"/>
    </row>
    <row r="47" spans="1:13" ht="15.75">
      <c r="A47" s="597" t="s">
        <v>656</v>
      </c>
      <c r="B47" s="597" t="s">
        <v>617</v>
      </c>
      <c r="C47" s="597" t="s">
        <v>618</v>
      </c>
      <c r="D47" s="597" t="s">
        <v>619</v>
      </c>
      <c r="E47" s="597" t="s">
        <v>620</v>
      </c>
      <c r="I47" s="457" t="s">
        <v>616</v>
      </c>
      <c r="J47" s="458" t="s">
        <v>617</v>
      </c>
      <c r="K47" s="457" t="s">
        <v>618</v>
      </c>
      <c r="L47" s="458" t="s">
        <v>619</v>
      </c>
      <c r="M47" s="458" t="s">
        <v>620</v>
      </c>
    </row>
    <row r="48" spans="1:13">
      <c r="A48" s="496" t="s">
        <v>639</v>
      </c>
      <c r="B48" s="727">
        <v>30</v>
      </c>
      <c r="C48" s="727">
        <v>1</v>
      </c>
      <c r="D48" s="727">
        <f t="shared" ref="D48:D54" si="14">B48/C48</f>
        <v>30</v>
      </c>
      <c r="E48" s="838">
        <f t="shared" ref="E48:E54" si="15">D48/$B$61</f>
        <v>0.5</v>
      </c>
      <c r="I48" s="462" t="s">
        <v>621</v>
      </c>
      <c r="J48" s="398">
        <v>6</v>
      </c>
      <c r="K48" s="835">
        <f t="shared" ref="K48:K51" si="16">J48/$J$45</f>
        <v>5.2547309027777774E-2</v>
      </c>
      <c r="L48" s="833">
        <f t="shared" ref="L48:L51" si="17">J48/K48</f>
        <v>114.1828213663283</v>
      </c>
      <c r="M48" s="463">
        <f t="shared" ref="M48:M51" si="18">L48/$J$52</f>
        <v>1</v>
      </c>
    </row>
    <row r="49" spans="1:13">
      <c r="A49" s="496" t="s">
        <v>640</v>
      </c>
      <c r="B49" s="727">
        <v>120</v>
      </c>
      <c r="C49" s="727">
        <v>2</v>
      </c>
      <c r="D49" s="727">
        <f t="shared" si="14"/>
        <v>60</v>
      </c>
      <c r="E49" s="838">
        <f t="shared" si="15"/>
        <v>1</v>
      </c>
      <c r="I49" s="462" t="s">
        <v>624</v>
      </c>
      <c r="J49" s="398">
        <v>24</v>
      </c>
      <c r="K49" s="835">
        <f t="shared" si="16"/>
        <v>0.21018923611111109</v>
      </c>
      <c r="L49" s="833">
        <f t="shared" si="17"/>
        <v>114.1828213663283</v>
      </c>
      <c r="M49" s="463">
        <f t="shared" si="18"/>
        <v>1</v>
      </c>
    </row>
    <row r="50" spans="1:13">
      <c r="A50" s="496" t="s">
        <v>641</v>
      </c>
      <c r="B50" s="727">
        <v>30</v>
      </c>
      <c r="C50" s="727">
        <v>1</v>
      </c>
      <c r="D50" s="727">
        <f t="shared" si="14"/>
        <v>30</v>
      </c>
      <c r="E50" s="838">
        <f t="shared" si="15"/>
        <v>0.5</v>
      </c>
      <c r="I50" s="462" t="s">
        <v>626</v>
      </c>
      <c r="J50" s="398">
        <v>60</v>
      </c>
      <c r="K50" s="835">
        <f t="shared" si="16"/>
        <v>0.52547309027777778</v>
      </c>
      <c r="L50" s="833">
        <f t="shared" si="17"/>
        <v>114.1828213663283</v>
      </c>
      <c r="M50" s="463">
        <f t="shared" si="18"/>
        <v>1</v>
      </c>
    </row>
    <row r="51" spans="1:13">
      <c r="A51" s="496" t="s">
        <v>642</v>
      </c>
      <c r="B51" s="727">
        <v>80</v>
      </c>
      <c r="C51" s="727">
        <v>2</v>
      </c>
      <c r="D51" s="727">
        <f t="shared" si="14"/>
        <v>40</v>
      </c>
      <c r="E51" s="838">
        <f t="shared" si="15"/>
        <v>0.66666666666666663</v>
      </c>
      <c r="I51" s="473" t="s">
        <v>628</v>
      </c>
      <c r="J51" s="474">
        <v>12</v>
      </c>
      <c r="K51" s="836">
        <f t="shared" si="16"/>
        <v>0.10509461805555555</v>
      </c>
      <c r="L51" s="834">
        <f t="shared" si="17"/>
        <v>114.1828213663283</v>
      </c>
      <c r="M51" s="475">
        <f t="shared" si="18"/>
        <v>1</v>
      </c>
    </row>
    <row r="52" spans="1:13">
      <c r="A52" s="496" t="s">
        <v>643</v>
      </c>
      <c r="B52" s="727">
        <v>80</v>
      </c>
      <c r="C52" s="727">
        <v>2</v>
      </c>
      <c r="D52" s="727">
        <f t="shared" si="14"/>
        <v>40</v>
      </c>
      <c r="E52" s="838">
        <f t="shared" si="15"/>
        <v>0.66666666666666663</v>
      </c>
      <c r="I52" s="478" t="s">
        <v>632</v>
      </c>
      <c r="J52" s="833">
        <f>MAX(L48:L51)</f>
        <v>114.1828213663283</v>
      </c>
      <c r="M52" s="441"/>
    </row>
    <row r="53" spans="1:13">
      <c r="A53" s="496" t="s">
        <v>644</v>
      </c>
      <c r="B53" s="727">
        <v>80</v>
      </c>
      <c r="C53" s="727">
        <v>2</v>
      </c>
      <c r="D53" s="727">
        <f t="shared" si="14"/>
        <v>40</v>
      </c>
      <c r="E53" s="838">
        <f t="shared" si="15"/>
        <v>0.66666666666666663</v>
      </c>
      <c r="I53" s="485" t="s">
        <v>635</v>
      </c>
      <c r="J53" s="834">
        <f>SUM(K48:K51)</f>
        <v>0.8933042534722222</v>
      </c>
      <c r="K53" s="360"/>
      <c r="L53" s="360"/>
      <c r="M53" s="119"/>
    </row>
    <row r="54" spans="1:13">
      <c r="A54" s="496" t="s">
        <v>645</v>
      </c>
      <c r="B54" s="727">
        <v>30</v>
      </c>
      <c r="C54" s="727">
        <v>1</v>
      </c>
      <c r="D54" s="727">
        <f t="shared" si="14"/>
        <v>30</v>
      </c>
      <c r="E54" s="838">
        <f t="shared" si="15"/>
        <v>0.5</v>
      </c>
      <c r="I54" s="446"/>
      <c r="M54" s="441"/>
    </row>
    <row r="55" spans="1:13">
      <c r="A55" s="496"/>
      <c r="B55" s="727"/>
      <c r="C55" s="727"/>
      <c r="D55" s="727"/>
      <c r="E55" s="838"/>
      <c r="I55" s="1341" t="s">
        <v>67</v>
      </c>
      <c r="J55" s="1297"/>
      <c r="K55" s="1297"/>
      <c r="L55" s="1297"/>
      <c r="M55" s="1342"/>
    </row>
    <row r="56" spans="1:13">
      <c r="A56" s="496" t="s">
        <v>647</v>
      </c>
      <c r="B56" s="727">
        <v>120</v>
      </c>
      <c r="C56" s="727">
        <v>2</v>
      </c>
      <c r="D56" s="727">
        <f t="shared" ref="D56:D60" si="19">B56/C56</f>
        <v>60</v>
      </c>
      <c r="E56" s="838">
        <f t="shared" ref="E56:E60" si="20">D56/$B$61</f>
        <v>1</v>
      </c>
      <c r="I56" s="1343"/>
      <c r="J56" s="1297"/>
      <c r="K56" s="1297"/>
      <c r="L56" s="1297"/>
      <c r="M56" s="1342"/>
    </row>
    <row r="57" spans="1:13">
      <c r="A57" s="496" t="s">
        <v>648</v>
      </c>
      <c r="B57" s="727">
        <v>90</v>
      </c>
      <c r="C57" s="727">
        <v>2</v>
      </c>
      <c r="D57" s="727">
        <f t="shared" si="19"/>
        <v>45</v>
      </c>
      <c r="E57" s="838">
        <f t="shared" si="20"/>
        <v>0.75</v>
      </c>
      <c r="I57" s="453" t="s">
        <v>612</v>
      </c>
      <c r="J57" s="454">
        <f>'Avg. Weighted Manufacturer''s Pr'!L24</f>
        <v>65792.5</v>
      </c>
      <c r="M57" s="441"/>
    </row>
    <row r="58" spans="1:13">
      <c r="A58" s="496" t="s">
        <v>649</v>
      </c>
      <c r="B58" s="727">
        <v>10</v>
      </c>
      <c r="C58" s="727">
        <v>1</v>
      </c>
      <c r="D58" s="727">
        <f t="shared" si="19"/>
        <v>10</v>
      </c>
      <c r="E58" s="838">
        <f t="shared" si="20"/>
        <v>0.16666666666666666</v>
      </c>
      <c r="I58" s="453" t="s">
        <v>614</v>
      </c>
      <c r="J58" s="837">
        <f>'OM Assumptions'!B9/J57</f>
        <v>105.05756735190181</v>
      </c>
      <c r="M58" s="441"/>
    </row>
    <row r="59" spans="1:13">
      <c r="A59" s="496" t="s">
        <v>650</v>
      </c>
      <c r="B59" s="727">
        <v>20</v>
      </c>
      <c r="C59" s="727">
        <v>1</v>
      </c>
      <c r="D59" s="727">
        <f t="shared" si="19"/>
        <v>20</v>
      </c>
      <c r="E59" s="838">
        <f t="shared" si="20"/>
        <v>0.33333333333333331</v>
      </c>
      <c r="I59" s="455"/>
      <c r="J59" s="456"/>
      <c r="M59" s="441"/>
    </row>
    <row r="60" spans="1:13" ht="15.75">
      <c r="A60" s="511" t="s">
        <v>651</v>
      </c>
      <c r="B60" s="839">
        <v>30</v>
      </c>
      <c r="C60" s="839">
        <v>1</v>
      </c>
      <c r="D60" s="839">
        <f t="shared" si="19"/>
        <v>30</v>
      </c>
      <c r="E60" s="840">
        <f t="shared" si="20"/>
        <v>0.5</v>
      </c>
      <c r="I60" s="457" t="s">
        <v>616</v>
      </c>
      <c r="J60" s="458" t="s">
        <v>617</v>
      </c>
      <c r="K60" s="457" t="s">
        <v>618</v>
      </c>
      <c r="L60" s="458" t="s">
        <v>619</v>
      </c>
      <c r="M60" s="458" t="s">
        <v>620</v>
      </c>
    </row>
    <row r="61" spans="1:13">
      <c r="A61" s="496" t="s">
        <v>652</v>
      </c>
      <c r="B61" s="841">
        <f>MAX(D48:D60)</f>
        <v>60</v>
      </c>
      <c r="C61" s="842">
        <f>SUM(C50:C60, C48)</f>
        <v>16</v>
      </c>
      <c r="D61" s="730"/>
      <c r="E61" s="843"/>
      <c r="I61" s="462" t="s">
        <v>621</v>
      </c>
      <c r="J61" s="398">
        <v>6</v>
      </c>
      <c r="K61" s="835">
        <f t="shared" ref="K61:K64" si="21">J61/$J$58</f>
        <v>5.7111545138888893E-2</v>
      </c>
      <c r="L61" s="833">
        <f t="shared" ref="L61:L64" si="22">J61/K61</f>
        <v>105.05756735190181</v>
      </c>
      <c r="M61" s="463">
        <f t="shared" ref="M61:M64" si="23">L61/$J$65</f>
        <v>0.99999999999999989</v>
      </c>
    </row>
    <row r="62" spans="1:13">
      <c r="A62" s="496" t="s">
        <v>653</v>
      </c>
      <c r="B62" s="844">
        <f>AVERAGE(E48:E60)</f>
        <v>0.60416666666666663</v>
      </c>
      <c r="C62" s="845"/>
      <c r="D62" s="845"/>
      <c r="E62" s="843"/>
      <c r="I62" s="462" t="s">
        <v>624</v>
      </c>
      <c r="J62" s="398">
        <v>24</v>
      </c>
      <c r="K62" s="835">
        <f t="shared" si="21"/>
        <v>0.22844618055555557</v>
      </c>
      <c r="L62" s="833">
        <f t="shared" si="22"/>
        <v>105.05756735190181</v>
      </c>
      <c r="M62" s="463">
        <f t="shared" si="23"/>
        <v>0.99999999999999989</v>
      </c>
    </row>
    <row r="63" spans="1:13">
      <c r="A63" s="496" t="s">
        <v>654</v>
      </c>
      <c r="B63" s="825">
        <f>'OM Assumptions'!B9/B61</f>
        <v>115200</v>
      </c>
      <c r="C63" s="730"/>
      <c r="D63" s="730"/>
      <c r="E63" s="843"/>
      <c r="I63" s="462" t="s">
        <v>626</v>
      </c>
      <c r="J63" s="398">
        <v>60</v>
      </c>
      <c r="K63" s="835">
        <f t="shared" si="21"/>
        <v>0.57111545138888886</v>
      </c>
      <c r="L63" s="833">
        <f t="shared" si="22"/>
        <v>105.05756735190182</v>
      </c>
      <c r="M63" s="463">
        <f t="shared" si="23"/>
        <v>1</v>
      </c>
    </row>
    <row r="64" spans="1:13">
      <c r="A64" s="852" t="s">
        <v>655</v>
      </c>
      <c r="B64" s="846">
        <f>B63/'OM Assumptions'!B16</f>
        <v>1382400</v>
      </c>
      <c r="C64" s="506"/>
      <c r="D64" s="506"/>
      <c r="E64" s="500"/>
      <c r="I64" s="473" t="s">
        <v>628</v>
      </c>
      <c r="J64" s="474">
        <v>12</v>
      </c>
      <c r="K64" s="836">
        <f t="shared" si="21"/>
        <v>0.11422309027777779</v>
      </c>
      <c r="L64" s="834">
        <f t="shared" si="22"/>
        <v>105.05756735190181</v>
      </c>
      <c r="M64" s="475">
        <f t="shared" si="23"/>
        <v>0.99999999999999989</v>
      </c>
    </row>
    <row r="65" spans="1:13">
      <c r="A65" s="514"/>
      <c r="B65" s="539"/>
      <c r="C65" s="539"/>
      <c r="D65" s="539"/>
      <c r="E65" s="509"/>
      <c r="I65" s="478" t="s">
        <v>632</v>
      </c>
      <c r="J65" s="833">
        <f>MAX(L61:L64)</f>
        <v>105.05756735190182</v>
      </c>
      <c r="M65" s="441"/>
    </row>
    <row r="66" spans="1:13">
      <c r="A66" s="1341" t="s">
        <v>63</v>
      </c>
      <c r="B66" s="1297"/>
      <c r="C66" s="1297"/>
      <c r="D66" s="1297"/>
      <c r="E66" s="1342"/>
      <c r="I66" s="485" t="s">
        <v>635</v>
      </c>
      <c r="J66" s="834">
        <f>SUM(K61:K64)</f>
        <v>0.97089626736111112</v>
      </c>
      <c r="K66" s="360"/>
      <c r="L66" s="360"/>
      <c r="M66" s="119"/>
    </row>
    <row r="67" spans="1:13">
      <c r="A67" s="1343"/>
      <c r="B67" s="1297"/>
      <c r="C67" s="1297"/>
      <c r="D67" s="1297"/>
      <c r="E67" s="1342"/>
    </row>
    <row r="68" spans="1:13">
      <c r="A68" s="453" t="s">
        <v>612</v>
      </c>
      <c r="B68" s="486">
        <f>'BASES Model'!K11</f>
        <v>161606</v>
      </c>
      <c r="E68" s="441"/>
    </row>
    <row r="69" spans="1:13">
      <c r="A69" s="453" t="s">
        <v>614</v>
      </c>
      <c r="B69" s="829">
        <f>'OM Assumptions'!B9/B68</f>
        <v>42.770689207083898</v>
      </c>
      <c r="E69" s="441"/>
    </row>
    <row r="70" spans="1:13">
      <c r="A70" s="446"/>
      <c r="E70" s="441"/>
    </row>
    <row r="71" spans="1:13">
      <c r="A71" s="597" t="s">
        <v>656</v>
      </c>
      <c r="B71" s="856" t="s">
        <v>617</v>
      </c>
      <c r="C71" s="856" t="s">
        <v>618</v>
      </c>
      <c r="D71" s="856" t="s">
        <v>619</v>
      </c>
      <c r="E71" s="857" t="s">
        <v>620</v>
      </c>
    </row>
    <row r="72" spans="1:13">
      <c r="A72" s="496" t="s">
        <v>639</v>
      </c>
      <c r="B72" s="727">
        <v>30</v>
      </c>
      <c r="C72" s="727">
        <v>1</v>
      </c>
      <c r="D72" s="727">
        <f t="shared" ref="D72:D83" si="24">B72/C72</f>
        <v>30</v>
      </c>
      <c r="E72" s="838">
        <f t="shared" ref="E72:E83" si="25">D72/$B$84</f>
        <v>0.75</v>
      </c>
    </row>
    <row r="73" spans="1:13">
      <c r="A73" s="496" t="s">
        <v>640</v>
      </c>
      <c r="B73" s="727">
        <v>120</v>
      </c>
      <c r="C73" s="727">
        <v>3</v>
      </c>
      <c r="D73" s="727">
        <f t="shared" si="24"/>
        <v>40</v>
      </c>
      <c r="E73" s="838">
        <f t="shared" si="25"/>
        <v>1</v>
      </c>
    </row>
    <row r="74" spans="1:13">
      <c r="A74" s="496" t="s">
        <v>641</v>
      </c>
      <c r="B74" s="727">
        <v>30</v>
      </c>
      <c r="C74" s="727">
        <v>1</v>
      </c>
      <c r="D74" s="727">
        <f t="shared" si="24"/>
        <v>30</v>
      </c>
      <c r="E74" s="838">
        <f t="shared" si="25"/>
        <v>0.75</v>
      </c>
    </row>
    <row r="75" spans="1:13">
      <c r="A75" s="496" t="s">
        <v>642</v>
      </c>
      <c r="B75" s="727">
        <v>80</v>
      </c>
      <c r="C75" s="727">
        <v>2</v>
      </c>
      <c r="D75" s="727">
        <f t="shared" si="24"/>
        <v>40</v>
      </c>
      <c r="E75" s="838">
        <f t="shared" si="25"/>
        <v>1</v>
      </c>
    </row>
    <row r="76" spans="1:13">
      <c r="A76" s="496" t="s">
        <v>643</v>
      </c>
      <c r="B76" s="727">
        <v>80</v>
      </c>
      <c r="C76" s="727">
        <v>2</v>
      </c>
      <c r="D76" s="727">
        <f t="shared" si="24"/>
        <v>40</v>
      </c>
      <c r="E76" s="838">
        <f t="shared" si="25"/>
        <v>1</v>
      </c>
    </row>
    <row r="77" spans="1:13">
      <c r="A77" s="496" t="s">
        <v>644</v>
      </c>
      <c r="B77" s="727">
        <v>80</v>
      </c>
      <c r="C77" s="727">
        <v>2</v>
      </c>
      <c r="D77" s="727">
        <f t="shared" si="24"/>
        <v>40</v>
      </c>
      <c r="E77" s="838">
        <f t="shared" si="25"/>
        <v>1</v>
      </c>
    </row>
    <row r="78" spans="1:13">
      <c r="A78" s="496" t="s">
        <v>645</v>
      </c>
      <c r="B78" s="727">
        <v>30</v>
      </c>
      <c r="C78" s="727">
        <v>1</v>
      </c>
      <c r="D78" s="727">
        <f t="shared" si="24"/>
        <v>30</v>
      </c>
      <c r="E78" s="838">
        <f t="shared" si="25"/>
        <v>0.75</v>
      </c>
    </row>
    <row r="79" spans="1:13">
      <c r="A79" s="496" t="s">
        <v>647</v>
      </c>
      <c r="B79" s="727">
        <v>120</v>
      </c>
      <c r="C79" s="727">
        <v>3</v>
      </c>
      <c r="D79" s="727">
        <f t="shared" si="24"/>
        <v>40</v>
      </c>
      <c r="E79" s="838">
        <f t="shared" si="25"/>
        <v>1</v>
      </c>
    </row>
    <row r="80" spans="1:13">
      <c r="A80" s="496" t="s">
        <v>648</v>
      </c>
      <c r="B80" s="727">
        <v>90</v>
      </c>
      <c r="C80" s="727">
        <v>3</v>
      </c>
      <c r="D80" s="727">
        <f t="shared" si="24"/>
        <v>30</v>
      </c>
      <c r="E80" s="838">
        <f t="shared" si="25"/>
        <v>0.75</v>
      </c>
    </row>
    <row r="81" spans="1:5">
      <c r="A81" s="496" t="s">
        <v>649</v>
      </c>
      <c r="B81" s="727">
        <v>10</v>
      </c>
      <c r="C81" s="727">
        <v>1</v>
      </c>
      <c r="D81" s="727">
        <f t="shared" si="24"/>
        <v>10</v>
      </c>
      <c r="E81" s="838">
        <f t="shared" si="25"/>
        <v>0.25</v>
      </c>
    </row>
    <row r="82" spans="1:5">
      <c r="A82" s="496" t="s">
        <v>650</v>
      </c>
      <c r="B82" s="727">
        <v>20</v>
      </c>
      <c r="C82" s="727">
        <v>1</v>
      </c>
      <c r="D82" s="727">
        <f t="shared" si="24"/>
        <v>20</v>
      </c>
      <c r="E82" s="838">
        <f t="shared" si="25"/>
        <v>0.5</v>
      </c>
    </row>
    <row r="83" spans="1:5">
      <c r="A83" s="511" t="s">
        <v>651</v>
      </c>
      <c r="B83" s="839">
        <v>30</v>
      </c>
      <c r="C83" s="839">
        <v>1</v>
      </c>
      <c r="D83" s="839">
        <f t="shared" si="24"/>
        <v>30</v>
      </c>
      <c r="E83" s="840">
        <f t="shared" si="25"/>
        <v>0.75</v>
      </c>
    </row>
    <row r="84" spans="1:5">
      <c r="A84" s="496" t="s">
        <v>652</v>
      </c>
      <c r="B84" s="841">
        <f>MAX(D72:D83)</f>
        <v>40</v>
      </c>
      <c r="C84" s="842">
        <f>SUM(C74:C83, C72)</f>
        <v>18</v>
      </c>
      <c r="D84" s="730"/>
      <c r="E84" s="843"/>
    </row>
    <row r="85" spans="1:5">
      <c r="A85" s="496" t="s">
        <v>653</v>
      </c>
      <c r="B85" s="844">
        <f>AVERAGE(E72:E83)</f>
        <v>0.79166666666666663</v>
      </c>
      <c r="C85" s="845"/>
      <c r="D85" s="845"/>
      <c r="E85" s="843"/>
    </row>
    <row r="86" spans="1:5">
      <c r="A86" s="496" t="s">
        <v>654</v>
      </c>
      <c r="B86" s="825">
        <f>'OM Assumptions'!B9/B84</f>
        <v>172800</v>
      </c>
      <c r="C86" s="730"/>
      <c r="D86" s="730"/>
      <c r="E86" s="843"/>
    </row>
    <row r="87" spans="1:5">
      <c r="A87" s="852" t="s">
        <v>655</v>
      </c>
      <c r="B87" s="846">
        <f>B86/'OM Assumptions'!B16</f>
        <v>2073600</v>
      </c>
      <c r="C87" s="506"/>
      <c r="D87" s="506"/>
      <c r="E87" s="500"/>
    </row>
    <row r="88" spans="1:5">
      <c r="A88" s="446"/>
      <c r="E88" s="441"/>
    </row>
    <row r="89" spans="1:5">
      <c r="A89" s="1341" t="s">
        <v>65</v>
      </c>
      <c r="B89" s="1297"/>
      <c r="C89" s="1297"/>
      <c r="D89" s="1297"/>
      <c r="E89" s="1342"/>
    </row>
    <row r="90" spans="1:5">
      <c r="A90" s="1343"/>
      <c r="B90" s="1297"/>
      <c r="C90" s="1297"/>
      <c r="D90" s="1297"/>
      <c r="E90" s="1342"/>
    </row>
    <row r="91" spans="1:5">
      <c r="A91" s="453" t="s">
        <v>612</v>
      </c>
      <c r="B91" s="486">
        <f>'BASES Model'!L11</f>
        <v>245757</v>
      </c>
      <c r="E91" s="441"/>
    </row>
    <row r="92" spans="1:5">
      <c r="A92" s="453" t="s">
        <v>614</v>
      </c>
      <c r="B92" s="488">
        <f>'OM Assumptions'!B9/B91</f>
        <v>28.125343326944908</v>
      </c>
      <c r="E92" s="441"/>
    </row>
    <row r="93" spans="1:5">
      <c r="A93" s="446"/>
      <c r="E93" s="441"/>
    </row>
    <row r="94" spans="1:5">
      <c r="A94" s="847" t="s">
        <v>656</v>
      </c>
      <c r="B94" s="848" t="s">
        <v>617</v>
      </c>
      <c r="C94" s="848" t="s">
        <v>618</v>
      </c>
      <c r="D94" s="848" t="s">
        <v>619</v>
      </c>
      <c r="E94" s="849" t="s">
        <v>620</v>
      </c>
    </row>
    <row r="95" spans="1:5">
      <c r="A95" s="496" t="s">
        <v>639</v>
      </c>
      <c r="B95" s="727">
        <v>30</v>
      </c>
      <c r="C95" s="727">
        <v>2</v>
      </c>
      <c r="D95" s="727">
        <f t="shared" ref="D95:D106" si="26">B95/C95</f>
        <v>15</v>
      </c>
      <c r="E95" s="838">
        <f t="shared" ref="E95:E106" si="27">D95/$B$107</f>
        <v>0.5625</v>
      </c>
    </row>
    <row r="96" spans="1:5">
      <c r="A96" s="496" t="s">
        <v>640</v>
      </c>
      <c r="B96" s="727">
        <v>120</v>
      </c>
      <c r="C96" s="727">
        <v>5</v>
      </c>
      <c r="D96" s="727">
        <f t="shared" si="26"/>
        <v>24</v>
      </c>
      <c r="E96" s="838">
        <f t="shared" si="27"/>
        <v>0.89999999999999991</v>
      </c>
    </row>
    <row r="97" spans="1:5">
      <c r="A97" s="496" t="s">
        <v>641</v>
      </c>
      <c r="B97" s="727">
        <v>30</v>
      </c>
      <c r="C97" s="727">
        <v>2</v>
      </c>
      <c r="D97" s="727">
        <f t="shared" si="26"/>
        <v>15</v>
      </c>
      <c r="E97" s="838">
        <f t="shared" si="27"/>
        <v>0.5625</v>
      </c>
    </row>
    <row r="98" spans="1:5">
      <c r="A98" s="496" t="s">
        <v>642</v>
      </c>
      <c r="B98" s="727">
        <v>80</v>
      </c>
      <c r="C98" s="727">
        <v>3</v>
      </c>
      <c r="D98" s="850">
        <f t="shared" si="26"/>
        <v>26.666666666666668</v>
      </c>
      <c r="E98" s="838">
        <f t="shared" si="27"/>
        <v>1</v>
      </c>
    </row>
    <row r="99" spans="1:5">
      <c r="A99" s="496" t="s">
        <v>643</v>
      </c>
      <c r="B99" s="727">
        <v>80</v>
      </c>
      <c r="C99" s="727">
        <v>3</v>
      </c>
      <c r="D99" s="850">
        <f t="shared" si="26"/>
        <v>26.666666666666668</v>
      </c>
      <c r="E99" s="838">
        <f t="shared" si="27"/>
        <v>1</v>
      </c>
    </row>
    <row r="100" spans="1:5">
      <c r="A100" s="496" t="s">
        <v>644</v>
      </c>
      <c r="B100" s="727">
        <v>80</v>
      </c>
      <c r="C100" s="727">
        <v>3</v>
      </c>
      <c r="D100" s="850">
        <f t="shared" si="26"/>
        <v>26.666666666666668</v>
      </c>
      <c r="E100" s="838">
        <f t="shared" si="27"/>
        <v>1</v>
      </c>
    </row>
    <row r="101" spans="1:5">
      <c r="A101" s="496" t="s">
        <v>645</v>
      </c>
      <c r="B101" s="727">
        <v>30</v>
      </c>
      <c r="C101" s="727">
        <v>2</v>
      </c>
      <c r="D101" s="727">
        <f t="shared" si="26"/>
        <v>15</v>
      </c>
      <c r="E101" s="838">
        <f t="shared" si="27"/>
        <v>0.5625</v>
      </c>
    </row>
    <row r="102" spans="1:5">
      <c r="A102" s="496" t="s">
        <v>647</v>
      </c>
      <c r="B102" s="727">
        <v>120</v>
      </c>
      <c r="C102" s="727">
        <v>5</v>
      </c>
      <c r="D102" s="727">
        <f t="shared" si="26"/>
        <v>24</v>
      </c>
      <c r="E102" s="838">
        <f t="shared" si="27"/>
        <v>0.89999999999999991</v>
      </c>
    </row>
    <row r="103" spans="1:5">
      <c r="A103" s="496" t="s">
        <v>648</v>
      </c>
      <c r="B103" s="727">
        <v>90</v>
      </c>
      <c r="C103" s="727">
        <v>4</v>
      </c>
      <c r="D103" s="727">
        <f t="shared" si="26"/>
        <v>22.5</v>
      </c>
      <c r="E103" s="838">
        <f t="shared" si="27"/>
        <v>0.84375</v>
      </c>
    </row>
    <row r="104" spans="1:5">
      <c r="A104" s="496" t="s">
        <v>649</v>
      </c>
      <c r="B104" s="727">
        <v>10</v>
      </c>
      <c r="C104" s="727">
        <v>1</v>
      </c>
      <c r="D104" s="727">
        <f t="shared" si="26"/>
        <v>10</v>
      </c>
      <c r="E104" s="838">
        <f t="shared" si="27"/>
        <v>0.375</v>
      </c>
    </row>
    <row r="105" spans="1:5">
      <c r="A105" s="496" t="s">
        <v>650</v>
      </c>
      <c r="B105" s="727">
        <v>20</v>
      </c>
      <c r="C105" s="727">
        <v>1</v>
      </c>
      <c r="D105" s="727">
        <f t="shared" si="26"/>
        <v>20</v>
      </c>
      <c r="E105" s="838">
        <f t="shared" si="27"/>
        <v>0.75</v>
      </c>
    </row>
    <row r="106" spans="1:5">
      <c r="A106" s="511" t="s">
        <v>651</v>
      </c>
      <c r="B106" s="839">
        <v>30</v>
      </c>
      <c r="C106" s="839">
        <v>2</v>
      </c>
      <c r="D106" s="839">
        <f t="shared" si="26"/>
        <v>15</v>
      </c>
      <c r="E106" s="840">
        <f t="shared" si="27"/>
        <v>0.5625</v>
      </c>
    </row>
    <row r="107" spans="1:5">
      <c r="A107" s="496" t="s">
        <v>652</v>
      </c>
      <c r="B107" s="851">
        <f>MAX(D95:D106)</f>
        <v>26.666666666666668</v>
      </c>
      <c r="C107" s="842">
        <f>SUM(C97:C106, C95)</f>
        <v>28</v>
      </c>
      <c r="D107" s="730"/>
      <c r="E107" s="843"/>
    </row>
    <row r="108" spans="1:5">
      <c r="A108" s="496" t="s">
        <v>653</v>
      </c>
      <c r="B108" s="844">
        <f>AVERAGE(E95:E106)</f>
        <v>0.75156250000000002</v>
      </c>
      <c r="C108" s="845"/>
      <c r="D108" s="845"/>
      <c r="E108" s="843"/>
    </row>
    <row r="109" spans="1:5">
      <c r="A109" s="496" t="s">
        <v>654</v>
      </c>
      <c r="B109" s="825">
        <f>'OM Assumptions'!B9/B107</f>
        <v>259200</v>
      </c>
      <c r="C109" s="730"/>
      <c r="D109" s="730"/>
      <c r="E109" s="843"/>
    </row>
    <row r="110" spans="1:5">
      <c r="A110" s="852" t="s">
        <v>655</v>
      </c>
      <c r="B110" s="846">
        <f>B109/'OM Assumptions'!B16</f>
        <v>3110400</v>
      </c>
      <c r="C110" s="506"/>
      <c r="D110" s="506"/>
      <c r="E110" s="500"/>
    </row>
    <row r="111" spans="1:5">
      <c r="A111" s="446"/>
      <c r="E111" s="441"/>
    </row>
    <row r="112" spans="1:5">
      <c r="A112" s="1341" t="s">
        <v>67</v>
      </c>
      <c r="B112" s="1297"/>
      <c r="C112" s="1297"/>
      <c r="D112" s="1297"/>
      <c r="E112" s="1342"/>
    </row>
    <row r="113" spans="1:5">
      <c r="A113" s="1343"/>
      <c r="B113" s="1297"/>
      <c r="C113" s="1297"/>
      <c r="D113" s="1297"/>
      <c r="E113" s="1342"/>
    </row>
    <row r="114" spans="1:5">
      <c r="A114" s="453" t="s">
        <v>612</v>
      </c>
      <c r="B114" s="486">
        <f>'BASES Model'!M11</f>
        <v>297058</v>
      </c>
      <c r="E114" s="441"/>
    </row>
    <row r="115" spans="1:5">
      <c r="A115" s="453" t="s">
        <v>614</v>
      </c>
      <c r="B115" s="829">
        <f>'OM Assumptions'!B9/B114</f>
        <v>23.268183317735929</v>
      </c>
      <c r="E115" s="441"/>
    </row>
    <row r="116" spans="1:5">
      <c r="A116" s="446"/>
      <c r="E116" s="441"/>
    </row>
    <row r="117" spans="1:5">
      <c r="A117" s="853" t="s">
        <v>656</v>
      </c>
      <c r="B117" s="848" t="s">
        <v>617</v>
      </c>
      <c r="C117" s="848" t="s">
        <v>618</v>
      </c>
      <c r="D117" s="848" t="s">
        <v>619</v>
      </c>
      <c r="E117" s="849" t="s">
        <v>620</v>
      </c>
    </row>
    <row r="118" spans="1:5">
      <c r="A118" s="512" t="s">
        <v>639</v>
      </c>
      <c r="B118" s="727">
        <v>30</v>
      </c>
      <c r="C118" s="727">
        <v>2</v>
      </c>
      <c r="D118" s="727">
        <f t="shared" ref="D118:D129" si="28">B118/C118</f>
        <v>15</v>
      </c>
      <c r="E118" s="838">
        <f t="shared" ref="E118:E129" si="29">D118/$B$130</f>
        <v>0.5</v>
      </c>
    </row>
    <row r="119" spans="1:5">
      <c r="A119" s="512" t="s">
        <v>640</v>
      </c>
      <c r="B119" s="727">
        <v>120</v>
      </c>
      <c r="C119" s="727">
        <v>4</v>
      </c>
      <c r="D119" s="727">
        <f t="shared" si="28"/>
        <v>30</v>
      </c>
      <c r="E119" s="838">
        <f t="shared" si="29"/>
        <v>1</v>
      </c>
    </row>
    <row r="120" spans="1:5">
      <c r="A120" s="512" t="s">
        <v>641</v>
      </c>
      <c r="B120" s="727">
        <v>30</v>
      </c>
      <c r="C120" s="727">
        <v>2</v>
      </c>
      <c r="D120" s="727">
        <f t="shared" si="28"/>
        <v>15</v>
      </c>
      <c r="E120" s="838">
        <f t="shared" si="29"/>
        <v>0.5</v>
      </c>
    </row>
    <row r="121" spans="1:5">
      <c r="A121" s="512" t="s">
        <v>642</v>
      </c>
      <c r="B121" s="727">
        <v>80</v>
      </c>
      <c r="C121" s="727">
        <v>4</v>
      </c>
      <c r="D121" s="727">
        <f t="shared" si="28"/>
        <v>20</v>
      </c>
      <c r="E121" s="838">
        <f t="shared" si="29"/>
        <v>0.66666666666666663</v>
      </c>
    </row>
    <row r="122" spans="1:5">
      <c r="A122" s="512" t="s">
        <v>643</v>
      </c>
      <c r="B122" s="727">
        <v>80</v>
      </c>
      <c r="C122" s="727">
        <v>4</v>
      </c>
      <c r="D122" s="727">
        <f t="shared" si="28"/>
        <v>20</v>
      </c>
      <c r="E122" s="838">
        <f t="shared" si="29"/>
        <v>0.66666666666666663</v>
      </c>
    </row>
    <row r="123" spans="1:5">
      <c r="A123" s="512" t="s">
        <v>644</v>
      </c>
      <c r="B123" s="727">
        <v>80</v>
      </c>
      <c r="C123" s="727">
        <v>4</v>
      </c>
      <c r="D123" s="727">
        <f t="shared" si="28"/>
        <v>20</v>
      </c>
      <c r="E123" s="838">
        <f t="shared" si="29"/>
        <v>0.66666666666666663</v>
      </c>
    </row>
    <row r="124" spans="1:5">
      <c r="A124" s="512" t="s">
        <v>645</v>
      </c>
      <c r="B124" s="727">
        <v>30</v>
      </c>
      <c r="C124" s="727">
        <v>2</v>
      </c>
      <c r="D124" s="727">
        <f t="shared" si="28"/>
        <v>15</v>
      </c>
      <c r="E124" s="838">
        <f t="shared" si="29"/>
        <v>0.5</v>
      </c>
    </row>
    <row r="125" spans="1:5">
      <c r="A125" s="512" t="s">
        <v>647</v>
      </c>
      <c r="B125" s="727">
        <v>120</v>
      </c>
      <c r="C125" s="727">
        <v>6</v>
      </c>
      <c r="D125" s="727">
        <f t="shared" si="28"/>
        <v>20</v>
      </c>
      <c r="E125" s="838">
        <f t="shared" si="29"/>
        <v>0.66666666666666663</v>
      </c>
    </row>
    <row r="126" spans="1:5">
      <c r="A126" s="512" t="s">
        <v>648</v>
      </c>
      <c r="B126" s="727">
        <v>90</v>
      </c>
      <c r="C126" s="727">
        <v>4</v>
      </c>
      <c r="D126" s="727">
        <f t="shared" si="28"/>
        <v>22.5</v>
      </c>
      <c r="E126" s="838">
        <f t="shared" si="29"/>
        <v>0.75</v>
      </c>
    </row>
    <row r="127" spans="1:5">
      <c r="A127" s="512" t="s">
        <v>649</v>
      </c>
      <c r="B127" s="727">
        <v>10</v>
      </c>
      <c r="C127" s="727">
        <v>1</v>
      </c>
      <c r="D127" s="727">
        <f t="shared" si="28"/>
        <v>10</v>
      </c>
      <c r="E127" s="838">
        <f t="shared" si="29"/>
        <v>0.33333333333333331</v>
      </c>
    </row>
    <row r="128" spans="1:5">
      <c r="A128" s="512" t="s">
        <v>650</v>
      </c>
      <c r="B128" s="727">
        <v>20</v>
      </c>
      <c r="C128" s="727">
        <v>1</v>
      </c>
      <c r="D128" s="727">
        <f t="shared" si="28"/>
        <v>20</v>
      </c>
      <c r="E128" s="838">
        <f t="shared" si="29"/>
        <v>0.66666666666666663</v>
      </c>
    </row>
    <row r="129" spans="1:5">
      <c r="A129" s="854" t="s">
        <v>651</v>
      </c>
      <c r="B129" s="839">
        <v>30</v>
      </c>
      <c r="C129" s="839">
        <v>2</v>
      </c>
      <c r="D129" s="839">
        <f t="shared" si="28"/>
        <v>15</v>
      </c>
      <c r="E129" s="840">
        <f t="shared" si="29"/>
        <v>0.5</v>
      </c>
    </row>
    <row r="130" spans="1:5">
      <c r="A130" s="512" t="s">
        <v>652</v>
      </c>
      <c r="B130" s="841">
        <f>MAX(D118:D129)</f>
        <v>30</v>
      </c>
      <c r="C130" s="842">
        <f>SUM(C120:C129, C118)</f>
        <v>32</v>
      </c>
      <c r="D130" s="730"/>
      <c r="E130" s="843"/>
    </row>
    <row r="131" spans="1:5">
      <c r="A131" s="512" t="s">
        <v>653</v>
      </c>
      <c r="B131" s="844">
        <f>AVERAGE(E118:E129)</f>
        <v>0.61805555555555558</v>
      </c>
      <c r="C131" s="845"/>
      <c r="D131" s="845"/>
      <c r="E131" s="843"/>
    </row>
    <row r="132" spans="1:5">
      <c r="A132" s="512" t="s">
        <v>654</v>
      </c>
      <c r="B132" s="825">
        <f>'OM Assumptions'!B9/B130</f>
        <v>230400</v>
      </c>
      <c r="C132" s="730"/>
      <c r="D132" s="730"/>
      <c r="E132" s="843"/>
    </row>
    <row r="133" spans="1:5">
      <c r="A133" s="855" t="s">
        <v>655</v>
      </c>
      <c r="B133" s="846">
        <f>B132/'OM Assumptions'!B16</f>
        <v>2764800</v>
      </c>
      <c r="C133" s="506"/>
      <c r="D133" s="506"/>
      <c r="E133" s="500"/>
    </row>
  </sheetData>
  <mergeCells count="14">
    <mergeCell ref="A2:G2"/>
    <mergeCell ref="I2:M2"/>
    <mergeCell ref="I42:M43"/>
    <mergeCell ref="I55:M56"/>
    <mergeCell ref="I3:M4"/>
    <mergeCell ref="I29:M30"/>
    <mergeCell ref="I16:M17"/>
    <mergeCell ref="A19:E20"/>
    <mergeCell ref="A89:E90"/>
    <mergeCell ref="A66:E67"/>
    <mergeCell ref="A112:E113"/>
    <mergeCell ref="A42:E43"/>
    <mergeCell ref="A8:F8"/>
    <mergeCell ref="A18:E18"/>
  </mergeCells>
  <hyperlinks>
    <hyperlink ref="A1" location="Index!A1" display="Index!A1"/>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FC5E8"/>
  </sheetPr>
  <dimension ref="A1:Z1007"/>
  <sheetViews>
    <sheetView workbookViewId="0">
      <selection activeCell="A5" sqref="A5"/>
    </sheetView>
  </sheetViews>
  <sheetFormatPr defaultColWidth="14.33203125" defaultRowHeight="14.25"/>
  <cols>
    <col min="1" max="1" width="41.33203125" bestFit="1" customWidth="1"/>
    <col min="2" max="2" width="10.796875" bestFit="1" customWidth="1"/>
    <col min="3" max="3" width="8.33203125" customWidth="1"/>
    <col min="4" max="4" width="43" bestFit="1" customWidth="1"/>
    <col min="5" max="16" width="9.796875" bestFit="1" customWidth="1"/>
    <col min="17" max="17" width="10.796875" bestFit="1" customWidth="1"/>
  </cols>
  <sheetData>
    <row r="1" spans="1:26" s="739" customFormat="1">
      <c r="A1" s="765" t="s">
        <v>0</v>
      </c>
    </row>
    <row r="2" spans="1:26">
      <c r="A2" s="1348" t="s">
        <v>657</v>
      </c>
      <c r="B2" s="1345"/>
      <c r="C2" s="1345"/>
      <c r="D2" s="1345"/>
      <c r="E2" s="1345"/>
      <c r="F2" s="1345"/>
      <c r="G2" s="1345"/>
      <c r="H2" s="1345"/>
      <c r="I2" s="1345"/>
      <c r="J2" s="1345"/>
      <c r="K2" s="1345"/>
      <c r="L2" s="1345"/>
      <c r="M2" s="1345"/>
      <c r="N2" s="1345"/>
      <c r="O2" s="1345"/>
      <c r="P2" s="1345"/>
      <c r="Q2" s="1346"/>
      <c r="R2" s="1"/>
      <c r="S2" s="1"/>
      <c r="T2" s="1"/>
      <c r="U2" s="1"/>
      <c r="V2" s="1"/>
      <c r="W2" s="1"/>
      <c r="X2" s="1"/>
      <c r="Y2" s="1"/>
      <c r="Z2" s="1"/>
    </row>
    <row r="3" spans="1:26">
      <c r="A3" s="1347" t="s">
        <v>4</v>
      </c>
      <c r="B3" s="1297"/>
      <c r="C3" s="1297"/>
      <c r="D3" s="1297"/>
      <c r="E3" s="1297"/>
      <c r="F3" s="1297"/>
      <c r="G3" s="1297"/>
      <c r="H3" s="1297"/>
      <c r="I3" s="1297"/>
      <c r="J3" s="1297"/>
      <c r="K3" s="1297"/>
      <c r="L3" s="1297"/>
      <c r="M3" s="1297"/>
      <c r="N3" s="1297"/>
      <c r="O3" s="1297"/>
      <c r="P3" s="1297"/>
      <c r="Q3" s="1342"/>
      <c r="R3" s="1"/>
      <c r="S3" s="1"/>
      <c r="T3" s="1"/>
      <c r="U3" s="1"/>
      <c r="V3" s="1"/>
      <c r="W3" s="1"/>
      <c r="X3" s="1"/>
      <c r="Y3" s="1"/>
      <c r="Z3" s="1"/>
    </row>
    <row r="4" spans="1:26">
      <c r="A4" s="1343"/>
      <c r="B4" s="1297"/>
      <c r="C4" s="1297"/>
      <c r="D4" s="1297"/>
      <c r="E4" s="1297"/>
      <c r="F4" s="1297"/>
      <c r="G4" s="1297"/>
      <c r="H4" s="1297"/>
      <c r="I4" s="1297"/>
      <c r="J4" s="1297"/>
      <c r="K4" s="1297"/>
      <c r="L4" s="1297"/>
      <c r="M4" s="1297"/>
      <c r="N4" s="1297"/>
      <c r="O4" s="1297"/>
      <c r="P4" s="1297"/>
      <c r="Q4" s="1342"/>
      <c r="R4" s="1"/>
      <c r="S4" s="1"/>
      <c r="T4" s="1"/>
      <c r="U4" s="1"/>
      <c r="V4" s="1"/>
      <c r="W4" s="1"/>
      <c r="X4" s="1"/>
      <c r="Y4" s="1"/>
      <c r="Z4" s="1"/>
    </row>
    <row r="5" spans="1:26">
      <c r="A5" s="492" t="s">
        <v>655</v>
      </c>
      <c r="B5" s="820">
        <v>6400</v>
      </c>
      <c r="C5" s="493"/>
      <c r="D5" s="493" t="s">
        <v>658</v>
      </c>
      <c r="E5" s="494">
        <v>1</v>
      </c>
      <c r="F5" s="494">
        <v>2</v>
      </c>
      <c r="G5" s="494">
        <v>3</v>
      </c>
      <c r="H5" s="494">
        <v>4</v>
      </c>
      <c r="I5" s="494">
        <v>5</v>
      </c>
      <c r="J5" s="494">
        <v>6</v>
      </c>
      <c r="K5" s="494">
        <v>7</v>
      </c>
      <c r="L5" s="494">
        <v>8</v>
      </c>
      <c r="M5" s="494">
        <v>9</v>
      </c>
      <c r="N5" s="494">
        <v>10</v>
      </c>
      <c r="O5" s="494">
        <v>11</v>
      </c>
      <c r="P5" s="494">
        <v>12</v>
      </c>
      <c r="Q5" s="495" t="s">
        <v>92</v>
      </c>
      <c r="R5" s="1"/>
      <c r="S5" s="1"/>
      <c r="T5" s="1"/>
      <c r="U5" s="1"/>
      <c r="V5" s="1"/>
      <c r="W5" s="1"/>
      <c r="X5" s="1"/>
      <c r="Y5" s="1"/>
      <c r="Z5" s="1"/>
    </row>
    <row r="6" spans="1:26">
      <c r="A6" s="496" t="s">
        <v>659</v>
      </c>
      <c r="B6" s="821">
        <f>'BASES Model'!I11</f>
        <v>68212</v>
      </c>
      <c r="C6" s="493"/>
      <c r="D6" s="497" t="s">
        <v>660</v>
      </c>
      <c r="E6" s="498">
        <v>0</v>
      </c>
      <c r="F6" s="498">
        <v>0</v>
      </c>
      <c r="G6" s="498">
        <v>0</v>
      </c>
      <c r="H6" s="498">
        <v>0</v>
      </c>
      <c r="I6" s="499">
        <v>1</v>
      </c>
      <c r="J6" s="499">
        <v>1</v>
      </c>
      <c r="K6" s="498">
        <v>0</v>
      </c>
      <c r="L6" s="498">
        <v>0</v>
      </c>
      <c r="M6" s="498">
        <v>0</v>
      </c>
      <c r="N6" s="498">
        <v>0</v>
      </c>
      <c r="O6" s="499">
        <v>1</v>
      </c>
      <c r="P6" s="498">
        <v>0</v>
      </c>
      <c r="Q6" s="500"/>
      <c r="R6" s="1"/>
      <c r="S6" s="1"/>
      <c r="T6" s="1"/>
      <c r="U6" s="1"/>
      <c r="V6" s="1"/>
      <c r="W6" s="1"/>
      <c r="X6" s="1"/>
      <c r="Y6" s="1"/>
      <c r="Z6" s="1"/>
    </row>
    <row r="7" spans="1:26">
      <c r="A7" s="501" t="s">
        <v>661</v>
      </c>
      <c r="B7" s="822">
        <v>3</v>
      </c>
      <c r="C7" s="493"/>
      <c r="D7" s="503" t="s">
        <v>662</v>
      </c>
      <c r="E7" s="825">
        <f t="shared" ref="E7:P7" si="0">IF(E6=1, $B$10,$B$9)</f>
        <v>5614</v>
      </c>
      <c r="F7" s="825">
        <f t="shared" si="0"/>
        <v>5614</v>
      </c>
      <c r="G7" s="825">
        <f t="shared" si="0"/>
        <v>5614</v>
      </c>
      <c r="H7" s="825">
        <f t="shared" si="0"/>
        <v>5614</v>
      </c>
      <c r="I7" s="825">
        <f t="shared" si="0"/>
        <v>5895</v>
      </c>
      <c r="J7" s="825">
        <f t="shared" si="0"/>
        <v>5895</v>
      </c>
      <c r="K7" s="825">
        <f t="shared" si="0"/>
        <v>5614</v>
      </c>
      <c r="L7" s="825">
        <f t="shared" si="0"/>
        <v>5614</v>
      </c>
      <c r="M7" s="825">
        <f t="shared" si="0"/>
        <v>5614</v>
      </c>
      <c r="N7" s="825">
        <f t="shared" si="0"/>
        <v>5614</v>
      </c>
      <c r="O7" s="825">
        <f t="shared" si="0"/>
        <v>5895</v>
      </c>
      <c r="P7" s="825">
        <f t="shared" si="0"/>
        <v>5614</v>
      </c>
      <c r="Q7" s="821">
        <f>SUM(E7:P7)</f>
        <v>68211</v>
      </c>
      <c r="R7" s="1"/>
      <c r="S7" s="1"/>
      <c r="T7" s="1"/>
      <c r="U7" s="1"/>
      <c r="V7" s="1"/>
      <c r="W7" s="1"/>
      <c r="X7" s="1"/>
      <c r="Y7" s="1"/>
      <c r="Z7" s="1"/>
    </row>
    <row r="8" spans="1:26">
      <c r="A8" s="501" t="s">
        <v>663</v>
      </c>
      <c r="B8" s="504">
        <v>0.05</v>
      </c>
      <c r="C8" s="493"/>
      <c r="D8" s="505" t="s">
        <v>664</v>
      </c>
      <c r="E8" s="505">
        <v>0</v>
      </c>
      <c r="F8" s="505">
        <v>0</v>
      </c>
      <c r="G8" s="505">
        <v>0</v>
      </c>
      <c r="H8" s="505">
        <v>0</v>
      </c>
      <c r="I8" s="505">
        <v>0</v>
      </c>
      <c r="J8" s="505">
        <v>0</v>
      </c>
      <c r="K8" s="505">
        <v>0</v>
      </c>
      <c r="L8" s="505">
        <v>0</v>
      </c>
      <c r="M8" s="505">
        <v>0</v>
      </c>
      <c r="N8" s="505">
        <v>0</v>
      </c>
      <c r="O8" s="506">
        <v>0</v>
      </c>
      <c r="P8" s="507">
        <f>IF(Q7=B6, 0, IF(Q7&lt;B6, B6-Q7, Q7-B6))</f>
        <v>1</v>
      </c>
      <c r="Q8" s="508"/>
      <c r="R8" s="1"/>
      <c r="S8" s="1"/>
      <c r="T8" s="1"/>
      <c r="U8" s="1"/>
      <c r="V8" s="1"/>
      <c r="W8" s="1"/>
      <c r="X8" s="1"/>
      <c r="Y8" s="1"/>
      <c r="Z8" s="1"/>
    </row>
    <row r="9" spans="1:26">
      <c r="A9" s="501" t="s">
        <v>665</v>
      </c>
      <c r="B9" s="822">
        <v>5614</v>
      </c>
      <c r="C9" s="493"/>
      <c r="D9" s="503" t="s">
        <v>666</v>
      </c>
      <c r="E9" s="826">
        <f t="shared" ref="E9:P9" si="1">SUM(E7:E8)</f>
        <v>5614</v>
      </c>
      <c r="F9" s="826">
        <f t="shared" si="1"/>
        <v>5614</v>
      </c>
      <c r="G9" s="826">
        <f t="shared" si="1"/>
        <v>5614</v>
      </c>
      <c r="H9" s="826">
        <f t="shared" si="1"/>
        <v>5614</v>
      </c>
      <c r="I9" s="826">
        <f t="shared" si="1"/>
        <v>5895</v>
      </c>
      <c r="J9" s="826">
        <f t="shared" si="1"/>
        <v>5895</v>
      </c>
      <c r="K9" s="826">
        <f t="shared" si="1"/>
        <v>5614</v>
      </c>
      <c r="L9" s="826">
        <f t="shared" si="1"/>
        <v>5614</v>
      </c>
      <c r="M9" s="826">
        <f t="shared" si="1"/>
        <v>5614</v>
      </c>
      <c r="N9" s="826">
        <f t="shared" si="1"/>
        <v>5614</v>
      </c>
      <c r="O9" s="826">
        <f t="shared" si="1"/>
        <v>5895</v>
      </c>
      <c r="P9" s="826">
        <f t="shared" si="1"/>
        <v>5615</v>
      </c>
      <c r="Q9" s="827">
        <f>SUM(E9:P9)</f>
        <v>68212</v>
      </c>
      <c r="R9" s="1"/>
      <c r="S9" s="1"/>
      <c r="T9" s="1"/>
      <c r="U9" s="1"/>
      <c r="V9" s="1"/>
      <c r="W9" s="1"/>
      <c r="X9" s="1"/>
      <c r="Y9" s="1"/>
      <c r="Z9" s="1"/>
    </row>
    <row r="10" spans="1:26">
      <c r="A10" s="510" t="s">
        <v>667</v>
      </c>
      <c r="B10" s="823">
        <v>5895</v>
      </c>
      <c r="C10" s="493"/>
      <c r="D10" s="493"/>
      <c r="E10" s="493"/>
      <c r="F10" s="493"/>
      <c r="G10" s="493"/>
      <c r="H10" s="493"/>
      <c r="I10" s="493"/>
      <c r="J10" s="493"/>
      <c r="K10" s="493"/>
      <c r="L10" s="493"/>
      <c r="M10" s="493"/>
      <c r="N10" s="493"/>
      <c r="O10" s="1"/>
      <c r="P10" s="1"/>
      <c r="Q10" s="509"/>
      <c r="R10" s="1"/>
      <c r="S10" s="1"/>
      <c r="T10" s="1"/>
      <c r="U10" s="1"/>
      <c r="V10" s="1"/>
      <c r="W10" s="1"/>
      <c r="X10" s="1"/>
      <c r="Y10" s="1"/>
      <c r="Z10" s="1"/>
    </row>
    <row r="11" spans="1:26">
      <c r="A11" s="511" t="s">
        <v>92</v>
      </c>
      <c r="B11" s="824">
        <f>(B10*B7)+(B9*(12-B7))</f>
        <v>68211</v>
      </c>
      <c r="C11" s="493"/>
      <c r="D11" s="493"/>
      <c r="E11" s="493"/>
      <c r="F11" s="493"/>
      <c r="G11" s="493"/>
      <c r="H11" s="493"/>
      <c r="I11" s="493"/>
      <c r="J11" s="493"/>
      <c r="K11" s="493"/>
      <c r="L11" s="493"/>
      <c r="M11" s="493"/>
      <c r="N11" s="493"/>
      <c r="O11" s="1"/>
      <c r="P11" s="1"/>
      <c r="Q11" s="509"/>
      <c r="R11" s="1"/>
      <c r="S11" s="1"/>
      <c r="T11" s="1"/>
      <c r="U11" s="1"/>
      <c r="V11" s="1"/>
      <c r="W11" s="1"/>
      <c r="X11" s="1"/>
      <c r="Y11" s="1"/>
      <c r="Z11" s="1"/>
    </row>
    <row r="12" spans="1:26">
      <c r="A12" s="512"/>
      <c r="B12" s="493"/>
      <c r="C12" s="493"/>
      <c r="D12" s="493"/>
      <c r="E12" s="493"/>
      <c r="F12" s="493"/>
      <c r="G12" s="493"/>
      <c r="H12" s="493"/>
      <c r="I12" s="493"/>
      <c r="J12" s="493"/>
      <c r="K12" s="493"/>
      <c r="L12" s="493"/>
      <c r="M12" s="493"/>
      <c r="N12" s="493"/>
      <c r="O12" s="1"/>
      <c r="P12" s="1"/>
      <c r="Q12" s="509"/>
      <c r="R12" s="1"/>
      <c r="S12" s="1"/>
      <c r="T12" s="1"/>
      <c r="U12" s="1"/>
      <c r="V12" s="1"/>
      <c r="W12" s="1"/>
      <c r="X12" s="1"/>
      <c r="Y12" s="1"/>
      <c r="Z12" s="1"/>
    </row>
    <row r="13" spans="1:26">
      <c r="A13" s="1347" t="s">
        <v>61</v>
      </c>
      <c r="B13" s="1297"/>
      <c r="C13" s="1297"/>
      <c r="D13" s="1297"/>
      <c r="E13" s="1297"/>
      <c r="F13" s="1297"/>
      <c r="G13" s="1297"/>
      <c r="H13" s="1297"/>
      <c r="I13" s="1297"/>
      <c r="J13" s="1297"/>
      <c r="K13" s="1297"/>
      <c r="L13" s="1297"/>
      <c r="M13" s="1297"/>
      <c r="N13" s="1297"/>
      <c r="O13" s="1297"/>
      <c r="P13" s="1297"/>
      <c r="Q13" s="1342"/>
      <c r="R13" s="1"/>
      <c r="S13" s="1"/>
      <c r="T13" s="1"/>
      <c r="U13" s="1"/>
      <c r="V13" s="1"/>
      <c r="W13" s="1"/>
      <c r="X13" s="1"/>
      <c r="Y13" s="1"/>
      <c r="Z13" s="1"/>
    </row>
    <row r="14" spans="1:26">
      <c r="A14" s="1343"/>
      <c r="B14" s="1297"/>
      <c r="C14" s="1297"/>
      <c r="D14" s="1297"/>
      <c r="E14" s="1297"/>
      <c r="F14" s="1297"/>
      <c r="G14" s="1297"/>
      <c r="H14" s="1297"/>
      <c r="I14" s="1297"/>
      <c r="J14" s="1297"/>
      <c r="K14" s="1297"/>
      <c r="L14" s="1297"/>
      <c r="M14" s="1297"/>
      <c r="N14" s="1297"/>
      <c r="O14" s="1297"/>
      <c r="P14" s="1297"/>
      <c r="Q14" s="1342"/>
      <c r="R14" s="1"/>
      <c r="S14" s="1"/>
      <c r="T14" s="1"/>
      <c r="U14" s="1"/>
      <c r="V14" s="1"/>
      <c r="W14" s="1"/>
      <c r="X14" s="1"/>
      <c r="Y14" s="1"/>
      <c r="Z14" s="1"/>
    </row>
    <row r="15" spans="1:26">
      <c r="A15" s="492" t="s">
        <v>655</v>
      </c>
      <c r="B15" s="820">
        <v>9600</v>
      </c>
      <c r="C15" s="1"/>
      <c r="D15" s="493" t="s">
        <v>658</v>
      </c>
      <c r="E15" s="494">
        <v>1</v>
      </c>
      <c r="F15" s="494">
        <v>2</v>
      </c>
      <c r="G15" s="494">
        <v>3</v>
      </c>
      <c r="H15" s="494">
        <v>4</v>
      </c>
      <c r="I15" s="494">
        <v>5</v>
      </c>
      <c r="J15" s="494">
        <v>6</v>
      </c>
      <c r="K15" s="494">
        <v>7</v>
      </c>
      <c r="L15" s="494">
        <v>8</v>
      </c>
      <c r="M15" s="494">
        <v>9</v>
      </c>
      <c r="N15" s="494">
        <v>10</v>
      </c>
      <c r="O15" s="494">
        <v>11</v>
      </c>
      <c r="P15" s="494">
        <v>12</v>
      </c>
      <c r="Q15" s="495" t="s">
        <v>92</v>
      </c>
      <c r="R15" s="1"/>
      <c r="S15" s="1"/>
      <c r="T15" s="1"/>
      <c r="U15" s="1"/>
      <c r="V15" s="1"/>
      <c r="W15" s="1"/>
      <c r="X15" s="1"/>
      <c r="Y15" s="1"/>
      <c r="Z15" s="1"/>
    </row>
    <row r="16" spans="1:26">
      <c r="A16" s="496" t="s">
        <v>659</v>
      </c>
      <c r="B16" s="821">
        <f>'BASES Model'!J11</f>
        <v>91223</v>
      </c>
      <c r="C16" s="1"/>
      <c r="D16" s="497" t="s">
        <v>660</v>
      </c>
      <c r="E16" s="498">
        <v>0</v>
      </c>
      <c r="F16" s="498">
        <v>0</v>
      </c>
      <c r="G16" s="498">
        <v>0</v>
      </c>
      <c r="H16" s="498">
        <v>0</v>
      </c>
      <c r="I16" s="499">
        <v>1</v>
      </c>
      <c r="J16" s="499">
        <v>1</v>
      </c>
      <c r="K16" s="498">
        <v>0</v>
      </c>
      <c r="L16" s="498">
        <v>0</v>
      </c>
      <c r="M16" s="498">
        <v>0</v>
      </c>
      <c r="N16" s="498">
        <v>0</v>
      </c>
      <c r="O16" s="499">
        <v>1</v>
      </c>
      <c r="P16" s="498">
        <v>0</v>
      </c>
      <c r="Q16" s="500"/>
      <c r="R16" s="1"/>
      <c r="S16" s="1"/>
      <c r="T16" s="1"/>
      <c r="U16" s="1"/>
      <c r="V16" s="1"/>
      <c r="W16" s="1"/>
      <c r="X16" s="1"/>
      <c r="Y16" s="1"/>
      <c r="Z16" s="1"/>
    </row>
    <row r="17" spans="1:26">
      <c r="A17" s="501" t="s">
        <v>661</v>
      </c>
      <c r="B17" s="822">
        <f>SUM(E16:P16)</f>
        <v>3</v>
      </c>
      <c r="C17" s="493"/>
      <c r="D17" s="503" t="s">
        <v>662</v>
      </c>
      <c r="E17" s="825">
        <f t="shared" ref="E17:P17" si="2">IF(E16=1, $B$20,$B$19)</f>
        <v>7508</v>
      </c>
      <c r="F17" s="825">
        <f t="shared" si="2"/>
        <v>7508</v>
      </c>
      <c r="G17" s="825">
        <f t="shared" si="2"/>
        <v>7508</v>
      </c>
      <c r="H17" s="825">
        <f t="shared" si="2"/>
        <v>7508</v>
      </c>
      <c r="I17" s="825">
        <f t="shared" si="2"/>
        <v>7883</v>
      </c>
      <c r="J17" s="825">
        <f t="shared" si="2"/>
        <v>7883</v>
      </c>
      <c r="K17" s="825">
        <f t="shared" si="2"/>
        <v>7508</v>
      </c>
      <c r="L17" s="825">
        <f t="shared" si="2"/>
        <v>7508</v>
      </c>
      <c r="M17" s="825">
        <f t="shared" si="2"/>
        <v>7508</v>
      </c>
      <c r="N17" s="825">
        <f t="shared" si="2"/>
        <v>7508</v>
      </c>
      <c r="O17" s="825">
        <f t="shared" si="2"/>
        <v>7883</v>
      </c>
      <c r="P17" s="825">
        <f t="shared" si="2"/>
        <v>7508</v>
      </c>
      <c r="Q17" s="821">
        <f>SUM(E17:P17)</f>
        <v>91221</v>
      </c>
      <c r="R17" s="1"/>
      <c r="S17" s="1"/>
      <c r="T17" s="1"/>
      <c r="U17" s="1"/>
      <c r="V17" s="1"/>
      <c r="W17" s="1"/>
      <c r="X17" s="1"/>
      <c r="Y17" s="1"/>
      <c r="Z17" s="1"/>
    </row>
    <row r="18" spans="1:26">
      <c r="A18" s="501" t="s">
        <v>663</v>
      </c>
      <c r="B18" s="504">
        <v>0.05</v>
      </c>
      <c r="C18" s="493"/>
      <c r="D18" s="505" t="s">
        <v>664</v>
      </c>
      <c r="E18" s="505">
        <v>0</v>
      </c>
      <c r="F18" s="505">
        <v>0</v>
      </c>
      <c r="G18" s="505">
        <v>0</v>
      </c>
      <c r="H18" s="505">
        <v>0</v>
      </c>
      <c r="I18" s="505">
        <v>0</v>
      </c>
      <c r="J18" s="505">
        <v>0</v>
      </c>
      <c r="K18" s="505">
        <v>0</v>
      </c>
      <c r="L18" s="505">
        <v>0</v>
      </c>
      <c r="M18" s="505">
        <v>0</v>
      </c>
      <c r="N18" s="505">
        <v>0</v>
      </c>
      <c r="O18" s="506">
        <v>0</v>
      </c>
      <c r="P18" s="513">
        <f>IF(Q17=B16, 0, IF(Q17&lt;B16, B16-Q17, Q17-B16))</f>
        <v>2</v>
      </c>
      <c r="Q18" s="508"/>
      <c r="R18" s="1"/>
      <c r="S18" s="1"/>
      <c r="T18" s="1"/>
      <c r="U18" s="1"/>
      <c r="V18" s="1"/>
      <c r="W18" s="1"/>
      <c r="X18" s="1"/>
      <c r="Y18" s="1"/>
      <c r="Z18" s="1"/>
    </row>
    <row r="19" spans="1:26">
      <c r="A19" s="501" t="s">
        <v>665</v>
      </c>
      <c r="B19" s="822">
        <v>7508</v>
      </c>
      <c r="C19" s="493"/>
      <c r="D19" s="503" t="s">
        <v>666</v>
      </c>
      <c r="E19" s="826">
        <f t="shared" ref="E19:P19" si="3">SUM(E17:E18)</f>
        <v>7508</v>
      </c>
      <c r="F19" s="826">
        <f t="shared" si="3"/>
        <v>7508</v>
      </c>
      <c r="G19" s="826">
        <f t="shared" si="3"/>
        <v>7508</v>
      </c>
      <c r="H19" s="826">
        <f t="shared" si="3"/>
        <v>7508</v>
      </c>
      <c r="I19" s="826">
        <f t="shared" si="3"/>
        <v>7883</v>
      </c>
      <c r="J19" s="826">
        <f t="shared" si="3"/>
        <v>7883</v>
      </c>
      <c r="K19" s="826">
        <f t="shared" si="3"/>
        <v>7508</v>
      </c>
      <c r="L19" s="826">
        <f t="shared" si="3"/>
        <v>7508</v>
      </c>
      <c r="M19" s="826">
        <f t="shared" si="3"/>
        <v>7508</v>
      </c>
      <c r="N19" s="826">
        <f t="shared" si="3"/>
        <v>7508</v>
      </c>
      <c r="O19" s="826">
        <f t="shared" si="3"/>
        <v>7883</v>
      </c>
      <c r="P19" s="826">
        <f t="shared" si="3"/>
        <v>7510</v>
      </c>
      <c r="Q19" s="827">
        <f>SUM(E19:P19)</f>
        <v>91223</v>
      </c>
      <c r="R19" s="1"/>
      <c r="S19" s="1"/>
      <c r="T19" s="1"/>
      <c r="U19" s="1"/>
      <c r="V19" s="1"/>
      <c r="W19" s="1"/>
      <c r="X19" s="1"/>
      <c r="Y19" s="1"/>
      <c r="Z19" s="1"/>
    </row>
    <row r="20" spans="1:26">
      <c r="A20" s="510" t="s">
        <v>667</v>
      </c>
      <c r="B20" s="823">
        <v>7883</v>
      </c>
      <c r="C20" s="493"/>
      <c r="D20" s="493"/>
      <c r="E20" s="493"/>
      <c r="F20" s="493"/>
      <c r="G20" s="493"/>
      <c r="H20" s="493"/>
      <c r="I20" s="493"/>
      <c r="J20" s="493"/>
      <c r="K20" s="493"/>
      <c r="L20" s="493"/>
      <c r="M20" s="493"/>
      <c r="N20" s="493"/>
      <c r="O20" s="1"/>
      <c r="P20" s="1"/>
      <c r="Q20" s="509"/>
      <c r="R20" s="1"/>
      <c r="S20" s="1"/>
      <c r="T20" s="1"/>
      <c r="U20" s="1"/>
      <c r="V20" s="1"/>
      <c r="W20" s="1"/>
      <c r="X20" s="1"/>
      <c r="Y20" s="1"/>
      <c r="Z20" s="1"/>
    </row>
    <row r="21" spans="1:26">
      <c r="A21" s="511" t="s">
        <v>92</v>
      </c>
      <c r="B21" s="824">
        <f>(B20*B17)+(B19*(12-B17))</f>
        <v>91221</v>
      </c>
      <c r="C21" s="493"/>
      <c r="D21" s="493"/>
      <c r="E21" s="493"/>
      <c r="F21" s="493"/>
      <c r="G21" s="493"/>
      <c r="H21" s="493"/>
      <c r="I21" s="493"/>
      <c r="J21" s="493"/>
      <c r="K21" s="493"/>
      <c r="L21" s="493"/>
      <c r="M21" s="493"/>
      <c r="N21" s="493"/>
      <c r="O21" s="1"/>
      <c r="P21" s="1"/>
      <c r="Q21" s="509"/>
      <c r="R21" s="1"/>
      <c r="S21" s="1"/>
      <c r="T21" s="1"/>
      <c r="U21" s="1"/>
      <c r="V21" s="1"/>
      <c r="W21" s="1"/>
      <c r="X21" s="1"/>
      <c r="Y21" s="1"/>
      <c r="Z21" s="1"/>
    </row>
    <row r="22" spans="1:26">
      <c r="A22" s="514"/>
      <c r="B22" s="1"/>
      <c r="C22" s="493"/>
      <c r="D22" s="493"/>
      <c r="E22" s="493"/>
      <c r="F22" s="493"/>
      <c r="G22" s="493"/>
      <c r="H22" s="493"/>
      <c r="I22" s="493"/>
      <c r="J22" s="493"/>
      <c r="K22" s="493"/>
      <c r="L22" s="493"/>
      <c r="M22" s="493"/>
      <c r="N22" s="493"/>
      <c r="O22" s="1"/>
      <c r="P22" s="1"/>
      <c r="Q22" s="509"/>
      <c r="R22" s="1"/>
      <c r="S22" s="1"/>
      <c r="T22" s="1"/>
      <c r="U22" s="1"/>
      <c r="V22" s="1"/>
      <c r="W22" s="1"/>
      <c r="X22" s="1"/>
      <c r="Y22" s="1"/>
      <c r="Z22" s="1"/>
    </row>
    <row r="23" spans="1:26">
      <c r="A23" s="1347" t="s">
        <v>63</v>
      </c>
      <c r="B23" s="1297"/>
      <c r="C23" s="1297"/>
      <c r="D23" s="1297"/>
      <c r="E23" s="1297"/>
      <c r="F23" s="1297"/>
      <c r="G23" s="1297"/>
      <c r="H23" s="1297"/>
      <c r="I23" s="1297"/>
      <c r="J23" s="1297"/>
      <c r="K23" s="1297"/>
      <c r="L23" s="1297"/>
      <c r="M23" s="1297"/>
      <c r="N23" s="1297"/>
      <c r="O23" s="1297"/>
      <c r="P23" s="1297"/>
      <c r="Q23" s="1342"/>
      <c r="R23" s="1"/>
      <c r="S23" s="1"/>
      <c r="T23" s="1"/>
      <c r="U23" s="1"/>
      <c r="V23" s="1"/>
      <c r="W23" s="1"/>
      <c r="X23" s="1"/>
      <c r="Y23" s="1"/>
      <c r="Z23" s="1"/>
    </row>
    <row r="24" spans="1:26">
      <c r="A24" s="1343"/>
      <c r="B24" s="1297"/>
      <c r="C24" s="1297"/>
      <c r="D24" s="1297"/>
      <c r="E24" s="1297"/>
      <c r="F24" s="1297"/>
      <c r="G24" s="1297"/>
      <c r="H24" s="1297"/>
      <c r="I24" s="1297"/>
      <c r="J24" s="1297"/>
      <c r="K24" s="1297"/>
      <c r="L24" s="1297"/>
      <c r="M24" s="1297"/>
      <c r="N24" s="1297"/>
      <c r="O24" s="1297"/>
      <c r="P24" s="1297"/>
      <c r="Q24" s="1342"/>
      <c r="R24" s="1"/>
      <c r="S24" s="1"/>
      <c r="T24" s="1"/>
      <c r="U24" s="1"/>
      <c r="V24" s="1"/>
      <c r="W24" s="1"/>
      <c r="X24" s="1"/>
      <c r="Y24" s="1"/>
      <c r="Z24" s="1"/>
    </row>
    <row r="25" spans="1:26">
      <c r="A25" s="492" t="s">
        <v>655</v>
      </c>
      <c r="B25" s="820">
        <v>14400</v>
      </c>
      <c r="C25" s="493"/>
      <c r="D25" s="493" t="s">
        <v>658</v>
      </c>
      <c r="E25" s="494">
        <v>1</v>
      </c>
      <c r="F25" s="494">
        <v>2</v>
      </c>
      <c r="G25" s="494">
        <v>3</v>
      </c>
      <c r="H25" s="494">
        <v>4</v>
      </c>
      <c r="I25" s="494">
        <v>5</v>
      </c>
      <c r="J25" s="494">
        <v>6</v>
      </c>
      <c r="K25" s="494">
        <v>7</v>
      </c>
      <c r="L25" s="494">
        <v>8</v>
      </c>
      <c r="M25" s="494">
        <v>9</v>
      </c>
      <c r="N25" s="494">
        <v>10</v>
      </c>
      <c r="O25" s="494">
        <v>11</v>
      </c>
      <c r="P25" s="494">
        <v>12</v>
      </c>
      <c r="Q25" s="495" t="s">
        <v>92</v>
      </c>
      <c r="R25" s="1"/>
      <c r="S25" s="1"/>
      <c r="T25" s="1"/>
      <c r="U25" s="1"/>
      <c r="V25" s="1"/>
      <c r="W25" s="1"/>
      <c r="X25" s="1"/>
      <c r="Y25" s="1"/>
      <c r="Z25" s="1"/>
    </row>
    <row r="26" spans="1:26">
      <c r="A26" s="496" t="s">
        <v>659</v>
      </c>
      <c r="B26" s="821">
        <f>'BASES Model'!K11</f>
        <v>161606</v>
      </c>
      <c r="C26" s="493"/>
      <c r="D26" s="497" t="s">
        <v>660</v>
      </c>
      <c r="E26" s="498">
        <v>0</v>
      </c>
      <c r="F26" s="498">
        <v>0</v>
      </c>
      <c r="G26" s="498">
        <v>0</v>
      </c>
      <c r="H26" s="498">
        <v>0</v>
      </c>
      <c r="I26" s="499">
        <v>1</v>
      </c>
      <c r="J26" s="499">
        <v>1</v>
      </c>
      <c r="K26" s="498">
        <v>0</v>
      </c>
      <c r="L26" s="498">
        <v>0</v>
      </c>
      <c r="M26" s="498">
        <v>0</v>
      </c>
      <c r="N26" s="498">
        <v>0</v>
      </c>
      <c r="O26" s="499">
        <v>1</v>
      </c>
      <c r="P26" s="498">
        <v>0</v>
      </c>
      <c r="Q26" s="500"/>
      <c r="R26" s="1"/>
      <c r="S26" s="1"/>
      <c r="T26" s="1"/>
      <c r="U26" s="1"/>
      <c r="V26" s="1"/>
      <c r="W26" s="1"/>
      <c r="X26" s="1"/>
      <c r="Y26" s="1"/>
      <c r="Z26" s="1"/>
    </row>
    <row r="27" spans="1:26">
      <c r="A27" s="501" t="s">
        <v>661</v>
      </c>
      <c r="B27" s="502">
        <f>SUM(E26:P26)</f>
        <v>3</v>
      </c>
      <c r="C27" s="493"/>
      <c r="D27" s="503" t="s">
        <v>662</v>
      </c>
      <c r="E27" s="825">
        <f t="shared" ref="E27:P27" si="4">IF(E26=1, $B$30,$B$29)</f>
        <v>13301</v>
      </c>
      <c r="F27" s="825">
        <f t="shared" si="4"/>
        <v>13301</v>
      </c>
      <c r="G27" s="825">
        <f t="shared" si="4"/>
        <v>13301</v>
      </c>
      <c r="H27" s="825">
        <f t="shared" si="4"/>
        <v>13301</v>
      </c>
      <c r="I27" s="825">
        <f t="shared" si="4"/>
        <v>13966</v>
      </c>
      <c r="J27" s="825">
        <f t="shared" si="4"/>
        <v>13966</v>
      </c>
      <c r="K27" s="825">
        <f t="shared" si="4"/>
        <v>13301</v>
      </c>
      <c r="L27" s="825">
        <f t="shared" si="4"/>
        <v>13301</v>
      </c>
      <c r="M27" s="825">
        <f t="shared" si="4"/>
        <v>13301</v>
      </c>
      <c r="N27" s="825">
        <f t="shared" si="4"/>
        <v>13301</v>
      </c>
      <c r="O27" s="825">
        <f t="shared" si="4"/>
        <v>13966</v>
      </c>
      <c r="P27" s="825">
        <f t="shared" si="4"/>
        <v>13301</v>
      </c>
      <c r="Q27" s="821">
        <f>SUM(E27:P27)</f>
        <v>161607</v>
      </c>
      <c r="R27" s="1"/>
      <c r="S27" s="1"/>
      <c r="T27" s="1"/>
      <c r="U27" s="1"/>
      <c r="V27" s="1"/>
      <c r="W27" s="1"/>
      <c r="X27" s="1"/>
      <c r="Y27" s="1"/>
      <c r="Z27" s="1"/>
    </row>
    <row r="28" spans="1:26">
      <c r="A28" s="501" t="s">
        <v>663</v>
      </c>
      <c r="B28" s="504">
        <v>0.05</v>
      </c>
      <c r="C28" s="1"/>
      <c r="D28" s="505" t="s">
        <v>664</v>
      </c>
      <c r="E28" s="505">
        <v>0</v>
      </c>
      <c r="F28" s="505">
        <v>0</v>
      </c>
      <c r="G28" s="505">
        <v>0</v>
      </c>
      <c r="H28" s="505">
        <v>0</v>
      </c>
      <c r="I28" s="505">
        <v>0</v>
      </c>
      <c r="J28" s="505">
        <v>0</v>
      </c>
      <c r="K28" s="505">
        <v>0</v>
      </c>
      <c r="L28" s="505">
        <v>0</v>
      </c>
      <c r="M28" s="505">
        <v>0</v>
      </c>
      <c r="N28" s="505">
        <v>0</v>
      </c>
      <c r="O28" s="506">
        <v>0</v>
      </c>
      <c r="P28" s="507">
        <f>IF(Q27=B26, 0, IF(Q27&lt;B26, B26-Q27, Q27-B26))</f>
        <v>1</v>
      </c>
      <c r="Q28" s="508"/>
      <c r="R28" s="1"/>
      <c r="S28" s="1"/>
      <c r="T28" s="1"/>
      <c r="U28" s="1"/>
      <c r="V28" s="1"/>
      <c r="W28" s="1"/>
      <c r="X28" s="1"/>
      <c r="Y28" s="1"/>
      <c r="Z28" s="1"/>
    </row>
    <row r="29" spans="1:26">
      <c r="A29" s="501" t="s">
        <v>665</v>
      </c>
      <c r="B29" s="822">
        <v>13301</v>
      </c>
      <c r="C29" s="1"/>
      <c r="D29" s="503" t="s">
        <v>666</v>
      </c>
      <c r="E29" s="826">
        <f t="shared" ref="E29:P29" si="5">SUM(E27:E28)</f>
        <v>13301</v>
      </c>
      <c r="F29" s="826">
        <f t="shared" si="5"/>
        <v>13301</v>
      </c>
      <c r="G29" s="826">
        <f t="shared" si="5"/>
        <v>13301</v>
      </c>
      <c r="H29" s="826">
        <f t="shared" si="5"/>
        <v>13301</v>
      </c>
      <c r="I29" s="826">
        <f t="shared" si="5"/>
        <v>13966</v>
      </c>
      <c r="J29" s="826">
        <f t="shared" si="5"/>
        <v>13966</v>
      </c>
      <c r="K29" s="826">
        <f t="shared" si="5"/>
        <v>13301</v>
      </c>
      <c r="L29" s="826">
        <f t="shared" si="5"/>
        <v>13301</v>
      </c>
      <c r="M29" s="826">
        <f t="shared" si="5"/>
        <v>13301</v>
      </c>
      <c r="N29" s="826">
        <f t="shared" si="5"/>
        <v>13301</v>
      </c>
      <c r="O29" s="826">
        <f t="shared" si="5"/>
        <v>13966</v>
      </c>
      <c r="P29" s="826">
        <f t="shared" si="5"/>
        <v>13302</v>
      </c>
      <c r="Q29" s="827">
        <f>SUM(E29:P29)</f>
        <v>161608</v>
      </c>
      <c r="R29" s="1"/>
      <c r="S29" s="1"/>
      <c r="T29" s="1"/>
      <c r="U29" s="1"/>
      <c r="V29" s="1"/>
      <c r="W29" s="1"/>
      <c r="X29" s="1"/>
      <c r="Y29" s="1"/>
      <c r="Z29" s="1"/>
    </row>
    <row r="30" spans="1:26">
      <c r="A30" s="510" t="s">
        <v>667</v>
      </c>
      <c r="B30" s="823">
        <v>13966</v>
      </c>
      <c r="C30" s="1"/>
      <c r="D30" s="1"/>
      <c r="E30" s="1"/>
      <c r="F30" s="1"/>
      <c r="G30" s="1"/>
      <c r="H30" s="1"/>
      <c r="I30" s="1"/>
      <c r="J30" s="1"/>
      <c r="K30" s="1"/>
      <c r="L30" s="1"/>
      <c r="M30" s="1"/>
      <c r="N30" s="1"/>
      <c r="O30" s="1"/>
      <c r="P30" s="1"/>
      <c r="Q30" s="509"/>
      <c r="R30" s="1"/>
      <c r="S30" s="1"/>
      <c r="T30" s="1"/>
      <c r="U30" s="1"/>
      <c r="V30" s="1"/>
      <c r="W30" s="1"/>
      <c r="X30" s="1"/>
      <c r="Y30" s="1"/>
      <c r="Z30" s="1"/>
    </row>
    <row r="31" spans="1:26">
      <c r="A31" s="511" t="s">
        <v>92</v>
      </c>
      <c r="B31" s="824">
        <f>(B30*B27)+(B29*(12-B27))</f>
        <v>161607</v>
      </c>
      <c r="C31" s="493"/>
      <c r="D31" s="493"/>
      <c r="E31" s="493"/>
      <c r="F31" s="493"/>
      <c r="G31" s="493"/>
      <c r="H31" s="493"/>
      <c r="I31" s="493"/>
      <c r="J31" s="493"/>
      <c r="K31" s="493"/>
      <c r="L31" s="493"/>
      <c r="M31" s="493"/>
      <c r="N31" s="493"/>
      <c r="O31" s="1"/>
      <c r="P31" s="1"/>
      <c r="Q31" s="509"/>
      <c r="R31" s="1"/>
      <c r="S31" s="1"/>
      <c r="T31" s="1"/>
      <c r="U31" s="1"/>
      <c r="V31" s="1"/>
      <c r="W31" s="1"/>
      <c r="X31" s="1"/>
      <c r="Y31" s="1"/>
      <c r="Z31" s="1"/>
    </row>
    <row r="32" spans="1:26">
      <c r="A32" s="514"/>
      <c r="B32" s="1"/>
      <c r="C32" s="493"/>
      <c r="D32" s="493"/>
      <c r="E32" s="493"/>
      <c r="F32" s="493"/>
      <c r="G32" s="493"/>
      <c r="H32" s="493"/>
      <c r="I32" s="493"/>
      <c r="J32" s="493"/>
      <c r="K32" s="493"/>
      <c r="L32" s="493"/>
      <c r="M32" s="493"/>
      <c r="N32" s="493"/>
      <c r="O32" s="1"/>
      <c r="P32" s="1"/>
      <c r="Q32" s="509"/>
      <c r="R32" s="1"/>
      <c r="S32" s="1"/>
      <c r="T32" s="1"/>
      <c r="U32" s="1"/>
      <c r="V32" s="1"/>
      <c r="W32" s="1"/>
      <c r="X32" s="1"/>
      <c r="Y32" s="1"/>
      <c r="Z32" s="1"/>
    </row>
    <row r="33" spans="1:26">
      <c r="A33" s="1347" t="s">
        <v>65</v>
      </c>
      <c r="B33" s="1297"/>
      <c r="C33" s="1297"/>
      <c r="D33" s="1297"/>
      <c r="E33" s="1297"/>
      <c r="F33" s="1297"/>
      <c r="G33" s="1297"/>
      <c r="H33" s="1297"/>
      <c r="I33" s="1297"/>
      <c r="J33" s="1297"/>
      <c r="K33" s="1297"/>
      <c r="L33" s="1297"/>
      <c r="M33" s="1297"/>
      <c r="N33" s="1297"/>
      <c r="O33" s="1297"/>
      <c r="P33" s="1297"/>
      <c r="Q33" s="1342"/>
      <c r="R33" s="1"/>
      <c r="S33" s="1"/>
      <c r="T33" s="1"/>
      <c r="U33" s="1"/>
      <c r="V33" s="1"/>
      <c r="W33" s="1"/>
      <c r="X33" s="1"/>
      <c r="Y33" s="1"/>
      <c r="Z33" s="1"/>
    </row>
    <row r="34" spans="1:26">
      <c r="A34" s="1343"/>
      <c r="B34" s="1297"/>
      <c r="C34" s="1297"/>
      <c r="D34" s="1297"/>
      <c r="E34" s="1297"/>
      <c r="F34" s="1297"/>
      <c r="G34" s="1297"/>
      <c r="H34" s="1297"/>
      <c r="I34" s="1297"/>
      <c r="J34" s="1297"/>
      <c r="K34" s="1297"/>
      <c r="L34" s="1297"/>
      <c r="M34" s="1297"/>
      <c r="N34" s="1297"/>
      <c r="O34" s="1297"/>
      <c r="P34" s="1297"/>
      <c r="Q34" s="1342"/>
      <c r="R34" s="1"/>
      <c r="S34" s="1"/>
      <c r="T34" s="1"/>
      <c r="U34" s="1"/>
      <c r="V34" s="1"/>
      <c r="W34" s="1"/>
      <c r="X34" s="1"/>
      <c r="Y34" s="1"/>
      <c r="Z34" s="1"/>
    </row>
    <row r="35" spans="1:26">
      <c r="A35" s="492" t="s">
        <v>655</v>
      </c>
      <c r="B35" s="820">
        <v>21600</v>
      </c>
      <c r="C35" s="493"/>
      <c r="D35" s="493" t="s">
        <v>658</v>
      </c>
      <c r="E35" s="494">
        <v>1</v>
      </c>
      <c r="F35" s="494">
        <v>2</v>
      </c>
      <c r="G35" s="494">
        <v>3</v>
      </c>
      <c r="H35" s="494">
        <v>4</v>
      </c>
      <c r="I35" s="494">
        <v>5</v>
      </c>
      <c r="J35" s="494">
        <v>6</v>
      </c>
      <c r="K35" s="494">
        <v>7</v>
      </c>
      <c r="L35" s="494">
        <v>8</v>
      </c>
      <c r="M35" s="494">
        <v>9</v>
      </c>
      <c r="N35" s="494">
        <v>10</v>
      </c>
      <c r="O35" s="494">
        <v>11</v>
      </c>
      <c r="P35" s="494">
        <v>12</v>
      </c>
      <c r="Q35" s="495" t="s">
        <v>92</v>
      </c>
      <c r="R35" s="1"/>
      <c r="S35" s="1"/>
      <c r="T35" s="1"/>
      <c r="U35" s="1"/>
      <c r="V35" s="1"/>
      <c r="W35" s="1"/>
      <c r="X35" s="1"/>
      <c r="Y35" s="1"/>
      <c r="Z35" s="1"/>
    </row>
    <row r="36" spans="1:26">
      <c r="A36" s="496" t="s">
        <v>659</v>
      </c>
      <c r="B36" s="821">
        <f>'BASES Model'!L11</f>
        <v>245757</v>
      </c>
      <c r="C36" s="493"/>
      <c r="D36" s="497" t="s">
        <v>660</v>
      </c>
      <c r="E36" s="498">
        <v>0</v>
      </c>
      <c r="F36" s="498">
        <v>0</v>
      </c>
      <c r="G36" s="498">
        <v>0</v>
      </c>
      <c r="H36" s="498">
        <v>0</v>
      </c>
      <c r="I36" s="499">
        <v>1</v>
      </c>
      <c r="J36" s="499">
        <v>1</v>
      </c>
      <c r="K36" s="498">
        <v>0</v>
      </c>
      <c r="L36" s="498">
        <v>0</v>
      </c>
      <c r="M36" s="498">
        <v>0</v>
      </c>
      <c r="N36" s="498">
        <v>0</v>
      </c>
      <c r="O36" s="499">
        <v>1</v>
      </c>
      <c r="P36" s="498">
        <v>0</v>
      </c>
      <c r="Q36" s="500"/>
      <c r="R36" s="1"/>
      <c r="S36" s="1"/>
      <c r="T36" s="1"/>
      <c r="U36" s="1"/>
      <c r="V36" s="1"/>
      <c r="W36" s="1"/>
      <c r="X36" s="1"/>
      <c r="Y36" s="1"/>
      <c r="Z36" s="1"/>
    </row>
    <row r="37" spans="1:26">
      <c r="A37" s="501" t="s">
        <v>661</v>
      </c>
      <c r="B37" s="822">
        <f>SUM(E36:P36)</f>
        <v>3</v>
      </c>
      <c r="C37" s="493"/>
      <c r="D37" s="503" t="s">
        <v>662</v>
      </c>
      <c r="E37" s="825">
        <f t="shared" ref="E37:P37" si="6">IF(E36=1, $B$40,$B$39)</f>
        <v>20227</v>
      </c>
      <c r="F37" s="825">
        <f t="shared" si="6"/>
        <v>20227</v>
      </c>
      <c r="G37" s="825">
        <f t="shared" si="6"/>
        <v>20227</v>
      </c>
      <c r="H37" s="825">
        <f t="shared" si="6"/>
        <v>20227</v>
      </c>
      <c r="I37" s="825">
        <f t="shared" si="6"/>
        <v>21238</v>
      </c>
      <c r="J37" s="825">
        <f t="shared" si="6"/>
        <v>21238</v>
      </c>
      <c r="K37" s="825">
        <f t="shared" si="6"/>
        <v>20227</v>
      </c>
      <c r="L37" s="825">
        <f t="shared" si="6"/>
        <v>20227</v>
      </c>
      <c r="M37" s="825">
        <f t="shared" si="6"/>
        <v>20227</v>
      </c>
      <c r="N37" s="825">
        <f t="shared" si="6"/>
        <v>20227</v>
      </c>
      <c r="O37" s="825">
        <f t="shared" si="6"/>
        <v>21238</v>
      </c>
      <c r="P37" s="825">
        <f t="shared" si="6"/>
        <v>20227</v>
      </c>
      <c r="Q37" s="821">
        <f>SUM(E37:P37)</f>
        <v>245757</v>
      </c>
      <c r="R37" s="1"/>
      <c r="S37" s="1"/>
      <c r="T37" s="1"/>
      <c r="U37" s="1"/>
      <c r="V37" s="1"/>
      <c r="W37" s="1"/>
      <c r="X37" s="1"/>
      <c r="Y37" s="1"/>
      <c r="Z37" s="1"/>
    </row>
    <row r="38" spans="1:26">
      <c r="A38" s="501" t="s">
        <v>663</v>
      </c>
      <c r="B38" s="828">
        <v>0.05</v>
      </c>
      <c r="C38" s="493"/>
      <c r="D38" s="505" t="s">
        <v>664</v>
      </c>
      <c r="E38" s="505">
        <v>0</v>
      </c>
      <c r="F38" s="505">
        <v>0</v>
      </c>
      <c r="G38" s="505">
        <v>0</v>
      </c>
      <c r="H38" s="505">
        <v>0</v>
      </c>
      <c r="I38" s="505">
        <v>0</v>
      </c>
      <c r="J38" s="505">
        <v>0</v>
      </c>
      <c r="K38" s="505">
        <v>0</v>
      </c>
      <c r="L38" s="505">
        <v>0</v>
      </c>
      <c r="M38" s="505">
        <v>0</v>
      </c>
      <c r="N38" s="505">
        <v>0</v>
      </c>
      <c r="O38" s="506">
        <v>0</v>
      </c>
      <c r="P38" s="516">
        <f>IF(Q37=B36, 0, IF(Q37&lt;B36, B36-Q37, Q37-B36))</f>
        <v>0</v>
      </c>
      <c r="Q38" s="508"/>
      <c r="R38" s="1"/>
      <c r="S38" s="1"/>
      <c r="T38" s="1"/>
      <c r="U38" s="1"/>
      <c r="V38" s="1"/>
      <c r="W38" s="1"/>
      <c r="X38" s="1"/>
      <c r="Y38" s="1"/>
      <c r="Z38" s="1"/>
    </row>
    <row r="39" spans="1:26">
      <c r="A39" s="501" t="s">
        <v>665</v>
      </c>
      <c r="B39" s="822">
        <v>20227</v>
      </c>
      <c r="C39" s="493"/>
      <c r="D39" s="503" t="s">
        <v>666</v>
      </c>
      <c r="E39" s="826">
        <f t="shared" ref="E39:P39" si="7">SUM(E37:E38)</f>
        <v>20227</v>
      </c>
      <c r="F39" s="826">
        <f t="shared" si="7"/>
        <v>20227</v>
      </c>
      <c r="G39" s="826">
        <f t="shared" si="7"/>
        <v>20227</v>
      </c>
      <c r="H39" s="826">
        <f t="shared" si="7"/>
        <v>20227</v>
      </c>
      <c r="I39" s="826">
        <f t="shared" si="7"/>
        <v>21238</v>
      </c>
      <c r="J39" s="826">
        <f t="shared" si="7"/>
        <v>21238</v>
      </c>
      <c r="K39" s="826">
        <f t="shared" si="7"/>
        <v>20227</v>
      </c>
      <c r="L39" s="826">
        <f t="shared" si="7"/>
        <v>20227</v>
      </c>
      <c r="M39" s="826">
        <f t="shared" si="7"/>
        <v>20227</v>
      </c>
      <c r="N39" s="826">
        <f t="shared" si="7"/>
        <v>20227</v>
      </c>
      <c r="O39" s="826">
        <f t="shared" si="7"/>
        <v>21238</v>
      </c>
      <c r="P39" s="826">
        <f t="shared" si="7"/>
        <v>20227</v>
      </c>
      <c r="Q39" s="827">
        <f>SUM(E39:P39)</f>
        <v>245757</v>
      </c>
      <c r="R39" s="1"/>
      <c r="S39" s="1"/>
      <c r="T39" s="1"/>
      <c r="U39" s="1"/>
      <c r="V39" s="1"/>
      <c r="W39" s="1"/>
      <c r="X39" s="1"/>
      <c r="Y39" s="1"/>
      <c r="Z39" s="1"/>
    </row>
    <row r="40" spans="1:26">
      <c r="A40" s="510" t="s">
        <v>667</v>
      </c>
      <c r="B40" s="823">
        <v>21238</v>
      </c>
      <c r="C40" s="493"/>
      <c r="D40" s="493"/>
      <c r="E40" s="493"/>
      <c r="F40" s="493"/>
      <c r="G40" s="493"/>
      <c r="H40" s="493"/>
      <c r="I40" s="493"/>
      <c r="J40" s="493"/>
      <c r="K40" s="493"/>
      <c r="L40" s="493"/>
      <c r="M40" s="493"/>
      <c r="N40" s="493"/>
      <c r="O40" s="1"/>
      <c r="P40" s="1"/>
      <c r="Q40" s="509"/>
      <c r="R40" s="1"/>
      <c r="S40" s="1"/>
      <c r="T40" s="1"/>
      <c r="U40" s="1"/>
      <c r="V40" s="1"/>
      <c r="W40" s="1"/>
      <c r="X40" s="1"/>
      <c r="Y40" s="1"/>
      <c r="Z40" s="1"/>
    </row>
    <row r="41" spans="1:26">
      <c r="A41" s="511" t="s">
        <v>92</v>
      </c>
      <c r="B41" s="824">
        <f>(B40*B37)+(B39*(12-B37))</f>
        <v>245757</v>
      </c>
      <c r="C41" s="493"/>
      <c r="D41" s="493"/>
      <c r="E41" s="493"/>
      <c r="F41" s="493"/>
      <c r="G41" s="493"/>
      <c r="H41" s="493"/>
      <c r="I41" s="493"/>
      <c r="J41" s="493"/>
      <c r="K41" s="493"/>
      <c r="L41" s="493"/>
      <c r="M41" s="493"/>
      <c r="N41" s="493"/>
      <c r="O41" s="1"/>
      <c r="P41" s="1"/>
      <c r="Q41" s="509"/>
      <c r="R41" s="1"/>
      <c r="S41" s="1"/>
      <c r="T41" s="1"/>
      <c r="U41" s="1"/>
      <c r="V41" s="1"/>
      <c r="W41" s="1"/>
      <c r="X41" s="1"/>
      <c r="Y41" s="1"/>
      <c r="Z41" s="1"/>
    </row>
    <row r="42" spans="1:26">
      <c r="A42" s="514"/>
      <c r="B42" s="1"/>
      <c r="C42" s="1"/>
      <c r="D42" s="1"/>
      <c r="E42" s="1"/>
      <c r="F42" s="1"/>
      <c r="G42" s="1"/>
      <c r="H42" s="1"/>
      <c r="I42" s="1"/>
      <c r="J42" s="1"/>
      <c r="K42" s="1"/>
      <c r="L42" s="1"/>
      <c r="M42" s="1"/>
      <c r="N42" s="1"/>
      <c r="O42" s="1"/>
      <c r="P42" s="1"/>
      <c r="Q42" s="509"/>
      <c r="R42" s="1"/>
      <c r="S42" s="1"/>
      <c r="T42" s="1"/>
      <c r="U42" s="1"/>
      <c r="V42" s="1"/>
      <c r="W42" s="1"/>
      <c r="X42" s="1"/>
      <c r="Y42" s="1"/>
      <c r="Z42" s="1"/>
    </row>
    <row r="43" spans="1:26">
      <c r="A43" s="1347" t="s">
        <v>67</v>
      </c>
      <c r="B43" s="1297"/>
      <c r="C43" s="1297"/>
      <c r="D43" s="1297"/>
      <c r="E43" s="1297"/>
      <c r="F43" s="1297"/>
      <c r="G43" s="1297"/>
      <c r="H43" s="1297"/>
      <c r="I43" s="1297"/>
      <c r="J43" s="1297"/>
      <c r="K43" s="1297"/>
      <c r="L43" s="1297"/>
      <c r="M43" s="1297"/>
      <c r="N43" s="1297"/>
      <c r="O43" s="1297"/>
      <c r="P43" s="1297"/>
      <c r="Q43" s="1342"/>
      <c r="R43" s="1"/>
      <c r="S43" s="1"/>
      <c r="T43" s="1"/>
      <c r="U43" s="1"/>
      <c r="V43" s="1"/>
      <c r="W43" s="1"/>
      <c r="X43" s="1"/>
      <c r="Y43" s="1"/>
      <c r="Z43" s="1"/>
    </row>
    <row r="44" spans="1:26">
      <c r="A44" s="1343"/>
      <c r="B44" s="1297"/>
      <c r="C44" s="1297"/>
      <c r="D44" s="1297"/>
      <c r="E44" s="1297"/>
      <c r="F44" s="1297"/>
      <c r="G44" s="1297"/>
      <c r="H44" s="1297"/>
      <c r="I44" s="1297"/>
      <c r="J44" s="1297"/>
      <c r="K44" s="1297"/>
      <c r="L44" s="1297"/>
      <c r="M44" s="1297"/>
      <c r="N44" s="1297"/>
      <c r="O44" s="1297"/>
      <c r="P44" s="1297"/>
      <c r="Q44" s="1342"/>
      <c r="R44" s="1"/>
      <c r="S44" s="1"/>
      <c r="T44" s="1"/>
      <c r="U44" s="1"/>
      <c r="V44" s="1"/>
      <c r="W44" s="1"/>
      <c r="X44" s="1"/>
      <c r="Y44" s="1"/>
      <c r="Z44" s="1"/>
    </row>
    <row r="45" spans="1:26">
      <c r="A45" s="492" t="s">
        <v>655</v>
      </c>
      <c r="B45" s="820">
        <v>25600</v>
      </c>
      <c r="C45" s="1"/>
      <c r="D45" s="493" t="s">
        <v>658</v>
      </c>
      <c r="E45" s="494">
        <v>1</v>
      </c>
      <c r="F45" s="494">
        <v>2</v>
      </c>
      <c r="G45" s="494">
        <v>3</v>
      </c>
      <c r="H45" s="494">
        <v>4</v>
      </c>
      <c r="I45" s="494">
        <v>5</v>
      </c>
      <c r="J45" s="494">
        <v>6</v>
      </c>
      <c r="K45" s="494">
        <v>7</v>
      </c>
      <c r="L45" s="494">
        <v>8</v>
      </c>
      <c r="M45" s="494">
        <v>9</v>
      </c>
      <c r="N45" s="494">
        <v>10</v>
      </c>
      <c r="O45" s="494">
        <v>11</v>
      </c>
      <c r="P45" s="494">
        <v>12</v>
      </c>
      <c r="Q45" s="495" t="s">
        <v>92</v>
      </c>
      <c r="R45" s="1"/>
      <c r="S45" s="1"/>
      <c r="T45" s="1"/>
      <c r="U45" s="1"/>
      <c r="V45" s="1"/>
      <c r="W45" s="1"/>
      <c r="X45" s="1"/>
      <c r="Y45" s="1"/>
      <c r="Z45" s="1"/>
    </row>
    <row r="46" spans="1:26">
      <c r="A46" s="496" t="s">
        <v>659</v>
      </c>
      <c r="B46" s="821">
        <f>'BASES Model'!M11</f>
        <v>297058</v>
      </c>
      <c r="C46" s="493"/>
      <c r="D46" s="497" t="s">
        <v>660</v>
      </c>
      <c r="E46" s="498">
        <v>0</v>
      </c>
      <c r="F46" s="498">
        <v>0</v>
      </c>
      <c r="G46" s="498">
        <v>0</v>
      </c>
      <c r="H46" s="498">
        <v>0</v>
      </c>
      <c r="I46" s="499">
        <v>1</v>
      </c>
      <c r="J46" s="499">
        <v>1</v>
      </c>
      <c r="K46" s="498">
        <v>0</v>
      </c>
      <c r="L46" s="498">
        <v>0</v>
      </c>
      <c r="M46" s="498">
        <v>0</v>
      </c>
      <c r="N46" s="498">
        <v>0</v>
      </c>
      <c r="O46" s="499">
        <v>1</v>
      </c>
      <c r="P46" s="498">
        <v>0</v>
      </c>
      <c r="Q46" s="500"/>
      <c r="R46" s="1"/>
      <c r="S46" s="1"/>
      <c r="T46" s="1"/>
      <c r="U46" s="1"/>
      <c r="V46" s="1"/>
      <c r="W46" s="1"/>
      <c r="X46" s="1"/>
      <c r="Y46" s="1"/>
      <c r="Z46" s="1"/>
    </row>
    <row r="47" spans="1:26">
      <c r="A47" s="501" t="s">
        <v>661</v>
      </c>
      <c r="B47" s="502">
        <f>SUM(E46:P46)</f>
        <v>3</v>
      </c>
      <c r="C47" s="493"/>
      <c r="D47" s="503" t="s">
        <v>662</v>
      </c>
      <c r="E47" s="825">
        <f t="shared" ref="E47:P47" si="8">IF(E46=1, $B$50,$B$49)</f>
        <v>24449</v>
      </c>
      <c r="F47" s="825">
        <f t="shared" si="8"/>
        <v>24449</v>
      </c>
      <c r="G47" s="825">
        <f t="shared" si="8"/>
        <v>24449</v>
      </c>
      <c r="H47" s="825">
        <f t="shared" si="8"/>
        <v>24449</v>
      </c>
      <c r="I47" s="825">
        <f t="shared" si="8"/>
        <v>25671</v>
      </c>
      <c r="J47" s="825">
        <f t="shared" si="8"/>
        <v>25671</v>
      </c>
      <c r="K47" s="825">
        <f t="shared" si="8"/>
        <v>24449</v>
      </c>
      <c r="L47" s="825">
        <f t="shared" si="8"/>
        <v>24449</v>
      </c>
      <c r="M47" s="825">
        <f t="shared" si="8"/>
        <v>24449</v>
      </c>
      <c r="N47" s="825">
        <f t="shared" si="8"/>
        <v>24449</v>
      </c>
      <c r="O47" s="825">
        <f t="shared" si="8"/>
        <v>25671</v>
      </c>
      <c r="P47" s="825">
        <f t="shared" si="8"/>
        <v>24449</v>
      </c>
      <c r="Q47" s="821">
        <f>SUM(E47:P47)</f>
        <v>297054</v>
      </c>
      <c r="R47" s="1"/>
      <c r="S47" s="1"/>
      <c r="T47" s="1"/>
      <c r="U47" s="1"/>
      <c r="V47" s="1"/>
      <c r="W47" s="1"/>
      <c r="X47" s="1"/>
      <c r="Y47" s="1"/>
      <c r="Z47" s="1"/>
    </row>
    <row r="48" spans="1:26">
      <c r="A48" s="501" t="s">
        <v>663</v>
      </c>
      <c r="B48" s="504">
        <v>0.05</v>
      </c>
      <c r="C48" s="493"/>
      <c r="D48" s="505" t="s">
        <v>664</v>
      </c>
      <c r="E48" s="505">
        <v>0</v>
      </c>
      <c r="F48" s="505">
        <v>0</v>
      </c>
      <c r="G48" s="505">
        <v>0</v>
      </c>
      <c r="H48" s="505">
        <v>0</v>
      </c>
      <c r="I48" s="505">
        <v>0</v>
      </c>
      <c r="J48" s="505">
        <v>0</v>
      </c>
      <c r="K48" s="505">
        <v>0</v>
      </c>
      <c r="L48" s="505">
        <v>0</v>
      </c>
      <c r="M48" s="505">
        <v>0</v>
      </c>
      <c r="N48" s="505">
        <v>0</v>
      </c>
      <c r="O48" s="506">
        <v>0</v>
      </c>
      <c r="P48" s="507">
        <f>IF(Q47=B46, 0, IF(Q47&lt;B46, B46-Q47, Q47-B46))</f>
        <v>4</v>
      </c>
      <c r="Q48" s="508"/>
      <c r="R48" s="1"/>
      <c r="S48" s="1"/>
      <c r="T48" s="1"/>
      <c r="U48" s="1"/>
      <c r="V48" s="1"/>
      <c r="W48" s="1"/>
      <c r="X48" s="1"/>
      <c r="Y48" s="1"/>
      <c r="Z48" s="1"/>
    </row>
    <row r="49" spans="1:26">
      <c r="A49" s="501" t="s">
        <v>665</v>
      </c>
      <c r="B49" s="822">
        <v>24449</v>
      </c>
      <c r="C49" s="493"/>
      <c r="D49" s="503" t="s">
        <v>666</v>
      </c>
      <c r="E49" s="826">
        <f t="shared" ref="E49:P49" si="9">SUM(E47:E48)</f>
        <v>24449</v>
      </c>
      <c r="F49" s="826">
        <f t="shared" si="9"/>
        <v>24449</v>
      </c>
      <c r="G49" s="826">
        <f t="shared" si="9"/>
        <v>24449</v>
      </c>
      <c r="H49" s="826">
        <f t="shared" si="9"/>
        <v>24449</v>
      </c>
      <c r="I49" s="826">
        <f t="shared" si="9"/>
        <v>25671</v>
      </c>
      <c r="J49" s="826">
        <f t="shared" si="9"/>
        <v>25671</v>
      </c>
      <c r="K49" s="826">
        <f t="shared" si="9"/>
        <v>24449</v>
      </c>
      <c r="L49" s="826">
        <f t="shared" si="9"/>
        <v>24449</v>
      </c>
      <c r="M49" s="826">
        <f t="shared" si="9"/>
        <v>24449</v>
      </c>
      <c r="N49" s="826">
        <f t="shared" si="9"/>
        <v>24449</v>
      </c>
      <c r="O49" s="826">
        <f t="shared" si="9"/>
        <v>25671</v>
      </c>
      <c r="P49" s="826">
        <f t="shared" si="9"/>
        <v>24453</v>
      </c>
      <c r="Q49" s="827">
        <f>SUM(E49:P49)</f>
        <v>297058</v>
      </c>
      <c r="R49" s="1"/>
      <c r="S49" s="1"/>
      <c r="T49" s="1"/>
      <c r="U49" s="1"/>
      <c r="V49" s="1"/>
      <c r="W49" s="1"/>
      <c r="X49" s="1"/>
      <c r="Y49" s="1"/>
      <c r="Z49" s="1"/>
    </row>
    <row r="50" spans="1:26">
      <c r="A50" s="510" t="s">
        <v>667</v>
      </c>
      <c r="B50" s="823">
        <v>25671</v>
      </c>
      <c r="C50" s="493"/>
      <c r="D50" s="493"/>
      <c r="E50" s="493"/>
      <c r="F50" s="493"/>
      <c r="G50" s="493"/>
      <c r="H50" s="493"/>
      <c r="I50" s="493"/>
      <c r="J50" s="493"/>
      <c r="K50" s="493"/>
      <c r="L50" s="493"/>
      <c r="M50" s="493"/>
      <c r="N50" s="493"/>
      <c r="O50" s="1"/>
      <c r="P50" s="1"/>
      <c r="Q50" s="509"/>
      <c r="R50" s="1"/>
      <c r="S50" s="1"/>
      <c r="T50" s="1"/>
      <c r="U50" s="1"/>
      <c r="V50" s="1"/>
      <c r="W50" s="1"/>
      <c r="X50" s="1"/>
      <c r="Y50" s="1"/>
      <c r="Z50" s="1"/>
    </row>
    <row r="51" spans="1:26">
      <c r="A51" s="511" t="s">
        <v>92</v>
      </c>
      <c r="B51" s="824">
        <f>(B50*B47)+(B49*(12-B47))</f>
        <v>297054</v>
      </c>
      <c r="C51" s="497"/>
      <c r="D51" s="497"/>
      <c r="E51" s="497"/>
      <c r="F51" s="497"/>
      <c r="G51" s="497"/>
      <c r="H51" s="497"/>
      <c r="I51" s="497"/>
      <c r="J51" s="497"/>
      <c r="K51" s="497"/>
      <c r="L51" s="497"/>
      <c r="M51" s="497"/>
      <c r="N51" s="497"/>
      <c r="O51" s="516"/>
      <c r="P51" s="516"/>
      <c r="Q51" s="508"/>
      <c r="R51" s="1"/>
      <c r="S51" s="1"/>
      <c r="T51" s="1"/>
      <c r="U51" s="1"/>
      <c r="V51" s="1"/>
      <c r="W51" s="1"/>
      <c r="X51" s="1"/>
      <c r="Y51" s="1"/>
      <c r="Z51" s="1"/>
    </row>
    <row r="52" spans="1:26">
      <c r="A52" s="1"/>
      <c r="B52" s="1"/>
      <c r="C52" s="493"/>
      <c r="D52" s="493"/>
      <c r="E52" s="493"/>
      <c r="F52" s="493"/>
      <c r="G52" s="493"/>
      <c r="H52" s="493"/>
      <c r="I52" s="493"/>
      <c r="J52" s="493"/>
      <c r="K52" s="493"/>
      <c r="L52" s="493"/>
      <c r="M52" s="493"/>
      <c r="N52" s="493"/>
      <c r="O52" s="1"/>
      <c r="P52" s="1"/>
      <c r="Q52" s="1"/>
      <c r="R52" s="1"/>
      <c r="S52" s="1"/>
      <c r="T52" s="1"/>
      <c r="U52" s="1"/>
      <c r="V52" s="1"/>
      <c r="W52" s="1"/>
      <c r="X52" s="1"/>
      <c r="Y52" s="1"/>
      <c r="Z52" s="1"/>
    </row>
    <row r="53" spans="1:26">
      <c r="A53" s="1"/>
      <c r="B53" s="1"/>
      <c r="C53" s="493"/>
      <c r="D53" s="493"/>
      <c r="E53" s="493"/>
      <c r="F53" s="493"/>
      <c r="G53" s="493"/>
      <c r="H53" s="493"/>
      <c r="I53" s="493"/>
      <c r="J53" s="493"/>
      <c r="K53" s="493"/>
      <c r="L53" s="493"/>
      <c r="M53" s="493"/>
      <c r="N53" s="493"/>
      <c r="O53" s="1"/>
      <c r="P53" s="1"/>
      <c r="Q53" s="1"/>
      <c r="R53" s="1"/>
      <c r="S53" s="1"/>
      <c r="T53" s="1"/>
      <c r="U53" s="1"/>
      <c r="V53" s="1"/>
      <c r="W53" s="1"/>
      <c r="X53" s="1"/>
      <c r="Y53" s="1"/>
      <c r="Z53" s="1"/>
    </row>
    <row r="54" spans="1:26">
      <c r="A54" s="1"/>
      <c r="B54" s="1"/>
      <c r="C54" s="493"/>
      <c r="D54" s="493"/>
      <c r="E54" s="493"/>
      <c r="F54" s="493"/>
      <c r="G54" s="493"/>
      <c r="H54" s="493"/>
      <c r="I54" s="493"/>
      <c r="J54" s="493"/>
      <c r="K54" s="493"/>
      <c r="L54" s="493"/>
      <c r="M54" s="493"/>
      <c r="N54" s="493"/>
      <c r="O54" s="1"/>
      <c r="P54" s="1"/>
      <c r="Q54" s="1"/>
      <c r="R54" s="1"/>
      <c r="S54" s="1"/>
      <c r="T54" s="1"/>
      <c r="U54" s="1"/>
      <c r="V54" s="1"/>
      <c r="W54" s="1"/>
      <c r="X54" s="1"/>
      <c r="Y54" s="1"/>
      <c r="Z54" s="1"/>
    </row>
    <row r="55" spans="1:26">
      <c r="A55" s="493"/>
      <c r="B55" s="493"/>
      <c r="C55" s="493"/>
      <c r="D55" s="493"/>
      <c r="E55" s="493"/>
      <c r="F55" s="493"/>
      <c r="G55" s="493"/>
      <c r="H55" s="493"/>
      <c r="I55" s="493"/>
      <c r="J55" s="493"/>
      <c r="K55" s="493"/>
      <c r="L55" s="493"/>
      <c r="M55" s="493"/>
      <c r="N55" s="493"/>
      <c r="O55" s="1"/>
      <c r="P55" s="1"/>
      <c r="Q55" s="1"/>
      <c r="R55" s="1"/>
      <c r="S55" s="1"/>
      <c r="T55" s="1"/>
      <c r="U55" s="1"/>
      <c r="V55" s="1"/>
      <c r="W55" s="1"/>
      <c r="X55" s="1"/>
      <c r="Y55" s="1"/>
      <c r="Z55" s="1"/>
    </row>
    <row r="56" spans="1:26">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c r="A59" s="493"/>
      <c r="B59" s="493"/>
      <c r="C59" s="493"/>
      <c r="D59" s="493"/>
      <c r="E59" s="493"/>
      <c r="F59" s="493"/>
      <c r="G59" s="493"/>
      <c r="H59" s="493"/>
      <c r="I59" s="493"/>
      <c r="J59" s="493"/>
      <c r="K59" s="493"/>
      <c r="L59" s="493"/>
      <c r="M59" s="493"/>
      <c r="N59" s="493"/>
      <c r="O59" s="1"/>
      <c r="P59" s="1"/>
      <c r="Q59" s="1"/>
      <c r="R59" s="1"/>
      <c r="S59" s="1"/>
      <c r="T59" s="1"/>
      <c r="U59" s="1"/>
      <c r="V59" s="1"/>
      <c r="W59" s="1"/>
      <c r="X59" s="1"/>
      <c r="Y59" s="1"/>
      <c r="Z59" s="1"/>
    </row>
    <row r="60" spans="1:26">
      <c r="A60" s="1"/>
      <c r="B60" s="1"/>
      <c r="C60" s="493"/>
      <c r="D60" s="493"/>
      <c r="E60" s="493"/>
      <c r="F60" s="493"/>
      <c r="G60" s="493"/>
      <c r="H60" s="493"/>
      <c r="I60" s="493"/>
      <c r="J60" s="493"/>
      <c r="K60" s="493"/>
      <c r="L60" s="493"/>
      <c r="M60" s="493"/>
      <c r="N60" s="493"/>
      <c r="O60" s="1"/>
      <c r="P60" s="1"/>
      <c r="Q60" s="1"/>
      <c r="R60" s="1"/>
      <c r="S60" s="1"/>
      <c r="T60" s="1"/>
      <c r="U60" s="1"/>
      <c r="V60" s="1"/>
      <c r="W60" s="1"/>
      <c r="X60" s="1"/>
      <c r="Y60" s="1"/>
      <c r="Z60" s="1"/>
    </row>
    <row r="61" spans="1:26">
      <c r="A61" s="1"/>
      <c r="B61" s="1"/>
      <c r="C61" s="493"/>
      <c r="D61" s="493"/>
      <c r="E61" s="493"/>
      <c r="F61" s="493"/>
      <c r="G61" s="493"/>
      <c r="H61" s="493"/>
      <c r="I61" s="493"/>
      <c r="J61" s="493"/>
      <c r="K61" s="493"/>
      <c r="L61" s="493"/>
      <c r="M61" s="493"/>
      <c r="N61" s="493"/>
      <c r="O61" s="1"/>
      <c r="P61" s="1"/>
      <c r="Q61" s="1"/>
      <c r="R61" s="1"/>
      <c r="S61" s="1"/>
      <c r="T61" s="1"/>
      <c r="U61" s="1"/>
      <c r="V61" s="1"/>
      <c r="W61" s="1"/>
      <c r="X61" s="1"/>
      <c r="Y61" s="1"/>
      <c r="Z61" s="1"/>
    </row>
    <row r="62" spans="1:26">
      <c r="A62" s="1"/>
      <c r="B62" s="1"/>
      <c r="C62" s="493"/>
      <c r="D62" s="493"/>
      <c r="E62" s="493"/>
      <c r="F62" s="493"/>
      <c r="G62" s="493"/>
      <c r="H62" s="493"/>
      <c r="I62" s="493"/>
      <c r="J62" s="493"/>
      <c r="K62" s="493"/>
      <c r="L62" s="493"/>
      <c r="M62" s="493"/>
      <c r="N62" s="493"/>
      <c r="O62" s="1"/>
      <c r="P62" s="1"/>
      <c r="Q62" s="1"/>
      <c r="R62" s="1"/>
      <c r="S62" s="1"/>
      <c r="T62" s="1"/>
      <c r="U62" s="1"/>
      <c r="V62" s="1"/>
      <c r="W62" s="1"/>
      <c r="X62" s="1"/>
      <c r="Y62" s="1"/>
      <c r="Z62" s="1"/>
    </row>
    <row r="63" spans="1:26">
      <c r="A63" s="1"/>
      <c r="B63" s="1"/>
      <c r="C63" s="493"/>
      <c r="D63" s="493"/>
      <c r="E63" s="493"/>
      <c r="F63" s="493"/>
      <c r="G63" s="493"/>
      <c r="H63" s="493"/>
      <c r="I63" s="493"/>
      <c r="J63" s="493"/>
      <c r="K63" s="493"/>
      <c r="L63" s="493"/>
      <c r="M63" s="493"/>
      <c r="N63" s="493"/>
      <c r="O63" s="1"/>
      <c r="P63" s="1"/>
      <c r="Q63" s="1"/>
      <c r="R63" s="1"/>
      <c r="S63" s="1"/>
      <c r="T63" s="1"/>
      <c r="U63" s="1"/>
      <c r="V63" s="1"/>
      <c r="W63" s="1"/>
      <c r="X63" s="1"/>
      <c r="Y63" s="1"/>
      <c r="Z63" s="1"/>
    </row>
    <row r="64" spans="1:26">
      <c r="A64" s="1"/>
      <c r="B64" s="1"/>
      <c r="C64" s="493"/>
      <c r="D64" s="493"/>
      <c r="E64" s="493"/>
      <c r="F64" s="493"/>
      <c r="G64" s="493"/>
      <c r="H64" s="493"/>
      <c r="I64" s="493"/>
      <c r="J64" s="493"/>
      <c r="K64" s="493"/>
      <c r="L64" s="493"/>
      <c r="M64" s="493"/>
      <c r="N64" s="493"/>
      <c r="O64" s="1"/>
      <c r="P64" s="1"/>
      <c r="Q64" s="1"/>
      <c r="R64" s="1"/>
      <c r="S64" s="1"/>
      <c r="T64" s="1"/>
      <c r="U64" s="1"/>
      <c r="V64" s="1"/>
      <c r="W64" s="1"/>
      <c r="X64" s="1"/>
      <c r="Y64" s="1"/>
      <c r="Z64" s="1"/>
    </row>
    <row r="65" spans="1:26">
      <c r="A65" s="1"/>
      <c r="B65" s="1"/>
      <c r="C65" s="493"/>
      <c r="D65" s="493"/>
      <c r="E65" s="493"/>
      <c r="F65" s="493"/>
      <c r="G65" s="493"/>
      <c r="H65" s="493"/>
      <c r="I65" s="493"/>
      <c r="J65" s="493"/>
      <c r="K65" s="493"/>
      <c r="L65" s="493"/>
      <c r="M65" s="493"/>
      <c r="N65" s="493"/>
      <c r="O65" s="1"/>
      <c r="P65" s="1"/>
      <c r="Q65" s="1"/>
      <c r="R65" s="1"/>
      <c r="S65" s="1"/>
      <c r="T65" s="1"/>
      <c r="U65" s="1"/>
      <c r="V65" s="1"/>
      <c r="W65" s="1"/>
      <c r="X65" s="1"/>
      <c r="Y65" s="1"/>
      <c r="Z65" s="1"/>
    </row>
    <row r="66" spans="1:26">
      <c r="A66" s="1"/>
      <c r="B66" s="1"/>
      <c r="C66" s="493"/>
      <c r="D66" s="493"/>
      <c r="E66" s="493"/>
      <c r="F66" s="493"/>
      <c r="G66" s="493"/>
      <c r="H66" s="493"/>
      <c r="I66" s="493"/>
      <c r="J66" s="493"/>
      <c r="K66" s="493"/>
      <c r="L66" s="493"/>
      <c r="M66" s="493"/>
      <c r="N66" s="493"/>
      <c r="O66" s="1"/>
      <c r="P66" s="1"/>
      <c r="Q66" s="1"/>
      <c r="R66" s="1"/>
      <c r="S66" s="1"/>
      <c r="T66" s="1"/>
      <c r="U66" s="1"/>
      <c r="V66" s="1"/>
      <c r="W66" s="1"/>
      <c r="X66" s="1"/>
      <c r="Y66" s="1"/>
      <c r="Z66" s="1"/>
    </row>
    <row r="67" spans="1:26">
      <c r="A67" s="1"/>
      <c r="B67" s="1"/>
      <c r="C67" s="493"/>
      <c r="D67" s="493"/>
      <c r="E67" s="493"/>
      <c r="F67" s="493"/>
      <c r="G67" s="493"/>
      <c r="H67" s="493"/>
      <c r="I67" s="493"/>
      <c r="J67" s="493"/>
      <c r="K67" s="493"/>
      <c r="L67" s="493"/>
      <c r="M67" s="493"/>
      <c r="N67" s="493"/>
      <c r="O67" s="1"/>
      <c r="P67" s="1"/>
      <c r="Q67" s="1"/>
      <c r="R67" s="1"/>
      <c r="S67" s="1"/>
      <c r="T67" s="1"/>
      <c r="U67" s="1"/>
      <c r="V67" s="1"/>
      <c r="W67" s="1"/>
      <c r="X67" s="1"/>
      <c r="Y67" s="1"/>
      <c r="Z67" s="1"/>
    </row>
    <row r="68" spans="1:26">
      <c r="A68" s="493"/>
      <c r="B68" s="493"/>
      <c r="C68" s="493"/>
      <c r="D68" s="493"/>
      <c r="E68" s="493"/>
      <c r="F68" s="493"/>
      <c r="G68" s="493"/>
      <c r="H68" s="493"/>
      <c r="I68" s="493"/>
      <c r="J68" s="493"/>
      <c r="K68" s="493"/>
      <c r="L68" s="493"/>
      <c r="M68" s="493"/>
      <c r="N68" s="493"/>
      <c r="O68" s="1"/>
      <c r="P68" s="1"/>
      <c r="Q68" s="1"/>
      <c r="R68" s="1"/>
      <c r="S68" s="1"/>
      <c r="T68" s="1"/>
      <c r="U68" s="1"/>
      <c r="V68" s="1"/>
      <c r="W68" s="1"/>
      <c r="X68" s="1"/>
      <c r="Y68" s="1"/>
      <c r="Z68" s="1"/>
    </row>
    <row r="69" spans="1:26">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c r="A72" s="493"/>
      <c r="B72" s="493"/>
      <c r="C72" s="493"/>
      <c r="D72" s="493"/>
      <c r="E72" s="493"/>
      <c r="F72" s="493"/>
      <c r="G72" s="493"/>
      <c r="H72" s="493"/>
      <c r="I72" s="493"/>
      <c r="J72" s="493"/>
      <c r="K72" s="493"/>
      <c r="L72" s="493"/>
      <c r="M72" s="493"/>
      <c r="N72" s="493"/>
      <c r="O72" s="1"/>
      <c r="P72" s="1"/>
      <c r="Q72" s="1"/>
      <c r="R72" s="1"/>
      <c r="S72" s="1"/>
      <c r="T72" s="1"/>
      <c r="U72" s="1"/>
      <c r="V72" s="1"/>
      <c r="W72" s="1"/>
      <c r="X72" s="1"/>
      <c r="Y72" s="1"/>
      <c r="Z72" s="1"/>
    </row>
    <row r="73" spans="1:26">
      <c r="A73" s="533"/>
      <c r="B73" s="493"/>
      <c r="C73" s="493"/>
      <c r="D73" s="493"/>
      <c r="E73" s="493"/>
      <c r="F73" s="493"/>
      <c r="G73" s="493"/>
      <c r="H73" s="493"/>
      <c r="I73" s="493"/>
      <c r="J73" s="493"/>
      <c r="K73" s="493"/>
      <c r="L73" s="493"/>
      <c r="M73" s="493"/>
      <c r="N73" s="493"/>
      <c r="O73" s="1"/>
      <c r="P73" s="1"/>
      <c r="Q73" s="1"/>
      <c r="R73" s="1"/>
      <c r="S73" s="1"/>
      <c r="T73" s="1"/>
      <c r="U73" s="1"/>
      <c r="V73" s="1"/>
      <c r="W73" s="1"/>
      <c r="X73" s="1"/>
      <c r="Y73" s="1"/>
      <c r="Z73" s="1"/>
    </row>
    <row r="74" spans="1:26">
      <c r="A74" s="493"/>
      <c r="B74" s="494"/>
      <c r="C74" s="493"/>
      <c r="D74" s="535"/>
      <c r="E74" s="493"/>
      <c r="F74" s="493"/>
      <c r="G74" s="493"/>
      <c r="H74" s="493"/>
      <c r="I74" s="493"/>
      <c r="J74" s="493"/>
      <c r="K74" s="493"/>
      <c r="L74" s="493"/>
      <c r="M74" s="493"/>
      <c r="N74" s="493"/>
      <c r="O74" s="1"/>
      <c r="P74" s="1"/>
      <c r="Q74" s="1"/>
      <c r="R74" s="1"/>
      <c r="S74" s="1"/>
      <c r="T74" s="1"/>
      <c r="U74" s="1"/>
      <c r="V74" s="1"/>
      <c r="W74" s="1"/>
      <c r="X74" s="1"/>
      <c r="Y74" s="1"/>
      <c r="Z74" s="1"/>
    </row>
    <row r="75" spans="1:26">
      <c r="A75" s="493"/>
      <c r="B75" s="494"/>
      <c r="C75" s="493"/>
      <c r="D75" s="535"/>
      <c r="E75" s="493"/>
      <c r="F75" s="493"/>
      <c r="G75" s="493"/>
      <c r="H75" s="493"/>
      <c r="I75" s="493"/>
      <c r="J75" s="493"/>
      <c r="K75" s="493"/>
      <c r="L75" s="493"/>
      <c r="M75" s="493"/>
      <c r="N75" s="493"/>
      <c r="O75" s="1"/>
      <c r="P75" s="1"/>
      <c r="Q75" s="1"/>
      <c r="R75" s="1"/>
      <c r="S75" s="1"/>
      <c r="T75" s="1"/>
      <c r="U75" s="1"/>
      <c r="V75" s="1"/>
      <c r="W75" s="1"/>
      <c r="X75" s="1"/>
      <c r="Y75" s="1"/>
      <c r="Z75" s="1"/>
    </row>
    <row r="76" spans="1:26">
      <c r="A76" s="539"/>
      <c r="B76" s="540"/>
      <c r="C76" s="493"/>
      <c r="D76" s="493"/>
      <c r="E76" s="493"/>
      <c r="F76" s="493"/>
      <c r="G76" s="493"/>
      <c r="H76" s="493"/>
      <c r="I76" s="493"/>
      <c r="J76" s="493"/>
      <c r="K76" s="493"/>
      <c r="L76" s="493"/>
      <c r="M76" s="493"/>
      <c r="N76" s="493"/>
      <c r="O76" s="1"/>
      <c r="P76" s="1"/>
      <c r="Q76" s="1"/>
      <c r="R76" s="1"/>
      <c r="S76" s="1"/>
      <c r="T76" s="1"/>
      <c r="U76" s="1"/>
      <c r="V76" s="1"/>
      <c r="W76" s="1"/>
      <c r="X76" s="1"/>
      <c r="Y76" s="1"/>
      <c r="Z76" s="1"/>
    </row>
    <row r="77" spans="1:26">
      <c r="A77" s="539"/>
      <c r="B77" s="543"/>
      <c r="C77" s="493"/>
      <c r="D77" s="493"/>
      <c r="E77" s="493"/>
      <c r="F77" s="493"/>
      <c r="G77" s="493"/>
      <c r="H77" s="493"/>
      <c r="I77" s="493"/>
      <c r="J77" s="493"/>
      <c r="K77" s="493"/>
      <c r="L77" s="493"/>
      <c r="M77" s="493"/>
      <c r="N77" s="493"/>
      <c r="O77" s="1"/>
      <c r="P77" s="1"/>
      <c r="Q77" s="1"/>
      <c r="R77" s="1"/>
      <c r="S77" s="1"/>
      <c r="T77" s="1"/>
      <c r="U77" s="1"/>
      <c r="V77" s="1"/>
      <c r="W77" s="1"/>
      <c r="X77" s="1"/>
      <c r="Y77" s="1"/>
      <c r="Z77" s="1"/>
    </row>
    <row r="78" spans="1:26">
      <c r="A78" s="539"/>
      <c r="B78" s="540"/>
      <c r="C78" s="493"/>
      <c r="D78" s="493"/>
      <c r="E78" s="493"/>
      <c r="F78" s="493"/>
      <c r="G78" s="493"/>
      <c r="H78" s="493"/>
      <c r="I78" s="493"/>
      <c r="J78" s="493"/>
      <c r="K78" s="493"/>
      <c r="L78" s="493"/>
      <c r="M78" s="493"/>
      <c r="N78" s="493"/>
      <c r="O78" s="1"/>
      <c r="P78" s="1"/>
      <c r="Q78" s="1"/>
      <c r="R78" s="1"/>
      <c r="S78" s="1"/>
      <c r="T78" s="1"/>
      <c r="U78" s="1"/>
      <c r="V78" s="1"/>
      <c r="W78" s="1"/>
      <c r="X78" s="1"/>
      <c r="Y78" s="1"/>
      <c r="Z78" s="1"/>
    </row>
    <row r="79" spans="1:26">
      <c r="A79" s="539"/>
      <c r="B79" s="540"/>
      <c r="C79" s="493"/>
      <c r="D79" s="493"/>
      <c r="E79" s="493"/>
      <c r="F79" s="493"/>
      <c r="G79" s="493"/>
      <c r="H79" s="493"/>
      <c r="I79" s="493"/>
      <c r="J79" s="493"/>
      <c r="K79" s="493"/>
      <c r="L79" s="493"/>
      <c r="M79" s="493"/>
      <c r="N79" s="493"/>
      <c r="O79" s="1"/>
      <c r="P79" s="1"/>
      <c r="Q79" s="1"/>
      <c r="R79" s="1"/>
      <c r="S79" s="1"/>
      <c r="T79" s="1"/>
      <c r="U79" s="1"/>
      <c r="V79" s="1"/>
      <c r="W79" s="1"/>
      <c r="X79" s="1"/>
      <c r="Y79" s="1"/>
      <c r="Z79" s="1"/>
    </row>
    <row r="80" spans="1:26">
      <c r="A80" s="539"/>
      <c r="B80" s="540"/>
      <c r="C80" s="493"/>
      <c r="D80" s="493"/>
      <c r="E80" s="493"/>
      <c r="F80" s="493"/>
      <c r="G80" s="493"/>
      <c r="H80" s="493"/>
      <c r="I80" s="493"/>
      <c r="J80" s="493"/>
      <c r="K80" s="493"/>
      <c r="L80" s="493"/>
      <c r="M80" s="493"/>
      <c r="N80" s="493"/>
      <c r="O80" s="1"/>
      <c r="P80" s="1"/>
      <c r="Q80" s="1"/>
      <c r="R80" s="1"/>
      <c r="S80" s="1"/>
      <c r="T80" s="1"/>
      <c r="U80" s="1"/>
      <c r="V80" s="1"/>
      <c r="W80" s="1"/>
      <c r="X80" s="1"/>
      <c r="Y80" s="1"/>
      <c r="Z80" s="1"/>
    </row>
    <row r="81" spans="1:26">
      <c r="A81" s="493"/>
      <c r="B81" s="493"/>
      <c r="C81" s="493"/>
      <c r="D81" s="493"/>
      <c r="E81" s="493"/>
      <c r="F81" s="493"/>
      <c r="G81" s="493"/>
      <c r="H81" s="493"/>
      <c r="I81" s="493"/>
      <c r="J81" s="493"/>
      <c r="K81" s="493"/>
      <c r="L81" s="493"/>
      <c r="M81" s="493"/>
      <c r="N81" s="493"/>
      <c r="O81" s="1"/>
      <c r="P81" s="1"/>
      <c r="Q81" s="1"/>
      <c r="R81" s="1"/>
      <c r="S81" s="1"/>
      <c r="T81" s="1"/>
      <c r="U81" s="1"/>
      <c r="V81" s="1"/>
      <c r="W81" s="1"/>
      <c r="X81" s="1"/>
      <c r="Y81" s="1"/>
      <c r="Z81" s="1"/>
    </row>
    <row r="82" spans="1:26">
      <c r="A82" s="493"/>
      <c r="B82" s="494"/>
      <c r="C82" s="494"/>
      <c r="D82" s="494"/>
      <c r="E82" s="494"/>
      <c r="F82" s="494"/>
      <c r="G82" s="494"/>
      <c r="H82" s="494"/>
      <c r="I82" s="494"/>
      <c r="J82" s="494"/>
      <c r="K82" s="494"/>
      <c r="L82" s="494"/>
      <c r="M82" s="494"/>
      <c r="N82" s="544"/>
      <c r="O82" s="1"/>
      <c r="P82" s="1"/>
      <c r="Q82" s="1"/>
      <c r="R82" s="1"/>
      <c r="S82" s="1"/>
      <c r="T82" s="1"/>
      <c r="U82" s="1"/>
      <c r="V82" s="1"/>
      <c r="W82" s="1"/>
      <c r="X82" s="1"/>
      <c r="Y82" s="1"/>
      <c r="Z82" s="1"/>
    </row>
    <row r="83" spans="1:26">
      <c r="A83" s="493"/>
      <c r="B83" s="494"/>
      <c r="C83" s="494"/>
      <c r="D83" s="494"/>
      <c r="E83" s="494"/>
      <c r="F83" s="494"/>
      <c r="G83" s="494"/>
      <c r="H83" s="494"/>
      <c r="I83" s="494"/>
      <c r="J83" s="494"/>
      <c r="K83" s="494"/>
      <c r="L83" s="494"/>
      <c r="M83" s="494"/>
      <c r="N83" s="493"/>
      <c r="O83" s="1"/>
      <c r="P83" s="1"/>
      <c r="Q83" s="1"/>
      <c r="R83" s="1"/>
      <c r="S83" s="1"/>
      <c r="T83" s="1"/>
      <c r="U83" s="1"/>
      <c r="V83" s="1"/>
      <c r="W83" s="1"/>
      <c r="X83" s="1"/>
      <c r="Y83" s="1"/>
      <c r="Z83" s="1"/>
    </row>
    <row r="84" spans="1:26">
      <c r="A84" s="493"/>
      <c r="B84" s="494"/>
      <c r="C84" s="494"/>
      <c r="D84" s="494"/>
      <c r="E84" s="494"/>
      <c r="F84" s="494"/>
      <c r="G84" s="494"/>
      <c r="H84" s="494"/>
      <c r="I84" s="494"/>
      <c r="J84" s="494"/>
      <c r="K84" s="494"/>
      <c r="L84" s="494"/>
      <c r="M84" s="494"/>
      <c r="N84" s="494"/>
      <c r="O84" s="1"/>
      <c r="P84" s="1"/>
      <c r="Q84" s="1"/>
      <c r="R84" s="1"/>
      <c r="S84" s="1"/>
      <c r="T84" s="1"/>
      <c r="U84" s="1"/>
      <c r="V84" s="1"/>
      <c r="W84" s="1"/>
      <c r="X84" s="1"/>
      <c r="Y84" s="1"/>
      <c r="Z84" s="1"/>
    </row>
    <row r="85" spans="1:26">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spans="1:26">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sheetData>
  <mergeCells count="6">
    <mergeCell ref="A43:Q44"/>
    <mergeCell ref="A2:Q2"/>
    <mergeCell ref="A3:Q4"/>
    <mergeCell ref="A13:Q14"/>
    <mergeCell ref="A23:Q24"/>
    <mergeCell ref="A33:Q34"/>
  </mergeCells>
  <hyperlinks>
    <hyperlink ref="A1" location="Index!A1" display="Index!A1"/>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FC5E8"/>
  </sheetPr>
  <dimension ref="A1:O155"/>
  <sheetViews>
    <sheetView workbookViewId="0"/>
  </sheetViews>
  <sheetFormatPr defaultColWidth="14.33203125" defaultRowHeight="14.25"/>
  <cols>
    <col min="1" max="1" width="20" bestFit="1" customWidth="1"/>
    <col min="2" max="2" width="7.6640625" bestFit="1" customWidth="1"/>
    <col min="3" max="14" width="12.6640625" bestFit="1" customWidth="1"/>
    <col min="15" max="15" width="15.6640625" bestFit="1" customWidth="1"/>
  </cols>
  <sheetData>
    <row r="1" spans="1:15" s="739" customFormat="1">
      <c r="A1" s="765" t="s">
        <v>0</v>
      </c>
    </row>
    <row r="2" spans="1:15">
      <c r="A2" s="1355" t="s">
        <v>24</v>
      </c>
      <c r="B2" s="1356"/>
      <c r="C2" s="1356"/>
      <c r="D2" s="1356"/>
      <c r="E2" s="1356"/>
      <c r="F2" s="1356"/>
      <c r="G2" s="1356"/>
      <c r="H2" s="1356"/>
      <c r="I2" s="1356"/>
      <c r="J2" s="1356"/>
      <c r="K2" s="1356"/>
      <c r="L2" s="1356"/>
      <c r="M2" s="1356"/>
      <c r="N2" s="1356"/>
      <c r="O2" s="1357"/>
    </row>
    <row r="3" spans="1:15">
      <c r="A3" s="1349" t="s">
        <v>4</v>
      </c>
      <c r="B3" s="1350"/>
      <c r="C3" s="1350"/>
      <c r="D3" s="1350"/>
      <c r="E3" s="1350"/>
      <c r="F3" s="1350"/>
      <c r="G3" s="1350"/>
      <c r="H3" s="1350"/>
      <c r="I3" s="1350"/>
      <c r="J3" s="1350"/>
      <c r="K3" s="1350"/>
      <c r="L3" s="1350"/>
      <c r="M3" s="1350"/>
      <c r="N3" s="1350"/>
      <c r="O3" s="1351"/>
    </row>
    <row r="4" spans="1:15">
      <c r="A4" s="1352"/>
      <c r="B4" s="1353"/>
      <c r="C4" s="1353"/>
      <c r="D4" s="1353"/>
      <c r="E4" s="1353"/>
      <c r="F4" s="1353"/>
      <c r="G4" s="1353"/>
      <c r="H4" s="1353"/>
      <c r="I4" s="1353"/>
      <c r="J4" s="1353"/>
      <c r="K4" s="1353"/>
      <c r="L4" s="1353"/>
      <c r="M4" s="1353"/>
      <c r="N4" s="1353"/>
      <c r="O4" s="1354"/>
    </row>
    <row r="5" spans="1:15">
      <c r="A5" s="791" t="s">
        <v>668</v>
      </c>
      <c r="B5" s="792"/>
      <c r="C5" s="793">
        <v>1</v>
      </c>
      <c r="D5" s="793">
        <v>2</v>
      </c>
      <c r="E5" s="793">
        <v>3</v>
      </c>
      <c r="F5" s="793">
        <v>4</v>
      </c>
      <c r="G5" s="793">
        <v>5</v>
      </c>
      <c r="H5" s="793">
        <v>6</v>
      </c>
      <c r="I5" s="793">
        <v>7</v>
      </c>
      <c r="J5" s="793">
        <v>8</v>
      </c>
      <c r="K5" s="793">
        <v>9</v>
      </c>
      <c r="L5" s="793">
        <v>10</v>
      </c>
      <c r="M5" s="793">
        <v>11</v>
      </c>
      <c r="N5" s="794">
        <v>12</v>
      </c>
      <c r="O5" s="795" t="s">
        <v>92</v>
      </c>
    </row>
    <row r="6" spans="1:15">
      <c r="A6" s="796" t="s">
        <v>669</v>
      </c>
      <c r="B6" s="797"/>
      <c r="C6" s="798">
        <f>Capacity!$C$37</f>
        <v>12</v>
      </c>
      <c r="D6" s="798">
        <f>Capacity!$C$37</f>
        <v>12</v>
      </c>
      <c r="E6" s="798">
        <f>Capacity!$C$37</f>
        <v>12</v>
      </c>
      <c r="F6" s="798">
        <f>Capacity!$C$37</f>
        <v>12</v>
      </c>
      <c r="G6" s="798">
        <f>Capacity!$C$37</f>
        <v>12</v>
      </c>
      <c r="H6" s="798">
        <f>Capacity!$C$37</f>
        <v>12</v>
      </c>
      <c r="I6" s="798">
        <f>Capacity!$C$37</f>
        <v>12</v>
      </c>
      <c r="J6" s="798">
        <f>Capacity!$C$37</f>
        <v>12</v>
      </c>
      <c r="K6" s="798">
        <f>Capacity!$C$37</f>
        <v>12</v>
      </c>
      <c r="L6" s="798">
        <f>Capacity!$C$37</f>
        <v>12</v>
      </c>
      <c r="M6" s="798">
        <f>Capacity!$C$37</f>
        <v>12</v>
      </c>
      <c r="N6" s="798">
        <f>Capacity!$C$37</f>
        <v>12</v>
      </c>
      <c r="O6" s="799"/>
    </row>
    <row r="7" spans="1:15">
      <c r="A7" s="796" t="s">
        <v>670</v>
      </c>
      <c r="B7" s="797"/>
      <c r="C7" s="815">
        <f>'Monthly Demand'!E9</f>
        <v>5614</v>
      </c>
      <c r="D7" s="815">
        <f>'Monthly Demand'!F9</f>
        <v>5614</v>
      </c>
      <c r="E7" s="815">
        <f>'Monthly Demand'!G9</f>
        <v>5614</v>
      </c>
      <c r="F7" s="815">
        <f>'Monthly Demand'!H9</f>
        <v>5614</v>
      </c>
      <c r="G7" s="815">
        <f>'Monthly Demand'!I9</f>
        <v>5895</v>
      </c>
      <c r="H7" s="815">
        <f>'Monthly Demand'!J9</f>
        <v>5895</v>
      </c>
      <c r="I7" s="815">
        <f>'Monthly Demand'!K9</f>
        <v>5614</v>
      </c>
      <c r="J7" s="815">
        <f>'Monthly Demand'!L9</f>
        <v>5614</v>
      </c>
      <c r="K7" s="815">
        <f>'Monthly Demand'!M9</f>
        <v>5614</v>
      </c>
      <c r="L7" s="815">
        <f>'Monthly Demand'!N9</f>
        <v>5614</v>
      </c>
      <c r="M7" s="815">
        <f>'Monthly Demand'!O9</f>
        <v>5895</v>
      </c>
      <c r="N7" s="815">
        <f>'Monthly Demand'!P9</f>
        <v>5615</v>
      </c>
      <c r="O7" s="816">
        <f>SUM(C7:N7)</f>
        <v>68212</v>
      </c>
    </row>
    <row r="8" spans="1:15">
      <c r="A8" s="796" t="s">
        <v>672</v>
      </c>
      <c r="B8" s="797"/>
      <c r="C8" s="800"/>
      <c r="D8" s="800"/>
      <c r="E8" s="800"/>
      <c r="F8" s="800"/>
      <c r="G8" s="800"/>
      <c r="H8" s="800"/>
      <c r="I8" s="800"/>
      <c r="J8" s="800"/>
      <c r="K8" s="800"/>
      <c r="L8" s="800"/>
      <c r="M8" s="800"/>
      <c r="N8" s="797"/>
      <c r="O8" s="797"/>
    </row>
    <row r="9" spans="1:15">
      <c r="A9" s="796" t="s">
        <v>673</v>
      </c>
      <c r="B9" s="797"/>
      <c r="C9" s="815">
        <f>MIN('Monthly Demand'!$B$5, C7)</f>
        <v>5614</v>
      </c>
      <c r="D9" s="815">
        <f>MIN('Monthly Demand'!$B$5, D7)</f>
        <v>5614</v>
      </c>
      <c r="E9" s="815">
        <f>MIN('Monthly Demand'!$B$5, E7)</f>
        <v>5614</v>
      </c>
      <c r="F9" s="815">
        <f>MIN('Monthly Demand'!$B$5, F7)</f>
        <v>5614</v>
      </c>
      <c r="G9" s="815">
        <f>MIN('Monthly Demand'!$B$5, G7)</f>
        <v>5895</v>
      </c>
      <c r="H9" s="815">
        <f>MIN('Monthly Demand'!$B$5, H7)</f>
        <v>5895</v>
      </c>
      <c r="I9" s="815">
        <f>MIN('Monthly Demand'!$B$5, I7)</f>
        <v>5614</v>
      </c>
      <c r="J9" s="815">
        <f>MIN('Monthly Demand'!$B$5, J7)</f>
        <v>5614</v>
      </c>
      <c r="K9" s="815">
        <f>MIN('Monthly Demand'!$B$5, K7)</f>
        <v>5614</v>
      </c>
      <c r="L9" s="815">
        <f>MIN('Monthly Demand'!$B$5, L7)</f>
        <v>5614</v>
      </c>
      <c r="M9" s="815">
        <f>MIN('Monthly Demand'!$B$5, M7)</f>
        <v>5895</v>
      </c>
      <c r="N9" s="815">
        <f>MIN('Monthly Demand'!$B$5, N7)</f>
        <v>5615</v>
      </c>
      <c r="O9" s="816">
        <f t="shared" ref="O9:O12" si="0">SUM(C9:N9)</f>
        <v>68212</v>
      </c>
    </row>
    <row r="10" spans="1:15">
      <c r="A10" s="796" t="s">
        <v>677</v>
      </c>
      <c r="B10" s="797"/>
      <c r="C10" s="798">
        <f t="shared" ref="C10:N10" si="1">C7-C9</f>
        <v>0</v>
      </c>
      <c r="D10" s="798">
        <f t="shared" si="1"/>
        <v>0</v>
      </c>
      <c r="E10" s="798">
        <f t="shared" si="1"/>
        <v>0</v>
      </c>
      <c r="F10" s="798">
        <f t="shared" si="1"/>
        <v>0</v>
      </c>
      <c r="G10" s="798">
        <f t="shared" si="1"/>
        <v>0</v>
      </c>
      <c r="H10" s="798">
        <f t="shared" si="1"/>
        <v>0</v>
      </c>
      <c r="I10" s="798">
        <f t="shared" si="1"/>
        <v>0</v>
      </c>
      <c r="J10" s="798">
        <f t="shared" si="1"/>
        <v>0</v>
      </c>
      <c r="K10" s="798">
        <f t="shared" si="1"/>
        <v>0</v>
      </c>
      <c r="L10" s="798">
        <f t="shared" si="1"/>
        <v>0</v>
      </c>
      <c r="M10" s="798">
        <f t="shared" si="1"/>
        <v>0</v>
      </c>
      <c r="N10" s="798">
        <f t="shared" si="1"/>
        <v>0</v>
      </c>
      <c r="O10" s="799">
        <f t="shared" si="0"/>
        <v>0</v>
      </c>
    </row>
    <row r="11" spans="1:15">
      <c r="A11" s="796" t="s">
        <v>679</v>
      </c>
      <c r="B11" s="797"/>
      <c r="C11" s="798">
        <f t="shared" ref="C11:N11" si="2">C7-SUM(C9:C10)</f>
        <v>0</v>
      </c>
      <c r="D11" s="798">
        <f t="shared" si="2"/>
        <v>0</v>
      </c>
      <c r="E11" s="798">
        <f t="shared" si="2"/>
        <v>0</v>
      </c>
      <c r="F11" s="798">
        <f t="shared" si="2"/>
        <v>0</v>
      </c>
      <c r="G11" s="798">
        <f t="shared" si="2"/>
        <v>0</v>
      </c>
      <c r="H11" s="798">
        <f t="shared" si="2"/>
        <v>0</v>
      </c>
      <c r="I11" s="798">
        <f t="shared" si="2"/>
        <v>0</v>
      </c>
      <c r="J11" s="798">
        <f t="shared" si="2"/>
        <v>0</v>
      </c>
      <c r="K11" s="798">
        <f t="shared" si="2"/>
        <v>0</v>
      </c>
      <c r="L11" s="798">
        <f t="shared" si="2"/>
        <v>0</v>
      </c>
      <c r="M11" s="798">
        <f t="shared" si="2"/>
        <v>0</v>
      </c>
      <c r="N11" s="798">
        <f t="shared" si="2"/>
        <v>0</v>
      </c>
      <c r="O11" s="799">
        <f t="shared" si="0"/>
        <v>0</v>
      </c>
    </row>
    <row r="12" spans="1:15">
      <c r="A12" s="791" t="s">
        <v>682</v>
      </c>
      <c r="B12" s="792"/>
      <c r="C12" s="793">
        <f t="shared" ref="C12:N12" si="3">C7-SUM(C9:C11)</f>
        <v>0</v>
      </c>
      <c r="D12" s="793">
        <f t="shared" si="3"/>
        <v>0</v>
      </c>
      <c r="E12" s="793">
        <f t="shared" si="3"/>
        <v>0</v>
      </c>
      <c r="F12" s="793">
        <f t="shared" si="3"/>
        <v>0</v>
      </c>
      <c r="G12" s="793">
        <f t="shared" si="3"/>
        <v>0</v>
      </c>
      <c r="H12" s="793">
        <f t="shared" si="3"/>
        <v>0</v>
      </c>
      <c r="I12" s="793">
        <f t="shared" si="3"/>
        <v>0</v>
      </c>
      <c r="J12" s="793">
        <f t="shared" si="3"/>
        <v>0</v>
      </c>
      <c r="K12" s="793">
        <f t="shared" si="3"/>
        <v>0</v>
      </c>
      <c r="L12" s="793">
        <f t="shared" si="3"/>
        <v>0</v>
      </c>
      <c r="M12" s="793">
        <f t="shared" si="3"/>
        <v>0</v>
      </c>
      <c r="N12" s="793">
        <f t="shared" si="3"/>
        <v>0</v>
      </c>
      <c r="O12" s="801">
        <f t="shared" si="0"/>
        <v>0</v>
      </c>
    </row>
    <row r="13" spans="1:15">
      <c r="A13" s="796" t="s">
        <v>690</v>
      </c>
      <c r="B13" s="797"/>
      <c r="C13" s="798">
        <f t="shared" ref="C13:N13" si="4">SUM(C9:C12)-C7</f>
        <v>0</v>
      </c>
      <c r="D13" s="798">
        <f t="shared" si="4"/>
        <v>0</v>
      </c>
      <c r="E13" s="798">
        <f t="shared" si="4"/>
        <v>0</v>
      </c>
      <c r="F13" s="798">
        <f t="shared" si="4"/>
        <v>0</v>
      </c>
      <c r="G13" s="798">
        <f t="shared" si="4"/>
        <v>0</v>
      </c>
      <c r="H13" s="798">
        <f t="shared" si="4"/>
        <v>0</v>
      </c>
      <c r="I13" s="798">
        <f t="shared" si="4"/>
        <v>0</v>
      </c>
      <c r="J13" s="798">
        <f t="shared" si="4"/>
        <v>0</v>
      </c>
      <c r="K13" s="798">
        <f t="shared" si="4"/>
        <v>0</v>
      </c>
      <c r="L13" s="798">
        <f t="shared" si="4"/>
        <v>0</v>
      </c>
      <c r="M13" s="798">
        <f t="shared" si="4"/>
        <v>0</v>
      </c>
      <c r="N13" s="802">
        <f t="shared" si="4"/>
        <v>0</v>
      </c>
      <c r="O13" s="797"/>
    </row>
    <row r="14" spans="1:15">
      <c r="A14" s="796" t="s">
        <v>27</v>
      </c>
      <c r="B14" s="797"/>
      <c r="C14" s="800"/>
      <c r="D14" s="800"/>
      <c r="E14" s="800"/>
      <c r="F14" s="800"/>
      <c r="G14" s="800"/>
      <c r="H14" s="800"/>
      <c r="I14" s="800"/>
      <c r="J14" s="800"/>
      <c r="K14" s="800"/>
      <c r="L14" s="800"/>
      <c r="M14" s="800"/>
      <c r="N14" s="797"/>
      <c r="O14" s="797"/>
    </row>
    <row r="15" spans="1:15">
      <c r="A15" s="796" t="s">
        <v>691</v>
      </c>
      <c r="B15" s="797"/>
      <c r="C15" s="798">
        <v>0</v>
      </c>
      <c r="D15" s="798">
        <v>0</v>
      </c>
      <c r="E15" s="798">
        <v>0</v>
      </c>
      <c r="F15" s="798">
        <v>0</v>
      </c>
      <c r="G15" s="798">
        <v>0</v>
      </c>
      <c r="H15" s="798">
        <v>0</v>
      </c>
      <c r="I15" s="798">
        <v>0</v>
      </c>
      <c r="J15" s="798">
        <v>0</v>
      </c>
      <c r="K15" s="798">
        <v>0</v>
      </c>
      <c r="L15" s="798">
        <v>0</v>
      </c>
      <c r="M15" s="798">
        <v>0</v>
      </c>
      <c r="N15" s="802">
        <v>0</v>
      </c>
      <c r="O15" s="802">
        <f t="shared" ref="O15:O18" si="5">SUM(C15:N15)</f>
        <v>0</v>
      </c>
    </row>
    <row r="16" spans="1:15">
      <c r="A16" s="796" t="s">
        <v>692</v>
      </c>
      <c r="B16" s="797"/>
      <c r="C16" s="798">
        <v>0</v>
      </c>
      <c r="D16" s="798">
        <v>0</v>
      </c>
      <c r="E16" s="798">
        <v>0</v>
      </c>
      <c r="F16" s="798">
        <v>0</v>
      </c>
      <c r="G16" s="798">
        <v>0</v>
      </c>
      <c r="H16" s="798">
        <v>0</v>
      </c>
      <c r="I16" s="798">
        <v>0</v>
      </c>
      <c r="J16" s="798">
        <v>0</v>
      </c>
      <c r="K16" s="798">
        <v>0</v>
      </c>
      <c r="L16" s="798">
        <v>0</v>
      </c>
      <c r="M16" s="798">
        <v>0</v>
      </c>
      <c r="N16" s="802">
        <v>0</v>
      </c>
      <c r="O16" s="802">
        <f t="shared" si="5"/>
        <v>0</v>
      </c>
    </row>
    <row r="17" spans="1:15">
      <c r="A17" s="796" t="s">
        <v>693</v>
      </c>
      <c r="B17" s="797"/>
      <c r="C17" s="798">
        <v>0</v>
      </c>
      <c r="D17" s="798">
        <v>0</v>
      </c>
      <c r="E17" s="798">
        <v>0</v>
      </c>
      <c r="F17" s="798">
        <v>0</v>
      </c>
      <c r="G17" s="798">
        <v>0</v>
      </c>
      <c r="H17" s="798">
        <v>0</v>
      </c>
      <c r="I17" s="798">
        <v>0</v>
      </c>
      <c r="J17" s="798">
        <v>0</v>
      </c>
      <c r="K17" s="798">
        <v>0</v>
      </c>
      <c r="L17" s="798">
        <v>0</v>
      </c>
      <c r="M17" s="798">
        <v>0</v>
      </c>
      <c r="N17" s="802">
        <v>0</v>
      </c>
      <c r="O17" s="802">
        <f t="shared" si="5"/>
        <v>0</v>
      </c>
    </row>
    <row r="18" spans="1:15">
      <c r="A18" s="791" t="s">
        <v>694</v>
      </c>
      <c r="B18" s="792"/>
      <c r="C18" s="793">
        <v>0</v>
      </c>
      <c r="D18" s="793">
        <v>0</v>
      </c>
      <c r="E18" s="793">
        <v>0</v>
      </c>
      <c r="F18" s="793">
        <v>0</v>
      </c>
      <c r="G18" s="793">
        <v>0</v>
      </c>
      <c r="H18" s="793">
        <v>0</v>
      </c>
      <c r="I18" s="793">
        <v>0</v>
      </c>
      <c r="J18" s="793">
        <v>0</v>
      </c>
      <c r="K18" s="793">
        <v>0</v>
      </c>
      <c r="L18" s="793">
        <v>0</v>
      </c>
      <c r="M18" s="793">
        <v>0</v>
      </c>
      <c r="N18" s="794">
        <v>0</v>
      </c>
      <c r="O18" s="794">
        <f t="shared" si="5"/>
        <v>0</v>
      </c>
    </row>
    <row r="19" spans="1:15">
      <c r="A19" s="796" t="s">
        <v>695</v>
      </c>
      <c r="B19" s="803"/>
      <c r="C19" s="804"/>
      <c r="D19" s="804"/>
      <c r="E19" s="804"/>
      <c r="F19" s="804"/>
      <c r="G19" s="804"/>
      <c r="H19" s="804"/>
      <c r="I19" s="804"/>
      <c r="J19" s="804"/>
      <c r="K19" s="804"/>
      <c r="L19" s="804"/>
      <c r="M19" s="804"/>
      <c r="N19" s="803"/>
      <c r="O19" s="803"/>
    </row>
    <row r="20" spans="1:15">
      <c r="A20" s="796" t="s">
        <v>696</v>
      </c>
      <c r="B20" s="805">
        <f>COGS!B10</f>
        <v>3.3777048026740162</v>
      </c>
      <c r="C20" s="806">
        <f t="shared" ref="C20:N20" si="6">C9*$B$20</f>
        <v>18962.434762211928</v>
      </c>
      <c r="D20" s="806">
        <f t="shared" si="6"/>
        <v>18962.434762211928</v>
      </c>
      <c r="E20" s="806">
        <f t="shared" si="6"/>
        <v>18962.434762211928</v>
      </c>
      <c r="F20" s="806">
        <f t="shared" si="6"/>
        <v>18962.434762211928</v>
      </c>
      <c r="G20" s="806">
        <f t="shared" si="6"/>
        <v>19911.569811763326</v>
      </c>
      <c r="H20" s="806">
        <f t="shared" si="6"/>
        <v>19911.569811763326</v>
      </c>
      <c r="I20" s="806">
        <f t="shared" si="6"/>
        <v>18962.434762211928</v>
      </c>
      <c r="J20" s="806">
        <f t="shared" si="6"/>
        <v>18962.434762211928</v>
      </c>
      <c r="K20" s="806">
        <f t="shared" si="6"/>
        <v>18962.434762211928</v>
      </c>
      <c r="L20" s="806">
        <f t="shared" si="6"/>
        <v>18962.434762211928</v>
      </c>
      <c r="M20" s="806">
        <f t="shared" si="6"/>
        <v>19911.569811763326</v>
      </c>
      <c r="N20" s="805">
        <f t="shared" si="6"/>
        <v>18965.812467014603</v>
      </c>
      <c r="O20" s="805">
        <f t="shared" ref="O20:O27" si="7">SUM(C20:N20)</f>
        <v>230400</v>
      </c>
    </row>
    <row r="21" spans="1:15">
      <c r="A21" s="796" t="s">
        <v>701</v>
      </c>
      <c r="B21" s="805">
        <v>0</v>
      </c>
      <c r="C21" s="806">
        <v>0</v>
      </c>
      <c r="D21" s="806">
        <v>0</v>
      </c>
      <c r="E21" s="806">
        <v>0</v>
      </c>
      <c r="F21" s="806">
        <v>0</v>
      </c>
      <c r="G21" s="806">
        <v>0</v>
      </c>
      <c r="H21" s="806">
        <v>0</v>
      </c>
      <c r="I21" s="806">
        <v>0</v>
      </c>
      <c r="J21" s="806">
        <v>0</v>
      </c>
      <c r="K21" s="806">
        <v>0</v>
      </c>
      <c r="L21" s="806">
        <v>0</v>
      </c>
      <c r="M21" s="806">
        <v>0</v>
      </c>
      <c r="N21" s="805">
        <v>0</v>
      </c>
      <c r="O21" s="805">
        <f t="shared" si="7"/>
        <v>0</v>
      </c>
    </row>
    <row r="22" spans="1:15">
      <c r="A22" s="796" t="s">
        <v>702</v>
      </c>
      <c r="B22" s="805">
        <v>0</v>
      </c>
      <c r="C22" s="806">
        <v>0</v>
      </c>
      <c r="D22" s="806">
        <v>0</v>
      </c>
      <c r="E22" s="806">
        <v>0</v>
      </c>
      <c r="F22" s="806">
        <v>0</v>
      </c>
      <c r="G22" s="806">
        <v>0</v>
      </c>
      <c r="H22" s="806">
        <v>0</v>
      </c>
      <c r="I22" s="806">
        <v>0</v>
      </c>
      <c r="J22" s="806">
        <v>0</v>
      </c>
      <c r="K22" s="806">
        <v>0</v>
      </c>
      <c r="L22" s="806">
        <v>0</v>
      </c>
      <c r="M22" s="806">
        <v>0</v>
      </c>
      <c r="N22" s="805">
        <v>0</v>
      </c>
      <c r="O22" s="805">
        <f t="shared" si="7"/>
        <v>0</v>
      </c>
    </row>
    <row r="23" spans="1:15">
      <c r="A23" s="796" t="s">
        <v>705</v>
      </c>
      <c r="B23" s="805">
        <v>0</v>
      </c>
      <c r="C23" s="806">
        <v>0</v>
      </c>
      <c r="D23" s="806">
        <v>0</v>
      </c>
      <c r="E23" s="806">
        <v>0</v>
      </c>
      <c r="F23" s="806">
        <v>0</v>
      </c>
      <c r="G23" s="806">
        <v>0</v>
      </c>
      <c r="H23" s="806">
        <v>0</v>
      </c>
      <c r="I23" s="806">
        <v>0</v>
      </c>
      <c r="J23" s="806">
        <v>0</v>
      </c>
      <c r="K23" s="806">
        <v>0</v>
      </c>
      <c r="L23" s="806">
        <v>0</v>
      </c>
      <c r="M23" s="806">
        <v>0</v>
      </c>
      <c r="N23" s="805">
        <v>0</v>
      </c>
      <c r="O23" s="805">
        <f t="shared" si="7"/>
        <v>0</v>
      </c>
    </row>
    <row r="24" spans="1:15">
      <c r="A24" s="796" t="s">
        <v>706</v>
      </c>
      <c r="B24" s="805">
        <v>0</v>
      </c>
      <c r="C24" s="806">
        <v>0</v>
      </c>
      <c r="D24" s="806">
        <v>0</v>
      </c>
      <c r="E24" s="806">
        <v>0</v>
      </c>
      <c r="F24" s="806">
        <v>0</v>
      </c>
      <c r="G24" s="806">
        <v>0</v>
      </c>
      <c r="H24" s="806">
        <v>0</v>
      </c>
      <c r="I24" s="806">
        <v>0</v>
      </c>
      <c r="J24" s="806">
        <v>0</v>
      </c>
      <c r="K24" s="806">
        <v>0</v>
      </c>
      <c r="L24" s="806">
        <v>0</v>
      </c>
      <c r="M24" s="806">
        <v>0</v>
      </c>
      <c r="N24" s="805">
        <v>0</v>
      </c>
      <c r="O24" s="805">
        <f t="shared" si="7"/>
        <v>0</v>
      </c>
    </row>
    <row r="25" spans="1:15">
      <c r="A25" s="796" t="s">
        <v>708</v>
      </c>
      <c r="B25" s="805">
        <v>0</v>
      </c>
      <c r="C25" s="806">
        <v>0</v>
      </c>
      <c r="D25" s="806">
        <v>0</v>
      </c>
      <c r="E25" s="806">
        <v>0</v>
      </c>
      <c r="F25" s="806">
        <v>0</v>
      </c>
      <c r="G25" s="806">
        <v>0</v>
      </c>
      <c r="H25" s="806">
        <v>0</v>
      </c>
      <c r="I25" s="806">
        <v>0</v>
      </c>
      <c r="J25" s="806">
        <v>0</v>
      </c>
      <c r="K25" s="806">
        <v>0</v>
      </c>
      <c r="L25" s="806">
        <v>0</v>
      </c>
      <c r="M25" s="806">
        <v>0</v>
      </c>
      <c r="N25" s="805">
        <v>0</v>
      </c>
      <c r="O25" s="805">
        <f t="shared" si="7"/>
        <v>0</v>
      </c>
    </row>
    <row r="26" spans="1:15">
      <c r="A26" s="791" t="s">
        <v>709</v>
      </c>
      <c r="B26" s="807"/>
      <c r="C26" s="808">
        <v>0</v>
      </c>
      <c r="D26" s="808">
        <v>0</v>
      </c>
      <c r="E26" s="808">
        <v>0</v>
      </c>
      <c r="F26" s="808">
        <v>0</v>
      </c>
      <c r="G26" s="808">
        <v>0</v>
      </c>
      <c r="H26" s="808">
        <v>0</v>
      </c>
      <c r="I26" s="808">
        <v>0</v>
      </c>
      <c r="J26" s="808">
        <v>0</v>
      </c>
      <c r="K26" s="808">
        <v>0</v>
      </c>
      <c r="L26" s="808">
        <v>0</v>
      </c>
      <c r="M26" s="808">
        <v>0</v>
      </c>
      <c r="N26" s="809">
        <v>0</v>
      </c>
      <c r="O26" s="809">
        <f t="shared" si="7"/>
        <v>0</v>
      </c>
    </row>
    <row r="27" spans="1:15">
      <c r="A27" s="791" t="s">
        <v>92</v>
      </c>
      <c r="B27" s="807"/>
      <c r="C27" s="808">
        <f t="shared" ref="C27:N27" si="8">SUM(C20:C26)</f>
        <v>18962.434762211928</v>
      </c>
      <c r="D27" s="808">
        <f t="shared" si="8"/>
        <v>18962.434762211928</v>
      </c>
      <c r="E27" s="808">
        <f t="shared" si="8"/>
        <v>18962.434762211928</v>
      </c>
      <c r="F27" s="808">
        <f t="shared" si="8"/>
        <v>18962.434762211928</v>
      </c>
      <c r="G27" s="808">
        <f t="shared" si="8"/>
        <v>19911.569811763326</v>
      </c>
      <c r="H27" s="808">
        <f t="shared" si="8"/>
        <v>19911.569811763326</v>
      </c>
      <c r="I27" s="808">
        <f t="shared" si="8"/>
        <v>18962.434762211928</v>
      </c>
      <c r="J27" s="808">
        <f t="shared" si="8"/>
        <v>18962.434762211928</v>
      </c>
      <c r="K27" s="808">
        <f t="shared" si="8"/>
        <v>18962.434762211928</v>
      </c>
      <c r="L27" s="808">
        <f t="shared" si="8"/>
        <v>18962.434762211928</v>
      </c>
      <c r="M27" s="808">
        <f t="shared" si="8"/>
        <v>19911.569811763326</v>
      </c>
      <c r="N27" s="809">
        <f t="shared" si="8"/>
        <v>18965.812467014603</v>
      </c>
      <c r="O27" s="810">
        <f t="shared" si="7"/>
        <v>230400</v>
      </c>
    </row>
    <row r="28" spans="1:15">
      <c r="A28" s="796"/>
      <c r="B28" s="800"/>
      <c r="C28" s="800"/>
      <c r="D28" s="800"/>
      <c r="E28" s="800"/>
      <c r="F28" s="800"/>
      <c r="G28" s="800"/>
      <c r="H28" s="800"/>
      <c r="I28" s="800"/>
      <c r="J28" s="800"/>
      <c r="K28" s="800"/>
      <c r="L28" s="800"/>
      <c r="M28" s="800"/>
      <c r="N28" s="800"/>
      <c r="O28" s="797"/>
    </row>
    <row r="29" spans="1:15">
      <c r="A29" s="1349" t="s">
        <v>61</v>
      </c>
      <c r="B29" s="1350"/>
      <c r="C29" s="1350"/>
      <c r="D29" s="1350"/>
      <c r="E29" s="1350"/>
      <c r="F29" s="1350"/>
      <c r="G29" s="1350"/>
      <c r="H29" s="1350"/>
      <c r="I29" s="1350"/>
      <c r="J29" s="1350"/>
      <c r="K29" s="1350"/>
      <c r="L29" s="1350"/>
      <c r="M29" s="1350"/>
      <c r="N29" s="1350"/>
      <c r="O29" s="1351"/>
    </row>
    <row r="30" spans="1:15">
      <c r="A30" s="1352"/>
      <c r="B30" s="1353"/>
      <c r="C30" s="1353"/>
      <c r="D30" s="1353"/>
      <c r="E30" s="1353"/>
      <c r="F30" s="1353"/>
      <c r="G30" s="1353"/>
      <c r="H30" s="1353"/>
      <c r="I30" s="1353"/>
      <c r="J30" s="1353"/>
      <c r="K30" s="1353"/>
      <c r="L30" s="1353"/>
      <c r="M30" s="1353"/>
      <c r="N30" s="1353"/>
      <c r="O30" s="1354"/>
    </row>
    <row r="31" spans="1:15">
      <c r="A31" s="791" t="s">
        <v>668</v>
      </c>
      <c r="B31" s="792"/>
      <c r="C31" s="793">
        <v>1</v>
      </c>
      <c r="D31" s="793">
        <v>2</v>
      </c>
      <c r="E31" s="793">
        <v>3</v>
      </c>
      <c r="F31" s="793">
        <v>4</v>
      </c>
      <c r="G31" s="793">
        <v>5</v>
      </c>
      <c r="H31" s="793">
        <v>6</v>
      </c>
      <c r="I31" s="793">
        <v>7</v>
      </c>
      <c r="J31" s="793">
        <v>8</v>
      </c>
      <c r="K31" s="793">
        <v>9</v>
      </c>
      <c r="L31" s="793">
        <v>10</v>
      </c>
      <c r="M31" s="793">
        <v>11</v>
      </c>
      <c r="N31" s="794">
        <v>12</v>
      </c>
      <c r="O31" s="795" t="s">
        <v>92</v>
      </c>
    </row>
    <row r="32" spans="1:15">
      <c r="A32" s="796" t="s">
        <v>669</v>
      </c>
      <c r="B32" s="797"/>
      <c r="C32" s="798">
        <f>Capacity!$C$61</f>
        <v>16</v>
      </c>
      <c r="D32" s="798">
        <f>Capacity!$C$61</f>
        <v>16</v>
      </c>
      <c r="E32" s="798">
        <f>Capacity!$C$61</f>
        <v>16</v>
      </c>
      <c r="F32" s="798">
        <f>Capacity!$C$61</f>
        <v>16</v>
      </c>
      <c r="G32" s="798">
        <f>Capacity!$C$61</f>
        <v>16</v>
      </c>
      <c r="H32" s="798">
        <f>Capacity!$C$61</f>
        <v>16</v>
      </c>
      <c r="I32" s="798">
        <f>Capacity!$C$61</f>
        <v>16</v>
      </c>
      <c r="J32" s="798">
        <f>Capacity!$C$61</f>
        <v>16</v>
      </c>
      <c r="K32" s="798">
        <f>Capacity!$C$61</f>
        <v>16</v>
      </c>
      <c r="L32" s="798">
        <f>Capacity!$C$61</f>
        <v>16</v>
      </c>
      <c r="M32" s="798">
        <f>Capacity!$C$61</f>
        <v>16</v>
      </c>
      <c r="N32" s="798">
        <f>Capacity!$C$61</f>
        <v>16</v>
      </c>
      <c r="O32" s="799"/>
    </row>
    <row r="33" spans="1:15">
      <c r="A33" s="796" t="s">
        <v>670</v>
      </c>
      <c r="B33" s="797"/>
      <c r="C33" s="815">
        <f>'Monthly Demand'!E19</f>
        <v>7508</v>
      </c>
      <c r="D33" s="815">
        <f>'Monthly Demand'!F19</f>
        <v>7508</v>
      </c>
      <c r="E33" s="815">
        <f>'Monthly Demand'!G19</f>
        <v>7508</v>
      </c>
      <c r="F33" s="815">
        <f>'Monthly Demand'!H19</f>
        <v>7508</v>
      </c>
      <c r="G33" s="815">
        <f>'Monthly Demand'!I19</f>
        <v>7883</v>
      </c>
      <c r="H33" s="815">
        <f>'Monthly Demand'!J19</f>
        <v>7883</v>
      </c>
      <c r="I33" s="815">
        <f>'Monthly Demand'!K19</f>
        <v>7508</v>
      </c>
      <c r="J33" s="815">
        <f>'Monthly Demand'!L19</f>
        <v>7508</v>
      </c>
      <c r="K33" s="815">
        <f>'Monthly Demand'!M19</f>
        <v>7508</v>
      </c>
      <c r="L33" s="815">
        <f>'Monthly Demand'!N19</f>
        <v>7508</v>
      </c>
      <c r="M33" s="815">
        <f>'Monthly Demand'!O19</f>
        <v>7883</v>
      </c>
      <c r="N33" s="815">
        <f>'Monthly Demand'!P19</f>
        <v>7510</v>
      </c>
      <c r="O33" s="816">
        <f>SUM(C33:N33)</f>
        <v>91223</v>
      </c>
    </row>
    <row r="34" spans="1:15">
      <c r="A34" s="796" t="s">
        <v>672</v>
      </c>
      <c r="B34" s="797"/>
      <c r="C34" s="817"/>
      <c r="D34" s="817"/>
      <c r="E34" s="817"/>
      <c r="F34" s="817"/>
      <c r="G34" s="817"/>
      <c r="H34" s="817"/>
      <c r="I34" s="817"/>
      <c r="J34" s="817"/>
      <c r="K34" s="817"/>
      <c r="L34" s="817"/>
      <c r="M34" s="817"/>
      <c r="N34" s="818"/>
      <c r="O34" s="819"/>
    </row>
    <row r="35" spans="1:15">
      <c r="A35" s="796" t="s">
        <v>673</v>
      </c>
      <c r="B35" s="797"/>
      <c r="C35" s="815">
        <f>MIN('Monthly Demand'!$B$15,C33)</f>
        <v>7508</v>
      </c>
      <c r="D35" s="815">
        <f>MIN('Monthly Demand'!$B$15,D33)</f>
        <v>7508</v>
      </c>
      <c r="E35" s="815">
        <f>MIN('Monthly Demand'!$B$15,E33)</f>
        <v>7508</v>
      </c>
      <c r="F35" s="815">
        <f>MIN('Monthly Demand'!$B$15,F33)</f>
        <v>7508</v>
      </c>
      <c r="G35" s="815">
        <f>MIN('Monthly Demand'!$B$15,G33)</f>
        <v>7883</v>
      </c>
      <c r="H35" s="815">
        <f>MIN('Monthly Demand'!$B$15,H33)</f>
        <v>7883</v>
      </c>
      <c r="I35" s="815">
        <f>MIN('Monthly Demand'!$B$15,I33)</f>
        <v>7508</v>
      </c>
      <c r="J35" s="815">
        <f>MIN('Monthly Demand'!$B$15,J33)</f>
        <v>7508</v>
      </c>
      <c r="K35" s="815">
        <f>MIN('Monthly Demand'!$B$15,K33)</f>
        <v>7508</v>
      </c>
      <c r="L35" s="815">
        <f>MIN('Monthly Demand'!$B$15,L33)</f>
        <v>7508</v>
      </c>
      <c r="M35" s="815">
        <f>MIN('Monthly Demand'!$B$15,M33)</f>
        <v>7883</v>
      </c>
      <c r="N35" s="815">
        <f>MIN('Monthly Demand'!$B$15,N33)</f>
        <v>7510</v>
      </c>
      <c r="O35" s="816">
        <f t="shared" ref="O35:O38" si="9">SUM(C35:N35)</f>
        <v>91223</v>
      </c>
    </row>
    <row r="36" spans="1:15">
      <c r="A36" s="796" t="s">
        <v>677</v>
      </c>
      <c r="B36" s="797"/>
      <c r="C36" s="798">
        <f t="shared" ref="C36:N36" si="10">C33-C35</f>
        <v>0</v>
      </c>
      <c r="D36" s="798">
        <f t="shared" si="10"/>
        <v>0</v>
      </c>
      <c r="E36" s="798">
        <f t="shared" si="10"/>
        <v>0</v>
      </c>
      <c r="F36" s="798">
        <f t="shared" si="10"/>
        <v>0</v>
      </c>
      <c r="G36" s="798">
        <f t="shared" si="10"/>
        <v>0</v>
      </c>
      <c r="H36" s="798">
        <f t="shared" si="10"/>
        <v>0</v>
      </c>
      <c r="I36" s="798">
        <f t="shared" si="10"/>
        <v>0</v>
      </c>
      <c r="J36" s="798">
        <f t="shared" si="10"/>
        <v>0</v>
      </c>
      <c r="K36" s="798">
        <f t="shared" si="10"/>
        <v>0</v>
      </c>
      <c r="L36" s="798">
        <f t="shared" si="10"/>
        <v>0</v>
      </c>
      <c r="M36" s="798">
        <f t="shared" si="10"/>
        <v>0</v>
      </c>
      <c r="N36" s="798">
        <f t="shared" si="10"/>
        <v>0</v>
      </c>
      <c r="O36" s="799">
        <f t="shared" si="9"/>
        <v>0</v>
      </c>
    </row>
    <row r="37" spans="1:15">
      <c r="A37" s="796" t="s">
        <v>679</v>
      </c>
      <c r="B37" s="797"/>
      <c r="C37" s="798">
        <f t="shared" ref="C37:N37" si="11">C33-SUM(C35:C36)</f>
        <v>0</v>
      </c>
      <c r="D37" s="798">
        <f t="shared" si="11"/>
        <v>0</v>
      </c>
      <c r="E37" s="798">
        <f t="shared" si="11"/>
        <v>0</v>
      </c>
      <c r="F37" s="798">
        <f t="shared" si="11"/>
        <v>0</v>
      </c>
      <c r="G37" s="798">
        <f t="shared" si="11"/>
        <v>0</v>
      </c>
      <c r="H37" s="798">
        <f t="shared" si="11"/>
        <v>0</v>
      </c>
      <c r="I37" s="798">
        <f t="shared" si="11"/>
        <v>0</v>
      </c>
      <c r="J37" s="798">
        <f t="shared" si="11"/>
        <v>0</v>
      </c>
      <c r="K37" s="798">
        <f t="shared" si="11"/>
        <v>0</v>
      </c>
      <c r="L37" s="798">
        <f t="shared" si="11"/>
        <v>0</v>
      </c>
      <c r="M37" s="798">
        <f t="shared" si="11"/>
        <v>0</v>
      </c>
      <c r="N37" s="798">
        <f t="shared" si="11"/>
        <v>0</v>
      </c>
      <c r="O37" s="799">
        <f t="shared" si="9"/>
        <v>0</v>
      </c>
    </row>
    <row r="38" spans="1:15">
      <c r="A38" s="791" t="s">
        <v>682</v>
      </c>
      <c r="B38" s="792"/>
      <c r="C38" s="793">
        <f t="shared" ref="C38:N38" si="12">C33-SUM(C35:C37)</f>
        <v>0</v>
      </c>
      <c r="D38" s="793">
        <f t="shared" si="12"/>
        <v>0</v>
      </c>
      <c r="E38" s="793">
        <f t="shared" si="12"/>
        <v>0</v>
      </c>
      <c r="F38" s="793">
        <f t="shared" si="12"/>
        <v>0</v>
      </c>
      <c r="G38" s="793">
        <f t="shared" si="12"/>
        <v>0</v>
      </c>
      <c r="H38" s="793">
        <f t="shared" si="12"/>
        <v>0</v>
      </c>
      <c r="I38" s="793">
        <f t="shared" si="12"/>
        <v>0</v>
      </c>
      <c r="J38" s="793">
        <f t="shared" si="12"/>
        <v>0</v>
      </c>
      <c r="K38" s="793">
        <f t="shared" si="12"/>
        <v>0</v>
      </c>
      <c r="L38" s="793">
        <f t="shared" si="12"/>
        <v>0</v>
      </c>
      <c r="M38" s="793">
        <f t="shared" si="12"/>
        <v>0</v>
      </c>
      <c r="N38" s="793">
        <f t="shared" si="12"/>
        <v>0</v>
      </c>
      <c r="O38" s="801">
        <f t="shared" si="9"/>
        <v>0</v>
      </c>
    </row>
    <row r="39" spans="1:15">
      <c r="A39" s="796" t="s">
        <v>690</v>
      </c>
      <c r="B39" s="797"/>
      <c r="C39" s="798">
        <f t="shared" ref="C39:N39" si="13">SUM(C35:C38)-C33</f>
        <v>0</v>
      </c>
      <c r="D39" s="798">
        <f t="shared" si="13"/>
        <v>0</v>
      </c>
      <c r="E39" s="798">
        <f t="shared" si="13"/>
        <v>0</v>
      </c>
      <c r="F39" s="798">
        <f t="shared" si="13"/>
        <v>0</v>
      </c>
      <c r="G39" s="798">
        <f t="shared" si="13"/>
        <v>0</v>
      </c>
      <c r="H39" s="798">
        <f t="shared" si="13"/>
        <v>0</v>
      </c>
      <c r="I39" s="798">
        <f t="shared" si="13"/>
        <v>0</v>
      </c>
      <c r="J39" s="798">
        <f t="shared" si="13"/>
        <v>0</v>
      </c>
      <c r="K39" s="798">
        <f t="shared" si="13"/>
        <v>0</v>
      </c>
      <c r="L39" s="798">
        <f t="shared" si="13"/>
        <v>0</v>
      </c>
      <c r="M39" s="798">
        <f t="shared" si="13"/>
        <v>0</v>
      </c>
      <c r="N39" s="802">
        <f t="shared" si="13"/>
        <v>0</v>
      </c>
      <c r="O39" s="797"/>
    </row>
    <row r="40" spans="1:15">
      <c r="A40" s="796" t="s">
        <v>27</v>
      </c>
      <c r="B40" s="797"/>
      <c r="C40" s="800"/>
      <c r="D40" s="800"/>
      <c r="E40" s="800"/>
      <c r="F40" s="800"/>
      <c r="G40" s="800"/>
      <c r="H40" s="800"/>
      <c r="I40" s="800"/>
      <c r="J40" s="800"/>
      <c r="K40" s="800"/>
      <c r="L40" s="800"/>
      <c r="M40" s="800"/>
      <c r="N40" s="797"/>
      <c r="O40" s="797"/>
    </row>
    <row r="41" spans="1:15">
      <c r="A41" s="796" t="s">
        <v>691</v>
      </c>
      <c r="B41" s="797"/>
      <c r="C41" s="798">
        <v>0</v>
      </c>
      <c r="D41" s="798">
        <v>0</v>
      </c>
      <c r="E41" s="798">
        <v>0</v>
      </c>
      <c r="F41" s="798">
        <v>0</v>
      </c>
      <c r="G41" s="798">
        <v>0</v>
      </c>
      <c r="H41" s="798">
        <v>0</v>
      </c>
      <c r="I41" s="798">
        <v>0</v>
      </c>
      <c r="J41" s="798">
        <v>0</v>
      </c>
      <c r="K41" s="798">
        <v>0</v>
      </c>
      <c r="L41" s="798">
        <v>0</v>
      </c>
      <c r="M41" s="798">
        <v>0</v>
      </c>
      <c r="N41" s="802">
        <v>0</v>
      </c>
      <c r="O41" s="802">
        <f t="shared" ref="O41:O44" si="14">SUM(C41:N41)</f>
        <v>0</v>
      </c>
    </row>
    <row r="42" spans="1:15">
      <c r="A42" s="796" t="s">
        <v>692</v>
      </c>
      <c r="B42" s="797"/>
      <c r="C42" s="798">
        <v>0</v>
      </c>
      <c r="D42" s="798">
        <v>0</v>
      </c>
      <c r="E42" s="798">
        <v>0</v>
      </c>
      <c r="F42" s="798">
        <v>0</v>
      </c>
      <c r="G42" s="798">
        <v>0</v>
      </c>
      <c r="H42" s="798">
        <v>0</v>
      </c>
      <c r="I42" s="798">
        <v>0</v>
      </c>
      <c r="J42" s="798">
        <v>0</v>
      </c>
      <c r="K42" s="798">
        <v>0</v>
      </c>
      <c r="L42" s="798">
        <v>0</v>
      </c>
      <c r="M42" s="798">
        <v>0</v>
      </c>
      <c r="N42" s="802">
        <v>0</v>
      </c>
      <c r="O42" s="802">
        <f t="shared" si="14"/>
        <v>0</v>
      </c>
    </row>
    <row r="43" spans="1:15">
      <c r="A43" s="796" t="s">
        <v>693</v>
      </c>
      <c r="B43" s="797"/>
      <c r="C43" s="798">
        <v>0</v>
      </c>
      <c r="D43" s="798">
        <v>0</v>
      </c>
      <c r="E43" s="798">
        <v>0</v>
      </c>
      <c r="F43" s="798">
        <v>0</v>
      </c>
      <c r="G43" s="798">
        <v>0</v>
      </c>
      <c r="H43" s="798">
        <v>0</v>
      </c>
      <c r="I43" s="798">
        <v>0</v>
      </c>
      <c r="J43" s="798">
        <v>0</v>
      </c>
      <c r="K43" s="798">
        <v>0</v>
      </c>
      <c r="L43" s="798">
        <v>0</v>
      </c>
      <c r="M43" s="798">
        <v>0</v>
      </c>
      <c r="N43" s="802">
        <v>0</v>
      </c>
      <c r="O43" s="802">
        <f t="shared" si="14"/>
        <v>0</v>
      </c>
    </row>
    <row r="44" spans="1:15">
      <c r="A44" s="791" t="s">
        <v>694</v>
      </c>
      <c r="B44" s="792"/>
      <c r="C44" s="793">
        <v>0</v>
      </c>
      <c r="D44" s="793">
        <v>0</v>
      </c>
      <c r="E44" s="793">
        <v>0</v>
      </c>
      <c r="F44" s="793">
        <v>0</v>
      </c>
      <c r="G44" s="793">
        <v>0</v>
      </c>
      <c r="H44" s="793">
        <v>0</v>
      </c>
      <c r="I44" s="793">
        <v>0</v>
      </c>
      <c r="J44" s="793">
        <v>0</v>
      </c>
      <c r="K44" s="793">
        <v>0</v>
      </c>
      <c r="L44" s="793">
        <v>0</v>
      </c>
      <c r="M44" s="793">
        <v>0</v>
      </c>
      <c r="N44" s="794">
        <v>0</v>
      </c>
      <c r="O44" s="794">
        <f t="shared" si="14"/>
        <v>0</v>
      </c>
    </row>
    <row r="45" spans="1:15">
      <c r="A45" s="796" t="s">
        <v>695</v>
      </c>
      <c r="B45" s="803"/>
      <c r="C45" s="804"/>
      <c r="D45" s="804"/>
      <c r="E45" s="804"/>
      <c r="F45" s="804"/>
      <c r="G45" s="804"/>
      <c r="H45" s="804"/>
      <c r="I45" s="804"/>
      <c r="J45" s="804"/>
      <c r="K45" s="804"/>
      <c r="L45" s="804"/>
      <c r="M45" s="804"/>
      <c r="N45" s="803"/>
      <c r="O45" s="803"/>
    </row>
    <row r="46" spans="1:15">
      <c r="A46" s="796" t="s">
        <v>696</v>
      </c>
      <c r="B46" s="805">
        <f>COGS!C10</f>
        <v>3.3675717746620917</v>
      </c>
      <c r="C46" s="806">
        <f t="shared" ref="C46:N46" si="15">C35*$B$46</f>
        <v>25283.728884162985</v>
      </c>
      <c r="D46" s="806">
        <f t="shared" si="15"/>
        <v>25283.728884162985</v>
      </c>
      <c r="E46" s="806">
        <f t="shared" si="15"/>
        <v>25283.728884162985</v>
      </c>
      <c r="F46" s="806">
        <f t="shared" si="15"/>
        <v>25283.728884162985</v>
      </c>
      <c r="G46" s="806">
        <f t="shared" si="15"/>
        <v>26546.56829966127</v>
      </c>
      <c r="H46" s="806">
        <f t="shared" si="15"/>
        <v>26546.56829966127</v>
      </c>
      <c r="I46" s="806">
        <f t="shared" si="15"/>
        <v>25283.728884162985</v>
      </c>
      <c r="J46" s="806">
        <f t="shared" si="15"/>
        <v>25283.728884162985</v>
      </c>
      <c r="K46" s="806">
        <f t="shared" si="15"/>
        <v>25283.728884162985</v>
      </c>
      <c r="L46" s="806">
        <f t="shared" si="15"/>
        <v>25283.728884162985</v>
      </c>
      <c r="M46" s="806">
        <f t="shared" si="15"/>
        <v>26546.56829966127</v>
      </c>
      <c r="N46" s="806">
        <f t="shared" si="15"/>
        <v>25290.464027712307</v>
      </c>
      <c r="O46" s="805">
        <f t="shared" ref="O46:O53" si="16">SUM(C46:N46)</f>
        <v>307200</v>
      </c>
    </row>
    <row r="47" spans="1:15">
      <c r="A47" s="796" t="s">
        <v>701</v>
      </c>
      <c r="B47" s="805">
        <v>0</v>
      </c>
      <c r="C47" s="806">
        <v>0</v>
      </c>
      <c r="D47" s="806">
        <v>0</v>
      </c>
      <c r="E47" s="806">
        <v>0</v>
      </c>
      <c r="F47" s="806">
        <v>0</v>
      </c>
      <c r="G47" s="806">
        <v>0</v>
      </c>
      <c r="H47" s="806">
        <v>0</v>
      </c>
      <c r="I47" s="806">
        <v>0</v>
      </c>
      <c r="J47" s="806">
        <v>0</v>
      </c>
      <c r="K47" s="806">
        <v>0</v>
      </c>
      <c r="L47" s="806">
        <v>0</v>
      </c>
      <c r="M47" s="806">
        <v>0</v>
      </c>
      <c r="N47" s="805">
        <v>0</v>
      </c>
      <c r="O47" s="805">
        <f t="shared" si="16"/>
        <v>0</v>
      </c>
    </row>
    <row r="48" spans="1:15">
      <c r="A48" s="796" t="s">
        <v>702</v>
      </c>
      <c r="B48" s="805">
        <v>0</v>
      </c>
      <c r="C48" s="806">
        <v>0</v>
      </c>
      <c r="D48" s="806">
        <v>0</v>
      </c>
      <c r="E48" s="806">
        <v>0</v>
      </c>
      <c r="F48" s="806">
        <v>0</v>
      </c>
      <c r="G48" s="806">
        <v>0</v>
      </c>
      <c r="H48" s="806">
        <v>0</v>
      </c>
      <c r="I48" s="806">
        <v>0</v>
      </c>
      <c r="J48" s="806">
        <v>0</v>
      </c>
      <c r="K48" s="806">
        <v>0</v>
      </c>
      <c r="L48" s="806">
        <v>0</v>
      </c>
      <c r="M48" s="806">
        <v>0</v>
      </c>
      <c r="N48" s="805">
        <v>0</v>
      </c>
      <c r="O48" s="805">
        <f t="shared" si="16"/>
        <v>0</v>
      </c>
    </row>
    <row r="49" spans="1:15">
      <c r="A49" s="796" t="s">
        <v>705</v>
      </c>
      <c r="B49" s="805">
        <v>0</v>
      </c>
      <c r="C49" s="806">
        <v>0</v>
      </c>
      <c r="D49" s="806">
        <v>0</v>
      </c>
      <c r="E49" s="806">
        <v>0</v>
      </c>
      <c r="F49" s="806">
        <v>0</v>
      </c>
      <c r="G49" s="806">
        <v>0</v>
      </c>
      <c r="H49" s="806">
        <v>0</v>
      </c>
      <c r="I49" s="806">
        <v>0</v>
      </c>
      <c r="J49" s="806">
        <v>0</v>
      </c>
      <c r="K49" s="806">
        <v>0</v>
      </c>
      <c r="L49" s="806">
        <v>0</v>
      </c>
      <c r="M49" s="806">
        <v>0</v>
      </c>
      <c r="N49" s="805">
        <v>0</v>
      </c>
      <c r="O49" s="805">
        <f t="shared" si="16"/>
        <v>0</v>
      </c>
    </row>
    <row r="50" spans="1:15">
      <c r="A50" s="796" t="s">
        <v>706</v>
      </c>
      <c r="B50" s="805">
        <v>0</v>
      </c>
      <c r="C50" s="806">
        <v>0</v>
      </c>
      <c r="D50" s="806">
        <v>0</v>
      </c>
      <c r="E50" s="806">
        <v>0</v>
      </c>
      <c r="F50" s="806">
        <v>0</v>
      </c>
      <c r="G50" s="806">
        <v>0</v>
      </c>
      <c r="H50" s="806">
        <v>0</v>
      </c>
      <c r="I50" s="806">
        <v>0</v>
      </c>
      <c r="J50" s="806">
        <v>0</v>
      </c>
      <c r="K50" s="806">
        <v>0</v>
      </c>
      <c r="L50" s="806">
        <v>0</v>
      </c>
      <c r="M50" s="806">
        <v>0</v>
      </c>
      <c r="N50" s="805">
        <v>0</v>
      </c>
      <c r="O50" s="805">
        <f t="shared" si="16"/>
        <v>0</v>
      </c>
    </row>
    <row r="51" spans="1:15">
      <c r="A51" s="796" t="s">
        <v>708</v>
      </c>
      <c r="B51" s="805">
        <v>0</v>
      </c>
      <c r="C51" s="806">
        <v>0</v>
      </c>
      <c r="D51" s="806">
        <v>0</v>
      </c>
      <c r="E51" s="806">
        <v>0</v>
      </c>
      <c r="F51" s="806">
        <v>0</v>
      </c>
      <c r="G51" s="806">
        <v>0</v>
      </c>
      <c r="H51" s="806">
        <v>0</v>
      </c>
      <c r="I51" s="806">
        <v>0</v>
      </c>
      <c r="J51" s="806">
        <v>0</v>
      </c>
      <c r="K51" s="806">
        <v>0</v>
      </c>
      <c r="L51" s="806">
        <v>0</v>
      </c>
      <c r="M51" s="806">
        <v>0</v>
      </c>
      <c r="N51" s="805">
        <v>0</v>
      </c>
      <c r="O51" s="805">
        <f t="shared" si="16"/>
        <v>0</v>
      </c>
    </row>
    <row r="52" spans="1:15">
      <c r="A52" s="791" t="s">
        <v>709</v>
      </c>
      <c r="B52" s="807"/>
      <c r="C52" s="808">
        <v>0</v>
      </c>
      <c r="D52" s="808">
        <v>0</v>
      </c>
      <c r="E52" s="808">
        <v>0</v>
      </c>
      <c r="F52" s="808">
        <v>0</v>
      </c>
      <c r="G52" s="808">
        <v>0</v>
      </c>
      <c r="H52" s="808">
        <v>0</v>
      </c>
      <c r="I52" s="808">
        <v>0</v>
      </c>
      <c r="J52" s="808">
        <v>0</v>
      </c>
      <c r="K52" s="808">
        <v>0</v>
      </c>
      <c r="L52" s="808">
        <v>0</v>
      </c>
      <c r="M52" s="808">
        <v>0</v>
      </c>
      <c r="N52" s="809">
        <v>0</v>
      </c>
      <c r="O52" s="809">
        <f t="shared" si="16"/>
        <v>0</v>
      </c>
    </row>
    <row r="53" spans="1:15">
      <c r="A53" s="791" t="s">
        <v>92</v>
      </c>
      <c r="B53" s="807"/>
      <c r="C53" s="808">
        <f t="shared" ref="C53:N53" si="17">SUM(C46:C52)</f>
        <v>25283.728884162985</v>
      </c>
      <c r="D53" s="808">
        <f t="shared" si="17"/>
        <v>25283.728884162985</v>
      </c>
      <c r="E53" s="808">
        <f t="shared" si="17"/>
        <v>25283.728884162985</v>
      </c>
      <c r="F53" s="808">
        <f t="shared" si="17"/>
        <v>25283.728884162985</v>
      </c>
      <c r="G53" s="808">
        <f t="shared" si="17"/>
        <v>26546.56829966127</v>
      </c>
      <c r="H53" s="808">
        <f t="shared" si="17"/>
        <v>26546.56829966127</v>
      </c>
      <c r="I53" s="808">
        <f t="shared" si="17"/>
        <v>25283.728884162985</v>
      </c>
      <c r="J53" s="808">
        <f t="shared" si="17"/>
        <v>25283.728884162985</v>
      </c>
      <c r="K53" s="808">
        <f t="shared" si="17"/>
        <v>25283.728884162985</v>
      </c>
      <c r="L53" s="808">
        <f t="shared" si="17"/>
        <v>25283.728884162985</v>
      </c>
      <c r="M53" s="808">
        <f t="shared" si="17"/>
        <v>26546.56829966127</v>
      </c>
      <c r="N53" s="809">
        <f t="shared" si="17"/>
        <v>25290.464027712307</v>
      </c>
      <c r="O53" s="810">
        <f t="shared" si="16"/>
        <v>307200</v>
      </c>
    </row>
    <row r="54" spans="1:15">
      <c r="A54" s="796"/>
      <c r="B54" s="800"/>
      <c r="C54" s="800"/>
      <c r="D54" s="800"/>
      <c r="E54" s="800"/>
      <c r="F54" s="800"/>
      <c r="G54" s="800"/>
      <c r="H54" s="800"/>
      <c r="I54" s="800"/>
      <c r="J54" s="800"/>
      <c r="K54" s="800"/>
      <c r="L54" s="800"/>
      <c r="M54" s="800"/>
      <c r="N54" s="800"/>
      <c r="O54" s="797"/>
    </row>
    <row r="55" spans="1:15">
      <c r="A55" s="1349" t="s">
        <v>63</v>
      </c>
      <c r="B55" s="1350"/>
      <c r="C55" s="1350"/>
      <c r="D55" s="1350"/>
      <c r="E55" s="1350"/>
      <c r="F55" s="1350"/>
      <c r="G55" s="1350"/>
      <c r="H55" s="1350"/>
      <c r="I55" s="1350"/>
      <c r="J55" s="1350"/>
      <c r="K55" s="1350"/>
      <c r="L55" s="1350"/>
      <c r="M55" s="1350"/>
      <c r="N55" s="1350"/>
      <c r="O55" s="1351"/>
    </row>
    <row r="56" spans="1:15">
      <c r="A56" s="1352"/>
      <c r="B56" s="1353"/>
      <c r="C56" s="1353"/>
      <c r="D56" s="1353"/>
      <c r="E56" s="1353"/>
      <c r="F56" s="1353"/>
      <c r="G56" s="1353"/>
      <c r="H56" s="1353"/>
      <c r="I56" s="1353"/>
      <c r="J56" s="1353"/>
      <c r="K56" s="1353"/>
      <c r="L56" s="1353"/>
      <c r="M56" s="1353"/>
      <c r="N56" s="1353"/>
      <c r="O56" s="1354"/>
    </row>
    <row r="57" spans="1:15">
      <c r="A57" s="791" t="s">
        <v>668</v>
      </c>
      <c r="B57" s="792"/>
      <c r="C57" s="793">
        <v>1</v>
      </c>
      <c r="D57" s="793">
        <v>2</v>
      </c>
      <c r="E57" s="793">
        <v>3</v>
      </c>
      <c r="F57" s="793">
        <v>4</v>
      </c>
      <c r="G57" s="793">
        <v>5</v>
      </c>
      <c r="H57" s="793">
        <v>6</v>
      </c>
      <c r="I57" s="793">
        <v>7</v>
      </c>
      <c r="J57" s="793">
        <v>8</v>
      </c>
      <c r="K57" s="793">
        <v>9</v>
      </c>
      <c r="L57" s="793">
        <v>10</v>
      </c>
      <c r="M57" s="793">
        <v>11</v>
      </c>
      <c r="N57" s="794">
        <v>12</v>
      </c>
      <c r="O57" s="795" t="s">
        <v>92</v>
      </c>
    </row>
    <row r="58" spans="1:15">
      <c r="A58" s="796" t="s">
        <v>669</v>
      </c>
      <c r="B58" s="797"/>
      <c r="C58" s="798">
        <f>Capacity!$C$84</f>
        <v>18</v>
      </c>
      <c r="D58" s="798">
        <f>Capacity!$C$84</f>
        <v>18</v>
      </c>
      <c r="E58" s="798">
        <f>Capacity!$C$84</f>
        <v>18</v>
      </c>
      <c r="F58" s="798">
        <f>Capacity!$C$84</f>
        <v>18</v>
      </c>
      <c r="G58" s="798">
        <f>Capacity!$C$84</f>
        <v>18</v>
      </c>
      <c r="H58" s="798">
        <f>Capacity!$C$84</f>
        <v>18</v>
      </c>
      <c r="I58" s="798">
        <f>Capacity!$C$84</f>
        <v>18</v>
      </c>
      <c r="J58" s="798">
        <f>Capacity!$C$84</f>
        <v>18</v>
      </c>
      <c r="K58" s="798">
        <f>Capacity!$C$84</f>
        <v>18</v>
      </c>
      <c r="L58" s="798">
        <f>Capacity!$C$84</f>
        <v>18</v>
      </c>
      <c r="M58" s="798">
        <f>Capacity!$C$84</f>
        <v>18</v>
      </c>
      <c r="N58" s="798">
        <f>Capacity!$C$84</f>
        <v>18</v>
      </c>
      <c r="O58" s="799"/>
    </row>
    <row r="59" spans="1:15">
      <c r="A59" s="796" t="s">
        <v>670</v>
      </c>
      <c r="B59" s="797"/>
      <c r="C59" s="815">
        <f>'Monthly Demand'!E29</f>
        <v>13301</v>
      </c>
      <c r="D59" s="815">
        <f>'Monthly Demand'!F29</f>
        <v>13301</v>
      </c>
      <c r="E59" s="815">
        <f>'Monthly Demand'!G29</f>
        <v>13301</v>
      </c>
      <c r="F59" s="815">
        <f>'Monthly Demand'!H29</f>
        <v>13301</v>
      </c>
      <c r="G59" s="815">
        <f>'Monthly Demand'!I29</f>
        <v>13966</v>
      </c>
      <c r="H59" s="815">
        <f>'Monthly Demand'!J29</f>
        <v>13966</v>
      </c>
      <c r="I59" s="815">
        <f>'Monthly Demand'!K29</f>
        <v>13301</v>
      </c>
      <c r="J59" s="815">
        <f>'Monthly Demand'!L29</f>
        <v>13301</v>
      </c>
      <c r="K59" s="815">
        <f>'Monthly Demand'!M29</f>
        <v>13301</v>
      </c>
      <c r="L59" s="815">
        <f>'Monthly Demand'!N29</f>
        <v>13301</v>
      </c>
      <c r="M59" s="815">
        <f>'Monthly Demand'!O29</f>
        <v>13966</v>
      </c>
      <c r="N59" s="815">
        <f>'Monthly Demand'!P29</f>
        <v>13302</v>
      </c>
      <c r="O59" s="816">
        <f>SUM(C59:N59)</f>
        <v>161608</v>
      </c>
    </row>
    <row r="60" spans="1:15">
      <c r="A60" s="796" t="s">
        <v>672</v>
      </c>
      <c r="B60" s="797"/>
      <c r="C60" s="817"/>
      <c r="D60" s="817"/>
      <c r="E60" s="817"/>
      <c r="F60" s="817"/>
      <c r="G60" s="817"/>
      <c r="H60" s="817"/>
      <c r="I60" s="817"/>
      <c r="J60" s="817"/>
      <c r="K60" s="817"/>
      <c r="L60" s="817"/>
      <c r="M60" s="817"/>
      <c r="N60" s="818"/>
      <c r="O60" s="819"/>
    </row>
    <row r="61" spans="1:15">
      <c r="A61" s="796" t="s">
        <v>673</v>
      </c>
      <c r="B61" s="797"/>
      <c r="C61" s="815">
        <f>MIN('Monthly Demand'!$B$25,C59)</f>
        <v>13301</v>
      </c>
      <c r="D61" s="815">
        <f>MIN('Monthly Demand'!$B$25,D59)</f>
        <v>13301</v>
      </c>
      <c r="E61" s="815">
        <f>MIN('Monthly Demand'!$B$25,E59)</f>
        <v>13301</v>
      </c>
      <c r="F61" s="815">
        <f>MIN('Monthly Demand'!$B$25,F59)</f>
        <v>13301</v>
      </c>
      <c r="G61" s="815">
        <f>MIN('Monthly Demand'!$B$25,G59)</f>
        <v>13966</v>
      </c>
      <c r="H61" s="815">
        <f>MIN('Monthly Demand'!$B$25,H59)</f>
        <v>13966</v>
      </c>
      <c r="I61" s="815">
        <f>MIN('Monthly Demand'!$B$25,I59)</f>
        <v>13301</v>
      </c>
      <c r="J61" s="815">
        <f>MIN('Monthly Demand'!$B$25,J59)</f>
        <v>13301</v>
      </c>
      <c r="K61" s="815">
        <f>MIN('Monthly Demand'!$B$25,K59)</f>
        <v>13301</v>
      </c>
      <c r="L61" s="815">
        <f>MIN('Monthly Demand'!$B$25,L59)</f>
        <v>13301</v>
      </c>
      <c r="M61" s="815">
        <f>MIN('Monthly Demand'!$B$25,M59)</f>
        <v>13966</v>
      </c>
      <c r="N61" s="815">
        <f>MIN('Monthly Demand'!$B$25,N59)</f>
        <v>13302</v>
      </c>
      <c r="O61" s="816">
        <f t="shared" ref="O61:O64" si="18">SUM(C61:N61)</f>
        <v>161608</v>
      </c>
    </row>
    <row r="62" spans="1:15">
      <c r="A62" s="796" t="s">
        <v>677</v>
      </c>
      <c r="B62" s="797"/>
      <c r="C62" s="798">
        <f t="shared" ref="C62:N62" si="19">C59-C61</f>
        <v>0</v>
      </c>
      <c r="D62" s="798">
        <f t="shared" si="19"/>
        <v>0</v>
      </c>
      <c r="E62" s="798">
        <f t="shared" si="19"/>
        <v>0</v>
      </c>
      <c r="F62" s="798">
        <f t="shared" si="19"/>
        <v>0</v>
      </c>
      <c r="G62" s="798">
        <f t="shared" si="19"/>
        <v>0</v>
      </c>
      <c r="H62" s="798">
        <f t="shared" si="19"/>
        <v>0</v>
      </c>
      <c r="I62" s="798">
        <f t="shared" si="19"/>
        <v>0</v>
      </c>
      <c r="J62" s="798">
        <f t="shared" si="19"/>
        <v>0</v>
      </c>
      <c r="K62" s="798">
        <f t="shared" si="19"/>
        <v>0</v>
      </c>
      <c r="L62" s="798">
        <f t="shared" si="19"/>
        <v>0</v>
      </c>
      <c r="M62" s="798">
        <f t="shared" si="19"/>
        <v>0</v>
      </c>
      <c r="N62" s="798">
        <f t="shared" si="19"/>
        <v>0</v>
      </c>
      <c r="O62" s="799">
        <f t="shared" si="18"/>
        <v>0</v>
      </c>
    </row>
    <row r="63" spans="1:15">
      <c r="A63" s="796" t="s">
        <v>679</v>
      </c>
      <c r="B63" s="797"/>
      <c r="C63" s="798">
        <f t="shared" ref="C63:N63" si="20">C59-SUM(C61:C62)</f>
        <v>0</v>
      </c>
      <c r="D63" s="798">
        <f t="shared" si="20"/>
        <v>0</v>
      </c>
      <c r="E63" s="798">
        <f t="shared" si="20"/>
        <v>0</v>
      </c>
      <c r="F63" s="798">
        <f t="shared" si="20"/>
        <v>0</v>
      </c>
      <c r="G63" s="798">
        <f t="shared" si="20"/>
        <v>0</v>
      </c>
      <c r="H63" s="798">
        <f t="shared" si="20"/>
        <v>0</v>
      </c>
      <c r="I63" s="798">
        <f t="shared" si="20"/>
        <v>0</v>
      </c>
      <c r="J63" s="798">
        <f t="shared" si="20"/>
        <v>0</v>
      </c>
      <c r="K63" s="798">
        <f t="shared" si="20"/>
        <v>0</v>
      </c>
      <c r="L63" s="798">
        <f t="shared" si="20"/>
        <v>0</v>
      </c>
      <c r="M63" s="798">
        <f t="shared" si="20"/>
        <v>0</v>
      </c>
      <c r="N63" s="798">
        <f t="shared" si="20"/>
        <v>0</v>
      </c>
      <c r="O63" s="799">
        <f t="shared" si="18"/>
        <v>0</v>
      </c>
    </row>
    <row r="64" spans="1:15">
      <c r="A64" s="791" t="s">
        <v>682</v>
      </c>
      <c r="B64" s="792"/>
      <c r="C64" s="793">
        <f t="shared" ref="C64:N64" si="21">C59-SUM(C61:C63)</f>
        <v>0</v>
      </c>
      <c r="D64" s="793">
        <f t="shared" si="21"/>
        <v>0</v>
      </c>
      <c r="E64" s="793">
        <f t="shared" si="21"/>
        <v>0</v>
      </c>
      <c r="F64" s="793">
        <f t="shared" si="21"/>
        <v>0</v>
      </c>
      <c r="G64" s="793">
        <f t="shared" si="21"/>
        <v>0</v>
      </c>
      <c r="H64" s="793">
        <f t="shared" si="21"/>
        <v>0</v>
      </c>
      <c r="I64" s="793">
        <f t="shared" si="21"/>
        <v>0</v>
      </c>
      <c r="J64" s="793">
        <f t="shared" si="21"/>
        <v>0</v>
      </c>
      <c r="K64" s="793">
        <f t="shared" si="21"/>
        <v>0</v>
      </c>
      <c r="L64" s="793">
        <f t="shared" si="21"/>
        <v>0</v>
      </c>
      <c r="M64" s="793">
        <f t="shared" si="21"/>
        <v>0</v>
      </c>
      <c r="N64" s="793">
        <f t="shared" si="21"/>
        <v>0</v>
      </c>
      <c r="O64" s="801">
        <f t="shared" si="18"/>
        <v>0</v>
      </c>
    </row>
    <row r="65" spans="1:15">
      <c r="A65" s="796" t="s">
        <v>690</v>
      </c>
      <c r="B65" s="797"/>
      <c r="C65" s="798">
        <f t="shared" ref="C65:N65" si="22">SUM(C61:C64)-C59</f>
        <v>0</v>
      </c>
      <c r="D65" s="798">
        <f t="shared" si="22"/>
        <v>0</v>
      </c>
      <c r="E65" s="798">
        <f t="shared" si="22"/>
        <v>0</v>
      </c>
      <c r="F65" s="798">
        <f t="shared" si="22"/>
        <v>0</v>
      </c>
      <c r="G65" s="798">
        <f t="shared" si="22"/>
        <v>0</v>
      </c>
      <c r="H65" s="798">
        <f t="shared" si="22"/>
        <v>0</v>
      </c>
      <c r="I65" s="798">
        <f t="shared" si="22"/>
        <v>0</v>
      </c>
      <c r="J65" s="798">
        <f t="shared" si="22"/>
        <v>0</v>
      </c>
      <c r="K65" s="798">
        <f t="shared" si="22"/>
        <v>0</v>
      </c>
      <c r="L65" s="798">
        <f t="shared" si="22"/>
        <v>0</v>
      </c>
      <c r="M65" s="798">
        <f t="shared" si="22"/>
        <v>0</v>
      </c>
      <c r="N65" s="802">
        <f t="shared" si="22"/>
        <v>0</v>
      </c>
      <c r="O65" s="797"/>
    </row>
    <row r="66" spans="1:15">
      <c r="A66" s="796" t="s">
        <v>27</v>
      </c>
      <c r="B66" s="797"/>
      <c r="C66" s="800"/>
      <c r="D66" s="800"/>
      <c r="E66" s="800"/>
      <c r="F66" s="800"/>
      <c r="G66" s="800"/>
      <c r="H66" s="800"/>
      <c r="I66" s="800"/>
      <c r="J66" s="800"/>
      <c r="K66" s="800"/>
      <c r="L66" s="800"/>
      <c r="M66" s="800"/>
      <c r="N66" s="797"/>
      <c r="O66" s="797"/>
    </row>
    <row r="67" spans="1:15">
      <c r="A67" s="796" t="s">
        <v>691</v>
      </c>
      <c r="B67" s="797"/>
      <c r="C67" s="798">
        <v>0</v>
      </c>
      <c r="D67" s="798">
        <v>0</v>
      </c>
      <c r="E67" s="798">
        <v>0</v>
      </c>
      <c r="F67" s="798">
        <v>0</v>
      </c>
      <c r="G67" s="798">
        <v>0</v>
      </c>
      <c r="H67" s="798">
        <v>0</v>
      </c>
      <c r="I67" s="798">
        <v>0</v>
      </c>
      <c r="J67" s="798">
        <v>0</v>
      </c>
      <c r="K67" s="798">
        <v>0</v>
      </c>
      <c r="L67" s="798">
        <v>0</v>
      </c>
      <c r="M67" s="798">
        <v>0</v>
      </c>
      <c r="N67" s="802">
        <v>0</v>
      </c>
      <c r="O67" s="802">
        <f t="shared" ref="O67:O70" si="23">SUM(C67:N67)</f>
        <v>0</v>
      </c>
    </row>
    <row r="68" spans="1:15">
      <c r="A68" s="796" t="s">
        <v>692</v>
      </c>
      <c r="B68" s="797"/>
      <c r="C68" s="798">
        <v>0</v>
      </c>
      <c r="D68" s="798">
        <v>0</v>
      </c>
      <c r="E68" s="798">
        <v>0</v>
      </c>
      <c r="F68" s="798">
        <v>0</v>
      </c>
      <c r="G68" s="798">
        <v>0</v>
      </c>
      <c r="H68" s="798">
        <v>0</v>
      </c>
      <c r="I68" s="798">
        <v>0</v>
      </c>
      <c r="J68" s="798">
        <v>0</v>
      </c>
      <c r="K68" s="798">
        <v>0</v>
      </c>
      <c r="L68" s="798">
        <v>0</v>
      </c>
      <c r="M68" s="798">
        <v>0</v>
      </c>
      <c r="N68" s="802">
        <v>0</v>
      </c>
      <c r="O68" s="802">
        <f t="shared" si="23"/>
        <v>0</v>
      </c>
    </row>
    <row r="69" spans="1:15">
      <c r="A69" s="796" t="s">
        <v>693</v>
      </c>
      <c r="B69" s="797"/>
      <c r="C69" s="798">
        <v>0</v>
      </c>
      <c r="D69" s="798">
        <v>0</v>
      </c>
      <c r="E69" s="798">
        <v>0</v>
      </c>
      <c r="F69" s="798">
        <v>0</v>
      </c>
      <c r="G69" s="798">
        <v>0</v>
      </c>
      <c r="H69" s="798">
        <v>0</v>
      </c>
      <c r="I69" s="798">
        <v>0</v>
      </c>
      <c r="J69" s="798">
        <v>0</v>
      </c>
      <c r="K69" s="798">
        <v>0</v>
      </c>
      <c r="L69" s="798">
        <v>0</v>
      </c>
      <c r="M69" s="798">
        <v>0</v>
      </c>
      <c r="N69" s="802">
        <v>0</v>
      </c>
      <c r="O69" s="802">
        <f t="shared" si="23"/>
        <v>0</v>
      </c>
    </row>
    <row r="70" spans="1:15">
      <c r="A70" s="791" t="s">
        <v>694</v>
      </c>
      <c r="B70" s="792"/>
      <c r="C70" s="793">
        <v>0</v>
      </c>
      <c r="D70" s="793">
        <v>0</v>
      </c>
      <c r="E70" s="793">
        <v>0</v>
      </c>
      <c r="F70" s="793">
        <v>0</v>
      </c>
      <c r="G70" s="793">
        <v>0</v>
      </c>
      <c r="H70" s="793">
        <v>0</v>
      </c>
      <c r="I70" s="793">
        <v>0</v>
      </c>
      <c r="J70" s="793">
        <v>0</v>
      </c>
      <c r="K70" s="793">
        <v>0</v>
      </c>
      <c r="L70" s="793">
        <v>0</v>
      </c>
      <c r="M70" s="793">
        <v>0</v>
      </c>
      <c r="N70" s="794">
        <v>0</v>
      </c>
      <c r="O70" s="794">
        <f t="shared" si="23"/>
        <v>0</v>
      </c>
    </row>
    <row r="71" spans="1:15">
      <c r="A71" s="796" t="s">
        <v>695</v>
      </c>
      <c r="B71" s="803"/>
      <c r="C71" s="804"/>
      <c r="D71" s="804"/>
      <c r="E71" s="804"/>
      <c r="F71" s="804"/>
      <c r="G71" s="804"/>
      <c r="H71" s="804"/>
      <c r="I71" s="804"/>
      <c r="J71" s="804"/>
      <c r="K71" s="804"/>
      <c r="L71" s="804"/>
      <c r="M71" s="804"/>
      <c r="N71" s="803"/>
      <c r="O71" s="803"/>
    </row>
    <row r="72" spans="1:15">
      <c r="A72" s="796" t="s">
        <v>696</v>
      </c>
      <c r="B72" s="805">
        <f>COGS!D10</f>
        <v>2.1385079946537302</v>
      </c>
      <c r="C72" s="806">
        <f t="shared" ref="C72:N72" si="24">C61*$B$72</f>
        <v>28444.294836889265</v>
      </c>
      <c r="D72" s="806">
        <f t="shared" si="24"/>
        <v>28444.294836889265</v>
      </c>
      <c r="E72" s="806">
        <f t="shared" si="24"/>
        <v>28444.294836889265</v>
      </c>
      <c r="F72" s="806">
        <f t="shared" si="24"/>
        <v>28444.294836889265</v>
      </c>
      <c r="G72" s="806">
        <f t="shared" si="24"/>
        <v>29866.402653333997</v>
      </c>
      <c r="H72" s="806">
        <f t="shared" si="24"/>
        <v>29866.402653333997</v>
      </c>
      <c r="I72" s="806">
        <f t="shared" si="24"/>
        <v>28444.294836889265</v>
      </c>
      <c r="J72" s="806">
        <f t="shared" si="24"/>
        <v>28444.294836889265</v>
      </c>
      <c r="K72" s="806">
        <f t="shared" si="24"/>
        <v>28444.294836889265</v>
      </c>
      <c r="L72" s="806">
        <f t="shared" si="24"/>
        <v>28444.294836889265</v>
      </c>
      <c r="M72" s="806">
        <f t="shared" si="24"/>
        <v>29866.402653333997</v>
      </c>
      <c r="N72" s="806">
        <f t="shared" si="24"/>
        <v>28446.433344883921</v>
      </c>
      <c r="O72" s="811">
        <f t="shared" ref="O72:O79" si="25">SUM(C72:N72)</f>
        <v>345600</v>
      </c>
    </row>
    <row r="73" spans="1:15">
      <c r="A73" s="796" t="s">
        <v>701</v>
      </c>
      <c r="B73" s="805">
        <v>0</v>
      </c>
      <c r="C73" s="806">
        <v>0</v>
      </c>
      <c r="D73" s="806">
        <v>0</v>
      </c>
      <c r="E73" s="806">
        <v>0</v>
      </c>
      <c r="F73" s="806">
        <v>0</v>
      </c>
      <c r="G73" s="806">
        <v>0</v>
      </c>
      <c r="H73" s="806">
        <v>0</v>
      </c>
      <c r="I73" s="806">
        <v>0</v>
      </c>
      <c r="J73" s="806">
        <v>0</v>
      </c>
      <c r="K73" s="806">
        <v>0</v>
      </c>
      <c r="L73" s="806">
        <v>0</v>
      </c>
      <c r="M73" s="806">
        <v>0</v>
      </c>
      <c r="N73" s="805">
        <v>0</v>
      </c>
      <c r="O73" s="805">
        <f t="shared" si="25"/>
        <v>0</v>
      </c>
    </row>
    <row r="74" spans="1:15">
      <c r="A74" s="796" t="s">
        <v>702</v>
      </c>
      <c r="B74" s="805">
        <v>0</v>
      </c>
      <c r="C74" s="806">
        <v>0</v>
      </c>
      <c r="D74" s="806">
        <v>0</v>
      </c>
      <c r="E74" s="806">
        <v>0</v>
      </c>
      <c r="F74" s="806">
        <v>0</v>
      </c>
      <c r="G74" s="806">
        <v>0</v>
      </c>
      <c r="H74" s="806">
        <v>0</v>
      </c>
      <c r="I74" s="806">
        <v>0</v>
      </c>
      <c r="J74" s="806">
        <v>0</v>
      </c>
      <c r="K74" s="806">
        <v>0</v>
      </c>
      <c r="L74" s="806">
        <v>0</v>
      </c>
      <c r="M74" s="806">
        <v>0</v>
      </c>
      <c r="N74" s="805">
        <v>0</v>
      </c>
      <c r="O74" s="805">
        <f t="shared" si="25"/>
        <v>0</v>
      </c>
    </row>
    <row r="75" spans="1:15">
      <c r="A75" s="796" t="s">
        <v>705</v>
      </c>
      <c r="B75" s="805">
        <v>0</v>
      </c>
      <c r="C75" s="806">
        <v>0</v>
      </c>
      <c r="D75" s="806">
        <v>0</v>
      </c>
      <c r="E75" s="806">
        <v>0</v>
      </c>
      <c r="F75" s="806">
        <v>0</v>
      </c>
      <c r="G75" s="806">
        <v>0</v>
      </c>
      <c r="H75" s="806">
        <v>0</v>
      </c>
      <c r="I75" s="806">
        <v>0</v>
      </c>
      <c r="J75" s="806">
        <v>0</v>
      </c>
      <c r="K75" s="806">
        <v>0</v>
      </c>
      <c r="L75" s="806">
        <v>0</v>
      </c>
      <c r="M75" s="806">
        <v>0</v>
      </c>
      <c r="N75" s="805">
        <v>0</v>
      </c>
      <c r="O75" s="805">
        <f t="shared" si="25"/>
        <v>0</v>
      </c>
    </row>
    <row r="76" spans="1:15">
      <c r="A76" s="796" t="s">
        <v>706</v>
      </c>
      <c r="B76" s="805">
        <v>0</v>
      </c>
      <c r="C76" s="806">
        <v>0</v>
      </c>
      <c r="D76" s="806">
        <v>0</v>
      </c>
      <c r="E76" s="806">
        <v>0</v>
      </c>
      <c r="F76" s="806">
        <v>0</v>
      </c>
      <c r="G76" s="806">
        <v>0</v>
      </c>
      <c r="H76" s="806">
        <v>0</v>
      </c>
      <c r="I76" s="806">
        <v>0</v>
      </c>
      <c r="J76" s="806">
        <v>0</v>
      </c>
      <c r="K76" s="806">
        <v>0</v>
      </c>
      <c r="L76" s="806">
        <v>0</v>
      </c>
      <c r="M76" s="806">
        <v>0</v>
      </c>
      <c r="N76" s="805">
        <v>0</v>
      </c>
      <c r="O76" s="805">
        <f t="shared" si="25"/>
        <v>0</v>
      </c>
    </row>
    <row r="77" spans="1:15">
      <c r="A77" s="796" t="s">
        <v>708</v>
      </c>
      <c r="B77" s="805">
        <v>0</v>
      </c>
      <c r="C77" s="806">
        <v>0</v>
      </c>
      <c r="D77" s="806">
        <v>0</v>
      </c>
      <c r="E77" s="806">
        <v>0</v>
      </c>
      <c r="F77" s="806">
        <v>0</v>
      </c>
      <c r="G77" s="806">
        <v>0</v>
      </c>
      <c r="H77" s="806">
        <v>0</v>
      </c>
      <c r="I77" s="806">
        <v>0</v>
      </c>
      <c r="J77" s="806">
        <v>0</v>
      </c>
      <c r="K77" s="806">
        <v>0</v>
      </c>
      <c r="L77" s="806">
        <v>0</v>
      </c>
      <c r="M77" s="806">
        <v>0</v>
      </c>
      <c r="N77" s="805">
        <v>0</v>
      </c>
      <c r="O77" s="805">
        <f t="shared" si="25"/>
        <v>0</v>
      </c>
    </row>
    <row r="78" spans="1:15">
      <c r="A78" s="791" t="s">
        <v>709</v>
      </c>
      <c r="B78" s="807"/>
      <c r="C78" s="808">
        <v>0</v>
      </c>
      <c r="D78" s="808">
        <v>0</v>
      </c>
      <c r="E78" s="808">
        <v>0</v>
      </c>
      <c r="F78" s="808">
        <v>0</v>
      </c>
      <c r="G78" s="808">
        <v>0</v>
      </c>
      <c r="H78" s="808">
        <v>0</v>
      </c>
      <c r="I78" s="808">
        <v>0</v>
      </c>
      <c r="J78" s="808">
        <v>0</v>
      </c>
      <c r="K78" s="808">
        <v>0</v>
      </c>
      <c r="L78" s="808">
        <v>0</v>
      </c>
      <c r="M78" s="808">
        <v>0</v>
      </c>
      <c r="N78" s="809">
        <v>0</v>
      </c>
      <c r="O78" s="809">
        <f t="shared" si="25"/>
        <v>0</v>
      </c>
    </row>
    <row r="79" spans="1:15">
      <c r="A79" s="791" t="s">
        <v>92</v>
      </c>
      <c r="B79" s="807"/>
      <c r="C79" s="808">
        <f t="shared" ref="C79:N79" si="26">SUM(C72:C78)</f>
        <v>28444.294836889265</v>
      </c>
      <c r="D79" s="808">
        <f t="shared" si="26"/>
        <v>28444.294836889265</v>
      </c>
      <c r="E79" s="808">
        <f t="shared" si="26"/>
        <v>28444.294836889265</v>
      </c>
      <c r="F79" s="808">
        <f t="shared" si="26"/>
        <v>28444.294836889265</v>
      </c>
      <c r="G79" s="808">
        <f t="shared" si="26"/>
        <v>29866.402653333997</v>
      </c>
      <c r="H79" s="808">
        <f t="shared" si="26"/>
        <v>29866.402653333997</v>
      </c>
      <c r="I79" s="808">
        <f t="shared" si="26"/>
        <v>28444.294836889265</v>
      </c>
      <c r="J79" s="808">
        <f t="shared" si="26"/>
        <v>28444.294836889265</v>
      </c>
      <c r="K79" s="808">
        <f t="shared" si="26"/>
        <v>28444.294836889265</v>
      </c>
      <c r="L79" s="808">
        <f t="shared" si="26"/>
        <v>28444.294836889265</v>
      </c>
      <c r="M79" s="808">
        <f t="shared" si="26"/>
        <v>29866.402653333997</v>
      </c>
      <c r="N79" s="809">
        <f t="shared" si="26"/>
        <v>28446.433344883921</v>
      </c>
      <c r="O79" s="810">
        <f t="shared" si="25"/>
        <v>345600</v>
      </c>
    </row>
    <row r="80" spans="1:15">
      <c r="A80" s="796"/>
      <c r="B80" s="800"/>
      <c r="C80" s="800"/>
      <c r="D80" s="800"/>
      <c r="E80" s="800"/>
      <c r="F80" s="800"/>
      <c r="G80" s="800"/>
      <c r="H80" s="800"/>
      <c r="I80" s="800"/>
      <c r="J80" s="800"/>
      <c r="K80" s="800"/>
      <c r="L80" s="800"/>
      <c r="M80" s="800"/>
      <c r="N80" s="800"/>
      <c r="O80" s="797"/>
    </row>
    <row r="81" spans="1:15">
      <c r="A81" s="1349" t="s">
        <v>65</v>
      </c>
      <c r="B81" s="1350"/>
      <c r="C81" s="1350"/>
      <c r="D81" s="1350"/>
      <c r="E81" s="1350"/>
      <c r="F81" s="1350"/>
      <c r="G81" s="1350"/>
      <c r="H81" s="1350"/>
      <c r="I81" s="1350"/>
      <c r="J81" s="1350"/>
      <c r="K81" s="1350"/>
      <c r="L81" s="1350"/>
      <c r="M81" s="1350"/>
      <c r="N81" s="1350"/>
      <c r="O81" s="1351"/>
    </row>
    <row r="82" spans="1:15">
      <c r="A82" s="1352"/>
      <c r="B82" s="1353"/>
      <c r="C82" s="1353"/>
      <c r="D82" s="1353"/>
      <c r="E82" s="1353"/>
      <c r="F82" s="1353"/>
      <c r="G82" s="1353"/>
      <c r="H82" s="1353"/>
      <c r="I82" s="1353"/>
      <c r="J82" s="1353"/>
      <c r="K82" s="1353"/>
      <c r="L82" s="1353"/>
      <c r="M82" s="1353"/>
      <c r="N82" s="1353"/>
      <c r="O82" s="1354"/>
    </row>
    <row r="83" spans="1:15">
      <c r="A83" s="791" t="s">
        <v>668</v>
      </c>
      <c r="B83" s="792"/>
      <c r="C83" s="793">
        <v>1</v>
      </c>
      <c r="D83" s="793">
        <v>2</v>
      </c>
      <c r="E83" s="793">
        <v>3</v>
      </c>
      <c r="F83" s="793">
        <v>4</v>
      </c>
      <c r="G83" s="793">
        <v>5</v>
      </c>
      <c r="H83" s="793">
        <v>6</v>
      </c>
      <c r="I83" s="793">
        <v>7</v>
      </c>
      <c r="J83" s="793">
        <v>8</v>
      </c>
      <c r="K83" s="793">
        <v>9</v>
      </c>
      <c r="L83" s="793">
        <v>10</v>
      </c>
      <c r="M83" s="793">
        <v>11</v>
      </c>
      <c r="N83" s="794">
        <v>12</v>
      </c>
      <c r="O83" s="795" t="s">
        <v>92</v>
      </c>
    </row>
    <row r="84" spans="1:15">
      <c r="A84" s="796" t="s">
        <v>669</v>
      </c>
      <c r="B84" s="797"/>
      <c r="C84" s="798">
        <f>Capacity!$C$107</f>
        <v>28</v>
      </c>
      <c r="D84" s="798">
        <f>Capacity!$C$107</f>
        <v>28</v>
      </c>
      <c r="E84" s="798">
        <f>Capacity!$C$107</f>
        <v>28</v>
      </c>
      <c r="F84" s="798">
        <f>Capacity!$C$107</f>
        <v>28</v>
      </c>
      <c r="G84" s="798">
        <f>Capacity!$C$107</f>
        <v>28</v>
      </c>
      <c r="H84" s="798">
        <f>Capacity!$C$107</f>
        <v>28</v>
      </c>
      <c r="I84" s="798">
        <f>Capacity!$C$107</f>
        <v>28</v>
      </c>
      <c r="J84" s="798">
        <f>Capacity!$C$107</f>
        <v>28</v>
      </c>
      <c r="K84" s="798">
        <f>Capacity!$C$107</f>
        <v>28</v>
      </c>
      <c r="L84" s="798">
        <f>Capacity!$C$107</f>
        <v>28</v>
      </c>
      <c r="M84" s="798">
        <f>Capacity!$C$107</f>
        <v>28</v>
      </c>
      <c r="N84" s="798">
        <f>Capacity!$C$107</f>
        <v>28</v>
      </c>
      <c r="O84" s="799"/>
    </row>
    <row r="85" spans="1:15">
      <c r="A85" s="796" t="s">
        <v>670</v>
      </c>
      <c r="B85" s="797"/>
      <c r="C85" s="815">
        <f>'Monthly Demand'!E39</f>
        <v>20227</v>
      </c>
      <c r="D85" s="815">
        <f>'Monthly Demand'!F39</f>
        <v>20227</v>
      </c>
      <c r="E85" s="815">
        <f>'Monthly Demand'!G39</f>
        <v>20227</v>
      </c>
      <c r="F85" s="815">
        <f>'Monthly Demand'!H39</f>
        <v>20227</v>
      </c>
      <c r="G85" s="815">
        <f>'Monthly Demand'!I39</f>
        <v>21238</v>
      </c>
      <c r="H85" s="815">
        <f>'Monthly Demand'!J39</f>
        <v>21238</v>
      </c>
      <c r="I85" s="815">
        <f>'Monthly Demand'!K39</f>
        <v>20227</v>
      </c>
      <c r="J85" s="815">
        <f>'Monthly Demand'!L39</f>
        <v>20227</v>
      </c>
      <c r="K85" s="815">
        <f>'Monthly Demand'!M39</f>
        <v>20227</v>
      </c>
      <c r="L85" s="815">
        <f>'Monthly Demand'!N39</f>
        <v>20227</v>
      </c>
      <c r="M85" s="815">
        <f>'Monthly Demand'!O39</f>
        <v>21238</v>
      </c>
      <c r="N85" s="815">
        <f>'Monthly Demand'!P39</f>
        <v>20227</v>
      </c>
      <c r="O85" s="816">
        <f>SUM(C85:N85)</f>
        <v>245757</v>
      </c>
    </row>
    <row r="86" spans="1:15">
      <c r="A86" s="796" t="s">
        <v>672</v>
      </c>
      <c r="B86" s="797"/>
      <c r="C86" s="817"/>
      <c r="D86" s="817"/>
      <c r="E86" s="817"/>
      <c r="F86" s="817"/>
      <c r="G86" s="817"/>
      <c r="H86" s="817"/>
      <c r="I86" s="817"/>
      <c r="J86" s="817"/>
      <c r="K86" s="817"/>
      <c r="L86" s="817"/>
      <c r="M86" s="817"/>
      <c r="N86" s="818"/>
      <c r="O86" s="819"/>
    </row>
    <row r="87" spans="1:15">
      <c r="A87" s="796" t="s">
        <v>673</v>
      </c>
      <c r="B87" s="797"/>
      <c r="C87" s="815">
        <f>MIN('Monthly Demand'!$B$35,C85)</f>
        <v>20227</v>
      </c>
      <c r="D87" s="815">
        <f>MIN('Monthly Demand'!$B$35,D85)</f>
        <v>20227</v>
      </c>
      <c r="E87" s="815">
        <f>MIN('Monthly Demand'!$B$35,E85)</f>
        <v>20227</v>
      </c>
      <c r="F87" s="815">
        <f>MIN('Monthly Demand'!$B$35,F85)</f>
        <v>20227</v>
      </c>
      <c r="G87" s="815">
        <f>MIN('Monthly Demand'!$B$35,G85)</f>
        <v>21238</v>
      </c>
      <c r="H87" s="815">
        <f>MIN('Monthly Demand'!$B$35,H85)</f>
        <v>21238</v>
      </c>
      <c r="I87" s="815">
        <f>MIN('Monthly Demand'!$B$35,I85)</f>
        <v>20227</v>
      </c>
      <c r="J87" s="815">
        <f>MIN('Monthly Demand'!$B$35,J85)</f>
        <v>20227</v>
      </c>
      <c r="K87" s="815">
        <f>MIN('Monthly Demand'!$B$35,K85)</f>
        <v>20227</v>
      </c>
      <c r="L87" s="815">
        <f>MIN('Monthly Demand'!$B$35,L85)</f>
        <v>20227</v>
      </c>
      <c r="M87" s="815">
        <f>MIN('Monthly Demand'!$B$35,M85)</f>
        <v>21238</v>
      </c>
      <c r="N87" s="815">
        <f>MIN('Monthly Demand'!$B$35,N85)</f>
        <v>20227</v>
      </c>
      <c r="O87" s="816">
        <f t="shared" ref="O87:O90" si="27">SUM(C87:N87)</f>
        <v>245757</v>
      </c>
    </row>
    <row r="88" spans="1:15">
      <c r="A88" s="796" t="s">
        <v>677</v>
      </c>
      <c r="B88" s="797"/>
      <c r="C88" s="798">
        <f t="shared" ref="C88:N88" si="28">C85-C87</f>
        <v>0</v>
      </c>
      <c r="D88" s="798">
        <f t="shared" si="28"/>
        <v>0</v>
      </c>
      <c r="E88" s="798">
        <f t="shared" si="28"/>
        <v>0</v>
      </c>
      <c r="F88" s="798">
        <f t="shared" si="28"/>
        <v>0</v>
      </c>
      <c r="G88" s="798">
        <f t="shared" si="28"/>
        <v>0</v>
      </c>
      <c r="H88" s="798">
        <f t="shared" si="28"/>
        <v>0</v>
      </c>
      <c r="I88" s="798">
        <f t="shared" si="28"/>
        <v>0</v>
      </c>
      <c r="J88" s="798">
        <f t="shared" si="28"/>
        <v>0</v>
      </c>
      <c r="K88" s="798">
        <f t="shared" si="28"/>
        <v>0</v>
      </c>
      <c r="L88" s="798">
        <f t="shared" si="28"/>
        <v>0</v>
      </c>
      <c r="M88" s="798">
        <f t="shared" si="28"/>
        <v>0</v>
      </c>
      <c r="N88" s="798">
        <f t="shared" si="28"/>
        <v>0</v>
      </c>
      <c r="O88" s="799">
        <f t="shared" si="27"/>
        <v>0</v>
      </c>
    </row>
    <row r="89" spans="1:15">
      <c r="A89" s="796" t="s">
        <v>679</v>
      </c>
      <c r="B89" s="797"/>
      <c r="C89" s="798">
        <f t="shared" ref="C89:N89" si="29">C85-SUM(C87:C88)</f>
        <v>0</v>
      </c>
      <c r="D89" s="798">
        <f t="shared" si="29"/>
        <v>0</v>
      </c>
      <c r="E89" s="798">
        <f t="shared" si="29"/>
        <v>0</v>
      </c>
      <c r="F89" s="798">
        <f t="shared" si="29"/>
        <v>0</v>
      </c>
      <c r="G89" s="798">
        <f t="shared" si="29"/>
        <v>0</v>
      </c>
      <c r="H89" s="798">
        <f t="shared" si="29"/>
        <v>0</v>
      </c>
      <c r="I89" s="798">
        <f t="shared" si="29"/>
        <v>0</v>
      </c>
      <c r="J89" s="798">
        <f t="shared" si="29"/>
        <v>0</v>
      </c>
      <c r="K89" s="798">
        <f t="shared" si="29"/>
        <v>0</v>
      </c>
      <c r="L89" s="798">
        <f t="shared" si="29"/>
        <v>0</v>
      </c>
      <c r="M89" s="798">
        <f t="shared" si="29"/>
        <v>0</v>
      </c>
      <c r="N89" s="798">
        <f t="shared" si="29"/>
        <v>0</v>
      </c>
      <c r="O89" s="799">
        <f t="shared" si="27"/>
        <v>0</v>
      </c>
    </row>
    <row r="90" spans="1:15">
      <c r="A90" s="791" t="s">
        <v>682</v>
      </c>
      <c r="B90" s="792"/>
      <c r="C90" s="793">
        <f t="shared" ref="C90:N90" si="30">C85-SUM(C87:C89)</f>
        <v>0</v>
      </c>
      <c r="D90" s="793">
        <f t="shared" si="30"/>
        <v>0</v>
      </c>
      <c r="E90" s="793">
        <f t="shared" si="30"/>
        <v>0</v>
      </c>
      <c r="F90" s="793">
        <f t="shared" si="30"/>
        <v>0</v>
      </c>
      <c r="G90" s="793">
        <f t="shared" si="30"/>
        <v>0</v>
      </c>
      <c r="H90" s="793">
        <f t="shared" si="30"/>
        <v>0</v>
      </c>
      <c r="I90" s="793">
        <f t="shared" si="30"/>
        <v>0</v>
      </c>
      <c r="J90" s="793">
        <f t="shared" si="30"/>
        <v>0</v>
      </c>
      <c r="K90" s="793">
        <f t="shared" si="30"/>
        <v>0</v>
      </c>
      <c r="L90" s="793">
        <f t="shared" si="30"/>
        <v>0</v>
      </c>
      <c r="M90" s="793">
        <f t="shared" si="30"/>
        <v>0</v>
      </c>
      <c r="N90" s="793">
        <f t="shared" si="30"/>
        <v>0</v>
      </c>
      <c r="O90" s="801">
        <f t="shared" si="27"/>
        <v>0</v>
      </c>
    </row>
    <row r="91" spans="1:15">
      <c r="A91" s="796" t="s">
        <v>690</v>
      </c>
      <c r="B91" s="797"/>
      <c r="C91" s="798">
        <f t="shared" ref="C91:N91" si="31">SUM(C87:C90)-C85</f>
        <v>0</v>
      </c>
      <c r="D91" s="798">
        <f t="shared" si="31"/>
        <v>0</v>
      </c>
      <c r="E91" s="798">
        <f t="shared" si="31"/>
        <v>0</v>
      </c>
      <c r="F91" s="798">
        <f t="shared" si="31"/>
        <v>0</v>
      </c>
      <c r="G91" s="798">
        <f t="shared" si="31"/>
        <v>0</v>
      </c>
      <c r="H91" s="798">
        <f t="shared" si="31"/>
        <v>0</v>
      </c>
      <c r="I91" s="798">
        <f t="shared" si="31"/>
        <v>0</v>
      </c>
      <c r="J91" s="798">
        <f t="shared" si="31"/>
        <v>0</v>
      </c>
      <c r="K91" s="798">
        <f t="shared" si="31"/>
        <v>0</v>
      </c>
      <c r="L91" s="798">
        <f t="shared" si="31"/>
        <v>0</v>
      </c>
      <c r="M91" s="798">
        <f t="shared" si="31"/>
        <v>0</v>
      </c>
      <c r="N91" s="802">
        <f t="shared" si="31"/>
        <v>0</v>
      </c>
      <c r="O91" s="797"/>
    </row>
    <row r="92" spans="1:15">
      <c r="A92" s="796" t="s">
        <v>27</v>
      </c>
      <c r="B92" s="797"/>
      <c r="C92" s="800"/>
      <c r="D92" s="800"/>
      <c r="E92" s="800"/>
      <c r="F92" s="800"/>
      <c r="G92" s="800"/>
      <c r="H92" s="800"/>
      <c r="I92" s="800"/>
      <c r="J92" s="800"/>
      <c r="K92" s="800"/>
      <c r="L92" s="800"/>
      <c r="M92" s="800"/>
      <c r="N92" s="797"/>
      <c r="O92" s="797"/>
    </row>
    <row r="93" spans="1:15">
      <c r="A93" s="796" t="s">
        <v>691</v>
      </c>
      <c r="B93" s="797"/>
      <c r="C93" s="798">
        <v>0</v>
      </c>
      <c r="D93" s="798">
        <v>0</v>
      </c>
      <c r="E93" s="798">
        <v>0</v>
      </c>
      <c r="F93" s="798">
        <v>0</v>
      </c>
      <c r="G93" s="798">
        <v>0</v>
      </c>
      <c r="H93" s="798">
        <v>0</v>
      </c>
      <c r="I93" s="798">
        <v>0</v>
      </c>
      <c r="J93" s="798">
        <v>0</v>
      </c>
      <c r="K93" s="798">
        <v>0</v>
      </c>
      <c r="L93" s="798">
        <v>0</v>
      </c>
      <c r="M93" s="798">
        <v>0</v>
      </c>
      <c r="N93" s="802">
        <v>0</v>
      </c>
      <c r="O93" s="802">
        <f t="shared" ref="O93:O96" si="32">SUM(C93:N93)</f>
        <v>0</v>
      </c>
    </row>
    <row r="94" spans="1:15">
      <c r="A94" s="796" t="s">
        <v>692</v>
      </c>
      <c r="B94" s="797"/>
      <c r="C94" s="798">
        <v>0</v>
      </c>
      <c r="D94" s="798">
        <v>0</v>
      </c>
      <c r="E94" s="798">
        <v>0</v>
      </c>
      <c r="F94" s="798">
        <v>0</v>
      </c>
      <c r="G94" s="798">
        <v>0</v>
      </c>
      <c r="H94" s="798">
        <v>0</v>
      </c>
      <c r="I94" s="798">
        <v>0</v>
      </c>
      <c r="J94" s="798">
        <v>0</v>
      </c>
      <c r="K94" s="798">
        <v>0</v>
      </c>
      <c r="L94" s="798">
        <v>0</v>
      </c>
      <c r="M94" s="798">
        <v>0</v>
      </c>
      <c r="N94" s="802">
        <v>0</v>
      </c>
      <c r="O94" s="802">
        <f t="shared" si="32"/>
        <v>0</v>
      </c>
    </row>
    <row r="95" spans="1:15">
      <c r="A95" s="796" t="s">
        <v>693</v>
      </c>
      <c r="B95" s="797"/>
      <c r="C95" s="798">
        <v>0</v>
      </c>
      <c r="D95" s="798">
        <v>0</v>
      </c>
      <c r="E95" s="798">
        <v>0</v>
      </c>
      <c r="F95" s="798">
        <v>0</v>
      </c>
      <c r="G95" s="798">
        <v>0</v>
      </c>
      <c r="H95" s="798">
        <v>0</v>
      </c>
      <c r="I95" s="798">
        <v>0</v>
      </c>
      <c r="J95" s="798">
        <v>0</v>
      </c>
      <c r="K95" s="798">
        <v>0</v>
      </c>
      <c r="L95" s="798">
        <v>0</v>
      </c>
      <c r="M95" s="798">
        <v>0</v>
      </c>
      <c r="N95" s="802">
        <v>0</v>
      </c>
      <c r="O95" s="802">
        <f t="shared" si="32"/>
        <v>0</v>
      </c>
    </row>
    <row r="96" spans="1:15">
      <c r="A96" s="791" t="s">
        <v>694</v>
      </c>
      <c r="B96" s="792"/>
      <c r="C96" s="793">
        <v>0</v>
      </c>
      <c r="D96" s="793">
        <v>0</v>
      </c>
      <c r="E96" s="793">
        <v>0</v>
      </c>
      <c r="F96" s="793">
        <v>0</v>
      </c>
      <c r="G96" s="793">
        <v>0</v>
      </c>
      <c r="H96" s="793">
        <v>0</v>
      </c>
      <c r="I96" s="793">
        <v>0</v>
      </c>
      <c r="J96" s="793">
        <v>0</v>
      </c>
      <c r="K96" s="793">
        <v>0</v>
      </c>
      <c r="L96" s="793">
        <v>0</v>
      </c>
      <c r="M96" s="793">
        <v>0</v>
      </c>
      <c r="N96" s="794">
        <v>0</v>
      </c>
      <c r="O96" s="794">
        <f t="shared" si="32"/>
        <v>0</v>
      </c>
    </row>
    <row r="97" spans="1:15">
      <c r="A97" s="796" t="s">
        <v>695</v>
      </c>
      <c r="B97" s="797"/>
      <c r="C97" s="800"/>
      <c r="D97" s="800"/>
      <c r="E97" s="800"/>
      <c r="F97" s="800"/>
      <c r="G97" s="800"/>
      <c r="H97" s="800"/>
      <c r="I97" s="800"/>
      <c r="J97" s="800"/>
      <c r="K97" s="800"/>
      <c r="L97" s="800"/>
      <c r="M97" s="800"/>
      <c r="N97" s="797"/>
      <c r="O97" s="797"/>
    </row>
    <row r="98" spans="1:15">
      <c r="A98" s="796" t="s">
        <v>696</v>
      </c>
      <c r="B98" s="805">
        <f>COGS!E10</f>
        <v>2.1875267032068262</v>
      </c>
      <c r="C98" s="806">
        <f t="shared" ref="C98:N98" si="33">C87*$B$98</f>
        <v>44247.10262576447</v>
      </c>
      <c r="D98" s="806">
        <f t="shared" si="33"/>
        <v>44247.10262576447</v>
      </c>
      <c r="E98" s="806">
        <f t="shared" si="33"/>
        <v>44247.10262576447</v>
      </c>
      <c r="F98" s="806">
        <f t="shared" si="33"/>
        <v>44247.10262576447</v>
      </c>
      <c r="G98" s="806">
        <f t="shared" si="33"/>
        <v>46458.692122706576</v>
      </c>
      <c r="H98" s="806">
        <f t="shared" si="33"/>
        <v>46458.692122706576</v>
      </c>
      <c r="I98" s="806">
        <f t="shared" si="33"/>
        <v>44247.10262576447</v>
      </c>
      <c r="J98" s="806">
        <f t="shared" si="33"/>
        <v>44247.10262576447</v>
      </c>
      <c r="K98" s="806">
        <f t="shared" si="33"/>
        <v>44247.10262576447</v>
      </c>
      <c r="L98" s="806">
        <f t="shared" si="33"/>
        <v>44247.10262576447</v>
      </c>
      <c r="M98" s="806">
        <f t="shared" si="33"/>
        <v>46458.692122706576</v>
      </c>
      <c r="N98" s="806">
        <f t="shared" si="33"/>
        <v>44247.10262576447</v>
      </c>
      <c r="O98" s="812">
        <f t="shared" ref="O98:O105" si="34">SUM(C98:N98)</f>
        <v>537599.99999999977</v>
      </c>
    </row>
    <row r="99" spans="1:15">
      <c r="A99" s="796" t="s">
        <v>701</v>
      </c>
      <c r="B99" s="805">
        <v>0</v>
      </c>
      <c r="C99" s="806">
        <v>0</v>
      </c>
      <c r="D99" s="806">
        <v>0</v>
      </c>
      <c r="E99" s="806">
        <v>0</v>
      </c>
      <c r="F99" s="806">
        <v>0</v>
      </c>
      <c r="G99" s="806">
        <v>0</v>
      </c>
      <c r="H99" s="806">
        <v>0</v>
      </c>
      <c r="I99" s="806">
        <v>0</v>
      </c>
      <c r="J99" s="806">
        <v>0</v>
      </c>
      <c r="K99" s="806">
        <v>0</v>
      </c>
      <c r="L99" s="806">
        <v>0</v>
      </c>
      <c r="M99" s="806">
        <v>0</v>
      </c>
      <c r="N99" s="805">
        <v>0</v>
      </c>
      <c r="O99" s="805">
        <f t="shared" si="34"/>
        <v>0</v>
      </c>
    </row>
    <row r="100" spans="1:15">
      <c r="A100" s="796" t="s">
        <v>702</v>
      </c>
      <c r="B100" s="805">
        <v>0</v>
      </c>
      <c r="C100" s="806">
        <v>0</v>
      </c>
      <c r="D100" s="806">
        <v>0</v>
      </c>
      <c r="E100" s="806">
        <v>0</v>
      </c>
      <c r="F100" s="806">
        <v>0</v>
      </c>
      <c r="G100" s="806">
        <v>0</v>
      </c>
      <c r="H100" s="806">
        <v>0</v>
      </c>
      <c r="I100" s="806">
        <v>0</v>
      </c>
      <c r="J100" s="806">
        <v>0</v>
      </c>
      <c r="K100" s="806">
        <v>0</v>
      </c>
      <c r="L100" s="806">
        <v>0</v>
      </c>
      <c r="M100" s="806">
        <v>0</v>
      </c>
      <c r="N100" s="805">
        <v>0</v>
      </c>
      <c r="O100" s="805">
        <f t="shared" si="34"/>
        <v>0</v>
      </c>
    </row>
    <row r="101" spans="1:15">
      <c r="A101" s="796" t="s">
        <v>705</v>
      </c>
      <c r="B101" s="805">
        <v>0</v>
      </c>
      <c r="C101" s="806">
        <v>0</v>
      </c>
      <c r="D101" s="806">
        <v>0</v>
      </c>
      <c r="E101" s="806">
        <v>0</v>
      </c>
      <c r="F101" s="806">
        <v>0</v>
      </c>
      <c r="G101" s="806">
        <v>0</v>
      </c>
      <c r="H101" s="806">
        <v>0</v>
      </c>
      <c r="I101" s="806">
        <v>0</v>
      </c>
      <c r="J101" s="806">
        <v>0</v>
      </c>
      <c r="K101" s="806">
        <v>0</v>
      </c>
      <c r="L101" s="806">
        <v>0</v>
      </c>
      <c r="M101" s="806">
        <v>0</v>
      </c>
      <c r="N101" s="805">
        <v>0</v>
      </c>
      <c r="O101" s="805">
        <f t="shared" si="34"/>
        <v>0</v>
      </c>
    </row>
    <row r="102" spans="1:15">
      <c r="A102" s="796" t="s">
        <v>706</v>
      </c>
      <c r="B102" s="805">
        <v>0</v>
      </c>
      <c r="C102" s="806">
        <v>0</v>
      </c>
      <c r="D102" s="806">
        <v>0</v>
      </c>
      <c r="E102" s="806">
        <v>0</v>
      </c>
      <c r="F102" s="806">
        <v>0</v>
      </c>
      <c r="G102" s="806">
        <v>0</v>
      </c>
      <c r="H102" s="806">
        <v>0</v>
      </c>
      <c r="I102" s="806">
        <v>0</v>
      </c>
      <c r="J102" s="806">
        <v>0</v>
      </c>
      <c r="K102" s="806">
        <v>0</v>
      </c>
      <c r="L102" s="806">
        <v>0</v>
      </c>
      <c r="M102" s="806">
        <v>0</v>
      </c>
      <c r="N102" s="805">
        <v>0</v>
      </c>
      <c r="O102" s="805">
        <f t="shared" si="34"/>
        <v>0</v>
      </c>
    </row>
    <row r="103" spans="1:15">
      <c r="A103" s="796" t="s">
        <v>708</v>
      </c>
      <c r="B103" s="805">
        <v>0</v>
      </c>
      <c r="C103" s="806">
        <v>0</v>
      </c>
      <c r="D103" s="806">
        <v>0</v>
      </c>
      <c r="E103" s="806">
        <v>0</v>
      </c>
      <c r="F103" s="806">
        <v>0</v>
      </c>
      <c r="G103" s="806">
        <v>0</v>
      </c>
      <c r="H103" s="806">
        <v>0</v>
      </c>
      <c r="I103" s="806">
        <v>0</v>
      </c>
      <c r="J103" s="806">
        <v>0</v>
      </c>
      <c r="K103" s="806">
        <v>0</v>
      </c>
      <c r="L103" s="806">
        <v>0</v>
      </c>
      <c r="M103" s="806">
        <v>0</v>
      </c>
      <c r="N103" s="805">
        <v>0</v>
      </c>
      <c r="O103" s="805">
        <f t="shared" si="34"/>
        <v>0</v>
      </c>
    </row>
    <row r="104" spans="1:15">
      <c r="A104" s="791" t="s">
        <v>709</v>
      </c>
      <c r="B104" s="807"/>
      <c r="C104" s="808">
        <v>0</v>
      </c>
      <c r="D104" s="808">
        <v>0</v>
      </c>
      <c r="E104" s="808">
        <v>0</v>
      </c>
      <c r="F104" s="808">
        <v>0</v>
      </c>
      <c r="G104" s="808">
        <v>0</v>
      </c>
      <c r="H104" s="808">
        <v>0</v>
      </c>
      <c r="I104" s="808">
        <v>0</v>
      </c>
      <c r="J104" s="808">
        <v>0</v>
      </c>
      <c r="K104" s="808">
        <v>0</v>
      </c>
      <c r="L104" s="808">
        <v>0</v>
      </c>
      <c r="M104" s="808">
        <v>0</v>
      </c>
      <c r="N104" s="809">
        <v>0</v>
      </c>
      <c r="O104" s="809">
        <f t="shared" si="34"/>
        <v>0</v>
      </c>
    </row>
    <row r="105" spans="1:15">
      <c r="A105" s="791" t="s">
        <v>92</v>
      </c>
      <c r="B105" s="792"/>
      <c r="C105" s="808">
        <f t="shared" ref="C105:N105" si="35">SUM(C98:C104)</f>
        <v>44247.10262576447</v>
      </c>
      <c r="D105" s="808">
        <f t="shared" si="35"/>
        <v>44247.10262576447</v>
      </c>
      <c r="E105" s="808">
        <f t="shared" si="35"/>
        <v>44247.10262576447</v>
      </c>
      <c r="F105" s="808">
        <f t="shared" si="35"/>
        <v>44247.10262576447</v>
      </c>
      <c r="G105" s="808">
        <f t="shared" si="35"/>
        <v>46458.692122706576</v>
      </c>
      <c r="H105" s="808">
        <f t="shared" si="35"/>
        <v>46458.692122706576</v>
      </c>
      <c r="I105" s="808">
        <f t="shared" si="35"/>
        <v>44247.10262576447</v>
      </c>
      <c r="J105" s="808">
        <f t="shared" si="35"/>
        <v>44247.10262576447</v>
      </c>
      <c r="K105" s="808">
        <f t="shared" si="35"/>
        <v>44247.10262576447</v>
      </c>
      <c r="L105" s="808">
        <f t="shared" si="35"/>
        <v>44247.10262576447</v>
      </c>
      <c r="M105" s="808">
        <f t="shared" si="35"/>
        <v>46458.692122706576</v>
      </c>
      <c r="N105" s="809">
        <f t="shared" si="35"/>
        <v>44247.10262576447</v>
      </c>
      <c r="O105" s="810">
        <f t="shared" si="34"/>
        <v>537599.99999999977</v>
      </c>
    </row>
    <row r="106" spans="1:15">
      <c r="A106" s="796"/>
      <c r="B106" s="800"/>
      <c r="C106" s="800"/>
      <c r="D106" s="800"/>
      <c r="E106" s="800"/>
      <c r="F106" s="800"/>
      <c r="G106" s="800"/>
      <c r="H106" s="800"/>
      <c r="I106" s="800"/>
      <c r="J106" s="800"/>
      <c r="K106" s="800"/>
      <c r="L106" s="800"/>
      <c r="M106" s="800"/>
      <c r="N106" s="800"/>
      <c r="O106" s="797"/>
    </row>
    <row r="107" spans="1:15">
      <c r="A107" s="1349" t="s">
        <v>67</v>
      </c>
      <c r="B107" s="1350"/>
      <c r="C107" s="1350"/>
      <c r="D107" s="1350"/>
      <c r="E107" s="1350"/>
      <c r="F107" s="1350"/>
      <c r="G107" s="1350"/>
      <c r="H107" s="1350"/>
      <c r="I107" s="1350"/>
      <c r="J107" s="1350"/>
      <c r="K107" s="1350"/>
      <c r="L107" s="1350"/>
      <c r="M107" s="1350"/>
      <c r="N107" s="1350"/>
      <c r="O107" s="1351"/>
    </row>
    <row r="108" spans="1:15">
      <c r="A108" s="1352"/>
      <c r="B108" s="1353"/>
      <c r="C108" s="1353"/>
      <c r="D108" s="1353"/>
      <c r="E108" s="1353"/>
      <c r="F108" s="1353"/>
      <c r="G108" s="1353"/>
      <c r="H108" s="1353"/>
      <c r="I108" s="1353"/>
      <c r="J108" s="1353"/>
      <c r="K108" s="1353"/>
      <c r="L108" s="1353"/>
      <c r="M108" s="1353"/>
      <c r="N108" s="1353"/>
      <c r="O108" s="1354"/>
    </row>
    <row r="109" spans="1:15">
      <c r="A109" s="791" t="s">
        <v>668</v>
      </c>
      <c r="B109" s="792"/>
      <c r="C109" s="793">
        <v>1</v>
      </c>
      <c r="D109" s="793">
        <v>2</v>
      </c>
      <c r="E109" s="793">
        <v>3</v>
      </c>
      <c r="F109" s="793">
        <v>4</v>
      </c>
      <c r="G109" s="793">
        <v>5</v>
      </c>
      <c r="H109" s="793">
        <v>6</v>
      </c>
      <c r="I109" s="793">
        <v>7</v>
      </c>
      <c r="J109" s="793">
        <v>8</v>
      </c>
      <c r="K109" s="793">
        <v>9</v>
      </c>
      <c r="L109" s="793">
        <v>10</v>
      </c>
      <c r="M109" s="793">
        <v>11</v>
      </c>
      <c r="N109" s="794">
        <v>12</v>
      </c>
      <c r="O109" s="795" t="s">
        <v>92</v>
      </c>
    </row>
    <row r="110" spans="1:15">
      <c r="A110" s="796" t="s">
        <v>669</v>
      </c>
      <c r="B110" s="797"/>
      <c r="C110" s="798">
        <f>Capacity!$C$130</f>
        <v>32</v>
      </c>
      <c r="D110" s="798">
        <f>Capacity!$C$130</f>
        <v>32</v>
      </c>
      <c r="E110" s="798">
        <f>Capacity!$C$130</f>
        <v>32</v>
      </c>
      <c r="F110" s="798">
        <f>Capacity!$C$130</f>
        <v>32</v>
      </c>
      <c r="G110" s="798">
        <f>Capacity!$C$130</f>
        <v>32</v>
      </c>
      <c r="H110" s="798">
        <f>Capacity!$C$130</f>
        <v>32</v>
      </c>
      <c r="I110" s="798">
        <f>Capacity!$C$130</f>
        <v>32</v>
      </c>
      <c r="J110" s="798">
        <f>Capacity!$C$130</f>
        <v>32</v>
      </c>
      <c r="K110" s="798">
        <f>Capacity!$C$130</f>
        <v>32</v>
      </c>
      <c r="L110" s="798">
        <f>Capacity!$C$130</f>
        <v>32</v>
      </c>
      <c r="M110" s="798">
        <f>Capacity!$C$130</f>
        <v>32</v>
      </c>
      <c r="N110" s="798">
        <f>Capacity!$C$130</f>
        <v>32</v>
      </c>
      <c r="O110" s="799"/>
    </row>
    <row r="111" spans="1:15">
      <c r="A111" s="796" t="s">
        <v>670</v>
      </c>
      <c r="B111" s="797"/>
      <c r="C111" s="815">
        <f>'Monthly Demand'!E49</f>
        <v>24449</v>
      </c>
      <c r="D111" s="815">
        <f>'Monthly Demand'!F49</f>
        <v>24449</v>
      </c>
      <c r="E111" s="815">
        <f>'Monthly Demand'!G49</f>
        <v>24449</v>
      </c>
      <c r="F111" s="815">
        <f>'Monthly Demand'!H49</f>
        <v>24449</v>
      </c>
      <c r="G111" s="815">
        <f>'Monthly Demand'!I49</f>
        <v>25671</v>
      </c>
      <c r="H111" s="815">
        <f>'Monthly Demand'!J49</f>
        <v>25671</v>
      </c>
      <c r="I111" s="815">
        <f>'Monthly Demand'!K49</f>
        <v>24449</v>
      </c>
      <c r="J111" s="815">
        <f>'Monthly Demand'!L49</f>
        <v>24449</v>
      </c>
      <c r="K111" s="815">
        <f>'Monthly Demand'!M49</f>
        <v>24449</v>
      </c>
      <c r="L111" s="815">
        <f>'Monthly Demand'!N49</f>
        <v>24449</v>
      </c>
      <c r="M111" s="815">
        <f>'Monthly Demand'!O49</f>
        <v>25671</v>
      </c>
      <c r="N111" s="815">
        <f>'Monthly Demand'!P49</f>
        <v>24453</v>
      </c>
      <c r="O111" s="816">
        <f>SUM(C111:N111)</f>
        <v>297058</v>
      </c>
    </row>
    <row r="112" spans="1:15">
      <c r="A112" s="796" t="s">
        <v>672</v>
      </c>
      <c r="B112" s="797"/>
      <c r="C112" s="817"/>
      <c r="D112" s="817"/>
      <c r="E112" s="817"/>
      <c r="F112" s="817"/>
      <c r="G112" s="817"/>
      <c r="H112" s="817"/>
      <c r="I112" s="817"/>
      <c r="J112" s="817"/>
      <c r="K112" s="817"/>
      <c r="L112" s="817"/>
      <c r="M112" s="817"/>
      <c r="N112" s="818"/>
      <c r="O112" s="818"/>
    </row>
    <row r="113" spans="1:15">
      <c r="A113" s="796" t="s">
        <v>673</v>
      </c>
      <c r="B113" s="797"/>
      <c r="C113" s="815">
        <f>MIN('Monthly Demand'!$B$45,C111)</f>
        <v>24449</v>
      </c>
      <c r="D113" s="815">
        <f>MIN('Monthly Demand'!$B$45,D111)</f>
        <v>24449</v>
      </c>
      <c r="E113" s="815">
        <f>MIN('Monthly Demand'!$B$45,E111)</f>
        <v>24449</v>
      </c>
      <c r="F113" s="815">
        <f>MIN('Monthly Demand'!$B$45,F111)</f>
        <v>24449</v>
      </c>
      <c r="G113" s="815">
        <f>MIN('Monthly Demand'!$B$45,G111)</f>
        <v>25600</v>
      </c>
      <c r="H113" s="815">
        <f>MIN('Monthly Demand'!$B$45,H111)</f>
        <v>25600</v>
      </c>
      <c r="I113" s="815">
        <f>MIN('Monthly Demand'!$B$45,I111)</f>
        <v>24449</v>
      </c>
      <c r="J113" s="815">
        <f>MIN('Monthly Demand'!$B$45,J111)</f>
        <v>24449</v>
      </c>
      <c r="K113" s="815">
        <f>MIN('Monthly Demand'!$B$45,K111)</f>
        <v>24449</v>
      </c>
      <c r="L113" s="815">
        <f>MIN('Monthly Demand'!$B$45,L111)</f>
        <v>24449</v>
      </c>
      <c r="M113" s="815">
        <f>MIN('Monthly Demand'!$B$45,M111)</f>
        <v>25600</v>
      </c>
      <c r="N113" s="815">
        <f>MIN('Monthly Demand'!$B$45,N111)</f>
        <v>24453</v>
      </c>
      <c r="O113" s="816">
        <f t="shared" ref="O113:O116" si="36">SUM(C113:N113)</f>
        <v>296845</v>
      </c>
    </row>
    <row r="114" spans="1:15">
      <c r="A114" s="796" t="s">
        <v>677</v>
      </c>
      <c r="B114" s="797"/>
      <c r="C114" s="798">
        <f t="shared" ref="C114:N114" si="37">C111-C113</f>
        <v>0</v>
      </c>
      <c r="D114" s="798">
        <f t="shared" si="37"/>
        <v>0</v>
      </c>
      <c r="E114" s="798">
        <f t="shared" si="37"/>
        <v>0</v>
      </c>
      <c r="F114" s="798">
        <f t="shared" si="37"/>
        <v>0</v>
      </c>
      <c r="G114" s="798">
        <f t="shared" si="37"/>
        <v>71</v>
      </c>
      <c r="H114" s="798">
        <f t="shared" si="37"/>
        <v>71</v>
      </c>
      <c r="I114" s="798">
        <f t="shared" si="37"/>
        <v>0</v>
      </c>
      <c r="J114" s="798">
        <f t="shared" si="37"/>
        <v>0</v>
      </c>
      <c r="K114" s="798">
        <f t="shared" si="37"/>
        <v>0</v>
      </c>
      <c r="L114" s="798">
        <f t="shared" si="37"/>
        <v>0</v>
      </c>
      <c r="M114" s="798">
        <f t="shared" si="37"/>
        <v>71</v>
      </c>
      <c r="N114" s="798">
        <f t="shared" si="37"/>
        <v>0</v>
      </c>
      <c r="O114" s="799">
        <f t="shared" si="36"/>
        <v>213</v>
      </c>
    </row>
    <row r="115" spans="1:15">
      <c r="A115" s="796" t="s">
        <v>679</v>
      </c>
      <c r="B115" s="797"/>
      <c r="C115" s="798">
        <f t="shared" ref="C115:N115" si="38">C111-SUM(C113:C114)</f>
        <v>0</v>
      </c>
      <c r="D115" s="798">
        <f t="shared" si="38"/>
        <v>0</v>
      </c>
      <c r="E115" s="798">
        <f t="shared" si="38"/>
        <v>0</v>
      </c>
      <c r="F115" s="798">
        <f t="shared" si="38"/>
        <v>0</v>
      </c>
      <c r="G115" s="798">
        <f t="shared" si="38"/>
        <v>0</v>
      </c>
      <c r="H115" s="798">
        <f t="shared" si="38"/>
        <v>0</v>
      </c>
      <c r="I115" s="798">
        <f t="shared" si="38"/>
        <v>0</v>
      </c>
      <c r="J115" s="798">
        <f t="shared" si="38"/>
        <v>0</v>
      </c>
      <c r="K115" s="798">
        <f t="shared" si="38"/>
        <v>0</v>
      </c>
      <c r="L115" s="798">
        <f t="shared" si="38"/>
        <v>0</v>
      </c>
      <c r="M115" s="798">
        <f t="shared" si="38"/>
        <v>0</v>
      </c>
      <c r="N115" s="798">
        <f t="shared" si="38"/>
        <v>0</v>
      </c>
      <c r="O115" s="799">
        <f t="shared" si="36"/>
        <v>0</v>
      </c>
    </row>
    <row r="116" spans="1:15">
      <c r="A116" s="791" t="s">
        <v>682</v>
      </c>
      <c r="B116" s="792"/>
      <c r="C116" s="793">
        <f t="shared" ref="C116:N116" si="39">C111-SUM(C113:C115)</f>
        <v>0</v>
      </c>
      <c r="D116" s="793">
        <f t="shared" si="39"/>
        <v>0</v>
      </c>
      <c r="E116" s="793">
        <f t="shared" si="39"/>
        <v>0</v>
      </c>
      <c r="F116" s="793">
        <f t="shared" si="39"/>
        <v>0</v>
      </c>
      <c r="G116" s="793">
        <f t="shared" si="39"/>
        <v>0</v>
      </c>
      <c r="H116" s="793">
        <f t="shared" si="39"/>
        <v>0</v>
      </c>
      <c r="I116" s="793">
        <f t="shared" si="39"/>
        <v>0</v>
      </c>
      <c r="J116" s="793">
        <f t="shared" si="39"/>
        <v>0</v>
      </c>
      <c r="K116" s="793">
        <f t="shared" si="39"/>
        <v>0</v>
      </c>
      <c r="L116" s="793">
        <f t="shared" si="39"/>
        <v>0</v>
      </c>
      <c r="M116" s="793">
        <f t="shared" si="39"/>
        <v>0</v>
      </c>
      <c r="N116" s="793">
        <f t="shared" si="39"/>
        <v>0</v>
      </c>
      <c r="O116" s="801">
        <f t="shared" si="36"/>
        <v>0</v>
      </c>
    </row>
    <row r="117" spans="1:15">
      <c r="A117" s="796" t="s">
        <v>690</v>
      </c>
      <c r="B117" s="797"/>
      <c r="C117" s="798">
        <f t="shared" ref="C117:N117" si="40">SUM(C113:C116)-C111</f>
        <v>0</v>
      </c>
      <c r="D117" s="798">
        <f t="shared" si="40"/>
        <v>0</v>
      </c>
      <c r="E117" s="798">
        <f t="shared" si="40"/>
        <v>0</v>
      </c>
      <c r="F117" s="798">
        <f t="shared" si="40"/>
        <v>0</v>
      </c>
      <c r="G117" s="798">
        <f t="shared" si="40"/>
        <v>0</v>
      </c>
      <c r="H117" s="798">
        <f t="shared" si="40"/>
        <v>0</v>
      </c>
      <c r="I117" s="798">
        <f t="shared" si="40"/>
        <v>0</v>
      </c>
      <c r="J117" s="798">
        <f t="shared" si="40"/>
        <v>0</v>
      </c>
      <c r="K117" s="798">
        <f t="shared" si="40"/>
        <v>0</v>
      </c>
      <c r="L117" s="798">
        <f t="shared" si="40"/>
        <v>0</v>
      </c>
      <c r="M117" s="798">
        <f t="shared" si="40"/>
        <v>0</v>
      </c>
      <c r="N117" s="802">
        <f t="shared" si="40"/>
        <v>0</v>
      </c>
      <c r="O117" s="797"/>
    </row>
    <row r="118" spans="1:15">
      <c r="A118" s="796" t="s">
        <v>27</v>
      </c>
      <c r="B118" s="797"/>
      <c r="C118" s="800"/>
      <c r="D118" s="800"/>
      <c r="E118" s="800"/>
      <c r="F118" s="800"/>
      <c r="G118" s="800"/>
      <c r="H118" s="800"/>
      <c r="I118" s="800"/>
      <c r="J118" s="800"/>
      <c r="K118" s="800"/>
      <c r="L118" s="800"/>
      <c r="M118" s="800"/>
      <c r="N118" s="797"/>
      <c r="O118" s="797"/>
    </row>
    <row r="119" spans="1:15">
      <c r="A119" s="796" t="s">
        <v>691</v>
      </c>
      <c r="B119" s="797"/>
      <c r="C119" s="798">
        <v>0</v>
      </c>
      <c r="D119" s="798">
        <v>0</v>
      </c>
      <c r="E119" s="798">
        <v>0</v>
      </c>
      <c r="F119" s="798">
        <v>0</v>
      </c>
      <c r="G119" s="798">
        <v>0</v>
      </c>
      <c r="H119" s="798">
        <v>0</v>
      </c>
      <c r="I119" s="798">
        <v>0</v>
      </c>
      <c r="J119" s="798">
        <v>0</v>
      </c>
      <c r="K119" s="798">
        <v>0</v>
      </c>
      <c r="L119" s="798">
        <v>0</v>
      </c>
      <c r="M119" s="798">
        <v>0</v>
      </c>
      <c r="N119" s="802">
        <v>0</v>
      </c>
      <c r="O119" s="802">
        <f t="shared" ref="O119:O122" si="41">SUM(C119:N119)</f>
        <v>0</v>
      </c>
    </row>
    <row r="120" spans="1:15">
      <c r="A120" s="796" t="s">
        <v>692</v>
      </c>
      <c r="B120" s="797"/>
      <c r="C120" s="798">
        <v>0</v>
      </c>
      <c r="D120" s="798">
        <v>0</v>
      </c>
      <c r="E120" s="798">
        <v>0</v>
      </c>
      <c r="F120" s="798">
        <v>0</v>
      </c>
      <c r="G120" s="798">
        <v>0</v>
      </c>
      <c r="H120" s="798">
        <v>0</v>
      </c>
      <c r="I120" s="798">
        <v>0</v>
      </c>
      <c r="J120" s="798">
        <v>0</v>
      </c>
      <c r="K120" s="798">
        <v>0</v>
      </c>
      <c r="L120" s="798">
        <v>0</v>
      </c>
      <c r="M120" s="798">
        <v>0</v>
      </c>
      <c r="N120" s="802">
        <v>0</v>
      </c>
      <c r="O120" s="802">
        <f t="shared" si="41"/>
        <v>0</v>
      </c>
    </row>
    <row r="121" spans="1:15">
      <c r="A121" s="796" t="s">
        <v>693</v>
      </c>
      <c r="B121" s="797"/>
      <c r="C121" s="798">
        <v>0</v>
      </c>
      <c r="D121" s="798">
        <v>0</v>
      </c>
      <c r="E121" s="798">
        <v>0</v>
      </c>
      <c r="F121" s="798">
        <v>0</v>
      </c>
      <c r="G121" s="798">
        <v>0</v>
      </c>
      <c r="H121" s="798">
        <v>0</v>
      </c>
      <c r="I121" s="798">
        <v>0</v>
      </c>
      <c r="J121" s="798">
        <v>0</v>
      </c>
      <c r="K121" s="798">
        <v>0</v>
      </c>
      <c r="L121" s="798">
        <v>0</v>
      </c>
      <c r="M121" s="798">
        <v>0</v>
      </c>
      <c r="N121" s="802">
        <v>0</v>
      </c>
      <c r="O121" s="802">
        <f t="shared" si="41"/>
        <v>0</v>
      </c>
    </row>
    <row r="122" spans="1:15">
      <c r="A122" s="791" t="s">
        <v>694</v>
      </c>
      <c r="B122" s="792"/>
      <c r="C122" s="793">
        <v>0</v>
      </c>
      <c r="D122" s="793">
        <v>0</v>
      </c>
      <c r="E122" s="793">
        <v>0</v>
      </c>
      <c r="F122" s="793">
        <v>0</v>
      </c>
      <c r="G122" s="793">
        <v>0</v>
      </c>
      <c r="H122" s="793">
        <v>0</v>
      </c>
      <c r="I122" s="793">
        <v>0</v>
      </c>
      <c r="J122" s="793">
        <v>0</v>
      </c>
      <c r="K122" s="793">
        <v>0</v>
      </c>
      <c r="L122" s="793">
        <v>0</v>
      </c>
      <c r="M122" s="793">
        <v>0</v>
      </c>
      <c r="N122" s="794">
        <v>0</v>
      </c>
      <c r="O122" s="794">
        <f t="shared" si="41"/>
        <v>0</v>
      </c>
    </row>
    <row r="123" spans="1:15">
      <c r="A123" s="813" t="s">
        <v>695</v>
      </c>
      <c r="B123" s="803"/>
      <c r="C123" s="804"/>
      <c r="D123" s="804"/>
      <c r="E123" s="804"/>
      <c r="F123" s="804"/>
      <c r="G123" s="804"/>
      <c r="H123" s="804"/>
      <c r="I123" s="804"/>
      <c r="J123" s="804"/>
      <c r="K123" s="804"/>
      <c r="L123" s="804"/>
      <c r="M123" s="804"/>
      <c r="N123" s="803"/>
      <c r="O123" s="803"/>
    </row>
    <row r="124" spans="1:15">
      <c r="A124" s="813" t="s">
        <v>696</v>
      </c>
      <c r="B124" s="805">
        <f>COGS!F8</f>
        <v>2.0697670501440144</v>
      </c>
      <c r="C124" s="806">
        <f t="shared" ref="C124:N124" si="42">C113*$B$20</f>
        <v>82581.504720577024</v>
      </c>
      <c r="D124" s="806">
        <f t="shared" si="42"/>
        <v>82581.504720577024</v>
      </c>
      <c r="E124" s="806">
        <f t="shared" si="42"/>
        <v>82581.504720577024</v>
      </c>
      <c r="F124" s="806">
        <f t="shared" si="42"/>
        <v>82581.504720577024</v>
      </c>
      <c r="G124" s="806">
        <f t="shared" si="42"/>
        <v>86469.242948454819</v>
      </c>
      <c r="H124" s="806">
        <f t="shared" si="42"/>
        <v>86469.242948454819</v>
      </c>
      <c r="I124" s="806">
        <f t="shared" si="42"/>
        <v>82581.504720577024</v>
      </c>
      <c r="J124" s="806">
        <f t="shared" si="42"/>
        <v>82581.504720577024</v>
      </c>
      <c r="K124" s="806">
        <f t="shared" si="42"/>
        <v>82581.504720577024</v>
      </c>
      <c r="L124" s="806">
        <f t="shared" si="42"/>
        <v>82581.504720577024</v>
      </c>
      <c r="M124" s="806">
        <f t="shared" si="42"/>
        <v>86469.242948454819</v>
      </c>
      <c r="N124" s="805">
        <f t="shared" si="42"/>
        <v>82595.015539787724</v>
      </c>
      <c r="O124" s="805">
        <f t="shared" ref="O124:O131" si="43">SUM(C124:N124)</f>
        <v>1002654.7821497683</v>
      </c>
    </row>
    <row r="125" spans="1:15">
      <c r="A125" s="813" t="s">
        <v>701</v>
      </c>
      <c r="B125" s="805">
        <f>COGS!F9</f>
        <v>3.5806969967491451</v>
      </c>
      <c r="C125" s="806">
        <f t="shared" ref="C125:N125" si="44">$B$125*C114</f>
        <v>0</v>
      </c>
      <c r="D125" s="806">
        <f t="shared" si="44"/>
        <v>0</v>
      </c>
      <c r="E125" s="806">
        <f t="shared" si="44"/>
        <v>0</v>
      </c>
      <c r="F125" s="806">
        <f t="shared" si="44"/>
        <v>0</v>
      </c>
      <c r="G125" s="806">
        <f t="shared" si="44"/>
        <v>254.22948676918929</v>
      </c>
      <c r="H125" s="806">
        <f t="shared" si="44"/>
        <v>254.22948676918929</v>
      </c>
      <c r="I125" s="806">
        <f t="shared" si="44"/>
        <v>0</v>
      </c>
      <c r="J125" s="806">
        <f t="shared" si="44"/>
        <v>0</v>
      </c>
      <c r="K125" s="806">
        <f t="shared" si="44"/>
        <v>0</v>
      </c>
      <c r="L125" s="806">
        <f t="shared" si="44"/>
        <v>0</v>
      </c>
      <c r="M125" s="806">
        <f t="shared" si="44"/>
        <v>254.22948676918929</v>
      </c>
      <c r="N125" s="805">
        <f t="shared" si="44"/>
        <v>0</v>
      </c>
      <c r="O125" s="805">
        <f t="shared" si="43"/>
        <v>762.68846030756788</v>
      </c>
    </row>
    <row r="126" spans="1:15">
      <c r="A126" s="813" t="s">
        <v>702</v>
      </c>
      <c r="B126" s="805">
        <v>0</v>
      </c>
      <c r="C126" s="806">
        <v>0</v>
      </c>
      <c r="D126" s="806">
        <v>0</v>
      </c>
      <c r="E126" s="806">
        <v>0</v>
      </c>
      <c r="F126" s="806">
        <v>0</v>
      </c>
      <c r="G126" s="806">
        <v>0</v>
      </c>
      <c r="H126" s="806">
        <v>0</v>
      </c>
      <c r="I126" s="806">
        <v>0</v>
      </c>
      <c r="J126" s="806">
        <v>0</v>
      </c>
      <c r="K126" s="806">
        <v>0</v>
      </c>
      <c r="L126" s="806">
        <v>0</v>
      </c>
      <c r="M126" s="806">
        <v>0</v>
      </c>
      <c r="N126" s="805">
        <v>0</v>
      </c>
      <c r="O126" s="805">
        <f t="shared" si="43"/>
        <v>0</v>
      </c>
    </row>
    <row r="127" spans="1:15">
      <c r="A127" s="813" t="s">
        <v>705</v>
      </c>
      <c r="B127" s="805">
        <v>0</v>
      </c>
      <c r="C127" s="806">
        <v>0</v>
      </c>
      <c r="D127" s="806">
        <v>0</v>
      </c>
      <c r="E127" s="806">
        <v>0</v>
      </c>
      <c r="F127" s="806">
        <v>0</v>
      </c>
      <c r="G127" s="806">
        <v>0</v>
      </c>
      <c r="H127" s="806">
        <v>0</v>
      </c>
      <c r="I127" s="806">
        <v>0</v>
      </c>
      <c r="J127" s="806">
        <v>0</v>
      </c>
      <c r="K127" s="806">
        <v>0</v>
      </c>
      <c r="L127" s="806">
        <v>0</v>
      </c>
      <c r="M127" s="806">
        <v>0</v>
      </c>
      <c r="N127" s="805">
        <v>0</v>
      </c>
      <c r="O127" s="805">
        <f t="shared" si="43"/>
        <v>0</v>
      </c>
    </row>
    <row r="128" spans="1:15">
      <c r="A128" s="813" t="s">
        <v>706</v>
      </c>
      <c r="B128" s="805">
        <v>0</v>
      </c>
      <c r="C128" s="806">
        <v>0</v>
      </c>
      <c r="D128" s="806">
        <v>0</v>
      </c>
      <c r="E128" s="806">
        <v>0</v>
      </c>
      <c r="F128" s="806">
        <v>0</v>
      </c>
      <c r="G128" s="806">
        <v>0</v>
      </c>
      <c r="H128" s="806">
        <v>0</v>
      </c>
      <c r="I128" s="806">
        <v>0</v>
      </c>
      <c r="J128" s="806">
        <v>0</v>
      </c>
      <c r="K128" s="806">
        <v>0</v>
      </c>
      <c r="L128" s="806">
        <v>0</v>
      </c>
      <c r="M128" s="806">
        <v>0</v>
      </c>
      <c r="N128" s="805">
        <v>0</v>
      </c>
      <c r="O128" s="805">
        <f t="shared" si="43"/>
        <v>0</v>
      </c>
    </row>
    <row r="129" spans="1:15">
      <c r="A129" s="813" t="s">
        <v>708</v>
      </c>
      <c r="B129" s="805">
        <v>0</v>
      </c>
      <c r="C129" s="806">
        <v>0</v>
      </c>
      <c r="D129" s="806">
        <v>0</v>
      </c>
      <c r="E129" s="806">
        <v>0</v>
      </c>
      <c r="F129" s="806">
        <v>0</v>
      </c>
      <c r="G129" s="806">
        <v>0</v>
      </c>
      <c r="H129" s="806">
        <v>0</v>
      </c>
      <c r="I129" s="806">
        <v>0</v>
      </c>
      <c r="J129" s="806">
        <v>0</v>
      </c>
      <c r="K129" s="806">
        <v>0</v>
      </c>
      <c r="L129" s="806">
        <v>0</v>
      </c>
      <c r="M129" s="806">
        <v>0</v>
      </c>
      <c r="N129" s="805">
        <v>0</v>
      </c>
      <c r="O129" s="805">
        <f t="shared" si="43"/>
        <v>0</v>
      </c>
    </row>
    <row r="130" spans="1:15">
      <c r="A130" s="814" t="s">
        <v>709</v>
      </c>
      <c r="B130" s="807"/>
      <c r="C130" s="808">
        <v>0</v>
      </c>
      <c r="D130" s="808">
        <v>0</v>
      </c>
      <c r="E130" s="808">
        <v>0</v>
      </c>
      <c r="F130" s="808">
        <v>0</v>
      </c>
      <c r="G130" s="808">
        <v>0</v>
      </c>
      <c r="H130" s="808">
        <v>0</v>
      </c>
      <c r="I130" s="808">
        <v>0</v>
      </c>
      <c r="J130" s="808">
        <v>0</v>
      </c>
      <c r="K130" s="808">
        <v>0</v>
      </c>
      <c r="L130" s="808">
        <v>0</v>
      </c>
      <c r="M130" s="808">
        <v>0</v>
      </c>
      <c r="N130" s="809">
        <v>0</v>
      </c>
      <c r="O130" s="809">
        <f t="shared" si="43"/>
        <v>0</v>
      </c>
    </row>
    <row r="131" spans="1:15">
      <c r="A131" s="814" t="s">
        <v>92</v>
      </c>
      <c r="B131" s="807"/>
      <c r="C131" s="808">
        <f t="shared" ref="C131:N131" si="45">SUM(C124:C130)</f>
        <v>82581.504720577024</v>
      </c>
      <c r="D131" s="808">
        <f t="shared" si="45"/>
        <v>82581.504720577024</v>
      </c>
      <c r="E131" s="808">
        <f t="shared" si="45"/>
        <v>82581.504720577024</v>
      </c>
      <c r="F131" s="808">
        <f t="shared" si="45"/>
        <v>82581.504720577024</v>
      </c>
      <c r="G131" s="808">
        <f t="shared" si="45"/>
        <v>86723.472435224015</v>
      </c>
      <c r="H131" s="808">
        <f t="shared" si="45"/>
        <v>86723.472435224015</v>
      </c>
      <c r="I131" s="808">
        <f t="shared" si="45"/>
        <v>82581.504720577024</v>
      </c>
      <c r="J131" s="808">
        <f t="shared" si="45"/>
        <v>82581.504720577024</v>
      </c>
      <c r="K131" s="808">
        <f t="shared" si="45"/>
        <v>82581.504720577024</v>
      </c>
      <c r="L131" s="808">
        <f t="shared" si="45"/>
        <v>82581.504720577024</v>
      </c>
      <c r="M131" s="808">
        <f t="shared" si="45"/>
        <v>86723.472435224015</v>
      </c>
      <c r="N131" s="809">
        <f t="shared" si="45"/>
        <v>82595.015539787724</v>
      </c>
      <c r="O131" s="810">
        <f t="shared" si="43"/>
        <v>1003417.470610076</v>
      </c>
    </row>
    <row r="132" spans="1:15">
      <c r="A132" s="517"/>
      <c r="B132" s="517"/>
      <c r="C132" s="517"/>
      <c r="D132" s="517"/>
      <c r="E132" s="517"/>
      <c r="F132" s="517"/>
      <c r="G132" s="517"/>
      <c r="H132" s="517"/>
      <c r="I132" s="517"/>
      <c r="J132" s="517"/>
      <c r="K132" s="517"/>
      <c r="L132" s="517"/>
      <c r="M132" s="517"/>
      <c r="N132" s="517"/>
      <c r="O132" s="517"/>
    </row>
    <row r="133" spans="1:15">
      <c r="A133" s="600"/>
      <c r="B133" s="517"/>
      <c r="C133" s="517"/>
      <c r="D133" s="517"/>
      <c r="E133" s="517"/>
      <c r="F133" s="517"/>
      <c r="G133" s="517"/>
      <c r="H133" s="517"/>
      <c r="I133" s="517"/>
      <c r="J133" s="517"/>
      <c r="K133" s="517"/>
      <c r="L133" s="517"/>
      <c r="M133" s="517"/>
      <c r="N133" s="517"/>
      <c r="O133" s="517"/>
    </row>
    <row r="134" spans="1:15">
      <c r="A134" s="601"/>
      <c r="B134" s="517"/>
      <c r="C134" s="515"/>
      <c r="D134" s="515"/>
      <c r="E134" s="515"/>
      <c r="F134" s="515"/>
      <c r="G134" s="515"/>
      <c r="H134" s="515"/>
      <c r="I134" s="515"/>
      <c r="J134" s="515"/>
      <c r="K134" s="515"/>
      <c r="L134" s="515"/>
      <c r="M134" s="515"/>
      <c r="N134" s="515"/>
      <c r="O134" s="602"/>
    </row>
    <row r="135" spans="1:15">
      <c r="A135" s="601"/>
      <c r="B135" s="517"/>
      <c r="C135" s="515"/>
      <c r="D135" s="515"/>
      <c r="E135" s="515"/>
      <c r="F135" s="515"/>
      <c r="G135" s="515"/>
      <c r="H135" s="515"/>
      <c r="I135" s="515"/>
      <c r="J135" s="515"/>
      <c r="K135" s="515"/>
      <c r="L135" s="515"/>
      <c r="M135" s="515"/>
      <c r="N135" s="515"/>
      <c r="O135" s="515"/>
    </row>
    <row r="136" spans="1:15">
      <c r="A136" s="601"/>
      <c r="B136" s="517"/>
      <c r="C136" s="517"/>
      <c r="D136" s="517"/>
      <c r="E136" s="517"/>
      <c r="F136" s="517"/>
      <c r="G136" s="517"/>
      <c r="H136" s="517"/>
      <c r="I136" s="517"/>
      <c r="J136" s="517"/>
      <c r="K136" s="517"/>
      <c r="L136" s="517"/>
      <c r="M136" s="517"/>
      <c r="N136" s="517"/>
      <c r="O136" s="517"/>
    </row>
    <row r="137" spans="1:15">
      <c r="A137" s="601"/>
      <c r="B137" s="517"/>
      <c r="C137" s="515"/>
      <c r="D137" s="515"/>
      <c r="E137" s="515"/>
      <c r="F137" s="515"/>
      <c r="G137" s="515"/>
      <c r="H137" s="515"/>
      <c r="I137" s="515"/>
      <c r="J137" s="515"/>
      <c r="K137" s="515"/>
      <c r="L137" s="515"/>
      <c r="M137" s="515"/>
      <c r="N137" s="515"/>
      <c r="O137" s="515"/>
    </row>
    <row r="138" spans="1:15">
      <c r="A138" s="601"/>
      <c r="B138" s="517"/>
      <c r="C138" s="515"/>
      <c r="D138" s="515"/>
      <c r="E138" s="515"/>
      <c r="F138" s="515"/>
      <c r="G138" s="515"/>
      <c r="H138" s="515"/>
      <c r="I138" s="515"/>
      <c r="J138" s="515"/>
      <c r="K138" s="515"/>
      <c r="L138" s="515"/>
      <c r="M138" s="515"/>
      <c r="N138" s="515"/>
      <c r="O138" s="515"/>
    </row>
    <row r="139" spans="1:15">
      <c r="A139" s="601"/>
      <c r="B139" s="517"/>
      <c r="C139" s="515"/>
      <c r="D139" s="515"/>
      <c r="E139" s="515"/>
      <c r="F139" s="515"/>
      <c r="G139" s="515"/>
      <c r="H139" s="515"/>
      <c r="I139" s="515"/>
      <c r="J139" s="515"/>
      <c r="K139" s="515"/>
      <c r="L139" s="515"/>
      <c r="M139" s="515"/>
      <c r="N139" s="515"/>
      <c r="O139" s="515"/>
    </row>
    <row r="140" spans="1:15">
      <c r="A140" s="601"/>
      <c r="B140" s="517"/>
      <c r="C140" s="515"/>
      <c r="D140" s="515"/>
      <c r="E140" s="515"/>
      <c r="F140" s="515"/>
      <c r="G140" s="515"/>
      <c r="H140" s="515"/>
      <c r="I140" s="515"/>
      <c r="J140" s="515"/>
      <c r="K140" s="515"/>
      <c r="L140" s="515"/>
      <c r="M140" s="515"/>
      <c r="N140" s="515"/>
      <c r="O140" s="515"/>
    </row>
    <row r="141" spans="1:15">
      <c r="A141" s="601"/>
      <c r="B141" s="517"/>
      <c r="C141" s="515"/>
      <c r="D141" s="515"/>
      <c r="E141" s="515"/>
      <c r="F141" s="515"/>
      <c r="G141" s="515"/>
      <c r="H141" s="515"/>
      <c r="I141" s="515"/>
      <c r="J141" s="515"/>
      <c r="K141" s="515"/>
      <c r="L141" s="515"/>
      <c r="M141" s="515"/>
      <c r="N141" s="515"/>
      <c r="O141" s="517"/>
    </row>
    <row r="142" spans="1:15">
      <c r="A142" s="601"/>
      <c r="B142" s="517"/>
      <c r="C142" s="517"/>
      <c r="D142" s="517"/>
      <c r="E142" s="517"/>
      <c r="F142" s="517"/>
      <c r="G142" s="517"/>
      <c r="H142" s="517"/>
      <c r="I142" s="517"/>
      <c r="J142" s="517"/>
      <c r="K142" s="517"/>
      <c r="L142" s="517"/>
      <c r="M142" s="517"/>
      <c r="N142" s="517"/>
      <c r="O142" s="517"/>
    </row>
    <row r="143" spans="1:15">
      <c r="A143" s="601"/>
      <c r="B143" s="517"/>
      <c r="C143" s="515"/>
      <c r="D143" s="515"/>
      <c r="E143" s="515"/>
      <c r="F143" s="515"/>
      <c r="G143" s="515"/>
      <c r="H143" s="515"/>
      <c r="I143" s="515"/>
      <c r="J143" s="515"/>
      <c r="K143" s="515"/>
      <c r="L143" s="515"/>
      <c r="M143" s="515"/>
      <c r="N143" s="515"/>
      <c r="O143" s="515"/>
    </row>
    <row r="144" spans="1:15">
      <c r="A144" s="601"/>
      <c r="B144" s="517"/>
      <c r="C144" s="515"/>
      <c r="D144" s="515"/>
      <c r="E144" s="515"/>
      <c r="F144" s="515"/>
      <c r="G144" s="515"/>
      <c r="H144" s="515"/>
      <c r="I144" s="515"/>
      <c r="J144" s="515"/>
      <c r="K144" s="515"/>
      <c r="L144" s="515"/>
      <c r="M144" s="515"/>
      <c r="N144" s="515"/>
      <c r="O144" s="515"/>
    </row>
    <row r="145" spans="1:15">
      <c r="A145" s="601"/>
      <c r="B145" s="517"/>
      <c r="C145" s="515"/>
      <c r="D145" s="515"/>
      <c r="E145" s="515"/>
      <c r="F145" s="515"/>
      <c r="G145" s="515"/>
      <c r="H145" s="515"/>
      <c r="I145" s="515"/>
      <c r="J145" s="515"/>
      <c r="K145" s="515"/>
      <c r="L145" s="515"/>
      <c r="M145" s="515"/>
      <c r="N145" s="515"/>
      <c r="O145" s="515"/>
    </row>
    <row r="146" spans="1:15">
      <c r="A146" s="601"/>
      <c r="B146" s="517"/>
      <c r="C146" s="515"/>
      <c r="D146" s="515"/>
      <c r="E146" s="515"/>
      <c r="F146" s="515"/>
      <c r="G146" s="515"/>
      <c r="H146" s="515"/>
      <c r="I146" s="515"/>
      <c r="J146" s="515"/>
      <c r="K146" s="515"/>
      <c r="L146" s="515"/>
      <c r="M146" s="515"/>
      <c r="N146" s="515"/>
      <c r="O146" s="515"/>
    </row>
    <row r="147" spans="1:15">
      <c r="A147" s="601"/>
      <c r="B147" s="517"/>
      <c r="C147" s="517"/>
      <c r="D147" s="517"/>
      <c r="E147" s="517"/>
      <c r="F147" s="517"/>
      <c r="G147" s="517"/>
      <c r="H147" s="517"/>
      <c r="I147" s="517"/>
      <c r="J147" s="517"/>
      <c r="K147" s="517"/>
      <c r="L147" s="517"/>
      <c r="M147" s="517"/>
      <c r="N147" s="517"/>
      <c r="O147" s="517"/>
    </row>
    <row r="148" spans="1:15">
      <c r="A148" s="601"/>
      <c r="B148" s="542"/>
      <c r="C148" s="542"/>
      <c r="D148" s="542"/>
      <c r="E148" s="542"/>
      <c r="F148" s="542"/>
      <c r="G148" s="542"/>
      <c r="H148" s="542"/>
      <c r="I148" s="542"/>
      <c r="J148" s="542"/>
      <c r="K148" s="542"/>
      <c r="L148" s="542"/>
      <c r="M148" s="542"/>
      <c r="N148" s="542"/>
      <c r="O148" s="542"/>
    </row>
    <row r="149" spans="1:15">
      <c r="A149" s="601"/>
      <c r="B149" s="515"/>
      <c r="C149" s="515"/>
      <c r="D149" s="515"/>
      <c r="E149" s="515"/>
      <c r="F149" s="515"/>
      <c r="G149" s="515"/>
      <c r="H149" s="515"/>
      <c r="I149" s="515"/>
      <c r="J149" s="515"/>
      <c r="K149" s="515"/>
      <c r="L149" s="515"/>
      <c r="M149" s="515"/>
      <c r="N149" s="515"/>
      <c r="O149" s="515"/>
    </row>
    <row r="150" spans="1:15">
      <c r="A150" s="601"/>
      <c r="B150" s="515"/>
      <c r="C150" s="515"/>
      <c r="D150" s="515"/>
      <c r="E150" s="515"/>
      <c r="F150" s="515"/>
      <c r="G150" s="515"/>
      <c r="H150" s="515"/>
      <c r="I150" s="515"/>
      <c r="J150" s="515"/>
      <c r="K150" s="515"/>
      <c r="L150" s="515"/>
      <c r="M150" s="515"/>
      <c r="N150" s="515"/>
      <c r="O150" s="515"/>
    </row>
    <row r="151" spans="1:15">
      <c r="A151" s="601"/>
      <c r="B151" s="515"/>
      <c r="C151" s="515"/>
      <c r="D151" s="515"/>
      <c r="E151" s="515"/>
      <c r="F151" s="515"/>
      <c r="G151" s="515"/>
      <c r="H151" s="515"/>
      <c r="I151" s="515"/>
      <c r="J151" s="515"/>
      <c r="K151" s="515"/>
      <c r="L151" s="515"/>
      <c r="M151" s="515"/>
      <c r="N151" s="515"/>
      <c r="O151" s="515"/>
    </row>
    <row r="152" spans="1:15">
      <c r="A152" s="601"/>
      <c r="B152" s="515"/>
      <c r="C152" s="515"/>
      <c r="D152" s="515"/>
      <c r="E152" s="515"/>
      <c r="F152" s="515"/>
      <c r="G152" s="515"/>
      <c r="H152" s="515"/>
      <c r="I152" s="515"/>
      <c r="J152" s="515"/>
      <c r="K152" s="515"/>
      <c r="L152" s="515"/>
      <c r="M152" s="515"/>
      <c r="N152" s="515"/>
      <c r="O152" s="515"/>
    </row>
    <row r="153" spans="1:15">
      <c r="A153" s="601"/>
      <c r="B153" s="515"/>
      <c r="C153" s="515"/>
      <c r="D153" s="515"/>
      <c r="E153" s="515"/>
      <c r="F153" s="515"/>
      <c r="G153" s="515"/>
      <c r="H153" s="515"/>
      <c r="I153" s="515"/>
      <c r="J153" s="515"/>
      <c r="K153" s="515"/>
      <c r="L153" s="515"/>
      <c r="M153" s="515"/>
      <c r="N153" s="515"/>
      <c r="O153" s="515"/>
    </row>
    <row r="154" spans="1:15">
      <c r="A154" s="601"/>
      <c r="B154" s="517"/>
      <c r="C154" s="515"/>
      <c r="D154" s="515"/>
      <c r="E154" s="515"/>
      <c r="F154" s="515"/>
      <c r="G154" s="515"/>
      <c r="H154" s="515"/>
      <c r="I154" s="515"/>
      <c r="J154" s="515"/>
      <c r="K154" s="515"/>
      <c r="L154" s="515"/>
      <c r="M154" s="515"/>
      <c r="N154" s="515"/>
      <c r="O154" s="515"/>
    </row>
    <row r="155" spans="1:15">
      <c r="A155" s="601"/>
      <c r="B155" s="517"/>
      <c r="C155" s="542"/>
      <c r="D155" s="542"/>
      <c r="E155" s="542"/>
      <c r="F155" s="542"/>
      <c r="G155" s="542"/>
      <c r="H155" s="542"/>
      <c r="I155" s="542"/>
      <c r="J155" s="542"/>
      <c r="K155" s="542"/>
      <c r="L155" s="542"/>
      <c r="M155" s="542"/>
      <c r="N155" s="542"/>
      <c r="O155" s="603"/>
    </row>
  </sheetData>
  <mergeCells count="6">
    <mergeCell ref="A107:O108"/>
    <mergeCell ref="A2:O2"/>
    <mergeCell ref="A3:O4"/>
    <mergeCell ref="A29:O30"/>
    <mergeCell ref="A55:O56"/>
    <mergeCell ref="A81:O82"/>
  </mergeCells>
  <hyperlinks>
    <hyperlink ref="A1" location="Index!A1" display="Index!A1"/>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FC5E8"/>
  </sheetPr>
  <dimension ref="A1:AA352"/>
  <sheetViews>
    <sheetView workbookViewId="0">
      <selection activeCell="A2" sqref="A2:F2"/>
    </sheetView>
  </sheetViews>
  <sheetFormatPr defaultColWidth="14.33203125" defaultRowHeight="14.25"/>
  <cols>
    <col min="1" max="1" width="28.1328125" bestFit="1" customWidth="1"/>
    <col min="2" max="2" width="18" bestFit="1" customWidth="1"/>
    <col min="3" max="3" width="12.6640625" bestFit="1" customWidth="1"/>
    <col min="4" max="4" width="18" bestFit="1" customWidth="1"/>
    <col min="5" max="5" width="19.6640625" bestFit="1" customWidth="1"/>
    <col min="6" max="6" width="23" bestFit="1" customWidth="1"/>
    <col min="7" max="7" width="28.1328125" bestFit="1" customWidth="1"/>
    <col min="8" max="8" width="14.796875" bestFit="1" customWidth="1"/>
    <col min="9" max="9" width="22.6640625" bestFit="1" customWidth="1"/>
    <col min="10" max="10" width="26.1328125" bestFit="1" customWidth="1"/>
    <col min="11" max="11" width="14.33203125" bestFit="1" customWidth="1"/>
    <col min="12" max="12" width="13.1328125" bestFit="1" customWidth="1"/>
    <col min="13" max="13" width="12" customWidth="1"/>
    <col min="14" max="14" width="12.33203125" bestFit="1" customWidth="1"/>
    <col min="15" max="15" width="12" bestFit="1" customWidth="1"/>
    <col min="16" max="16" width="18" bestFit="1" customWidth="1"/>
    <col min="17" max="18" width="12" bestFit="1" customWidth="1"/>
    <col min="19" max="19" width="14.6640625" bestFit="1" customWidth="1"/>
    <col min="20" max="20" width="23.1328125" bestFit="1" customWidth="1"/>
    <col min="21" max="21" width="16.796875" bestFit="1" customWidth="1"/>
  </cols>
  <sheetData>
    <row r="1" spans="1:7" s="739" customFormat="1">
      <c r="A1" s="765" t="s">
        <v>0</v>
      </c>
    </row>
    <row r="2" spans="1:7">
      <c r="A2" s="1359" t="s">
        <v>671</v>
      </c>
      <c r="B2" s="1297"/>
      <c r="C2" s="1297"/>
      <c r="D2" s="1297"/>
      <c r="E2" s="1297"/>
      <c r="F2" s="1297"/>
    </row>
    <row r="3" spans="1:7">
      <c r="A3" s="518" t="s">
        <v>438</v>
      </c>
      <c r="B3" s="519">
        <v>1</v>
      </c>
      <c r="C3" s="519">
        <v>2</v>
      </c>
      <c r="D3" s="519">
        <v>3</v>
      </c>
      <c r="E3" s="519">
        <v>4</v>
      </c>
      <c r="F3" s="520">
        <v>5</v>
      </c>
      <c r="G3" s="521"/>
    </row>
    <row r="4" spans="1:7">
      <c r="A4" s="522" t="s">
        <v>674</v>
      </c>
      <c r="B4" s="523">
        <f t="shared" ref="B4:B7" si="0">K40</f>
        <v>233069.43700000001</v>
      </c>
      <c r="C4" s="523">
        <f t="shared" ref="C4:C7" si="1">K70</f>
        <v>314761.7835276</v>
      </c>
      <c r="D4" s="523">
        <f t="shared" ref="D4:D7" si="2">K100</f>
        <v>572966.63792292948</v>
      </c>
      <c r="E4" s="523">
        <f t="shared" ref="E4:E7" si="3">K130</f>
        <v>867554.1369846391</v>
      </c>
      <c r="F4" s="524">
        <f t="shared" ref="F4:F7" si="4">K160</f>
        <v>1049261.0590677341</v>
      </c>
    </row>
    <row r="5" spans="1:7">
      <c r="A5" s="522" t="s">
        <v>675</v>
      </c>
      <c r="B5" s="523">
        <f t="shared" si="0"/>
        <v>23465.483351991592</v>
      </c>
      <c r="C5" s="523">
        <f t="shared" si="1"/>
        <v>31250.311323811318</v>
      </c>
      <c r="D5" s="523">
        <f t="shared" si="2"/>
        <v>52399.430999492841</v>
      </c>
      <c r="E5" s="523">
        <f t="shared" si="3"/>
        <v>80604.256395506061</v>
      </c>
      <c r="F5" s="524">
        <f t="shared" si="4"/>
        <v>100632.75158948734</v>
      </c>
    </row>
    <row r="6" spans="1:7">
      <c r="A6" s="525" t="s">
        <v>676</v>
      </c>
      <c r="B6" s="451">
        <f t="shared" si="0"/>
        <v>104624.69264449111</v>
      </c>
      <c r="C6" s="451">
        <f t="shared" si="1"/>
        <v>137294.74600144842</v>
      </c>
      <c r="D6" s="451">
        <f t="shared" si="2"/>
        <v>225289.06866185713</v>
      </c>
      <c r="E6" s="451">
        <f t="shared" si="3"/>
        <v>337242.55357639649</v>
      </c>
      <c r="F6" s="452">
        <f t="shared" si="4"/>
        <v>414937.64199109434</v>
      </c>
    </row>
    <row r="7" spans="1:7">
      <c r="A7" s="526" t="s">
        <v>678</v>
      </c>
      <c r="B7" s="527">
        <f t="shared" si="0"/>
        <v>361159.6129964827</v>
      </c>
      <c r="C7" s="527">
        <f t="shared" si="1"/>
        <v>483306.84085285972</v>
      </c>
      <c r="D7" s="527">
        <f t="shared" si="2"/>
        <v>850655.13758427952</v>
      </c>
      <c r="E7" s="527">
        <f t="shared" si="3"/>
        <v>1285400.9469565416</v>
      </c>
      <c r="F7" s="528">
        <f t="shared" si="4"/>
        <v>1564831.4526483156</v>
      </c>
      <c r="G7" s="529"/>
    </row>
    <row r="8" spans="1:7">
      <c r="A8" s="456"/>
    </row>
    <row r="9" spans="1:7">
      <c r="A9" s="1359" t="s">
        <v>680</v>
      </c>
      <c r="B9" s="1297"/>
      <c r="C9" s="1297"/>
      <c r="D9" s="1297"/>
      <c r="E9" s="1297"/>
      <c r="F9" s="1297"/>
      <c r="G9" s="1297"/>
    </row>
    <row r="10" spans="1:7">
      <c r="A10" s="530" t="s">
        <v>681</v>
      </c>
      <c r="B10" s="530" t="s">
        <v>683</v>
      </c>
      <c r="C10" s="530" t="s">
        <v>684</v>
      </c>
      <c r="D10" s="530" t="s">
        <v>685</v>
      </c>
      <c r="E10" s="531" t="s">
        <v>686</v>
      </c>
      <c r="F10" s="531" t="s">
        <v>687</v>
      </c>
      <c r="G10" s="779" t="s">
        <v>688</v>
      </c>
    </row>
    <row r="11" spans="1:7">
      <c r="A11" s="532" t="s">
        <v>689</v>
      </c>
      <c r="B11" s="534"/>
      <c r="C11" s="536"/>
      <c r="D11" s="536"/>
      <c r="E11" s="537"/>
      <c r="F11" s="538"/>
      <c r="G11" s="780"/>
    </row>
    <row r="12" spans="1:7">
      <c r="A12" s="541" t="s">
        <v>697</v>
      </c>
      <c r="B12" s="534" t="str">
        <f>HYPERLINK("https://www.alibaba.com/product-detail/Manufacture-of-silicon-rubber-for-20_233935159.html?spm=a2700.7724838.2017115.1.bb0e689rQtiAH","Alibaba")</f>
        <v>Alibaba</v>
      </c>
      <c r="C12" s="536" t="s">
        <v>698</v>
      </c>
      <c r="D12" s="536" t="s">
        <v>699</v>
      </c>
      <c r="E12" s="537">
        <v>5</v>
      </c>
      <c r="F12" s="778">
        <v>3.0042860000000001E-2</v>
      </c>
      <c r="G12" s="780">
        <f t="shared" ref="G12:G22" si="5">E12*F12</f>
        <v>0.1502143</v>
      </c>
    </row>
    <row r="13" spans="1:7">
      <c r="A13" s="541" t="s">
        <v>700</v>
      </c>
      <c r="B13" s="534" t="str">
        <f>HYPERLINK("http://www.alibaba.com/product-detail/Custom-Push-Button-Switch-Silicone-rubber_60633190357.html?spm=a2700.7724838.2017115.50.5cc7f2d3VmhNOV", "Alibaba")</f>
        <v>Alibaba</v>
      </c>
      <c r="C13" s="536" t="s">
        <v>703</v>
      </c>
      <c r="D13" s="536" t="s">
        <v>704</v>
      </c>
      <c r="E13" s="537">
        <v>5.0000000000000001E-3</v>
      </c>
      <c r="F13" s="538">
        <v>1</v>
      </c>
      <c r="G13" s="780">
        <f t="shared" si="5"/>
        <v>5.0000000000000001E-3</v>
      </c>
    </row>
    <row r="14" spans="1:7">
      <c r="A14" s="541" t="s">
        <v>707</v>
      </c>
      <c r="B14" s="534" t="str">
        <f>HYPERLINK("https://www.mouser.com/ProductDetail/Cree-Inc/C503B-AAS-CY0B0251/?qs=UHyCXFkX5Ez5%252bQKogeh7uw%3D%3D&amp;gclid=Cj0KCQiA84rQBRDCARIsAPO8RFxVbNfu7hZg1K21JPReE1E8iOyoJ-NCCszhhxXUzril3-RnViMkxPUaApGiEALw_wcB", "Mouser Electronics")</f>
        <v>Mouser Electronics</v>
      </c>
      <c r="C14" s="536" t="s">
        <v>703</v>
      </c>
      <c r="D14" s="536" t="s">
        <v>704</v>
      </c>
      <c r="E14" s="537">
        <v>0.107</v>
      </c>
      <c r="F14" s="538">
        <v>1</v>
      </c>
      <c r="G14" s="780">
        <f t="shared" si="5"/>
        <v>0.107</v>
      </c>
    </row>
    <row r="15" spans="1:7">
      <c r="A15" s="541" t="s">
        <v>710</v>
      </c>
      <c r="B15" s="534" t="str">
        <f>HYPERLINK("http://www.st.com/content/st_com/en/products/audio-ics/mems-microphones/mp23ab01dh.html", "STMicroelectronics")</f>
        <v>STMicroelectronics</v>
      </c>
      <c r="C15" s="536" t="s">
        <v>711</v>
      </c>
      <c r="D15" s="536" t="s">
        <v>712</v>
      </c>
      <c r="E15" s="537">
        <v>0.95</v>
      </c>
      <c r="F15" s="538">
        <v>1</v>
      </c>
      <c r="G15" s="780">
        <f t="shared" si="5"/>
        <v>0.95</v>
      </c>
    </row>
    <row r="16" spans="1:7">
      <c r="A16" s="541" t="s">
        <v>713</v>
      </c>
      <c r="B16" s="534" t="str">
        <f>HYPERLINK("https://www.alibaba.com/product-detail/9mm-1W-4-Ohm-Skinny-Mini_60520851923.html","Alibaba")</f>
        <v>Alibaba</v>
      </c>
      <c r="C16" s="536" t="s">
        <v>703</v>
      </c>
      <c r="D16" s="536" t="s">
        <v>704</v>
      </c>
      <c r="E16" s="537">
        <v>1.61</v>
      </c>
      <c r="F16" s="538">
        <v>1</v>
      </c>
      <c r="G16" s="780">
        <f t="shared" si="5"/>
        <v>1.61</v>
      </c>
    </row>
    <row r="17" spans="1:7">
      <c r="A17" s="541" t="s">
        <v>714</v>
      </c>
      <c r="B17" s="534" t="str">
        <f>HYPERLINK("http://www.st.com/content/st_com/en/products/microcontrollers/legacy-mcus/str7-32-bit-arm7-mcus/str710fz1.html#samplebuy-scroll", "STMicroelectronics")</f>
        <v>STMicroelectronics</v>
      </c>
      <c r="C17" s="536" t="s">
        <v>711</v>
      </c>
      <c r="D17" s="536" t="s">
        <v>712</v>
      </c>
      <c r="E17" s="537">
        <v>0.01</v>
      </c>
      <c r="F17" s="538">
        <v>1</v>
      </c>
      <c r="G17" s="780">
        <f t="shared" si="5"/>
        <v>0.01</v>
      </c>
    </row>
    <row r="18" spans="1:7">
      <c r="A18" s="541" t="s">
        <v>715</v>
      </c>
      <c r="B18" s="534" t="str">
        <f>HYPERLINK("https://www.alibaba.com/product-detail/Original-new-simcom-SIM808-Quad-band_60678195106.html?spm=a2700.7724838.2017115.11.6954edb9FJSBWq&amp;s=p", "Alibaba")</f>
        <v>Alibaba</v>
      </c>
      <c r="C18" s="536" t="s">
        <v>703</v>
      </c>
      <c r="D18" s="536" t="s">
        <v>704</v>
      </c>
      <c r="E18" s="537">
        <v>6.88</v>
      </c>
      <c r="F18" s="538">
        <v>1</v>
      </c>
      <c r="G18" s="780">
        <f t="shared" si="5"/>
        <v>6.88</v>
      </c>
    </row>
    <row r="19" spans="1:7">
      <c r="A19" s="541" t="s">
        <v>716</v>
      </c>
      <c r="B19" s="534" t="str">
        <f>HYPERLINK("https://www.alibaba.com/product-detail/-Hot-Offer-SEN0203-Heart-Rate_60655537891.html?spm=a2700.7724838.2017115.46.c4a7b0cRgyY1C", "Alibaba")</f>
        <v>Alibaba</v>
      </c>
      <c r="C19" s="536" t="s">
        <v>703</v>
      </c>
      <c r="D19" s="536" t="s">
        <v>704</v>
      </c>
      <c r="E19" s="537">
        <v>0.1</v>
      </c>
      <c r="F19" s="538">
        <v>1</v>
      </c>
      <c r="G19" s="780">
        <f t="shared" si="5"/>
        <v>0.1</v>
      </c>
    </row>
    <row r="20" spans="1:7">
      <c r="A20" s="541" t="s">
        <v>717</v>
      </c>
      <c r="B20" s="534" t="str">
        <f>HYPERLINK("https://www.alibaba.com/product-detail/Rechargeable-3-7V-320-mah-303040_60697695521.html", "Alibaba")</f>
        <v>Alibaba</v>
      </c>
      <c r="C20" s="536" t="s">
        <v>703</v>
      </c>
      <c r="D20" s="536" t="s">
        <v>704</v>
      </c>
      <c r="E20" s="537">
        <v>1.39</v>
      </c>
      <c r="F20" s="538">
        <v>1</v>
      </c>
      <c r="G20" s="780">
        <f t="shared" si="5"/>
        <v>1.39</v>
      </c>
    </row>
    <row r="21" spans="1:7">
      <c r="A21" s="541" t="s">
        <v>718</v>
      </c>
      <c r="B21" s="534" t="str">
        <f>HYPERLINK("https://www.alibaba.com/product-detail/Certificated-by-SGS-ISO-custom-mini_60117073673.html?spm=a2700.7724838.2017115.1.56fa93ecVJOson&amp;s=p", "Alibaba")</f>
        <v>Alibaba</v>
      </c>
      <c r="C21" s="545">
        <v>47.674601000000003</v>
      </c>
      <c r="D21" s="545">
        <v>-122.395342</v>
      </c>
      <c r="E21" s="537">
        <v>0.01</v>
      </c>
      <c r="F21" s="538">
        <v>8</v>
      </c>
      <c r="G21" s="780">
        <f t="shared" si="5"/>
        <v>0.08</v>
      </c>
    </row>
    <row r="22" spans="1:7">
      <c r="A22" s="541" t="s">
        <v>719</v>
      </c>
      <c r="B22" s="534" t="str">
        <f>HYPERLINK("https://www.alibaba.com/product-detail/Tin-Lead-Solder-Wire-Sn10Pb90-competitive_60578378688.html?spm=a2700.7724838.2017115.1.382e63ef9lJlot&amp;s=p", "Alibaba")</f>
        <v>Alibaba</v>
      </c>
      <c r="C22" s="536" t="s">
        <v>703</v>
      </c>
      <c r="D22" s="536" t="s">
        <v>704</v>
      </c>
      <c r="E22" s="537">
        <v>2.2999999999999998</v>
      </c>
      <c r="F22" s="538">
        <v>0.01</v>
      </c>
      <c r="G22" s="780">
        <f t="shared" si="5"/>
        <v>2.3E-2</v>
      </c>
    </row>
    <row r="23" spans="1:7">
      <c r="A23" s="532" t="s">
        <v>720</v>
      </c>
      <c r="B23" s="541"/>
      <c r="C23" s="541"/>
      <c r="D23" s="541"/>
      <c r="E23" s="541"/>
      <c r="F23" s="546"/>
      <c r="G23" s="780"/>
    </row>
    <row r="24" spans="1:7">
      <c r="A24" s="547" t="s">
        <v>721</v>
      </c>
      <c r="B24" s="548" t="str">
        <f>HYPERLINK("https://www.alibaba.com/product-detail/Custom-Made-Luxury-Kraft-Paper-Watch_1958590343.html?spm=a2700.7724838.2017115.64.441369cfy9oPxd", "Alibaba")</f>
        <v>Alibaba</v>
      </c>
      <c r="C24" s="536" t="s">
        <v>703</v>
      </c>
      <c r="D24" s="536" t="s">
        <v>704</v>
      </c>
      <c r="E24" s="430">
        <v>1.9</v>
      </c>
      <c r="F24" s="549">
        <v>1</v>
      </c>
      <c r="G24" s="780">
        <f t="shared" ref="G24:G25" si="6">E24*F24</f>
        <v>1.9</v>
      </c>
    </row>
    <row r="25" spans="1:7">
      <c r="A25" s="549" t="s">
        <v>722</v>
      </c>
      <c r="B25" s="548" t="str">
        <f>HYPERLINK("https://www.alibaba.com/product-detail/Products-instruction-user-manual-printing-with_60383745740.html?spm=a2700.7724838.2017115.1.5aeb4e75BIAKvB&amp;s=p", "Alibaba")</f>
        <v>Alibaba</v>
      </c>
      <c r="C25" s="536" t="s">
        <v>703</v>
      </c>
      <c r="D25" s="536" t="s">
        <v>704</v>
      </c>
      <c r="E25" s="550">
        <v>0.2</v>
      </c>
      <c r="F25" s="549">
        <v>2</v>
      </c>
      <c r="G25" s="780">
        <f t="shared" si="6"/>
        <v>0.4</v>
      </c>
    </row>
    <row r="26" spans="1:7">
      <c r="A26" s="546" t="s">
        <v>92</v>
      </c>
      <c r="B26" s="541"/>
      <c r="C26" s="541"/>
      <c r="D26" s="541"/>
      <c r="E26" s="541"/>
      <c r="F26" s="546"/>
      <c r="G26" s="780">
        <f>SUM(G12:G22)</f>
        <v>11.305214299999999</v>
      </c>
    </row>
    <row r="27" spans="1:7">
      <c r="A27" s="1364" t="s">
        <v>723</v>
      </c>
      <c r="B27" s="1297"/>
      <c r="C27" s="1297"/>
      <c r="D27" s="1297"/>
    </row>
    <row r="28" spans="1:7">
      <c r="A28" s="456"/>
    </row>
    <row r="29" spans="1:7">
      <c r="A29" s="1363" t="s">
        <v>724</v>
      </c>
      <c r="B29" s="1305"/>
      <c r="C29" s="1305"/>
      <c r="D29" s="1305"/>
      <c r="E29" s="1306"/>
    </row>
    <row r="30" spans="1:7">
      <c r="A30" s="551" t="s">
        <v>567</v>
      </c>
      <c r="B30" s="552">
        <f>'OM Assumptions'!B23</f>
        <v>40</v>
      </c>
      <c r="C30" s="553"/>
      <c r="D30" s="553"/>
      <c r="E30" s="554"/>
    </row>
    <row r="31" spans="1:7">
      <c r="A31" s="551" t="s">
        <v>725</v>
      </c>
      <c r="B31" s="555">
        <f>'OM Assumptions'!B22</f>
        <v>0.3</v>
      </c>
      <c r="C31" s="553"/>
      <c r="D31" s="553"/>
      <c r="E31" s="554"/>
    </row>
    <row r="32" spans="1:7">
      <c r="A32" s="556" t="s">
        <v>726</v>
      </c>
      <c r="B32" s="1360" t="s">
        <v>727</v>
      </c>
      <c r="C32" s="1361"/>
      <c r="D32" s="1361"/>
      <c r="E32" s="1320"/>
    </row>
    <row r="33" spans="1:25">
      <c r="A33" s="456"/>
    </row>
    <row r="34" spans="1:25">
      <c r="A34" s="1368" t="s">
        <v>728</v>
      </c>
      <c r="B34" s="1297"/>
      <c r="C34" s="1297"/>
      <c r="D34" s="1297"/>
      <c r="E34" s="1297"/>
      <c r="F34" s="1297"/>
      <c r="G34" s="1297"/>
      <c r="H34" s="1297"/>
      <c r="I34" s="1297"/>
      <c r="J34" s="1297"/>
      <c r="K34" s="1297"/>
      <c r="L34" s="1297"/>
      <c r="M34" s="557"/>
      <c r="N34" s="557"/>
      <c r="O34" s="557"/>
      <c r="P34" s="557"/>
      <c r="Q34" s="557"/>
      <c r="R34" s="557"/>
      <c r="S34" s="557"/>
      <c r="T34" s="557"/>
      <c r="U34" s="557"/>
    </row>
    <row r="35" spans="1:25">
      <c r="A35" s="1366" t="s">
        <v>729</v>
      </c>
      <c r="B35" s="1345"/>
      <c r="C35" s="1345"/>
      <c r="D35" s="1345"/>
      <c r="E35" s="1345"/>
      <c r="F35" s="1345"/>
      <c r="G35" s="1345"/>
      <c r="H35" s="1345"/>
      <c r="I35" s="1345"/>
      <c r="J35" s="1345"/>
      <c r="K35" s="1345"/>
      <c r="L35" s="1345"/>
      <c r="M35" s="1345"/>
      <c r="N35" s="1345"/>
      <c r="O35" s="1345"/>
      <c r="P35" s="1345"/>
      <c r="Q35" s="1345"/>
      <c r="R35" s="1345"/>
      <c r="S35" s="1345"/>
      <c r="T35" s="1345"/>
      <c r="U35" s="1346"/>
    </row>
    <row r="36" spans="1:25">
      <c r="A36" s="1343"/>
      <c r="B36" s="1297"/>
      <c r="C36" s="1297"/>
      <c r="D36" s="1297"/>
      <c r="E36" s="1297"/>
      <c r="F36" s="1297"/>
      <c r="G36" s="1297"/>
      <c r="H36" s="1297"/>
      <c r="I36" s="1297"/>
      <c r="J36" s="1297"/>
      <c r="K36" s="1297"/>
      <c r="L36" s="1297"/>
      <c r="M36" s="1297"/>
      <c r="N36" s="1297"/>
      <c r="O36" s="1297"/>
      <c r="P36" s="1297"/>
      <c r="Q36" s="1297"/>
      <c r="R36" s="1297"/>
      <c r="S36" s="1297"/>
      <c r="T36" s="1297"/>
      <c r="U36" s="1342"/>
    </row>
    <row r="37" spans="1:25">
      <c r="A37" s="1365" t="s">
        <v>4</v>
      </c>
      <c r="B37" s="1297"/>
      <c r="C37" s="1297"/>
      <c r="D37" s="1297"/>
      <c r="E37" s="1297"/>
      <c r="F37" s="1297"/>
      <c r="G37" s="1297"/>
      <c r="H37" s="1297"/>
      <c r="I37" s="1297"/>
      <c r="J37" s="1297"/>
      <c r="K37" s="1297"/>
      <c r="L37" s="1297"/>
      <c r="M37" s="1297"/>
      <c r="N37" s="1297"/>
      <c r="O37" s="1297"/>
      <c r="P37" s="1297"/>
      <c r="Q37" s="1297"/>
      <c r="R37" s="1297"/>
      <c r="S37" s="1297"/>
      <c r="T37" s="1297"/>
      <c r="U37" s="1342"/>
    </row>
    <row r="38" spans="1:25">
      <c r="A38" s="1343"/>
      <c r="B38" s="1297"/>
      <c r="C38" s="1297"/>
      <c r="D38" s="1297"/>
      <c r="E38" s="1297"/>
      <c r="F38" s="1297"/>
      <c r="G38" s="1297"/>
      <c r="H38" s="1297"/>
      <c r="I38" s="1297"/>
      <c r="J38" s="1297"/>
      <c r="K38" s="1297"/>
      <c r="L38" s="1297"/>
      <c r="M38" s="1297"/>
      <c r="N38" s="1297"/>
      <c r="O38" s="1297"/>
      <c r="P38" s="1297"/>
      <c r="Q38" s="1297"/>
      <c r="R38" s="1297"/>
      <c r="S38" s="1297"/>
      <c r="T38" s="1297"/>
      <c r="U38" s="1342"/>
    </row>
    <row r="39" spans="1:25">
      <c r="A39" s="1362" t="s">
        <v>730</v>
      </c>
      <c r="B39" s="1297"/>
      <c r="C39" s="544"/>
      <c r="D39" s="1358" t="s">
        <v>731</v>
      </c>
      <c r="E39" s="1297"/>
      <c r="F39" s="544"/>
      <c r="G39" s="1358" t="s">
        <v>732</v>
      </c>
      <c r="H39" s="1297"/>
      <c r="I39" s="544"/>
      <c r="J39" s="1367" t="s">
        <v>733</v>
      </c>
      <c r="K39" s="1297"/>
      <c r="L39" s="456"/>
      <c r="U39" s="441"/>
    </row>
    <row r="40" spans="1:25">
      <c r="A40" s="558" t="s">
        <v>734</v>
      </c>
      <c r="B40" s="771">
        <f>'BASES Model'!I11</f>
        <v>68212</v>
      </c>
      <c r="C40" s="544"/>
      <c r="D40" s="559" t="s">
        <v>735</v>
      </c>
      <c r="E40" s="560">
        <f>COGS!B20</f>
        <v>19.421503999777048</v>
      </c>
      <c r="F40" s="544"/>
      <c r="G40" s="559" t="s">
        <v>736</v>
      </c>
      <c r="H40" s="772">
        <f>B46/2</f>
        <v>1182.412805778604</v>
      </c>
      <c r="I40" s="544"/>
      <c r="J40" s="398" t="s">
        <v>674</v>
      </c>
      <c r="K40" s="562">
        <f>SUMPRODUCT(F51:F64,T51:T64)</f>
        <v>233069.43700000001</v>
      </c>
      <c r="L40" s="456"/>
      <c r="U40" s="441"/>
    </row>
    <row r="41" spans="1:25">
      <c r="A41" s="563" t="s">
        <v>737</v>
      </c>
      <c r="B41" s="772">
        <f>B40*2</f>
        <v>136424</v>
      </c>
      <c r="C41" s="544"/>
      <c r="D41" s="559" t="s">
        <v>738</v>
      </c>
      <c r="E41" s="562">
        <f>'Avg. Weighted Manufacturer''s Pr'!C7-E40</f>
        <v>44.206632435636564</v>
      </c>
      <c r="F41" s="544"/>
      <c r="G41" s="559" t="s">
        <v>739</v>
      </c>
      <c r="H41" s="772">
        <f>$E$45*$B$46*SQRT(1)</f>
        <v>4204.6412887803017</v>
      </c>
      <c r="I41" s="544"/>
      <c r="J41" s="398" t="s">
        <v>675</v>
      </c>
      <c r="K41" s="562">
        <f>(ROUND(H46, 0)*(SUMPRODUCT(F51:F64, G51:G64)+E40))/2</f>
        <v>23465.483351991592</v>
      </c>
      <c r="L41" s="456"/>
      <c r="U41" s="441"/>
    </row>
    <row r="42" spans="1:25">
      <c r="A42" s="564" t="s">
        <v>740</v>
      </c>
      <c r="B42" s="772">
        <f>B40/2</f>
        <v>34106</v>
      </c>
      <c r="C42" s="544"/>
      <c r="D42" s="559" t="s">
        <v>741</v>
      </c>
      <c r="E42" s="562">
        <f>(E40*'OM Assumptions'!$B$22)/6</f>
        <v>0.97107519998885239</v>
      </c>
      <c r="F42" s="544"/>
      <c r="G42" s="559" t="s">
        <v>742</v>
      </c>
      <c r="H42" s="772">
        <v>0</v>
      </c>
      <c r="I42" s="544"/>
      <c r="J42" s="474" t="s">
        <v>676</v>
      </c>
      <c r="K42" s="565">
        <f>H43*E40</f>
        <v>104624.69264449111</v>
      </c>
      <c r="L42" s="456"/>
      <c r="U42" s="441"/>
    </row>
    <row r="43" spans="1:25">
      <c r="A43" s="564" t="s">
        <v>743</v>
      </c>
      <c r="B43" s="772">
        <f>(B41+(B40*4)+B42)/6</f>
        <v>73896.333333333328</v>
      </c>
      <c r="C43" s="544"/>
      <c r="D43" s="559" t="s">
        <v>744</v>
      </c>
      <c r="E43" s="560">
        <f>E41-E40</f>
        <v>24.785128435859516</v>
      </c>
      <c r="F43" s="544"/>
      <c r="G43" s="559" t="s">
        <v>745</v>
      </c>
      <c r="H43" s="772">
        <f>SUM(H40:H42)</f>
        <v>5387.0540945589055</v>
      </c>
      <c r="I43" s="544"/>
      <c r="J43" s="456" t="s">
        <v>678</v>
      </c>
      <c r="K43" s="566">
        <f>SUM(K40:K42)</f>
        <v>361159.6129964827</v>
      </c>
      <c r="L43" s="456"/>
      <c r="U43" s="441"/>
    </row>
    <row r="44" spans="1:25">
      <c r="A44" s="564" t="s">
        <v>746</v>
      </c>
      <c r="B44" s="772">
        <f>(B41-B42)/6</f>
        <v>17053</v>
      </c>
      <c r="C44" s="544"/>
      <c r="D44" s="559" t="s">
        <v>726</v>
      </c>
      <c r="E44" s="773">
        <f>E43/(E42+E43)</f>
        <v>0.96229742497309356</v>
      </c>
      <c r="F44" s="544"/>
      <c r="G44" s="544"/>
      <c r="H44" s="544"/>
      <c r="I44" s="544"/>
      <c r="J44" s="544"/>
      <c r="K44" s="568"/>
      <c r="L44" s="456"/>
      <c r="M44" s="456"/>
      <c r="U44" s="441"/>
    </row>
    <row r="45" spans="1:25">
      <c r="A45" s="564" t="s">
        <v>747</v>
      </c>
      <c r="B45" s="772">
        <f>B43/52</f>
        <v>1421.0833333333333</v>
      </c>
      <c r="C45" s="544"/>
      <c r="D45" s="559" t="s">
        <v>748</v>
      </c>
      <c r="E45" s="781">
        <f>NORMSINV(E44)</f>
        <v>1.7779921141887491</v>
      </c>
      <c r="F45" s="544"/>
      <c r="G45" s="1358" t="s">
        <v>749</v>
      </c>
      <c r="H45" s="1297"/>
      <c r="I45" s="544"/>
      <c r="J45" s="544"/>
      <c r="K45" s="568"/>
      <c r="L45" s="456"/>
      <c r="M45" s="456"/>
      <c r="U45" s="441"/>
    </row>
    <row r="46" spans="1:25">
      <c r="A46" s="564" t="s">
        <v>750</v>
      </c>
      <c r="B46" s="772">
        <f>B44/SQRT(52)</f>
        <v>2364.825611557208</v>
      </c>
      <c r="C46" s="544"/>
      <c r="D46" s="544"/>
      <c r="E46" s="544"/>
      <c r="F46" s="544"/>
      <c r="G46" s="559" t="s">
        <v>751</v>
      </c>
      <c r="H46" s="772">
        <f>B45</f>
        <v>1421.0833333333333</v>
      </c>
      <c r="I46" s="544"/>
      <c r="J46" s="544"/>
      <c r="K46" s="568"/>
      <c r="L46" s="456"/>
      <c r="M46" s="456"/>
      <c r="U46" s="441"/>
    </row>
    <row r="47" spans="1:25">
      <c r="A47" s="569"/>
      <c r="B47" s="561"/>
      <c r="C47" s="544"/>
      <c r="D47" s="544"/>
      <c r="E47" s="544"/>
      <c r="F47" s="544"/>
      <c r="G47" s="544"/>
      <c r="H47" s="544"/>
      <c r="I47" s="544"/>
      <c r="J47" s="544"/>
      <c r="K47" s="568"/>
      <c r="L47" s="456"/>
      <c r="M47" s="456"/>
      <c r="U47" s="441"/>
    </row>
    <row r="48" spans="1:25">
      <c r="A48" s="570" t="s">
        <v>752</v>
      </c>
      <c r="B48" s="561"/>
      <c r="C48" s="544"/>
      <c r="D48" s="544"/>
      <c r="E48" s="544"/>
      <c r="F48" s="571"/>
      <c r="G48" s="544"/>
      <c r="H48" s="544"/>
      <c r="I48" s="544"/>
      <c r="J48" s="544"/>
      <c r="K48" s="568"/>
      <c r="L48" s="456"/>
      <c r="M48" s="456"/>
      <c r="U48" s="441"/>
      <c r="V48" s="456"/>
      <c r="W48" s="456"/>
      <c r="X48" s="456"/>
      <c r="Y48" s="398"/>
    </row>
    <row r="49" spans="1:26">
      <c r="A49" s="572" t="s">
        <v>681</v>
      </c>
      <c r="B49" s="572" t="s">
        <v>753</v>
      </c>
      <c r="C49" s="572" t="s">
        <v>754</v>
      </c>
      <c r="D49" s="573" t="s">
        <v>755</v>
      </c>
      <c r="E49" s="572" t="s">
        <v>756</v>
      </c>
      <c r="F49" s="572" t="s">
        <v>757</v>
      </c>
      <c r="G49" s="572" t="s">
        <v>758</v>
      </c>
      <c r="H49" s="777" t="s">
        <v>759</v>
      </c>
      <c r="I49" s="784" t="s">
        <v>747</v>
      </c>
      <c r="J49" s="784" t="s">
        <v>760</v>
      </c>
      <c r="K49" s="784" t="s">
        <v>761</v>
      </c>
      <c r="L49" s="784" t="s">
        <v>762</v>
      </c>
      <c r="M49" s="784" t="s">
        <v>763</v>
      </c>
      <c r="N49" s="784" t="s">
        <v>764</v>
      </c>
      <c r="O49" s="784" t="s">
        <v>765</v>
      </c>
      <c r="P49" s="784" t="s">
        <v>766</v>
      </c>
      <c r="Q49" s="784" t="s">
        <v>767</v>
      </c>
      <c r="R49" s="784" t="s">
        <v>768</v>
      </c>
      <c r="S49" s="784" t="s">
        <v>769</v>
      </c>
      <c r="T49" s="784" t="s">
        <v>770</v>
      </c>
      <c r="U49" s="572" t="s">
        <v>771</v>
      </c>
    </row>
    <row r="50" spans="1:26">
      <c r="A50" s="575" t="s">
        <v>689</v>
      </c>
      <c r="B50" s="576"/>
      <c r="C50" s="576"/>
      <c r="D50" s="577"/>
      <c r="E50" s="576"/>
      <c r="F50" s="576"/>
      <c r="G50" s="578"/>
      <c r="H50" s="579"/>
      <c r="I50" s="488"/>
      <c r="J50" s="488"/>
      <c r="K50" s="488"/>
      <c r="L50" s="488"/>
      <c r="M50" s="488"/>
      <c r="N50" s="488"/>
      <c r="O50" s="488"/>
      <c r="P50" s="488"/>
      <c r="Q50" s="488"/>
      <c r="R50" s="580"/>
      <c r="S50" s="488"/>
      <c r="T50" s="488"/>
      <c r="U50" s="575"/>
      <c r="V50" s="581"/>
      <c r="W50" s="581"/>
      <c r="Z50" s="582"/>
    </row>
    <row r="51" spans="1:26">
      <c r="A51" s="492" t="s">
        <v>697</v>
      </c>
      <c r="B51" s="583">
        <v>30</v>
      </c>
      <c r="C51" s="584">
        <f t="shared" ref="C51:C61" si="7">B51/7</f>
        <v>4.2857142857142856</v>
      </c>
      <c r="D51" s="583">
        <v>30</v>
      </c>
      <c r="E51" s="584">
        <f t="shared" ref="E51:E61" si="8">D51/7</f>
        <v>4.2857142857142856</v>
      </c>
      <c r="F51" s="576">
        <v>5</v>
      </c>
      <c r="G51" s="584">
        <v>3.0042860000000001E-2</v>
      </c>
      <c r="H51" s="766">
        <f t="shared" ref="H51:H61" si="9">F51*G51</f>
        <v>0.1502143</v>
      </c>
      <c r="I51" s="585">
        <f t="shared" ref="I51:I61" si="10">$B$45*G51</f>
        <v>42.693407631666666</v>
      </c>
      <c r="J51" s="585">
        <f t="shared" ref="J51:J61" si="11">G51*$B$46</f>
        <v>71.046124772427589</v>
      </c>
      <c r="K51" s="585">
        <f t="shared" ref="K51:K61" si="12">C51/2</f>
        <v>2.1428571428571428</v>
      </c>
      <c r="L51" s="585">
        <f t="shared" ref="L51:L61" si="13">C51*2</f>
        <v>8.5714285714285712</v>
      </c>
      <c r="M51" s="585">
        <f t="shared" ref="M51:M61" si="14">(K51+(C51*4)+L51)/6</f>
        <v>4.6428571428571423</v>
      </c>
      <c r="N51" s="776">
        <f t="shared" ref="N51:N61" si="15">(L51-K51)/6</f>
        <v>1.0714285714285714</v>
      </c>
      <c r="O51" s="585">
        <f>SQRT((2*I51*'OM Assumptions'!$B$24*'OM Assumptions'!$B$23)/(F51*'OM Assumptions'!$B$22))</f>
        <v>344.09744331873333</v>
      </c>
      <c r="P51" s="585">
        <f t="shared" ref="P51:P61" si="16">O51/G51</f>
        <v>11453.551470090841</v>
      </c>
      <c r="Q51" s="585">
        <f t="shared" ref="Q51:Q61" si="17">O51/2</f>
        <v>172.04872165936666</v>
      </c>
      <c r="R51" s="585">
        <f t="shared" ref="R51:R61" si="18">$E$45 * SQRT(M51*J51^2+I51^2*N51^2)</f>
        <v>284.07550614207207</v>
      </c>
      <c r="S51" s="585">
        <f t="shared" ref="S51:S61" si="19">I51*E51</f>
        <v>182.97174699285713</v>
      </c>
      <c r="T51" s="486">
        <f t="shared" ref="T51:T61" si="20">ROUND(SUM(Q51:S51), 0)</f>
        <v>639</v>
      </c>
      <c r="U51" s="492">
        <v>6</v>
      </c>
      <c r="V51" s="581"/>
      <c r="W51" s="581"/>
      <c r="Z51" s="582"/>
    </row>
    <row r="52" spans="1:26">
      <c r="A52" s="492" t="s">
        <v>700</v>
      </c>
      <c r="B52" s="583">
        <v>30</v>
      </c>
      <c r="C52" s="584">
        <f t="shared" si="7"/>
        <v>4.2857142857142856</v>
      </c>
      <c r="D52" s="583">
        <v>30</v>
      </c>
      <c r="E52" s="584">
        <f t="shared" si="8"/>
        <v>4.2857142857142856</v>
      </c>
      <c r="F52" s="576">
        <v>5.0000000000000001E-3</v>
      </c>
      <c r="G52" s="584">
        <v>1</v>
      </c>
      <c r="H52" s="766">
        <f t="shared" si="9"/>
        <v>5.0000000000000001E-3</v>
      </c>
      <c r="I52" s="585">
        <f t="shared" si="10"/>
        <v>1421.0833333333333</v>
      </c>
      <c r="J52" s="585">
        <f t="shared" si="11"/>
        <v>2364.825611557208</v>
      </c>
      <c r="K52" s="585">
        <f t="shared" si="12"/>
        <v>2.1428571428571428</v>
      </c>
      <c r="L52" s="585">
        <f t="shared" si="13"/>
        <v>8.5714285714285712</v>
      </c>
      <c r="M52" s="585">
        <f t="shared" si="14"/>
        <v>4.6428571428571423</v>
      </c>
      <c r="N52" s="776">
        <f t="shared" si="15"/>
        <v>1.0714285714285714</v>
      </c>
      <c r="O52" s="585">
        <f>SQRT((2*I52*'OM Assumptions'!$B$24*'OM Assumptions'!$B$23)/(F52*'OM Assumptions'!$B$22))</f>
        <v>62778.481805295174</v>
      </c>
      <c r="P52" s="585">
        <f t="shared" si="16"/>
        <v>62778.481805295174</v>
      </c>
      <c r="Q52" s="585">
        <f t="shared" si="17"/>
        <v>31389.240902647587</v>
      </c>
      <c r="R52" s="585">
        <f t="shared" si="18"/>
        <v>9455.6745310556998</v>
      </c>
      <c r="S52" s="585">
        <f t="shared" si="19"/>
        <v>6090.3571428571422</v>
      </c>
      <c r="T52" s="486">
        <f t="shared" si="20"/>
        <v>46935</v>
      </c>
      <c r="U52" s="492">
        <v>1</v>
      </c>
      <c r="V52" s="581"/>
      <c r="W52" s="581"/>
      <c r="Z52" s="582"/>
    </row>
    <row r="53" spans="1:26">
      <c r="A53" s="492" t="s">
        <v>707</v>
      </c>
      <c r="B53" s="583">
        <v>56</v>
      </c>
      <c r="C53" s="584">
        <f t="shared" si="7"/>
        <v>8</v>
      </c>
      <c r="D53" s="583">
        <v>7</v>
      </c>
      <c r="E53" s="584">
        <f t="shared" si="8"/>
        <v>1</v>
      </c>
      <c r="F53" s="576">
        <v>0.107</v>
      </c>
      <c r="G53" s="584">
        <v>1</v>
      </c>
      <c r="H53" s="766">
        <f t="shared" si="9"/>
        <v>0.107</v>
      </c>
      <c r="I53" s="585">
        <f t="shared" si="10"/>
        <v>1421.0833333333333</v>
      </c>
      <c r="J53" s="585">
        <f t="shared" si="11"/>
        <v>2364.825611557208</v>
      </c>
      <c r="K53" s="585">
        <f t="shared" si="12"/>
        <v>4</v>
      </c>
      <c r="L53" s="585">
        <f t="shared" si="13"/>
        <v>16</v>
      </c>
      <c r="M53" s="585">
        <f t="shared" si="14"/>
        <v>8.6666666666666661</v>
      </c>
      <c r="N53" s="776">
        <f t="shared" si="15"/>
        <v>2</v>
      </c>
      <c r="O53" s="585">
        <f>SQRT((2*I53*'OM Assumptions'!$B$24*'OM Assumptions'!$B$23)/(F53*'OM Assumptions'!$B$22))</f>
        <v>13570.752253231498</v>
      </c>
      <c r="P53" s="585">
        <f t="shared" si="16"/>
        <v>13570.752253231498</v>
      </c>
      <c r="Q53" s="585">
        <f t="shared" si="17"/>
        <v>6785.3761266157489</v>
      </c>
      <c r="R53" s="585">
        <f t="shared" si="18"/>
        <v>13369.907177545994</v>
      </c>
      <c r="S53" s="585">
        <f t="shared" si="19"/>
        <v>1421.0833333333333</v>
      </c>
      <c r="T53" s="486">
        <f t="shared" si="20"/>
        <v>21576</v>
      </c>
      <c r="U53" s="492">
        <v>5</v>
      </c>
      <c r="V53" s="581"/>
      <c r="W53" s="581"/>
      <c r="Z53" s="582"/>
    </row>
    <row r="54" spans="1:26">
      <c r="A54" s="492" t="s">
        <v>710</v>
      </c>
      <c r="B54" s="583">
        <v>23</v>
      </c>
      <c r="C54" s="584">
        <f t="shared" si="7"/>
        <v>3.2857142857142856</v>
      </c>
      <c r="D54" s="583">
        <v>7</v>
      </c>
      <c r="E54" s="584">
        <f t="shared" si="8"/>
        <v>1</v>
      </c>
      <c r="F54" s="576">
        <v>0.95</v>
      </c>
      <c r="G54" s="584">
        <v>1</v>
      </c>
      <c r="H54" s="766">
        <f t="shared" si="9"/>
        <v>0.95</v>
      </c>
      <c r="I54" s="585">
        <f t="shared" si="10"/>
        <v>1421.0833333333333</v>
      </c>
      <c r="J54" s="585">
        <f t="shared" si="11"/>
        <v>2364.825611557208</v>
      </c>
      <c r="K54" s="585">
        <f t="shared" si="12"/>
        <v>1.6428571428571428</v>
      </c>
      <c r="L54" s="585">
        <f t="shared" si="13"/>
        <v>6.5714285714285712</v>
      </c>
      <c r="M54" s="585">
        <f t="shared" si="14"/>
        <v>3.5595238095238089</v>
      </c>
      <c r="N54" s="776">
        <f t="shared" si="15"/>
        <v>0.82142857142857151</v>
      </c>
      <c r="O54" s="585">
        <f>SQRT((2*I54*'OM Assumptions'!$B$24*'OM Assumptions'!$B$23)/(F54*'OM Assumptions'!$B$22))</f>
        <v>4554.4297567705144</v>
      </c>
      <c r="P54" s="585">
        <f t="shared" si="16"/>
        <v>4554.4297567705144</v>
      </c>
      <c r="Q54" s="585">
        <f t="shared" si="17"/>
        <v>2277.2148783852572</v>
      </c>
      <c r="R54" s="585">
        <f t="shared" si="18"/>
        <v>8199.7854184306343</v>
      </c>
      <c r="S54" s="585">
        <f t="shared" si="19"/>
        <v>1421.0833333333333</v>
      </c>
      <c r="T54" s="486">
        <f t="shared" si="20"/>
        <v>11898</v>
      </c>
      <c r="U54" s="492">
        <v>15</v>
      </c>
      <c r="V54" s="581"/>
      <c r="W54" s="581"/>
      <c r="Z54" s="582"/>
    </row>
    <row r="55" spans="1:26">
      <c r="A55" s="492" t="s">
        <v>713</v>
      </c>
      <c r="B55" s="583">
        <v>30</v>
      </c>
      <c r="C55" s="584">
        <f t="shared" si="7"/>
        <v>4.2857142857142856</v>
      </c>
      <c r="D55" s="583">
        <v>30</v>
      </c>
      <c r="E55" s="584">
        <f t="shared" si="8"/>
        <v>4.2857142857142856</v>
      </c>
      <c r="F55" s="576">
        <v>1.61</v>
      </c>
      <c r="G55" s="584">
        <v>1</v>
      </c>
      <c r="H55" s="766">
        <f t="shared" si="9"/>
        <v>1.61</v>
      </c>
      <c r="I55" s="585">
        <f t="shared" si="10"/>
        <v>1421.0833333333333</v>
      </c>
      <c r="J55" s="585">
        <f t="shared" si="11"/>
        <v>2364.825611557208</v>
      </c>
      <c r="K55" s="585">
        <f t="shared" si="12"/>
        <v>2.1428571428571428</v>
      </c>
      <c r="L55" s="585">
        <f t="shared" si="13"/>
        <v>8.5714285714285712</v>
      </c>
      <c r="M55" s="585">
        <f t="shared" si="14"/>
        <v>4.6428571428571423</v>
      </c>
      <c r="N55" s="776">
        <f t="shared" si="15"/>
        <v>1.0714285714285714</v>
      </c>
      <c r="O55" s="585">
        <f>SQRT((2*I55*'OM Assumptions'!$B$24*'OM Assumptions'!$B$23)/(F55*'OM Assumptions'!$B$22))</f>
        <v>3498.5080128649206</v>
      </c>
      <c r="P55" s="585">
        <f t="shared" si="16"/>
        <v>3498.5080128649206</v>
      </c>
      <c r="Q55" s="585">
        <f t="shared" si="17"/>
        <v>1749.2540064324603</v>
      </c>
      <c r="R55" s="585">
        <f t="shared" si="18"/>
        <v>9455.6745310556998</v>
      </c>
      <c r="S55" s="585">
        <f t="shared" si="19"/>
        <v>6090.3571428571422</v>
      </c>
      <c r="T55" s="486">
        <f t="shared" si="20"/>
        <v>17295</v>
      </c>
      <c r="U55" s="492">
        <v>19</v>
      </c>
      <c r="V55" s="581"/>
      <c r="W55" s="581"/>
      <c r="Z55" s="582"/>
    </row>
    <row r="56" spans="1:26">
      <c r="A56" s="492" t="s">
        <v>714</v>
      </c>
      <c r="B56" s="583">
        <v>23</v>
      </c>
      <c r="C56" s="584">
        <f t="shared" si="7"/>
        <v>3.2857142857142856</v>
      </c>
      <c r="D56" s="583">
        <v>7</v>
      </c>
      <c r="E56" s="584">
        <f t="shared" si="8"/>
        <v>1</v>
      </c>
      <c r="F56" s="576">
        <v>0.01</v>
      </c>
      <c r="G56" s="584">
        <v>1</v>
      </c>
      <c r="H56" s="766">
        <f t="shared" si="9"/>
        <v>0.01</v>
      </c>
      <c r="I56" s="585">
        <f t="shared" si="10"/>
        <v>1421.0833333333333</v>
      </c>
      <c r="J56" s="585">
        <f t="shared" si="11"/>
        <v>2364.825611557208</v>
      </c>
      <c r="K56" s="585">
        <f t="shared" si="12"/>
        <v>1.6428571428571428</v>
      </c>
      <c r="L56" s="585">
        <f t="shared" si="13"/>
        <v>6.5714285714285712</v>
      </c>
      <c r="M56" s="585">
        <f t="shared" si="14"/>
        <v>3.5595238095238089</v>
      </c>
      <c r="N56" s="776">
        <f t="shared" si="15"/>
        <v>0.82142857142857151</v>
      </c>
      <c r="O56" s="585">
        <f>SQRT((2*I56*'OM Assumptions'!$B$24*'OM Assumptions'!$B$23)/(F56*'OM Assumptions'!$B$22))</f>
        <v>44391.090197120509</v>
      </c>
      <c r="P56" s="585">
        <f t="shared" si="16"/>
        <v>44391.090197120509</v>
      </c>
      <c r="Q56" s="585">
        <f t="shared" si="17"/>
        <v>22195.545098560255</v>
      </c>
      <c r="R56" s="585">
        <f t="shared" si="18"/>
        <v>8199.7854184306343</v>
      </c>
      <c r="S56" s="585">
        <f t="shared" si="19"/>
        <v>1421.0833333333333</v>
      </c>
      <c r="T56" s="486">
        <f t="shared" si="20"/>
        <v>31816</v>
      </c>
      <c r="U56" s="492">
        <v>2</v>
      </c>
      <c r="V56" s="581"/>
      <c r="W56" s="581"/>
      <c r="Z56" s="582"/>
    </row>
    <row r="57" spans="1:26">
      <c r="A57" s="492" t="s">
        <v>715</v>
      </c>
      <c r="B57" s="583">
        <v>30</v>
      </c>
      <c r="C57" s="584">
        <f t="shared" si="7"/>
        <v>4.2857142857142856</v>
      </c>
      <c r="D57" s="583">
        <v>30</v>
      </c>
      <c r="E57" s="584">
        <f t="shared" si="8"/>
        <v>4.2857142857142856</v>
      </c>
      <c r="F57" s="576">
        <v>6.88</v>
      </c>
      <c r="G57" s="584">
        <v>1</v>
      </c>
      <c r="H57" s="766">
        <f t="shared" si="9"/>
        <v>6.88</v>
      </c>
      <c r="I57" s="585">
        <f t="shared" si="10"/>
        <v>1421.0833333333333</v>
      </c>
      <c r="J57" s="585">
        <f t="shared" si="11"/>
        <v>2364.825611557208</v>
      </c>
      <c r="K57" s="585">
        <f t="shared" si="12"/>
        <v>2.1428571428571428</v>
      </c>
      <c r="L57" s="585">
        <f t="shared" si="13"/>
        <v>8.5714285714285712</v>
      </c>
      <c r="M57" s="585">
        <f t="shared" si="14"/>
        <v>4.6428571428571423</v>
      </c>
      <c r="N57" s="776">
        <f t="shared" si="15"/>
        <v>1.0714285714285714</v>
      </c>
      <c r="O57" s="585">
        <f>SQRT((2*I57*'OM Assumptions'!$B$24*'OM Assumptions'!$B$23)/(F57*'OM Assumptions'!$B$22))*2</f>
        <v>3384.78889528329</v>
      </c>
      <c r="P57" s="585">
        <f t="shared" si="16"/>
        <v>3384.78889528329</v>
      </c>
      <c r="Q57" s="585">
        <f t="shared" si="17"/>
        <v>1692.394447641645</v>
      </c>
      <c r="R57" s="585">
        <f t="shared" si="18"/>
        <v>9455.6745310556998</v>
      </c>
      <c r="S57" s="585">
        <f t="shared" si="19"/>
        <v>6090.3571428571422</v>
      </c>
      <c r="T57" s="486">
        <f t="shared" si="20"/>
        <v>17238</v>
      </c>
      <c r="U57" s="492">
        <v>20</v>
      </c>
      <c r="V57" s="581"/>
      <c r="W57" s="581"/>
      <c r="Z57" s="582"/>
    </row>
    <row r="58" spans="1:26">
      <c r="A58" s="492" t="s">
        <v>716</v>
      </c>
      <c r="B58" s="583">
        <v>30</v>
      </c>
      <c r="C58" s="584">
        <f t="shared" si="7"/>
        <v>4.2857142857142856</v>
      </c>
      <c r="D58" s="583">
        <v>30</v>
      </c>
      <c r="E58" s="584">
        <f t="shared" si="8"/>
        <v>4.2857142857142856</v>
      </c>
      <c r="F58" s="576">
        <v>0.1</v>
      </c>
      <c r="G58" s="584">
        <v>1</v>
      </c>
      <c r="H58" s="766">
        <f t="shared" si="9"/>
        <v>0.1</v>
      </c>
      <c r="I58" s="585">
        <f t="shared" si="10"/>
        <v>1421.0833333333333</v>
      </c>
      <c r="J58" s="585">
        <f t="shared" si="11"/>
        <v>2364.825611557208</v>
      </c>
      <c r="K58" s="585">
        <f t="shared" si="12"/>
        <v>2.1428571428571428</v>
      </c>
      <c r="L58" s="585">
        <f t="shared" si="13"/>
        <v>8.5714285714285712</v>
      </c>
      <c r="M58" s="585">
        <f t="shared" si="14"/>
        <v>4.6428571428571423</v>
      </c>
      <c r="N58" s="776">
        <f t="shared" si="15"/>
        <v>1.0714285714285714</v>
      </c>
      <c r="O58" s="585">
        <f>SQRT((2*I58*'OM Assumptions'!$B$24*'OM Assumptions'!$B$23)/(F58*'OM Assumptions'!$B$22))</f>
        <v>14037.695284087373</v>
      </c>
      <c r="P58" s="585">
        <f t="shared" si="16"/>
        <v>14037.695284087373</v>
      </c>
      <c r="Q58" s="585">
        <f t="shared" si="17"/>
        <v>7018.8476420436864</v>
      </c>
      <c r="R58" s="585">
        <f t="shared" si="18"/>
        <v>9455.6745310556998</v>
      </c>
      <c r="S58" s="585">
        <f t="shared" si="19"/>
        <v>6090.3571428571422</v>
      </c>
      <c r="T58" s="486">
        <f t="shared" si="20"/>
        <v>22565</v>
      </c>
      <c r="U58" s="492">
        <v>5</v>
      </c>
      <c r="V58" s="581"/>
      <c r="W58" s="581"/>
      <c r="Z58" s="582"/>
    </row>
    <row r="59" spans="1:26">
      <c r="A59" s="492" t="s">
        <v>717</v>
      </c>
      <c r="B59" s="583">
        <v>30</v>
      </c>
      <c r="C59" s="584">
        <f t="shared" si="7"/>
        <v>4.2857142857142856</v>
      </c>
      <c r="D59" s="583">
        <v>30</v>
      </c>
      <c r="E59" s="584">
        <f t="shared" si="8"/>
        <v>4.2857142857142856</v>
      </c>
      <c r="F59" s="576">
        <v>1.39</v>
      </c>
      <c r="G59" s="584">
        <v>1</v>
      </c>
      <c r="H59" s="766">
        <f t="shared" si="9"/>
        <v>1.39</v>
      </c>
      <c r="I59" s="585">
        <f t="shared" si="10"/>
        <v>1421.0833333333333</v>
      </c>
      <c r="J59" s="585">
        <f t="shared" si="11"/>
        <v>2364.825611557208</v>
      </c>
      <c r="K59" s="585">
        <f t="shared" si="12"/>
        <v>2.1428571428571428</v>
      </c>
      <c r="L59" s="585">
        <f t="shared" si="13"/>
        <v>8.5714285714285712</v>
      </c>
      <c r="M59" s="585">
        <f t="shared" si="14"/>
        <v>4.6428571428571423</v>
      </c>
      <c r="N59" s="776">
        <f t="shared" si="15"/>
        <v>1.0714285714285714</v>
      </c>
      <c r="O59" s="585">
        <f>SQRT((2*I59*'OM Assumptions'!$B$24*'OM Assumptions'!$B$23)/(F59*'OM Assumptions'!$B$22))</f>
        <v>3765.2031281622694</v>
      </c>
      <c r="P59" s="585">
        <f t="shared" si="16"/>
        <v>3765.2031281622694</v>
      </c>
      <c r="Q59" s="585">
        <f t="shared" si="17"/>
        <v>1882.6015640811347</v>
      </c>
      <c r="R59" s="585">
        <f t="shared" si="18"/>
        <v>9455.6745310556998</v>
      </c>
      <c r="S59" s="585">
        <f t="shared" si="19"/>
        <v>6090.3571428571422</v>
      </c>
      <c r="T59" s="486">
        <f t="shared" si="20"/>
        <v>17429</v>
      </c>
      <c r="U59" s="492">
        <v>18</v>
      </c>
      <c r="V59" s="581"/>
      <c r="W59" s="581"/>
      <c r="Z59" s="582"/>
    </row>
    <row r="60" spans="1:26">
      <c r="A60" s="492" t="s">
        <v>718</v>
      </c>
      <c r="B60" s="583">
        <v>30</v>
      </c>
      <c r="C60" s="584">
        <f t="shared" si="7"/>
        <v>4.2857142857142856</v>
      </c>
      <c r="D60" s="583">
        <v>30</v>
      </c>
      <c r="E60" s="584">
        <f t="shared" si="8"/>
        <v>4.2857142857142856</v>
      </c>
      <c r="F60" s="576">
        <v>0.01</v>
      </c>
      <c r="G60" s="584">
        <v>8</v>
      </c>
      <c r="H60" s="766">
        <f t="shared" si="9"/>
        <v>0.08</v>
      </c>
      <c r="I60" s="585">
        <f t="shared" si="10"/>
        <v>11368.666666666666</v>
      </c>
      <c r="J60" s="585">
        <f t="shared" si="11"/>
        <v>18918.604892457664</v>
      </c>
      <c r="K60" s="585">
        <f t="shared" si="12"/>
        <v>2.1428571428571428</v>
      </c>
      <c r="L60" s="585">
        <f t="shared" si="13"/>
        <v>8.5714285714285712</v>
      </c>
      <c r="M60" s="585">
        <f t="shared" si="14"/>
        <v>4.6428571428571423</v>
      </c>
      <c r="N60" s="776">
        <f t="shared" si="15"/>
        <v>1.0714285714285714</v>
      </c>
      <c r="O60" s="585">
        <f>SQRT((2*I60*'OM Assumptions'!$B$24*'OM Assumptions'!$B$23)/(F60*'OM Assumptions'!$B$22))</f>
        <v>125556.96361059035</v>
      </c>
      <c r="P60" s="585">
        <f t="shared" si="16"/>
        <v>15694.620451323794</v>
      </c>
      <c r="Q60" s="585">
        <f t="shared" si="17"/>
        <v>62778.481805295174</v>
      </c>
      <c r="R60" s="585">
        <f t="shared" si="18"/>
        <v>75645.396248445599</v>
      </c>
      <c r="S60" s="585">
        <f t="shared" si="19"/>
        <v>48722.857142857138</v>
      </c>
      <c r="T60" s="486">
        <f t="shared" si="20"/>
        <v>187147</v>
      </c>
      <c r="U60" s="492">
        <v>4</v>
      </c>
      <c r="V60" s="581"/>
      <c r="W60" s="581"/>
      <c r="Z60" s="582"/>
    </row>
    <row r="61" spans="1:26">
      <c r="A61" s="492" t="s">
        <v>719</v>
      </c>
      <c r="B61" s="583">
        <v>30</v>
      </c>
      <c r="C61" s="584">
        <f t="shared" si="7"/>
        <v>4.2857142857142856</v>
      </c>
      <c r="D61" s="583">
        <v>30</v>
      </c>
      <c r="E61" s="584">
        <f t="shared" si="8"/>
        <v>4.2857142857142856</v>
      </c>
      <c r="F61" s="576">
        <v>2.2999999999999998</v>
      </c>
      <c r="G61" s="584">
        <v>0.01</v>
      </c>
      <c r="H61" s="766">
        <f t="shared" si="9"/>
        <v>2.3E-2</v>
      </c>
      <c r="I61" s="585">
        <f t="shared" si="10"/>
        <v>14.210833333333333</v>
      </c>
      <c r="J61" s="585">
        <f t="shared" si="11"/>
        <v>23.648256115572082</v>
      </c>
      <c r="K61" s="585">
        <f t="shared" si="12"/>
        <v>2.1428571428571428</v>
      </c>
      <c r="L61" s="585">
        <f t="shared" si="13"/>
        <v>8.5714285714285712</v>
      </c>
      <c r="M61" s="585">
        <f t="shared" si="14"/>
        <v>4.6428571428571423</v>
      </c>
      <c r="N61" s="776">
        <f t="shared" si="15"/>
        <v>1.0714285714285714</v>
      </c>
      <c r="O61" s="585">
        <f>SQRT((2*I61*'OM Assumptions'!$B$24*'OM Assumptions'!$B$23)/(F61*'OM Assumptions'!$B$22))</f>
        <v>292.70618068732404</v>
      </c>
      <c r="P61" s="585">
        <f t="shared" si="16"/>
        <v>29270.618068732401</v>
      </c>
      <c r="Q61" s="585">
        <f t="shared" si="17"/>
        <v>146.35309034366202</v>
      </c>
      <c r="R61" s="585">
        <f t="shared" si="18"/>
        <v>94.556745310556991</v>
      </c>
      <c r="S61" s="585">
        <f t="shared" si="19"/>
        <v>60.903571428571425</v>
      </c>
      <c r="T61" s="486">
        <f t="shared" si="20"/>
        <v>302</v>
      </c>
      <c r="U61" s="492">
        <v>2</v>
      </c>
      <c r="V61" s="581"/>
      <c r="W61" s="581"/>
      <c r="Z61" s="582"/>
    </row>
    <row r="62" spans="1:26">
      <c r="A62" s="575" t="s">
        <v>720</v>
      </c>
      <c r="B62" s="586"/>
      <c r="C62" s="584"/>
      <c r="D62" s="577"/>
      <c r="E62" s="584"/>
      <c r="F62" s="587"/>
      <c r="G62" s="588"/>
      <c r="H62" s="766"/>
      <c r="I62" s="585"/>
      <c r="J62" s="585"/>
      <c r="K62" s="585"/>
      <c r="L62" s="585"/>
      <c r="M62" s="585"/>
      <c r="N62" s="776"/>
      <c r="O62" s="585"/>
      <c r="P62" s="585"/>
      <c r="Q62" s="585"/>
      <c r="R62" s="585"/>
      <c r="S62" s="585"/>
      <c r="T62" s="486"/>
      <c r="U62" s="492"/>
      <c r="V62" s="581"/>
      <c r="W62" s="581"/>
      <c r="Z62" s="582"/>
    </row>
    <row r="63" spans="1:26">
      <c r="A63" s="589" t="s">
        <v>721</v>
      </c>
      <c r="B63" s="590">
        <v>30</v>
      </c>
      <c r="C63" s="584">
        <f t="shared" ref="C63:C64" si="21">B63/7</f>
        <v>4.2857142857142856</v>
      </c>
      <c r="D63" s="591">
        <v>30</v>
      </c>
      <c r="E63" s="584">
        <f t="shared" ref="E63:E64" si="22">D63/7</f>
        <v>4.2857142857142856</v>
      </c>
      <c r="F63" s="592">
        <v>1.9</v>
      </c>
      <c r="G63" s="593">
        <v>1</v>
      </c>
      <c r="H63" s="766">
        <f t="shared" ref="H63:H64" si="23">F63*G63</f>
        <v>1.9</v>
      </c>
      <c r="I63" s="585">
        <f t="shared" ref="I63:I64" si="24">$B$45*G63</f>
        <v>1421.0833333333333</v>
      </c>
      <c r="J63" s="585">
        <f t="shared" ref="J63:J64" si="25">G63*$B$46</f>
        <v>2364.825611557208</v>
      </c>
      <c r="K63" s="585">
        <f t="shared" ref="K63:K64" si="26">C63/2</f>
        <v>2.1428571428571428</v>
      </c>
      <c r="L63" s="585">
        <f t="shared" ref="L63:L64" si="27">C63*2</f>
        <v>8.5714285714285712</v>
      </c>
      <c r="M63" s="585">
        <f t="shared" ref="M63:M64" si="28">(K63+(C63*4)+L63)/6</f>
        <v>4.6428571428571423</v>
      </c>
      <c r="N63" s="776">
        <f t="shared" ref="N63:N64" si="29">(L63-K63)/6</f>
        <v>1.0714285714285714</v>
      </c>
      <c r="O63" s="585">
        <f>SQRT((2*I63*'OM Assumptions'!$B$24*'OM Assumptions'!$B$23)/(F63*'OM Assumptions'!$B$22))</f>
        <v>3220.4681654502288</v>
      </c>
      <c r="P63" s="585">
        <f t="shared" ref="P63:P64" si="30">O63/G63</f>
        <v>3220.4681654502288</v>
      </c>
      <c r="Q63" s="585">
        <f t="shared" ref="Q63:Q64" si="31">O63/2</f>
        <v>1610.2340827251144</v>
      </c>
      <c r="R63" s="585">
        <f t="shared" ref="R63:R64" si="32">$E$45 * SQRT(M63*J63^2+I63^2*N63^2)</f>
        <v>9455.6745310556998</v>
      </c>
      <c r="S63" s="585">
        <f t="shared" ref="S63:S64" si="33">I63*E63</f>
        <v>6090.3571428571422</v>
      </c>
      <c r="T63" s="486">
        <f t="shared" ref="T63:T64" si="34">ROUND(SUM(Q63:S63), 0)</f>
        <v>17156</v>
      </c>
      <c r="U63" s="492">
        <v>21</v>
      </c>
      <c r="V63" s="581"/>
      <c r="W63" s="581"/>
      <c r="Z63" s="582"/>
    </row>
    <row r="64" spans="1:26">
      <c r="A64" s="594" t="s">
        <v>722</v>
      </c>
      <c r="B64" s="595">
        <v>30</v>
      </c>
      <c r="C64" s="584">
        <f t="shared" si="21"/>
        <v>4.2857142857142856</v>
      </c>
      <c r="D64" s="583">
        <v>30</v>
      </c>
      <c r="E64" s="584">
        <f t="shared" si="22"/>
        <v>4.2857142857142856</v>
      </c>
      <c r="F64" s="596">
        <v>0.2</v>
      </c>
      <c r="G64" s="593">
        <v>2</v>
      </c>
      <c r="H64" s="766">
        <f t="shared" si="23"/>
        <v>0.4</v>
      </c>
      <c r="I64" s="585">
        <f t="shared" si="24"/>
        <v>2842.1666666666665</v>
      </c>
      <c r="J64" s="585">
        <f t="shared" si="25"/>
        <v>4729.6512231144161</v>
      </c>
      <c r="K64" s="585">
        <f t="shared" si="26"/>
        <v>2.1428571428571428</v>
      </c>
      <c r="L64" s="585">
        <f t="shared" si="27"/>
        <v>8.5714285714285712</v>
      </c>
      <c r="M64" s="585">
        <f t="shared" si="28"/>
        <v>4.6428571428571423</v>
      </c>
      <c r="N64" s="776">
        <f t="shared" si="29"/>
        <v>1.0714285714285714</v>
      </c>
      <c r="O64" s="585">
        <f>SQRT((2*I64*'OM Assumptions'!$B$24*'OM Assumptions'!$B$23)/(F64*'OM Assumptions'!$B$22))</f>
        <v>14037.695284087373</v>
      </c>
      <c r="P64" s="585">
        <f t="shared" si="30"/>
        <v>7018.8476420436864</v>
      </c>
      <c r="Q64" s="585">
        <f t="shared" si="31"/>
        <v>7018.8476420436864</v>
      </c>
      <c r="R64" s="585">
        <f t="shared" si="32"/>
        <v>18911.3490621114</v>
      </c>
      <c r="S64" s="585">
        <f t="shared" si="33"/>
        <v>12180.714285714284</v>
      </c>
      <c r="T64" s="486">
        <f t="shared" si="34"/>
        <v>38111</v>
      </c>
      <c r="U64" s="492">
        <v>10</v>
      </c>
    </row>
    <row r="65" spans="1:21">
      <c r="A65" s="597" t="s">
        <v>92</v>
      </c>
      <c r="B65" s="492"/>
      <c r="C65" s="598"/>
      <c r="D65" s="586"/>
      <c r="E65" s="598"/>
      <c r="F65" s="492"/>
      <c r="G65" s="597"/>
      <c r="H65" s="766">
        <f>SUM(H51:H61)</f>
        <v>11.305214299999999</v>
      </c>
      <c r="I65" s="488"/>
      <c r="J65" s="488"/>
      <c r="K65" s="488"/>
      <c r="L65" s="488"/>
      <c r="M65" s="488"/>
      <c r="N65" s="488"/>
      <c r="O65" s="488"/>
      <c r="P65" s="488"/>
      <c r="Q65" s="488"/>
      <c r="R65" s="488"/>
      <c r="S65" s="488"/>
      <c r="T65" s="488"/>
      <c r="U65" s="597"/>
    </row>
    <row r="66" spans="1:21">
      <c r="A66" s="446"/>
      <c r="U66" s="441"/>
    </row>
    <row r="67" spans="1:21">
      <c r="A67" s="1370" t="s">
        <v>61</v>
      </c>
      <c r="B67" s="1297"/>
      <c r="C67" s="1297"/>
      <c r="D67" s="1297"/>
      <c r="E67" s="1297"/>
      <c r="F67" s="1297"/>
      <c r="G67" s="1297"/>
      <c r="H67" s="1297"/>
      <c r="I67" s="1297"/>
      <c r="J67" s="1297"/>
      <c r="K67" s="1297"/>
      <c r="L67" s="1297"/>
      <c r="M67" s="1297"/>
      <c r="N67" s="1297"/>
      <c r="O67" s="1297"/>
      <c r="P67" s="1297"/>
      <c r="Q67" s="1297"/>
      <c r="R67" s="1297"/>
      <c r="S67" s="1297"/>
      <c r="T67" s="1297"/>
      <c r="U67" s="1342"/>
    </row>
    <row r="68" spans="1:21">
      <c r="A68" s="1343"/>
      <c r="B68" s="1297"/>
      <c r="C68" s="1297"/>
      <c r="D68" s="1297"/>
      <c r="E68" s="1297"/>
      <c r="F68" s="1297"/>
      <c r="G68" s="1297"/>
      <c r="H68" s="1297"/>
      <c r="I68" s="1297"/>
      <c r="J68" s="1297"/>
      <c r="K68" s="1297"/>
      <c r="L68" s="1297"/>
      <c r="M68" s="1297"/>
      <c r="N68" s="1297"/>
      <c r="O68" s="1297"/>
      <c r="P68" s="1297"/>
      <c r="Q68" s="1297"/>
      <c r="R68" s="1297"/>
      <c r="S68" s="1297"/>
      <c r="T68" s="1297"/>
      <c r="U68" s="1342"/>
    </row>
    <row r="69" spans="1:21">
      <c r="A69" s="1362" t="s">
        <v>730</v>
      </c>
      <c r="B69" s="1297"/>
      <c r="D69" s="1358" t="s">
        <v>731</v>
      </c>
      <c r="E69" s="1297"/>
      <c r="G69" s="1358" t="s">
        <v>732</v>
      </c>
      <c r="H69" s="1297"/>
      <c r="J69" s="1367" t="s">
        <v>733</v>
      </c>
      <c r="K69" s="1297"/>
      <c r="U69" s="441"/>
    </row>
    <row r="70" spans="1:21">
      <c r="A70" s="558" t="s">
        <v>734</v>
      </c>
      <c r="B70" s="771">
        <f>'BASES Model'!J11</f>
        <v>91223</v>
      </c>
      <c r="D70" s="559" t="s">
        <v>735</v>
      </c>
      <c r="E70" s="560">
        <f>COGS!C20</f>
        <v>18.966046151040338</v>
      </c>
      <c r="G70" s="559" t="s">
        <v>736</v>
      </c>
      <c r="H70" s="772">
        <f>B76/2</f>
        <v>1581.29425000794</v>
      </c>
      <c r="J70" s="398" t="s">
        <v>674</v>
      </c>
      <c r="K70" s="562">
        <f>SUMPRODUCT(F81:F94,T81:T94)</f>
        <v>314761.7835276</v>
      </c>
      <c r="U70" s="441"/>
    </row>
    <row r="71" spans="1:21">
      <c r="A71" s="563" t="s">
        <v>737</v>
      </c>
      <c r="B71" s="772">
        <f>B70*2</f>
        <v>182446</v>
      </c>
      <c r="D71" s="559" t="s">
        <v>738</v>
      </c>
      <c r="E71" s="562">
        <f>'Avg. Weighted Manufacturer''s Pr'!C16-E70</f>
        <v>43.778266090665809</v>
      </c>
      <c r="G71" s="559" t="s">
        <v>739</v>
      </c>
      <c r="H71" s="772">
        <f>E75*B76*SQRT(1)</f>
        <v>5657.681386140528</v>
      </c>
      <c r="J71" s="398" t="s">
        <v>675</v>
      </c>
      <c r="K71" s="562">
        <f>(ROUND(H76, 0)*(SUMPRODUCT(F81:F94, G81:G94)+E70))/2</f>
        <v>31250.311323811318</v>
      </c>
      <c r="U71" s="441"/>
    </row>
    <row r="72" spans="1:21">
      <c r="A72" s="564" t="s">
        <v>740</v>
      </c>
      <c r="B72" s="772">
        <f>B70/2</f>
        <v>45611.5</v>
      </c>
      <c r="D72" s="559" t="s">
        <v>741</v>
      </c>
      <c r="E72" s="562">
        <f>(E70*'OM Assumptions'!$B$22)/6</f>
        <v>0.94830230755201683</v>
      </c>
      <c r="G72" s="559" t="s">
        <v>742</v>
      </c>
      <c r="H72" s="772">
        <v>0</v>
      </c>
      <c r="J72" s="474" t="s">
        <v>676</v>
      </c>
      <c r="K72" s="565">
        <f>H73*E70</f>
        <v>137294.74600144842</v>
      </c>
      <c r="U72" s="441"/>
    </row>
    <row r="73" spans="1:21">
      <c r="A73" s="564" t="s">
        <v>743</v>
      </c>
      <c r="B73" s="772">
        <f>(B71+(B70*4)+B72)/6</f>
        <v>98824.916666666672</v>
      </c>
      <c r="D73" s="559" t="s">
        <v>744</v>
      </c>
      <c r="E73" s="560">
        <f>E71-E70</f>
        <v>24.812219939625471</v>
      </c>
      <c r="G73" s="559" t="s">
        <v>745</v>
      </c>
      <c r="H73" s="772">
        <f>SUM(H70:H72)</f>
        <v>7238.9756361484679</v>
      </c>
      <c r="J73" s="456" t="s">
        <v>678</v>
      </c>
      <c r="K73" s="566">
        <f>SUM(K70:K72)</f>
        <v>483306.84085285972</v>
      </c>
      <c r="U73" s="441"/>
    </row>
    <row r="74" spans="1:21">
      <c r="A74" s="564" t="s">
        <v>746</v>
      </c>
      <c r="B74" s="772">
        <f>(B71-B72)/6</f>
        <v>22805.75</v>
      </c>
      <c r="D74" s="559" t="s">
        <v>726</v>
      </c>
      <c r="E74" s="773">
        <f>E73/(E72+E73)</f>
        <v>0.96318776853773147</v>
      </c>
      <c r="U74" s="441"/>
    </row>
    <row r="75" spans="1:21">
      <c r="A75" s="564" t="s">
        <v>747</v>
      </c>
      <c r="B75" s="772">
        <f>B73/52</f>
        <v>1900.4791666666667</v>
      </c>
      <c r="D75" s="559" t="s">
        <v>748</v>
      </c>
      <c r="E75" s="774">
        <f>NORMSINV(E74)</f>
        <v>1.7889400995773304</v>
      </c>
      <c r="G75" s="1358" t="s">
        <v>749</v>
      </c>
      <c r="H75" s="1297"/>
      <c r="U75" s="441"/>
    </row>
    <row r="76" spans="1:21">
      <c r="A76" s="564" t="s">
        <v>750</v>
      </c>
      <c r="B76" s="772">
        <f>B74/SQRT(52)</f>
        <v>3162.5885000158801</v>
      </c>
      <c r="G76" s="559" t="s">
        <v>751</v>
      </c>
      <c r="H76" s="772">
        <f>B75</f>
        <v>1900.4791666666667</v>
      </c>
      <c r="U76" s="441"/>
    </row>
    <row r="77" spans="1:21">
      <c r="A77" s="446"/>
      <c r="U77" s="441"/>
    </row>
    <row r="78" spans="1:21">
      <c r="A78" s="570" t="s">
        <v>752</v>
      </c>
      <c r="B78" s="561"/>
      <c r="C78" s="544"/>
      <c r="D78" s="544"/>
      <c r="E78" s="544"/>
      <c r="F78" s="571"/>
      <c r="G78" s="544"/>
      <c r="H78" s="544"/>
      <c r="I78" s="544"/>
      <c r="J78" s="544"/>
      <c r="K78" s="568"/>
      <c r="L78" s="456"/>
      <c r="M78" s="456"/>
      <c r="U78" s="441"/>
    </row>
    <row r="79" spans="1:21">
      <c r="A79" s="572" t="s">
        <v>681</v>
      </c>
      <c r="B79" s="572" t="s">
        <v>753</v>
      </c>
      <c r="C79" s="604" t="s">
        <v>754</v>
      </c>
      <c r="D79" s="572" t="s">
        <v>755</v>
      </c>
      <c r="E79" s="604" t="s">
        <v>756</v>
      </c>
      <c r="F79" s="572" t="s">
        <v>757</v>
      </c>
      <c r="G79" s="572" t="s">
        <v>758</v>
      </c>
      <c r="H79" s="777" t="s">
        <v>759</v>
      </c>
      <c r="I79" s="785" t="s">
        <v>747</v>
      </c>
      <c r="J79" s="785" t="s">
        <v>760</v>
      </c>
      <c r="K79" s="785" t="s">
        <v>761</v>
      </c>
      <c r="L79" s="785" t="s">
        <v>762</v>
      </c>
      <c r="M79" s="785" t="s">
        <v>763</v>
      </c>
      <c r="N79" s="785" t="s">
        <v>764</v>
      </c>
      <c r="O79" s="785" t="s">
        <v>765</v>
      </c>
      <c r="P79" s="785" t="s">
        <v>772</v>
      </c>
      <c r="Q79" s="785" t="s">
        <v>767</v>
      </c>
      <c r="R79" s="785" t="s">
        <v>768</v>
      </c>
      <c r="S79" s="785" t="s">
        <v>769</v>
      </c>
      <c r="T79" s="784" t="s">
        <v>770</v>
      </c>
      <c r="U79" s="784" t="s">
        <v>771</v>
      </c>
    </row>
    <row r="80" spans="1:21">
      <c r="A80" s="575" t="s">
        <v>689</v>
      </c>
      <c r="B80" s="576"/>
      <c r="C80" s="584"/>
      <c r="D80" s="576"/>
      <c r="E80" s="584"/>
      <c r="F80" s="576"/>
      <c r="G80" s="578"/>
      <c r="H80" s="579"/>
      <c r="I80" s="585"/>
      <c r="J80" s="585"/>
      <c r="K80" s="585"/>
      <c r="L80" s="585"/>
      <c r="M80" s="585"/>
      <c r="N80" s="585"/>
      <c r="O80" s="585"/>
      <c r="P80" s="585"/>
      <c r="Q80" s="585"/>
      <c r="R80" s="605"/>
      <c r="S80" s="585"/>
      <c r="T80" s="488"/>
      <c r="U80" s="488"/>
    </row>
    <row r="81" spans="1:27">
      <c r="A81" s="492" t="s">
        <v>697</v>
      </c>
      <c r="B81" s="606">
        <v>30</v>
      </c>
      <c r="C81" s="584">
        <f t="shared" ref="C81:C91" si="35">B81/7</f>
        <v>4.2857142857142856</v>
      </c>
      <c r="D81" s="606">
        <v>30</v>
      </c>
      <c r="E81" s="584">
        <f t="shared" ref="E81:E91" si="36">D81/7</f>
        <v>4.2857142857142856</v>
      </c>
      <c r="F81" s="576">
        <f>F51*(1+'OM Assumptions'!$B$12)</f>
        <v>5.1189999999999998</v>
      </c>
      <c r="G81" s="584">
        <v>3.0042860000000001E-2</v>
      </c>
      <c r="H81" s="766">
        <f t="shared" ref="H81:H91" si="37">F81*G81</f>
        <v>0.15378940033999999</v>
      </c>
      <c r="I81" s="585">
        <f t="shared" ref="I81:I91" si="38">$B$75*G81</f>
        <v>57.09582953708334</v>
      </c>
      <c r="J81" s="585">
        <f t="shared" ref="J81:J91" si="39">G81*$B$76</f>
        <v>95.013203543587082</v>
      </c>
      <c r="K81" s="585">
        <f t="shared" ref="K81:K91" si="40">C81/2</f>
        <v>2.1428571428571428</v>
      </c>
      <c r="L81" s="585">
        <f t="shared" ref="L81:L91" si="41">C81*2</f>
        <v>8.5714285714285712</v>
      </c>
      <c r="M81" s="585">
        <f t="shared" ref="M81:M91" si="42">(K81+(C81*4)+L81)/6</f>
        <v>4.6428571428571423</v>
      </c>
      <c r="N81" s="776">
        <f t="shared" ref="N81:N91" si="43">(L81-K81)/6</f>
        <v>1.0714285714285714</v>
      </c>
      <c r="O81" s="585">
        <f>SQRT((2*I81*'OM Assumptions'!$B$24*'OM Assumptions'!$B$23)/(F81*'OM Assumptions'!$B$22))</f>
        <v>393.27439058227537</v>
      </c>
      <c r="P81" s="585">
        <f t="shared" ref="P81:P91" si="44">O81/G81</f>
        <v>13090.444471074836</v>
      </c>
      <c r="Q81" s="585">
        <f t="shared" ref="Q81:Q91" si="45">O81/2</f>
        <v>196.63719529113769</v>
      </c>
      <c r="R81" s="585">
        <f t="shared" ref="R81:R91" si="46">$E$75 * SQRT(M81*J81^2+I81^2*N81^2)</f>
        <v>382.24633041756465</v>
      </c>
      <c r="S81" s="585">
        <f t="shared" ref="S81:S91" si="47">I81*E81</f>
        <v>244.69641230178573</v>
      </c>
      <c r="T81" s="486">
        <f t="shared" ref="T81:T91" si="48">ROUND(SUM(Q81:S81), 0)</f>
        <v>824</v>
      </c>
      <c r="U81" s="488">
        <v>7</v>
      </c>
    </row>
    <row r="82" spans="1:27">
      <c r="A82" s="492" t="s">
        <v>700</v>
      </c>
      <c r="B82" s="606">
        <v>30</v>
      </c>
      <c r="C82" s="584">
        <f t="shared" si="35"/>
        <v>4.2857142857142856</v>
      </c>
      <c r="D82" s="606">
        <v>30</v>
      </c>
      <c r="E82" s="584">
        <f t="shared" si="36"/>
        <v>4.2857142857142856</v>
      </c>
      <c r="F82" s="576">
        <f>F52*(1+'OM Assumptions'!$B$12)</f>
        <v>5.1190000000000003E-3</v>
      </c>
      <c r="G82" s="584">
        <v>1</v>
      </c>
      <c r="H82" s="766">
        <f t="shared" si="37"/>
        <v>5.1190000000000003E-3</v>
      </c>
      <c r="I82" s="585">
        <f t="shared" si="38"/>
        <v>1900.4791666666667</v>
      </c>
      <c r="J82" s="585">
        <f t="shared" si="39"/>
        <v>3162.5885000158801</v>
      </c>
      <c r="K82" s="585">
        <f t="shared" si="40"/>
        <v>2.1428571428571428</v>
      </c>
      <c r="L82" s="585">
        <f t="shared" si="41"/>
        <v>8.5714285714285712</v>
      </c>
      <c r="M82" s="585">
        <f t="shared" si="42"/>
        <v>4.6428571428571423</v>
      </c>
      <c r="N82" s="776">
        <f t="shared" si="43"/>
        <v>1.0714285714285714</v>
      </c>
      <c r="O82" s="585">
        <f>SQRT((2*I82*'OM Assumptions'!$B$24*'OM Assumptions'!$B$23)/(F82*'OM Assumptions'!$B$22))</f>
        <v>71750.516178025311</v>
      </c>
      <c r="P82" s="585">
        <f t="shared" si="44"/>
        <v>71750.516178025311</v>
      </c>
      <c r="Q82" s="585">
        <f t="shared" si="45"/>
        <v>35875.258089012656</v>
      </c>
      <c r="R82" s="585">
        <f t="shared" si="46"/>
        <v>12723.366897078529</v>
      </c>
      <c r="S82" s="585">
        <f t="shared" si="47"/>
        <v>8144.9107142857147</v>
      </c>
      <c r="T82" s="486">
        <f t="shared" si="48"/>
        <v>56744</v>
      </c>
      <c r="U82" s="488">
        <v>1</v>
      </c>
    </row>
    <row r="83" spans="1:27">
      <c r="A83" s="492" t="s">
        <v>707</v>
      </c>
      <c r="B83" s="606">
        <v>56</v>
      </c>
      <c r="C83" s="584">
        <f t="shared" si="35"/>
        <v>8</v>
      </c>
      <c r="D83" s="606">
        <v>7</v>
      </c>
      <c r="E83" s="584">
        <f t="shared" si="36"/>
        <v>1</v>
      </c>
      <c r="F83" s="576">
        <f>F53*(1+'OM Assumptions'!$B$12)</f>
        <v>0.10954660000000001</v>
      </c>
      <c r="G83" s="584">
        <v>1</v>
      </c>
      <c r="H83" s="766">
        <f t="shared" si="37"/>
        <v>0.10954660000000001</v>
      </c>
      <c r="I83" s="585">
        <f t="shared" si="38"/>
        <v>1900.4791666666667</v>
      </c>
      <c r="J83" s="585">
        <f t="shared" si="39"/>
        <v>3162.5885000158801</v>
      </c>
      <c r="K83" s="585">
        <f t="shared" si="40"/>
        <v>4</v>
      </c>
      <c r="L83" s="585">
        <f t="shared" si="41"/>
        <v>16</v>
      </c>
      <c r="M83" s="585">
        <f t="shared" si="42"/>
        <v>8.6666666666666661</v>
      </c>
      <c r="N83" s="776">
        <f t="shared" si="43"/>
        <v>2</v>
      </c>
      <c r="O83" s="585">
        <f>SQRT((2*I83*'OM Assumptions'!$B$24*'OM Assumptions'!$B$23)/(F83*'OM Assumptions'!$B$22))</f>
        <v>15510.226610980748</v>
      </c>
      <c r="P83" s="585">
        <f t="shared" si="44"/>
        <v>15510.226610980748</v>
      </c>
      <c r="Q83" s="585">
        <f t="shared" si="45"/>
        <v>7755.1133054903739</v>
      </c>
      <c r="R83" s="585">
        <f t="shared" si="46"/>
        <v>17990.280211221379</v>
      </c>
      <c r="S83" s="585">
        <f t="shared" si="47"/>
        <v>1900.4791666666667</v>
      </c>
      <c r="T83" s="486">
        <f t="shared" si="48"/>
        <v>27646</v>
      </c>
      <c r="U83" s="488">
        <v>6</v>
      </c>
    </row>
    <row r="84" spans="1:27">
      <c r="A84" s="492" t="s">
        <v>710</v>
      </c>
      <c r="B84" s="606">
        <v>23</v>
      </c>
      <c r="C84" s="584">
        <f t="shared" si="35"/>
        <v>3.2857142857142856</v>
      </c>
      <c r="D84" s="606">
        <v>7</v>
      </c>
      <c r="E84" s="584">
        <f t="shared" si="36"/>
        <v>1</v>
      </c>
      <c r="F84" s="576">
        <f>F54*(1+'OM Assumptions'!$B$12)</f>
        <v>0.97260999999999997</v>
      </c>
      <c r="G84" s="584">
        <v>1</v>
      </c>
      <c r="H84" s="766">
        <f t="shared" si="37"/>
        <v>0.97260999999999997</v>
      </c>
      <c r="I84" s="585">
        <f t="shared" si="38"/>
        <v>1900.4791666666667</v>
      </c>
      <c r="J84" s="585">
        <f t="shared" si="39"/>
        <v>3162.5885000158801</v>
      </c>
      <c r="K84" s="585">
        <f t="shared" si="40"/>
        <v>1.6428571428571428</v>
      </c>
      <c r="L84" s="585">
        <f t="shared" si="41"/>
        <v>6.5714285714285712</v>
      </c>
      <c r="M84" s="585">
        <f t="shared" si="42"/>
        <v>3.5595238095238089</v>
      </c>
      <c r="N84" s="776">
        <f t="shared" si="43"/>
        <v>0.82142857142857151</v>
      </c>
      <c r="O84" s="585">
        <f>SQRT((2*I84*'OM Assumptions'!$B$24*'OM Assumptions'!$B$23)/(F84*'OM Assumptions'!$B$22))</f>
        <v>5205.3295420291533</v>
      </c>
      <c r="P84" s="585">
        <f t="shared" si="44"/>
        <v>5205.3295420291533</v>
      </c>
      <c r="Q84" s="585">
        <f t="shared" si="45"/>
        <v>2602.6647710145767</v>
      </c>
      <c r="R84" s="585">
        <f t="shared" si="46"/>
        <v>11033.467576887877</v>
      </c>
      <c r="S84" s="585">
        <f t="shared" si="47"/>
        <v>1900.4791666666667</v>
      </c>
      <c r="T84" s="486">
        <f t="shared" si="48"/>
        <v>15537</v>
      </c>
      <c r="U84" s="488">
        <v>18</v>
      </c>
    </row>
    <row r="85" spans="1:27">
      <c r="A85" s="492" t="s">
        <v>713</v>
      </c>
      <c r="B85" s="606">
        <v>30</v>
      </c>
      <c r="C85" s="584">
        <f t="shared" si="35"/>
        <v>4.2857142857142856</v>
      </c>
      <c r="D85" s="606">
        <v>30</v>
      </c>
      <c r="E85" s="584">
        <f t="shared" si="36"/>
        <v>4.2857142857142856</v>
      </c>
      <c r="F85" s="576">
        <f>F55*(1+'OM Assumptions'!$B$12)</f>
        <v>1.6483180000000002</v>
      </c>
      <c r="G85" s="584">
        <v>1</v>
      </c>
      <c r="H85" s="766">
        <f t="shared" si="37"/>
        <v>1.6483180000000002</v>
      </c>
      <c r="I85" s="585">
        <f t="shared" si="38"/>
        <v>1900.4791666666667</v>
      </c>
      <c r="J85" s="585">
        <f t="shared" si="39"/>
        <v>3162.5885000158801</v>
      </c>
      <c r="K85" s="585">
        <f t="shared" si="40"/>
        <v>2.1428571428571428</v>
      </c>
      <c r="L85" s="585">
        <f t="shared" si="41"/>
        <v>8.5714285714285712</v>
      </c>
      <c r="M85" s="585">
        <f t="shared" si="42"/>
        <v>4.6428571428571423</v>
      </c>
      <c r="N85" s="776">
        <f t="shared" si="43"/>
        <v>1.0714285714285714</v>
      </c>
      <c r="O85" s="585">
        <f>SQRT((2*I85*'OM Assumptions'!$B$24*'OM Assumptions'!$B$23)/(F85*'OM Assumptions'!$B$22))</f>
        <v>3998.4999407048881</v>
      </c>
      <c r="P85" s="585">
        <f t="shared" si="44"/>
        <v>3998.4999407048881</v>
      </c>
      <c r="Q85" s="585">
        <f t="shared" si="45"/>
        <v>1999.2499703524441</v>
      </c>
      <c r="R85" s="585">
        <f t="shared" si="46"/>
        <v>12723.366897078529</v>
      </c>
      <c r="S85" s="585">
        <f t="shared" si="47"/>
        <v>8144.9107142857147</v>
      </c>
      <c r="T85" s="486">
        <f t="shared" si="48"/>
        <v>22868</v>
      </c>
      <c r="U85" s="488">
        <v>23</v>
      </c>
    </row>
    <row r="86" spans="1:27">
      <c r="A86" s="492" t="s">
        <v>714</v>
      </c>
      <c r="B86" s="606">
        <v>23</v>
      </c>
      <c r="C86" s="584">
        <f t="shared" si="35"/>
        <v>3.2857142857142856</v>
      </c>
      <c r="D86" s="606">
        <v>7</v>
      </c>
      <c r="E86" s="584">
        <f t="shared" si="36"/>
        <v>1</v>
      </c>
      <c r="F86" s="576">
        <f>F56*(1+'OM Assumptions'!$B$12)</f>
        <v>1.0238000000000001E-2</v>
      </c>
      <c r="G86" s="584">
        <v>1</v>
      </c>
      <c r="H86" s="766">
        <f t="shared" si="37"/>
        <v>1.0238000000000001E-2</v>
      </c>
      <c r="I86" s="585">
        <f t="shared" si="38"/>
        <v>1900.4791666666667</v>
      </c>
      <c r="J86" s="585">
        <f t="shared" si="39"/>
        <v>3162.5885000158801</v>
      </c>
      <c r="K86" s="585">
        <f t="shared" si="40"/>
        <v>1.6428571428571428</v>
      </c>
      <c r="L86" s="585">
        <f t="shared" si="41"/>
        <v>6.5714285714285712</v>
      </c>
      <c r="M86" s="585">
        <f t="shared" si="42"/>
        <v>3.5595238095238089</v>
      </c>
      <c r="N86" s="776">
        <f t="shared" si="43"/>
        <v>0.82142857142857151</v>
      </c>
      <c r="O86" s="585">
        <f>SQRT((2*I86*'OM Assumptions'!$B$24*'OM Assumptions'!$B$23)/(F86*'OM Assumptions'!$B$22))</f>
        <v>50735.276543116779</v>
      </c>
      <c r="P86" s="585">
        <f t="shared" si="44"/>
        <v>50735.276543116779</v>
      </c>
      <c r="Q86" s="585">
        <f t="shared" si="45"/>
        <v>25367.63827155839</v>
      </c>
      <c r="R86" s="585">
        <f t="shared" si="46"/>
        <v>11033.467576887877</v>
      </c>
      <c r="S86" s="585">
        <f t="shared" si="47"/>
        <v>1900.4791666666667</v>
      </c>
      <c r="T86" s="486">
        <f t="shared" si="48"/>
        <v>38302</v>
      </c>
      <c r="U86" s="488">
        <v>2</v>
      </c>
    </row>
    <row r="87" spans="1:27">
      <c r="A87" s="492" t="s">
        <v>715</v>
      </c>
      <c r="B87" s="606">
        <v>30</v>
      </c>
      <c r="C87" s="584">
        <f t="shared" si="35"/>
        <v>4.2857142857142856</v>
      </c>
      <c r="D87" s="606">
        <v>30</v>
      </c>
      <c r="E87" s="584">
        <f t="shared" si="36"/>
        <v>4.2857142857142856</v>
      </c>
      <c r="F87" s="576">
        <f>F57*(1+'OM Assumptions'!$B$12)</f>
        <v>7.0437440000000002</v>
      </c>
      <c r="G87" s="584">
        <v>1</v>
      </c>
      <c r="H87" s="766">
        <f t="shared" si="37"/>
        <v>7.0437440000000002</v>
      </c>
      <c r="I87" s="585">
        <f t="shared" si="38"/>
        <v>1900.4791666666667</v>
      </c>
      <c r="J87" s="585">
        <f t="shared" si="39"/>
        <v>3162.5885000158801</v>
      </c>
      <c r="K87" s="585">
        <f t="shared" si="40"/>
        <v>2.1428571428571428</v>
      </c>
      <c r="L87" s="585">
        <f t="shared" si="41"/>
        <v>8.5714285714285712</v>
      </c>
      <c r="M87" s="585">
        <f t="shared" si="42"/>
        <v>4.6428571428571423</v>
      </c>
      <c r="N87" s="776">
        <f t="shared" si="43"/>
        <v>1.0714285714285714</v>
      </c>
      <c r="O87" s="585">
        <f>SQRT((2*I87*'OM Assumptions'!$B$24*'OM Assumptions'!$B$23)/(F87*'OM Assumptions'!$B$22))*2</f>
        <v>3868.5285691273211</v>
      </c>
      <c r="P87" s="585">
        <f t="shared" si="44"/>
        <v>3868.5285691273211</v>
      </c>
      <c r="Q87" s="585">
        <f t="shared" si="45"/>
        <v>1934.2642845636606</v>
      </c>
      <c r="R87" s="585">
        <f t="shared" si="46"/>
        <v>12723.366897078529</v>
      </c>
      <c r="S87" s="585">
        <f t="shared" si="47"/>
        <v>8144.9107142857147</v>
      </c>
      <c r="T87" s="486">
        <f t="shared" si="48"/>
        <v>22803</v>
      </c>
      <c r="U87" s="488">
        <v>24</v>
      </c>
    </row>
    <row r="88" spans="1:27">
      <c r="A88" s="492" t="s">
        <v>716</v>
      </c>
      <c r="B88" s="606">
        <v>30</v>
      </c>
      <c r="C88" s="584">
        <f t="shared" si="35"/>
        <v>4.2857142857142856</v>
      </c>
      <c r="D88" s="606">
        <v>30</v>
      </c>
      <c r="E88" s="584">
        <f t="shared" si="36"/>
        <v>4.2857142857142856</v>
      </c>
      <c r="F88" s="576">
        <f>F58*(1+'OM Assumptions'!$B$12)</f>
        <v>0.10238000000000001</v>
      </c>
      <c r="G88" s="584">
        <v>1</v>
      </c>
      <c r="H88" s="766">
        <f t="shared" si="37"/>
        <v>0.10238000000000001</v>
      </c>
      <c r="I88" s="585">
        <f t="shared" si="38"/>
        <v>1900.4791666666667</v>
      </c>
      <c r="J88" s="585">
        <f t="shared" si="39"/>
        <v>3162.5885000158801</v>
      </c>
      <c r="K88" s="585">
        <f t="shared" si="40"/>
        <v>2.1428571428571428</v>
      </c>
      <c r="L88" s="585">
        <f t="shared" si="41"/>
        <v>8.5714285714285712</v>
      </c>
      <c r="M88" s="585">
        <f t="shared" si="42"/>
        <v>4.6428571428571423</v>
      </c>
      <c r="N88" s="776">
        <f t="shared" si="43"/>
        <v>1.0714285714285714</v>
      </c>
      <c r="O88" s="585">
        <f>SQRT((2*I88*'OM Assumptions'!$B$24*'OM Assumptions'!$B$23)/(F88*'OM Assumptions'!$B$22))</f>
        <v>16043.903159476298</v>
      </c>
      <c r="P88" s="585">
        <f t="shared" si="44"/>
        <v>16043.903159476298</v>
      </c>
      <c r="Q88" s="585">
        <f t="shared" si="45"/>
        <v>8021.9515797381491</v>
      </c>
      <c r="R88" s="585">
        <f t="shared" si="46"/>
        <v>12723.366897078529</v>
      </c>
      <c r="S88" s="585">
        <f t="shared" si="47"/>
        <v>8144.9107142857147</v>
      </c>
      <c r="T88" s="486">
        <f t="shared" si="48"/>
        <v>28890</v>
      </c>
      <c r="U88" s="488">
        <v>6</v>
      </c>
    </row>
    <row r="89" spans="1:27">
      <c r="A89" s="492" t="s">
        <v>717</v>
      </c>
      <c r="B89" s="606">
        <v>30</v>
      </c>
      <c r="C89" s="584">
        <f t="shared" si="35"/>
        <v>4.2857142857142856</v>
      </c>
      <c r="D89" s="606">
        <v>30</v>
      </c>
      <c r="E89" s="584">
        <f t="shared" si="36"/>
        <v>4.2857142857142856</v>
      </c>
      <c r="F89" s="576">
        <f>F59*(1+'OM Assumptions'!$B$12)</f>
        <v>1.423082</v>
      </c>
      <c r="G89" s="584">
        <v>1</v>
      </c>
      <c r="H89" s="766">
        <f t="shared" si="37"/>
        <v>1.423082</v>
      </c>
      <c r="I89" s="585">
        <f t="shared" si="38"/>
        <v>1900.4791666666667</v>
      </c>
      <c r="J89" s="585">
        <f t="shared" si="39"/>
        <v>3162.5885000158801</v>
      </c>
      <c r="K89" s="585">
        <f t="shared" si="40"/>
        <v>2.1428571428571428</v>
      </c>
      <c r="L89" s="585">
        <f t="shared" si="41"/>
        <v>8.5714285714285712</v>
      </c>
      <c r="M89" s="585">
        <f t="shared" si="42"/>
        <v>4.6428571428571423</v>
      </c>
      <c r="N89" s="776">
        <f t="shared" si="43"/>
        <v>1.0714285714285714</v>
      </c>
      <c r="O89" s="585">
        <f>SQRT((2*I89*'OM Assumptions'!$B$24*'OM Assumptions'!$B$23)/(F89*'OM Assumptions'!$B$22))</f>
        <v>4303.3099908123559</v>
      </c>
      <c r="P89" s="585">
        <f t="shared" si="44"/>
        <v>4303.3099908123559</v>
      </c>
      <c r="Q89" s="585">
        <f t="shared" si="45"/>
        <v>2151.6549954061779</v>
      </c>
      <c r="R89" s="585">
        <f t="shared" si="46"/>
        <v>12723.366897078529</v>
      </c>
      <c r="S89" s="585">
        <f t="shared" si="47"/>
        <v>8144.9107142857147</v>
      </c>
      <c r="T89" s="486">
        <f t="shared" si="48"/>
        <v>23020</v>
      </c>
      <c r="U89" s="488">
        <v>21</v>
      </c>
    </row>
    <row r="90" spans="1:27">
      <c r="A90" s="492" t="s">
        <v>718</v>
      </c>
      <c r="B90" s="606">
        <v>30</v>
      </c>
      <c r="C90" s="584">
        <f t="shared" si="35"/>
        <v>4.2857142857142856</v>
      </c>
      <c r="D90" s="606">
        <v>30</v>
      </c>
      <c r="E90" s="584">
        <f t="shared" si="36"/>
        <v>4.2857142857142856</v>
      </c>
      <c r="F90" s="576">
        <f>F60*(1+'OM Assumptions'!$B$12)</f>
        <v>1.0238000000000001E-2</v>
      </c>
      <c r="G90" s="584">
        <v>8</v>
      </c>
      <c r="H90" s="766">
        <f t="shared" si="37"/>
        <v>8.1904000000000005E-2</v>
      </c>
      <c r="I90" s="585">
        <f t="shared" si="38"/>
        <v>15203.833333333334</v>
      </c>
      <c r="J90" s="585">
        <f t="shared" si="39"/>
        <v>25300.708000127041</v>
      </c>
      <c r="K90" s="585">
        <f t="shared" si="40"/>
        <v>2.1428571428571428</v>
      </c>
      <c r="L90" s="585">
        <f t="shared" si="41"/>
        <v>8.5714285714285712</v>
      </c>
      <c r="M90" s="585">
        <f t="shared" si="42"/>
        <v>4.6428571428571423</v>
      </c>
      <c r="N90" s="776">
        <f t="shared" si="43"/>
        <v>1.0714285714285714</v>
      </c>
      <c r="O90" s="585">
        <f>SQRT((2*I90*'OM Assumptions'!$B$24*'OM Assumptions'!$B$23)/(F90*'OM Assumptions'!$B$22))</f>
        <v>143501.03235605062</v>
      </c>
      <c r="P90" s="585">
        <f t="shared" si="44"/>
        <v>17937.629044506328</v>
      </c>
      <c r="Q90" s="585">
        <f t="shared" si="45"/>
        <v>71750.516178025311</v>
      </c>
      <c r="R90" s="585">
        <f t="shared" si="46"/>
        <v>101786.93517662823</v>
      </c>
      <c r="S90" s="585">
        <f t="shared" si="47"/>
        <v>65159.285714285717</v>
      </c>
      <c r="T90" s="486">
        <f t="shared" si="48"/>
        <v>238697</v>
      </c>
      <c r="U90" s="488">
        <v>5</v>
      </c>
    </row>
    <row r="91" spans="1:27">
      <c r="A91" s="492" t="s">
        <v>719</v>
      </c>
      <c r="B91" s="606">
        <v>30</v>
      </c>
      <c r="C91" s="584">
        <f t="shared" si="35"/>
        <v>4.2857142857142856</v>
      </c>
      <c r="D91" s="606">
        <v>30</v>
      </c>
      <c r="E91" s="584">
        <f t="shared" si="36"/>
        <v>4.2857142857142856</v>
      </c>
      <c r="F91" s="576">
        <f>F61*(1+'OM Assumptions'!$B$12)</f>
        <v>2.3547400000000001</v>
      </c>
      <c r="G91" s="584">
        <v>0.01</v>
      </c>
      <c r="H91" s="766">
        <f t="shared" si="37"/>
        <v>2.35474E-2</v>
      </c>
      <c r="I91" s="585">
        <f t="shared" si="38"/>
        <v>19.004791666666669</v>
      </c>
      <c r="J91" s="585">
        <f t="shared" si="39"/>
        <v>31.625885000158803</v>
      </c>
      <c r="K91" s="585">
        <f t="shared" si="40"/>
        <v>2.1428571428571428</v>
      </c>
      <c r="L91" s="585">
        <f t="shared" si="41"/>
        <v>8.5714285714285712</v>
      </c>
      <c r="M91" s="585">
        <f t="shared" si="42"/>
        <v>4.6428571428571423</v>
      </c>
      <c r="N91" s="776">
        <f t="shared" si="43"/>
        <v>1.0714285714285714</v>
      </c>
      <c r="O91" s="585">
        <f>SQRT((2*I91*'OM Assumptions'!$B$24*'OM Assumptions'!$B$23)/(F91*'OM Assumptions'!$B$22))</f>
        <v>334.53850664866513</v>
      </c>
      <c r="P91" s="585">
        <f t="shared" si="44"/>
        <v>33453.850664866513</v>
      </c>
      <c r="Q91" s="585">
        <f t="shared" si="45"/>
        <v>167.26925332433257</v>
      </c>
      <c r="R91" s="585">
        <f t="shared" si="46"/>
        <v>127.23366897078529</v>
      </c>
      <c r="S91" s="585">
        <f t="shared" si="47"/>
        <v>81.449107142857159</v>
      </c>
      <c r="T91" s="486">
        <f t="shared" si="48"/>
        <v>376</v>
      </c>
      <c r="U91" s="488">
        <v>3</v>
      </c>
    </row>
    <row r="92" spans="1:27">
      <c r="A92" s="575" t="s">
        <v>720</v>
      </c>
      <c r="B92" s="598"/>
      <c r="C92" s="584"/>
      <c r="D92" s="578"/>
      <c r="E92" s="584"/>
      <c r="F92" s="576"/>
      <c r="G92" s="588"/>
      <c r="H92" s="766"/>
      <c r="I92" s="585"/>
      <c r="J92" s="585"/>
      <c r="K92" s="585"/>
      <c r="L92" s="585"/>
      <c r="M92" s="585"/>
      <c r="N92" s="776"/>
      <c r="O92" s="585"/>
      <c r="P92" s="585"/>
      <c r="Q92" s="585"/>
      <c r="R92" s="585"/>
      <c r="S92" s="585"/>
      <c r="T92" s="486"/>
      <c r="U92" s="488"/>
    </row>
    <row r="93" spans="1:27">
      <c r="A93" s="589" t="s">
        <v>721</v>
      </c>
      <c r="B93" s="425">
        <v>30</v>
      </c>
      <c r="C93" s="584">
        <f t="shared" ref="C93:C94" si="49">B93/7</f>
        <v>4.2857142857142856</v>
      </c>
      <c r="D93" s="652">
        <v>30</v>
      </c>
      <c r="E93" s="584">
        <f t="shared" ref="E93:E94" si="50">D93/7</f>
        <v>4.2857142857142856</v>
      </c>
      <c r="F93" s="576">
        <f>F63*(1+'OM Assumptions'!$B$12)</f>
        <v>1.9452199999999999</v>
      </c>
      <c r="G93" s="593">
        <v>1</v>
      </c>
      <c r="H93" s="766">
        <f t="shared" ref="H93:H94" si="51">F93*G93</f>
        <v>1.9452199999999999</v>
      </c>
      <c r="I93" s="585">
        <f t="shared" ref="I93:I94" si="52">$B$75*G93</f>
        <v>1900.4791666666667</v>
      </c>
      <c r="J93" s="585">
        <f t="shared" ref="J93:J94" si="53">G93*$B$76</f>
        <v>3162.5885000158801</v>
      </c>
      <c r="K93" s="585">
        <f t="shared" ref="K93:K94" si="54">C93/2</f>
        <v>2.1428571428571428</v>
      </c>
      <c r="L93" s="585">
        <f t="shared" ref="L93:L94" si="55">C93*2</f>
        <v>8.5714285714285712</v>
      </c>
      <c r="M93" s="585">
        <f t="shared" ref="M93:M94" si="56">(K93+(C93*4)+L93)/6</f>
        <v>4.6428571428571423</v>
      </c>
      <c r="N93" s="776">
        <f t="shared" ref="N93:N94" si="57">(L93-K93)/6</f>
        <v>1.0714285714285714</v>
      </c>
      <c r="O93" s="585">
        <f>SQRT((2*I93*'OM Assumptions'!$B$24*'OM Assumptions'!$B$23)/(F93*'OM Assumptions'!$B$22))</f>
        <v>3680.7238174794797</v>
      </c>
      <c r="P93" s="585">
        <f t="shared" ref="P93:P94" si="58">O93/G93</f>
        <v>3680.7238174794797</v>
      </c>
      <c r="Q93" s="585">
        <f t="shared" ref="Q93:Q94" si="59">O93/2</f>
        <v>1840.3619087397399</v>
      </c>
      <c r="R93" s="585">
        <f t="shared" ref="R93:R94" si="60">$E$75 * SQRT(M93*J93^2+I93^2*N93^2)</f>
        <v>12723.366897078529</v>
      </c>
      <c r="S93" s="585">
        <f t="shared" ref="S93:S94" si="61">I93*E93</f>
        <v>8144.9107142857147</v>
      </c>
      <c r="T93" s="486">
        <f t="shared" ref="T93:T94" si="62">ROUND(SUM(Q93:S93), 0)</f>
        <v>22709</v>
      </c>
      <c r="U93" s="488">
        <v>25</v>
      </c>
    </row>
    <row r="94" spans="1:27">
      <c r="A94" s="594" t="s">
        <v>722</v>
      </c>
      <c r="B94" s="594">
        <v>30</v>
      </c>
      <c r="C94" s="584">
        <f t="shared" si="49"/>
        <v>4.2857142857142856</v>
      </c>
      <c r="D94" s="606">
        <v>30</v>
      </c>
      <c r="E94" s="584">
        <f t="shared" si="50"/>
        <v>4.2857142857142856</v>
      </c>
      <c r="F94" s="576">
        <f>F64*(1+'OM Assumptions'!$B$12)</f>
        <v>0.20476000000000003</v>
      </c>
      <c r="G94" s="593">
        <v>2</v>
      </c>
      <c r="H94" s="766">
        <f t="shared" si="51"/>
        <v>0.40952000000000005</v>
      </c>
      <c r="I94" s="585">
        <f t="shared" si="52"/>
        <v>3800.9583333333335</v>
      </c>
      <c r="J94" s="585">
        <f t="shared" si="53"/>
        <v>6325.1770000317601</v>
      </c>
      <c r="K94" s="585">
        <f t="shared" si="54"/>
        <v>2.1428571428571428</v>
      </c>
      <c r="L94" s="585">
        <f t="shared" si="55"/>
        <v>8.5714285714285712</v>
      </c>
      <c r="M94" s="585">
        <f t="shared" si="56"/>
        <v>4.6428571428571423</v>
      </c>
      <c r="N94" s="776">
        <f t="shared" si="57"/>
        <v>1.0714285714285714</v>
      </c>
      <c r="O94" s="585">
        <f>SQRT((2*I94*'OM Assumptions'!$B$24*'OM Assumptions'!$B$23)/(F94*'OM Assumptions'!$B$22))</f>
        <v>16043.903159476298</v>
      </c>
      <c r="P94" s="585">
        <f t="shared" si="58"/>
        <v>8021.9515797381491</v>
      </c>
      <c r="Q94" s="585">
        <f t="shared" si="59"/>
        <v>8021.9515797381491</v>
      </c>
      <c r="R94" s="585">
        <f t="shared" si="60"/>
        <v>25446.733794157059</v>
      </c>
      <c r="S94" s="585">
        <f t="shared" si="61"/>
        <v>16289.821428571429</v>
      </c>
      <c r="T94" s="486">
        <f t="shared" si="62"/>
        <v>49759</v>
      </c>
      <c r="U94" s="488">
        <v>11</v>
      </c>
      <c r="X94" s="1369"/>
      <c r="Y94" s="1297"/>
      <c r="Z94" s="1297"/>
    </row>
    <row r="95" spans="1:27">
      <c r="A95" s="597" t="s">
        <v>92</v>
      </c>
      <c r="B95" s="492"/>
      <c r="C95" s="666"/>
      <c r="D95" s="598"/>
      <c r="E95" s="666"/>
      <c r="F95" s="492"/>
      <c r="G95" s="597"/>
      <c r="H95" s="767">
        <f>SUM(H81:H91)</f>
        <v>11.574278400339999</v>
      </c>
      <c r="I95" s="585"/>
      <c r="J95" s="585"/>
      <c r="K95" s="585"/>
      <c r="L95" s="585"/>
      <c r="M95" s="585"/>
      <c r="N95" s="585"/>
      <c r="O95" s="585"/>
      <c r="P95" s="585"/>
      <c r="Q95" s="585"/>
      <c r="R95" s="585"/>
      <c r="S95" s="585"/>
      <c r="T95" s="488"/>
      <c r="U95" s="488"/>
      <c r="W95" s="398"/>
      <c r="X95" s="398"/>
      <c r="Y95" s="398"/>
      <c r="Z95" s="398"/>
      <c r="AA95" s="398"/>
    </row>
    <row r="96" spans="1:27">
      <c r="A96" s="446"/>
      <c r="C96" s="544"/>
      <c r="D96" s="544"/>
      <c r="E96" s="544"/>
      <c r="F96" s="544"/>
      <c r="G96" s="544"/>
      <c r="H96" s="544"/>
      <c r="I96" s="544"/>
      <c r="J96" s="544"/>
      <c r="K96" s="568"/>
      <c r="L96" s="456"/>
      <c r="M96" s="456"/>
      <c r="U96" s="441"/>
    </row>
    <row r="97" spans="1:21">
      <c r="A97" s="1370" t="s">
        <v>63</v>
      </c>
      <c r="B97" s="1297"/>
      <c r="C97" s="1297"/>
      <c r="D97" s="1297"/>
      <c r="E97" s="1297"/>
      <c r="F97" s="1297"/>
      <c r="G97" s="1297"/>
      <c r="H97" s="1297"/>
      <c r="I97" s="1297"/>
      <c r="J97" s="1297"/>
      <c r="K97" s="1297"/>
      <c r="L97" s="1297"/>
      <c r="M97" s="1297"/>
      <c r="N97" s="1297"/>
      <c r="O97" s="1297"/>
      <c r="P97" s="1297"/>
      <c r="Q97" s="1297"/>
      <c r="R97" s="1297"/>
      <c r="S97" s="1297"/>
      <c r="T97" s="1297"/>
      <c r="U97" s="1342"/>
    </row>
    <row r="98" spans="1:21">
      <c r="A98" s="1343"/>
      <c r="B98" s="1297"/>
      <c r="C98" s="1297"/>
      <c r="D98" s="1297"/>
      <c r="E98" s="1297"/>
      <c r="F98" s="1297"/>
      <c r="G98" s="1297"/>
      <c r="H98" s="1297"/>
      <c r="I98" s="1297"/>
      <c r="J98" s="1297"/>
      <c r="K98" s="1297"/>
      <c r="L98" s="1297"/>
      <c r="M98" s="1297"/>
      <c r="N98" s="1297"/>
      <c r="O98" s="1297"/>
      <c r="P98" s="1297"/>
      <c r="Q98" s="1297"/>
      <c r="R98" s="1297"/>
      <c r="S98" s="1297"/>
      <c r="T98" s="1297"/>
      <c r="U98" s="1342"/>
    </row>
    <row r="99" spans="1:21">
      <c r="A99" s="1362" t="s">
        <v>730</v>
      </c>
      <c r="B99" s="1297"/>
      <c r="C99" s="544"/>
      <c r="D99" s="1358" t="s">
        <v>731</v>
      </c>
      <c r="E99" s="1297"/>
      <c r="F99" s="544"/>
      <c r="G99" s="1358" t="s">
        <v>732</v>
      </c>
      <c r="H99" s="1297"/>
      <c r="I99" s="544"/>
      <c r="J99" s="1367" t="s">
        <v>733</v>
      </c>
      <c r="K99" s="1297"/>
      <c r="L99" s="456"/>
      <c r="M99" s="456"/>
      <c r="U99" s="441"/>
    </row>
    <row r="100" spans="1:21">
      <c r="A100" s="558" t="s">
        <v>734</v>
      </c>
      <c r="B100" s="771">
        <f>'BASES Model'!K11</f>
        <v>161606</v>
      </c>
      <c r="C100" s="544"/>
      <c r="D100" s="559" t="s">
        <v>735</v>
      </c>
      <c r="E100" s="560">
        <f>COGS!D20</f>
        <v>16.864764100723789</v>
      </c>
      <c r="F100" s="544"/>
      <c r="G100" s="559" t="s">
        <v>736</v>
      </c>
      <c r="H100" s="772">
        <f>B106/2</f>
        <v>2801.3399972241996</v>
      </c>
      <c r="I100" s="544"/>
      <c r="J100" s="398" t="s">
        <v>674</v>
      </c>
      <c r="K100" s="562">
        <f>SUMPRODUCT(F111:F124,T111:T124)</f>
        <v>572966.63792292948</v>
      </c>
      <c r="L100" s="456"/>
      <c r="M100" s="456"/>
      <c r="U100" s="441"/>
    </row>
    <row r="101" spans="1:21">
      <c r="A101" s="563" t="s">
        <v>737</v>
      </c>
      <c r="B101" s="772">
        <f>B100*2</f>
        <v>323212</v>
      </c>
      <c r="C101" s="544"/>
      <c r="D101" s="559" t="s">
        <v>738</v>
      </c>
      <c r="E101" s="562">
        <f>'Avg. Weighted Manufacturer''s Pr'!C25-E100</f>
        <v>44.355151568780904</v>
      </c>
      <c r="F101" s="544"/>
      <c r="G101" s="559" t="s">
        <v>739</v>
      </c>
      <c r="H101" s="772">
        <f>E105*B106*SQRT(1)</f>
        <v>10557.226260585972</v>
      </c>
      <c r="I101" s="544"/>
      <c r="J101" s="398" t="s">
        <v>675</v>
      </c>
      <c r="K101" s="562">
        <f>(ROUND(H106, 0)*(SUMPRODUCT(F111:F124, G111:G124)+E100))/2</f>
        <v>52399.430999492841</v>
      </c>
      <c r="L101" s="456"/>
      <c r="M101" s="456"/>
      <c r="U101" s="441"/>
    </row>
    <row r="102" spans="1:21">
      <c r="A102" s="564" t="s">
        <v>740</v>
      </c>
      <c r="B102" s="772">
        <f>B100/2</f>
        <v>80803</v>
      </c>
      <c r="C102" s="544"/>
      <c r="D102" s="559" t="s">
        <v>741</v>
      </c>
      <c r="E102" s="562">
        <f>(E100*'OM Assumptions'!$B$22)/6</f>
        <v>0.8432382050361894</v>
      </c>
      <c r="F102" s="544"/>
      <c r="G102" s="559" t="s">
        <v>742</v>
      </c>
      <c r="H102" s="772">
        <v>0</v>
      </c>
      <c r="I102" s="544"/>
      <c r="J102" s="474" t="s">
        <v>676</v>
      </c>
      <c r="K102" s="565">
        <f>H103*E100</f>
        <v>225289.06866185713</v>
      </c>
      <c r="L102" s="456"/>
      <c r="M102" s="456"/>
      <c r="U102" s="441"/>
    </row>
    <row r="103" spans="1:21">
      <c r="A103" s="564" t="s">
        <v>743</v>
      </c>
      <c r="B103" s="772">
        <f>(B101+(B100*4)+B102)/6</f>
        <v>175073.16666666666</v>
      </c>
      <c r="C103" s="544"/>
      <c r="D103" s="559" t="s">
        <v>744</v>
      </c>
      <c r="E103" s="560">
        <f>E101-E100</f>
        <v>27.490387468057115</v>
      </c>
      <c r="F103" s="544"/>
      <c r="G103" s="559" t="s">
        <v>745</v>
      </c>
      <c r="H103" s="772">
        <f>SUM(H100:H102)</f>
        <v>13358.566257810173</v>
      </c>
      <c r="I103" s="544"/>
      <c r="J103" s="456" t="s">
        <v>678</v>
      </c>
      <c r="K103" s="566">
        <f>SUM(K100:K102)</f>
        <v>850655.13758427952</v>
      </c>
      <c r="L103" s="456"/>
      <c r="M103" s="456"/>
      <c r="U103" s="441"/>
    </row>
    <row r="104" spans="1:21">
      <c r="A104" s="564" t="s">
        <v>746</v>
      </c>
      <c r="B104" s="772">
        <f>(B101-B102)/6</f>
        <v>40401.5</v>
      </c>
      <c r="C104" s="544"/>
      <c r="D104" s="559" t="s">
        <v>726</v>
      </c>
      <c r="E104" s="773">
        <f>E103/(E102+E103)</f>
        <v>0.9702389586576291</v>
      </c>
      <c r="F104" s="544"/>
      <c r="G104" s="544"/>
      <c r="H104" s="544"/>
      <c r="I104" s="544"/>
      <c r="J104" s="544"/>
      <c r="K104" s="568"/>
      <c r="L104" s="456"/>
      <c r="M104" s="456"/>
      <c r="U104" s="441"/>
    </row>
    <row r="105" spans="1:21">
      <c r="A105" s="564" t="s">
        <v>747</v>
      </c>
      <c r="B105" s="772">
        <f>B103/52</f>
        <v>3366.7916666666665</v>
      </c>
      <c r="C105" s="544"/>
      <c r="D105" s="559" t="s">
        <v>748</v>
      </c>
      <c r="E105" s="774">
        <f>NORMSINV(E104)</f>
        <v>1.884317196600011</v>
      </c>
      <c r="F105" s="544"/>
      <c r="G105" s="1358" t="s">
        <v>749</v>
      </c>
      <c r="H105" s="1297"/>
      <c r="I105" s="544"/>
      <c r="J105" s="544"/>
      <c r="K105" s="568"/>
      <c r="L105" s="456"/>
      <c r="M105" s="456"/>
      <c r="U105" s="441"/>
    </row>
    <row r="106" spans="1:21">
      <c r="A106" s="564" t="s">
        <v>750</v>
      </c>
      <c r="B106" s="772">
        <f>B104/SQRT(52)</f>
        <v>5602.6799944483992</v>
      </c>
      <c r="C106" s="544"/>
      <c r="D106" s="544"/>
      <c r="E106" s="544"/>
      <c r="F106" s="544"/>
      <c r="G106" s="559" t="s">
        <v>751</v>
      </c>
      <c r="H106" s="772">
        <f>B105</f>
        <v>3366.7916666666665</v>
      </c>
      <c r="I106" s="544"/>
      <c r="J106" s="544"/>
      <c r="K106" s="568"/>
      <c r="L106" s="456"/>
      <c r="M106" s="456"/>
      <c r="U106" s="441"/>
    </row>
    <row r="107" spans="1:21">
      <c r="A107" s="446"/>
      <c r="C107" s="544"/>
      <c r="D107" s="544"/>
      <c r="E107" s="544"/>
      <c r="F107" s="544"/>
      <c r="G107" s="544"/>
      <c r="H107" s="544"/>
      <c r="I107" s="544"/>
      <c r="J107" s="544"/>
      <c r="K107" s="568"/>
      <c r="L107" s="456"/>
      <c r="M107" s="456"/>
      <c r="U107" s="441"/>
    </row>
    <row r="108" spans="1:21">
      <c r="A108" s="570" t="s">
        <v>752</v>
      </c>
      <c r="B108" s="561"/>
      <c r="C108" s="544"/>
      <c r="D108" s="544"/>
      <c r="E108" s="544"/>
      <c r="F108" s="571"/>
      <c r="G108" s="544"/>
      <c r="H108" s="544"/>
      <c r="I108" s="544"/>
      <c r="J108" s="544"/>
      <c r="K108" s="568"/>
      <c r="L108" s="456"/>
      <c r="M108" s="456"/>
      <c r="U108" s="441"/>
    </row>
    <row r="109" spans="1:21">
      <c r="A109" s="572" t="s">
        <v>681</v>
      </c>
      <c r="B109" s="572" t="s">
        <v>753</v>
      </c>
      <c r="C109" s="572" t="s">
        <v>754</v>
      </c>
      <c r="D109" s="572" t="s">
        <v>755</v>
      </c>
      <c r="E109" s="572" t="s">
        <v>756</v>
      </c>
      <c r="F109" s="572" t="s">
        <v>757</v>
      </c>
      <c r="G109" s="572" t="s">
        <v>758</v>
      </c>
      <c r="H109" s="777" t="s">
        <v>759</v>
      </c>
      <c r="I109" s="784" t="s">
        <v>747</v>
      </c>
      <c r="J109" s="784" t="s">
        <v>760</v>
      </c>
      <c r="K109" s="784" t="s">
        <v>761</v>
      </c>
      <c r="L109" s="784" t="s">
        <v>762</v>
      </c>
      <c r="M109" s="784" t="s">
        <v>763</v>
      </c>
      <c r="N109" s="784" t="s">
        <v>764</v>
      </c>
      <c r="O109" s="784" t="s">
        <v>765</v>
      </c>
      <c r="P109" s="784" t="s">
        <v>772</v>
      </c>
      <c r="Q109" s="784" t="s">
        <v>767</v>
      </c>
      <c r="R109" s="784" t="s">
        <v>768</v>
      </c>
      <c r="S109" s="784" t="s">
        <v>769</v>
      </c>
      <c r="T109" s="784" t="s">
        <v>770</v>
      </c>
      <c r="U109" s="784" t="s">
        <v>771</v>
      </c>
    </row>
    <row r="110" spans="1:21">
      <c r="A110" s="575" t="s">
        <v>689</v>
      </c>
      <c r="B110" s="576"/>
      <c r="C110" s="576"/>
      <c r="D110" s="576"/>
      <c r="E110" s="576"/>
      <c r="F110" s="576"/>
      <c r="G110" s="578"/>
      <c r="H110" s="579"/>
      <c r="I110" s="488"/>
      <c r="J110" s="488"/>
      <c r="K110" s="488"/>
      <c r="L110" s="488"/>
      <c r="M110" s="488"/>
      <c r="N110" s="488"/>
      <c r="O110" s="488"/>
      <c r="P110" s="488"/>
      <c r="Q110" s="488"/>
      <c r="R110" s="580"/>
      <c r="S110" s="488"/>
      <c r="T110" s="488"/>
      <c r="U110" s="488"/>
    </row>
    <row r="111" spans="1:21">
      <c r="A111" s="492" t="s">
        <v>697</v>
      </c>
      <c r="B111" s="606">
        <v>30</v>
      </c>
      <c r="C111" s="783">
        <f t="shared" ref="C111:C121" si="63">B111/7</f>
        <v>4.2857142857142856</v>
      </c>
      <c r="D111" s="606">
        <v>30</v>
      </c>
      <c r="E111" s="782">
        <f t="shared" ref="E111:E121" si="64">D111/7</f>
        <v>4.2857142857142856</v>
      </c>
      <c r="F111" s="576">
        <f>F81*(1+'OM Assumptions'!$B$12)</f>
        <v>5.2408321999999998</v>
      </c>
      <c r="G111" s="768">
        <v>3.0042860000000001E-2</v>
      </c>
      <c r="H111" s="766">
        <f t="shared" ref="H111:H121" si="65">F111*G111</f>
        <v>0.15744958806809201</v>
      </c>
      <c r="I111" s="769">
        <f t="shared" ref="I111:I121" si="66">$B$105*G111</f>
        <v>101.14805069083333</v>
      </c>
      <c r="J111" s="769">
        <f t="shared" ref="J111:J121" si="67">G111*$B$106</f>
        <v>168.32053069801404</v>
      </c>
      <c r="K111" s="769">
        <f t="shared" ref="K111:K121" si="68">C111/2</f>
        <v>2.1428571428571428</v>
      </c>
      <c r="L111" s="769">
        <f t="shared" ref="L111:L121" si="69">C111*2</f>
        <v>8.5714285714285712</v>
      </c>
      <c r="M111" s="769">
        <f t="shared" ref="M111:M121" si="70">(K111+(C111*4)+L111)/6</f>
        <v>4.6428571428571423</v>
      </c>
      <c r="N111" s="770">
        <f t="shared" ref="N111:N121" si="71">(L111-K111)/6</f>
        <v>1.0714285714285714</v>
      </c>
      <c r="O111" s="769">
        <f>SQRT((2*I111*'OM Assumptions'!$B$24*'OM Assumptions'!$B$23)/(F111*'OM Assumptions'!$B$22))</f>
        <v>517.32643289574321</v>
      </c>
      <c r="P111" s="769">
        <f t="shared" ref="P111:P121" si="72">O111/G111</f>
        <v>17219.613342263125</v>
      </c>
      <c r="Q111" s="769">
        <f t="shared" ref="Q111:Q121" si="73">O111/2</f>
        <v>258.6632164478716</v>
      </c>
      <c r="R111" s="769">
        <f t="shared" ref="R111:R121" si="74">$E$105 * SQRT(M111*J111^2+I111^2*N111^2)</f>
        <v>713.27116570800501</v>
      </c>
      <c r="S111" s="769">
        <f t="shared" ref="S111:S121" si="75">I111*E111</f>
        <v>433.49164581785709</v>
      </c>
      <c r="T111" s="775">
        <f t="shared" ref="T111:T121" si="76">ROUND(SUM(Q111:S111), 0)</f>
        <v>1405</v>
      </c>
      <c r="U111" s="488">
        <v>9</v>
      </c>
    </row>
    <row r="112" spans="1:21">
      <c r="A112" s="492" t="s">
        <v>700</v>
      </c>
      <c r="B112" s="606">
        <v>30</v>
      </c>
      <c r="C112" s="783">
        <f t="shared" si="63"/>
        <v>4.2857142857142856</v>
      </c>
      <c r="D112" s="606">
        <v>30</v>
      </c>
      <c r="E112" s="782">
        <f t="shared" si="64"/>
        <v>4.2857142857142856</v>
      </c>
      <c r="F112" s="576">
        <f>F82*(1+'OM Assumptions'!$B$12)</f>
        <v>5.2408322000000009E-3</v>
      </c>
      <c r="G112" s="578">
        <v>1</v>
      </c>
      <c r="H112" s="766">
        <f t="shared" si="65"/>
        <v>5.2408322000000009E-3</v>
      </c>
      <c r="I112" s="769">
        <f t="shared" si="66"/>
        <v>3366.7916666666665</v>
      </c>
      <c r="J112" s="769">
        <f t="shared" si="67"/>
        <v>5602.6799944483992</v>
      </c>
      <c r="K112" s="769">
        <f t="shared" si="68"/>
        <v>2.1428571428571428</v>
      </c>
      <c r="L112" s="769">
        <f t="shared" si="69"/>
        <v>8.5714285714285712</v>
      </c>
      <c r="M112" s="769">
        <f t="shared" si="70"/>
        <v>4.6428571428571423</v>
      </c>
      <c r="N112" s="770">
        <f t="shared" si="71"/>
        <v>1.0714285714285714</v>
      </c>
      <c r="O112" s="769">
        <f>SQRT((2*I112*'OM Assumptions'!$B$24*'OM Assumptions'!$B$23)/(F112*'OM Assumptions'!$B$22))</f>
        <v>94383.055397655611</v>
      </c>
      <c r="P112" s="769">
        <f t="shared" si="72"/>
        <v>94383.055397655611</v>
      </c>
      <c r="Q112" s="769">
        <f t="shared" si="73"/>
        <v>47191.527698827806</v>
      </c>
      <c r="R112" s="769">
        <f t="shared" si="74"/>
        <v>23741.786424728038</v>
      </c>
      <c r="S112" s="769">
        <f t="shared" si="75"/>
        <v>14429.107142857141</v>
      </c>
      <c r="T112" s="775">
        <f t="shared" si="76"/>
        <v>85362</v>
      </c>
      <c r="U112" s="488">
        <v>2</v>
      </c>
    </row>
    <row r="113" spans="1:21">
      <c r="A113" s="492" t="s">
        <v>707</v>
      </c>
      <c r="B113" s="606">
        <v>56</v>
      </c>
      <c r="C113" s="783">
        <f t="shared" si="63"/>
        <v>8</v>
      </c>
      <c r="D113" s="606">
        <v>7</v>
      </c>
      <c r="E113" s="782">
        <f t="shared" si="64"/>
        <v>1</v>
      </c>
      <c r="F113" s="576">
        <f>F83*(1+'OM Assumptions'!$B$12)</f>
        <v>0.11215380908000001</v>
      </c>
      <c r="G113" s="578">
        <v>1</v>
      </c>
      <c r="H113" s="766">
        <f t="shared" si="65"/>
        <v>0.11215380908000001</v>
      </c>
      <c r="I113" s="769">
        <f t="shared" si="66"/>
        <v>3366.7916666666665</v>
      </c>
      <c r="J113" s="769">
        <f t="shared" si="67"/>
        <v>5602.6799944483992</v>
      </c>
      <c r="K113" s="769">
        <f t="shared" si="68"/>
        <v>4</v>
      </c>
      <c r="L113" s="769">
        <f t="shared" si="69"/>
        <v>16</v>
      </c>
      <c r="M113" s="769">
        <f t="shared" si="70"/>
        <v>8.6666666666666661</v>
      </c>
      <c r="N113" s="770">
        <f t="shared" si="71"/>
        <v>2</v>
      </c>
      <c r="O113" s="769">
        <f>SQRT((2*I113*'OM Assumptions'!$B$24*'OM Assumptions'!$B$23)/(F113*'OM Assumptions'!$B$22))</f>
        <v>20402.676599875536</v>
      </c>
      <c r="P113" s="769">
        <f t="shared" si="72"/>
        <v>20402.676599875536</v>
      </c>
      <c r="Q113" s="769">
        <f t="shared" si="73"/>
        <v>10201.338299937768</v>
      </c>
      <c r="R113" s="769">
        <f t="shared" si="74"/>
        <v>33569.839960671299</v>
      </c>
      <c r="S113" s="769">
        <f t="shared" si="75"/>
        <v>3366.7916666666665</v>
      </c>
      <c r="T113" s="775">
        <f t="shared" si="76"/>
        <v>47138</v>
      </c>
      <c r="U113" s="488">
        <v>8</v>
      </c>
    </row>
    <row r="114" spans="1:21">
      <c r="A114" s="492" t="s">
        <v>710</v>
      </c>
      <c r="B114" s="606">
        <v>23</v>
      </c>
      <c r="C114" s="783">
        <f t="shared" si="63"/>
        <v>3.2857142857142856</v>
      </c>
      <c r="D114" s="606">
        <v>7</v>
      </c>
      <c r="E114" s="782">
        <f t="shared" si="64"/>
        <v>1</v>
      </c>
      <c r="F114" s="576">
        <f>F84*(1+'OM Assumptions'!$B$12)</f>
        <v>0.99575811800000003</v>
      </c>
      <c r="G114" s="578">
        <v>1</v>
      </c>
      <c r="H114" s="766">
        <f t="shared" si="65"/>
        <v>0.99575811800000003</v>
      </c>
      <c r="I114" s="769">
        <f t="shared" si="66"/>
        <v>3366.7916666666665</v>
      </c>
      <c r="J114" s="769">
        <f t="shared" si="67"/>
        <v>5602.6799944483992</v>
      </c>
      <c r="K114" s="769">
        <f t="shared" si="68"/>
        <v>1.6428571428571428</v>
      </c>
      <c r="L114" s="769">
        <f t="shared" si="69"/>
        <v>6.5714285714285712</v>
      </c>
      <c r="M114" s="769">
        <f t="shared" si="70"/>
        <v>3.5595238095238089</v>
      </c>
      <c r="N114" s="770">
        <f t="shared" si="71"/>
        <v>0.82142857142857151</v>
      </c>
      <c r="O114" s="769">
        <f>SQRT((2*I114*'OM Assumptions'!$B$24*'OM Assumptions'!$B$23)/(F114*'OM Assumptions'!$B$22))</f>
        <v>6847.2665103816689</v>
      </c>
      <c r="P114" s="769">
        <f t="shared" si="72"/>
        <v>6847.2665103816689</v>
      </c>
      <c r="Q114" s="769">
        <f t="shared" si="73"/>
        <v>3423.6332551908345</v>
      </c>
      <c r="R114" s="769">
        <f t="shared" si="74"/>
        <v>20588.436445606396</v>
      </c>
      <c r="S114" s="769">
        <f t="shared" si="75"/>
        <v>3366.7916666666665</v>
      </c>
      <c r="T114" s="775">
        <f t="shared" si="76"/>
        <v>27379</v>
      </c>
      <c r="U114" s="488">
        <v>24</v>
      </c>
    </row>
    <row r="115" spans="1:21">
      <c r="A115" s="492" t="s">
        <v>713</v>
      </c>
      <c r="B115" s="606">
        <v>30</v>
      </c>
      <c r="C115" s="783">
        <f t="shared" si="63"/>
        <v>4.2857142857142856</v>
      </c>
      <c r="D115" s="606">
        <v>30</v>
      </c>
      <c r="E115" s="782">
        <f t="shared" si="64"/>
        <v>4.2857142857142856</v>
      </c>
      <c r="F115" s="576">
        <f>F85*(1+'OM Assumptions'!$B$12)</f>
        <v>1.6875479684000003</v>
      </c>
      <c r="G115" s="578">
        <v>1</v>
      </c>
      <c r="H115" s="766">
        <f t="shared" si="65"/>
        <v>1.6875479684000003</v>
      </c>
      <c r="I115" s="769">
        <f t="shared" si="66"/>
        <v>3366.7916666666665</v>
      </c>
      <c r="J115" s="769">
        <f t="shared" si="67"/>
        <v>5602.6799944483992</v>
      </c>
      <c r="K115" s="769">
        <f t="shared" si="68"/>
        <v>2.1428571428571428</v>
      </c>
      <c r="L115" s="769">
        <f t="shared" si="69"/>
        <v>8.5714285714285712</v>
      </c>
      <c r="M115" s="769">
        <f t="shared" si="70"/>
        <v>4.6428571428571423</v>
      </c>
      <c r="N115" s="770">
        <f t="shared" si="71"/>
        <v>1.0714285714285714</v>
      </c>
      <c r="O115" s="769">
        <f>SQRT((2*I115*'OM Assumptions'!$B$24*'OM Assumptions'!$B$23)/(F115*'OM Assumptions'!$B$22))</f>
        <v>5259.7620409406027</v>
      </c>
      <c r="P115" s="769">
        <f t="shared" si="72"/>
        <v>5259.7620409406027</v>
      </c>
      <c r="Q115" s="769">
        <f t="shared" si="73"/>
        <v>2629.8810204703013</v>
      </c>
      <c r="R115" s="769">
        <f t="shared" si="74"/>
        <v>23741.786424728038</v>
      </c>
      <c r="S115" s="769">
        <f t="shared" si="75"/>
        <v>14429.107142857141</v>
      </c>
      <c r="T115" s="775">
        <f t="shared" si="76"/>
        <v>40801</v>
      </c>
      <c r="U115" s="488">
        <v>31</v>
      </c>
    </row>
    <row r="116" spans="1:21">
      <c r="A116" s="492" t="s">
        <v>714</v>
      </c>
      <c r="B116" s="606">
        <v>23</v>
      </c>
      <c r="C116" s="783">
        <f t="shared" si="63"/>
        <v>3.2857142857142856</v>
      </c>
      <c r="D116" s="606">
        <v>7</v>
      </c>
      <c r="E116" s="782">
        <f t="shared" si="64"/>
        <v>1</v>
      </c>
      <c r="F116" s="576">
        <f>F86*(1+'OM Assumptions'!$B$12)</f>
        <v>1.0481664400000002E-2</v>
      </c>
      <c r="G116" s="578">
        <v>1</v>
      </c>
      <c r="H116" s="766">
        <f t="shared" si="65"/>
        <v>1.0481664400000002E-2</v>
      </c>
      <c r="I116" s="769">
        <f t="shared" si="66"/>
        <v>3366.7916666666665</v>
      </c>
      <c r="J116" s="769">
        <f t="shared" si="67"/>
        <v>5602.6799944483992</v>
      </c>
      <c r="K116" s="769">
        <f t="shared" si="68"/>
        <v>1.6428571428571428</v>
      </c>
      <c r="L116" s="769">
        <f t="shared" si="69"/>
        <v>6.5714285714285712</v>
      </c>
      <c r="M116" s="769">
        <f t="shared" si="70"/>
        <v>3.5595238095238089</v>
      </c>
      <c r="N116" s="770">
        <f t="shared" si="71"/>
        <v>0.82142857142857151</v>
      </c>
      <c r="O116" s="769">
        <f>SQRT((2*I116*'OM Assumptions'!$B$24*'OM Assumptions'!$B$23)/(F116*'OM Assumptions'!$B$22))</f>
        <v>66738.898500787865</v>
      </c>
      <c r="P116" s="769">
        <f t="shared" si="72"/>
        <v>66738.898500787865</v>
      </c>
      <c r="Q116" s="769">
        <f t="shared" si="73"/>
        <v>33369.449250393933</v>
      </c>
      <c r="R116" s="769">
        <f t="shared" si="74"/>
        <v>20588.436445606396</v>
      </c>
      <c r="S116" s="769">
        <f t="shared" si="75"/>
        <v>3366.7916666666665</v>
      </c>
      <c r="T116" s="775">
        <f t="shared" si="76"/>
        <v>57325</v>
      </c>
      <c r="U116" s="488">
        <v>2</v>
      </c>
    </row>
    <row r="117" spans="1:21">
      <c r="A117" s="492" t="s">
        <v>715</v>
      </c>
      <c r="B117" s="606">
        <v>30</v>
      </c>
      <c r="C117" s="783">
        <f t="shared" si="63"/>
        <v>4.2857142857142856</v>
      </c>
      <c r="D117" s="606">
        <v>30</v>
      </c>
      <c r="E117" s="782">
        <f t="shared" si="64"/>
        <v>4.2857142857142856</v>
      </c>
      <c r="F117" s="576">
        <f>F87*(1+'OM Assumptions'!$B$12)</f>
        <v>7.2113851072000008</v>
      </c>
      <c r="G117" s="578">
        <v>1</v>
      </c>
      <c r="H117" s="766">
        <f t="shared" si="65"/>
        <v>7.2113851072000008</v>
      </c>
      <c r="I117" s="769">
        <f t="shared" si="66"/>
        <v>3366.7916666666665</v>
      </c>
      <c r="J117" s="769">
        <f t="shared" si="67"/>
        <v>5602.6799944483992</v>
      </c>
      <c r="K117" s="769">
        <f t="shared" si="68"/>
        <v>2.1428571428571428</v>
      </c>
      <c r="L117" s="769">
        <f t="shared" si="69"/>
        <v>8.5714285714285712</v>
      </c>
      <c r="M117" s="769">
        <f t="shared" si="70"/>
        <v>4.6428571428571423</v>
      </c>
      <c r="N117" s="770">
        <f t="shared" si="71"/>
        <v>1.0714285714285714</v>
      </c>
      <c r="O117" s="769">
        <f>SQRT((2*I117*'OM Assumptions'!$B$24*'OM Assumptions'!$B$23)/(F117*'OM Assumptions'!$B$22))*2</f>
        <v>5088.7933034714806</v>
      </c>
      <c r="P117" s="769">
        <f t="shared" si="72"/>
        <v>5088.7933034714806</v>
      </c>
      <c r="Q117" s="769">
        <f t="shared" si="73"/>
        <v>2544.3966517357403</v>
      </c>
      <c r="R117" s="769">
        <f t="shared" si="74"/>
        <v>23741.786424728038</v>
      </c>
      <c r="S117" s="769">
        <f t="shared" si="75"/>
        <v>14429.107142857141</v>
      </c>
      <c r="T117" s="775">
        <f t="shared" si="76"/>
        <v>40715</v>
      </c>
      <c r="U117" s="488">
        <v>32</v>
      </c>
    </row>
    <row r="118" spans="1:21">
      <c r="A118" s="492" t="s">
        <v>716</v>
      </c>
      <c r="B118" s="606">
        <v>30</v>
      </c>
      <c r="C118" s="783">
        <f t="shared" si="63"/>
        <v>4.2857142857142856</v>
      </c>
      <c r="D118" s="606">
        <v>30</v>
      </c>
      <c r="E118" s="782">
        <f t="shared" si="64"/>
        <v>4.2857142857142856</v>
      </c>
      <c r="F118" s="576">
        <f>F88*(1+'OM Assumptions'!$B$12)</f>
        <v>0.10481664400000001</v>
      </c>
      <c r="G118" s="578">
        <v>1</v>
      </c>
      <c r="H118" s="766">
        <f t="shared" si="65"/>
        <v>0.10481664400000001</v>
      </c>
      <c r="I118" s="769">
        <f t="shared" si="66"/>
        <v>3366.7916666666665</v>
      </c>
      <c r="J118" s="769">
        <f t="shared" si="67"/>
        <v>5602.6799944483992</v>
      </c>
      <c r="K118" s="769">
        <f t="shared" si="68"/>
        <v>2.1428571428571428</v>
      </c>
      <c r="L118" s="769">
        <f t="shared" si="69"/>
        <v>8.5714285714285712</v>
      </c>
      <c r="M118" s="769">
        <f t="shared" si="70"/>
        <v>4.6428571428571423</v>
      </c>
      <c r="N118" s="770">
        <f t="shared" si="71"/>
        <v>1.0714285714285714</v>
      </c>
      <c r="O118" s="769">
        <f>SQRT((2*I118*'OM Assumptions'!$B$24*'OM Assumptions'!$B$23)/(F118*'OM Assumptions'!$B$22))</f>
        <v>21104.692779328641</v>
      </c>
      <c r="P118" s="769">
        <f t="shared" si="72"/>
        <v>21104.692779328641</v>
      </c>
      <c r="Q118" s="769">
        <f t="shared" si="73"/>
        <v>10552.346389664321</v>
      </c>
      <c r="R118" s="769">
        <f t="shared" si="74"/>
        <v>23741.786424728038</v>
      </c>
      <c r="S118" s="769">
        <f t="shared" si="75"/>
        <v>14429.107142857141</v>
      </c>
      <c r="T118" s="775">
        <f t="shared" si="76"/>
        <v>48723</v>
      </c>
      <c r="U118" s="488">
        <v>8</v>
      </c>
    </row>
    <row r="119" spans="1:21">
      <c r="A119" s="492" t="s">
        <v>717</v>
      </c>
      <c r="B119" s="606">
        <v>30</v>
      </c>
      <c r="C119" s="783">
        <f t="shared" si="63"/>
        <v>4.2857142857142856</v>
      </c>
      <c r="D119" s="606">
        <v>30</v>
      </c>
      <c r="E119" s="782">
        <f t="shared" si="64"/>
        <v>4.2857142857142856</v>
      </c>
      <c r="F119" s="576">
        <f>F89*(1+'OM Assumptions'!$B$12)</f>
        <v>1.4569513516000001</v>
      </c>
      <c r="G119" s="578">
        <v>1</v>
      </c>
      <c r="H119" s="766">
        <f t="shared" si="65"/>
        <v>1.4569513516000001</v>
      </c>
      <c r="I119" s="769">
        <f t="shared" si="66"/>
        <v>3366.7916666666665</v>
      </c>
      <c r="J119" s="769">
        <f t="shared" si="67"/>
        <v>5602.6799944483992</v>
      </c>
      <c r="K119" s="769">
        <f t="shared" si="68"/>
        <v>2.1428571428571428</v>
      </c>
      <c r="L119" s="769">
        <f t="shared" si="69"/>
        <v>8.5714285714285712</v>
      </c>
      <c r="M119" s="769">
        <f t="shared" si="70"/>
        <v>4.6428571428571423</v>
      </c>
      <c r="N119" s="770">
        <f t="shared" si="71"/>
        <v>1.0714285714285714</v>
      </c>
      <c r="O119" s="769">
        <f>SQRT((2*I119*'OM Assumptions'!$B$24*'OM Assumptions'!$B$23)/(F119*'OM Assumptions'!$B$22))</f>
        <v>5660.7194887403475</v>
      </c>
      <c r="P119" s="769">
        <f t="shared" si="72"/>
        <v>5660.7194887403475</v>
      </c>
      <c r="Q119" s="769">
        <f t="shared" si="73"/>
        <v>2830.3597443701738</v>
      </c>
      <c r="R119" s="769">
        <f t="shared" si="74"/>
        <v>23741.786424728038</v>
      </c>
      <c r="S119" s="769">
        <f t="shared" si="75"/>
        <v>14429.107142857141</v>
      </c>
      <c r="T119" s="775">
        <f t="shared" si="76"/>
        <v>41001</v>
      </c>
      <c r="U119" s="488">
        <v>29</v>
      </c>
    </row>
    <row r="120" spans="1:21">
      <c r="A120" s="492" t="s">
        <v>718</v>
      </c>
      <c r="B120" s="606">
        <v>30</v>
      </c>
      <c r="C120" s="783">
        <f t="shared" si="63"/>
        <v>4.2857142857142856</v>
      </c>
      <c r="D120" s="606">
        <v>30</v>
      </c>
      <c r="E120" s="782">
        <f t="shared" si="64"/>
        <v>4.2857142857142856</v>
      </c>
      <c r="F120" s="576">
        <f>F90*(1+'OM Assumptions'!$B$12)</f>
        <v>1.0481664400000002E-2</v>
      </c>
      <c r="G120" s="578">
        <v>8</v>
      </c>
      <c r="H120" s="766">
        <f t="shared" si="65"/>
        <v>8.3853315200000014E-2</v>
      </c>
      <c r="I120" s="769">
        <f t="shared" si="66"/>
        <v>26934.333333333332</v>
      </c>
      <c r="J120" s="769">
        <f t="shared" si="67"/>
        <v>44821.439955587193</v>
      </c>
      <c r="K120" s="769">
        <f t="shared" si="68"/>
        <v>2.1428571428571428</v>
      </c>
      <c r="L120" s="769">
        <f t="shared" si="69"/>
        <v>8.5714285714285712</v>
      </c>
      <c r="M120" s="769">
        <f t="shared" si="70"/>
        <v>4.6428571428571423</v>
      </c>
      <c r="N120" s="770">
        <f t="shared" si="71"/>
        <v>1.0714285714285714</v>
      </c>
      <c r="O120" s="769">
        <f>SQRT((2*I120*'OM Assumptions'!$B$24*'OM Assumptions'!$B$23)/(F120*'OM Assumptions'!$B$22))</f>
        <v>188766.11079531122</v>
      </c>
      <c r="P120" s="769">
        <f t="shared" si="72"/>
        <v>23595.763849413903</v>
      </c>
      <c r="Q120" s="769">
        <f t="shared" si="73"/>
        <v>94383.055397655611</v>
      </c>
      <c r="R120" s="769">
        <f t="shared" si="74"/>
        <v>189934.2913978243</v>
      </c>
      <c r="S120" s="769">
        <f t="shared" si="75"/>
        <v>115432.85714285713</v>
      </c>
      <c r="T120" s="775">
        <f t="shared" si="76"/>
        <v>399750</v>
      </c>
      <c r="U120" s="488">
        <v>7</v>
      </c>
    </row>
    <row r="121" spans="1:21">
      <c r="A121" s="492" t="s">
        <v>719</v>
      </c>
      <c r="B121" s="606">
        <v>30</v>
      </c>
      <c r="C121" s="783">
        <f t="shared" si="63"/>
        <v>4.2857142857142856</v>
      </c>
      <c r="D121" s="606">
        <v>30</v>
      </c>
      <c r="E121" s="782">
        <f t="shared" si="64"/>
        <v>4.2857142857142856</v>
      </c>
      <c r="F121" s="576">
        <f>F91*(1+'OM Assumptions'!$B$12)</f>
        <v>2.4107828120000003</v>
      </c>
      <c r="G121" s="578">
        <v>0.01</v>
      </c>
      <c r="H121" s="766">
        <f t="shared" si="65"/>
        <v>2.4107828120000004E-2</v>
      </c>
      <c r="I121" s="769">
        <f t="shared" si="66"/>
        <v>33.667916666666663</v>
      </c>
      <c r="J121" s="769">
        <f t="shared" si="67"/>
        <v>56.02679994448399</v>
      </c>
      <c r="K121" s="769">
        <f t="shared" si="68"/>
        <v>2.1428571428571428</v>
      </c>
      <c r="L121" s="769">
        <f t="shared" si="69"/>
        <v>8.5714285714285712</v>
      </c>
      <c r="M121" s="769">
        <f t="shared" si="70"/>
        <v>4.6428571428571423</v>
      </c>
      <c r="N121" s="770">
        <f t="shared" si="71"/>
        <v>1.0714285714285714</v>
      </c>
      <c r="O121" s="769">
        <f>SQRT((2*I121*'OM Assumptions'!$B$24*'OM Assumptions'!$B$23)/(F121*'OM Assumptions'!$B$22))</f>
        <v>440.06326487362878</v>
      </c>
      <c r="P121" s="769">
        <f t="shared" si="72"/>
        <v>44006.32648736288</v>
      </c>
      <c r="Q121" s="769">
        <f t="shared" si="73"/>
        <v>220.03163243681439</v>
      </c>
      <c r="R121" s="769">
        <f t="shared" si="74"/>
        <v>237.41786424728039</v>
      </c>
      <c r="S121" s="769">
        <f t="shared" si="75"/>
        <v>144.2910714285714</v>
      </c>
      <c r="T121" s="775">
        <f t="shared" si="76"/>
        <v>602</v>
      </c>
      <c r="U121" s="488">
        <v>4</v>
      </c>
    </row>
    <row r="122" spans="1:21">
      <c r="A122" s="575" t="s">
        <v>720</v>
      </c>
      <c r="B122" s="598"/>
      <c r="C122" s="783"/>
      <c r="D122" s="578"/>
      <c r="E122" s="782"/>
      <c r="F122" s="576"/>
      <c r="G122" s="597"/>
      <c r="H122" s="766"/>
      <c r="I122" s="769"/>
      <c r="J122" s="769"/>
      <c r="K122" s="769"/>
      <c r="L122" s="769"/>
      <c r="M122" s="769"/>
      <c r="N122" s="770"/>
      <c r="O122" s="769"/>
      <c r="P122" s="769"/>
      <c r="Q122" s="769"/>
      <c r="R122" s="769"/>
      <c r="S122" s="769"/>
      <c r="T122" s="775"/>
      <c r="U122" s="488"/>
    </row>
    <row r="123" spans="1:21">
      <c r="A123" s="589" t="s">
        <v>721</v>
      </c>
      <c r="B123" s="425">
        <v>30</v>
      </c>
      <c r="C123" s="783">
        <f t="shared" ref="C123:C124" si="77">B123/7</f>
        <v>4.2857142857142856</v>
      </c>
      <c r="D123" s="652">
        <v>30</v>
      </c>
      <c r="E123" s="782">
        <f t="shared" ref="E123:E124" si="78">D123/7</f>
        <v>4.2857142857142856</v>
      </c>
      <c r="F123" s="576">
        <f>F93*(1+'OM Assumptions'!$B$12)</f>
        <v>1.9915162360000001</v>
      </c>
      <c r="G123" s="594">
        <v>1</v>
      </c>
      <c r="H123" s="766">
        <f t="shared" ref="H123:H124" si="79">F123*G123</f>
        <v>1.9915162360000001</v>
      </c>
      <c r="I123" s="769">
        <f t="shared" ref="I123:I124" si="80">$B$105*G123</f>
        <v>3366.7916666666665</v>
      </c>
      <c r="J123" s="769">
        <f t="shared" ref="J123:J124" si="81">G123*$B$106</f>
        <v>5602.6799944483992</v>
      </c>
      <c r="K123" s="769">
        <f t="shared" ref="K123:K124" si="82">C123/2</f>
        <v>2.1428571428571428</v>
      </c>
      <c r="L123" s="769">
        <f t="shared" ref="L123:L124" si="83">C123*2</f>
        <v>8.5714285714285712</v>
      </c>
      <c r="M123" s="769">
        <f t="shared" ref="M123:M124" si="84">(K123+(C123*4)+L123)/6</f>
        <v>4.6428571428571423</v>
      </c>
      <c r="N123" s="770">
        <f t="shared" ref="N123:N124" si="85">(L123-K123)/6</f>
        <v>1.0714285714285714</v>
      </c>
      <c r="O123" s="769">
        <f>SQRT((2*I123*'OM Assumptions'!$B$24*'OM Assumptions'!$B$23)/(F123*'OM Assumptions'!$B$22))</f>
        <v>4841.7485820824259</v>
      </c>
      <c r="P123" s="769">
        <f t="shared" ref="P123:P124" si="86">O123/G123</f>
        <v>4841.7485820824259</v>
      </c>
      <c r="Q123" s="769">
        <f t="shared" ref="Q123:Q124" si="87">O123/2</f>
        <v>2420.8742910412129</v>
      </c>
      <c r="R123" s="769">
        <f t="shared" ref="R123:R124" si="88">$E$105 * SQRT(M123*J123^2+I123^2*N123^2)</f>
        <v>23741.786424728038</v>
      </c>
      <c r="S123" s="769">
        <f t="shared" ref="S123:S124" si="89">I123*E123</f>
        <v>14429.107142857141</v>
      </c>
      <c r="T123" s="775">
        <f t="shared" ref="T123:T124" si="90">ROUND(SUM(Q123:S123), 0)</f>
        <v>40592</v>
      </c>
      <c r="U123" s="488">
        <v>33</v>
      </c>
    </row>
    <row r="124" spans="1:21">
      <c r="A124" s="594" t="s">
        <v>722</v>
      </c>
      <c r="B124" s="594">
        <v>30</v>
      </c>
      <c r="C124" s="783">
        <f t="shared" si="77"/>
        <v>4.2857142857142856</v>
      </c>
      <c r="D124" s="606">
        <v>30</v>
      </c>
      <c r="E124" s="782">
        <f t="shared" si="78"/>
        <v>4.2857142857142856</v>
      </c>
      <c r="F124" s="576">
        <f>F94*(1+'OM Assumptions'!$B$12)</f>
        <v>0.20963328800000003</v>
      </c>
      <c r="G124" s="594">
        <v>2</v>
      </c>
      <c r="H124" s="766">
        <f t="shared" si="79"/>
        <v>0.41926657600000006</v>
      </c>
      <c r="I124" s="769">
        <f t="shared" si="80"/>
        <v>6733.583333333333</v>
      </c>
      <c r="J124" s="769">
        <f t="shared" si="81"/>
        <v>11205.359988896798</v>
      </c>
      <c r="K124" s="769">
        <f t="shared" si="82"/>
        <v>2.1428571428571428</v>
      </c>
      <c r="L124" s="769">
        <f t="shared" si="83"/>
        <v>8.5714285714285712</v>
      </c>
      <c r="M124" s="769">
        <f t="shared" si="84"/>
        <v>4.6428571428571423</v>
      </c>
      <c r="N124" s="770">
        <f t="shared" si="85"/>
        <v>1.0714285714285714</v>
      </c>
      <c r="O124" s="769">
        <f>SQRT((2*I124*'OM Assumptions'!$B$24*'OM Assumptions'!$B$23)/(F124*'OM Assumptions'!$B$22))</f>
        <v>21104.692779328641</v>
      </c>
      <c r="P124" s="769">
        <f t="shared" si="86"/>
        <v>10552.346389664321</v>
      </c>
      <c r="Q124" s="769">
        <f t="shared" si="87"/>
        <v>10552.346389664321</v>
      </c>
      <c r="R124" s="769">
        <f t="shared" si="88"/>
        <v>47483.572849456075</v>
      </c>
      <c r="S124" s="769">
        <f t="shared" si="89"/>
        <v>28858.214285714283</v>
      </c>
      <c r="T124" s="775">
        <f t="shared" si="90"/>
        <v>86894</v>
      </c>
      <c r="U124" s="488">
        <v>15</v>
      </c>
    </row>
    <row r="125" spans="1:21">
      <c r="A125" s="597" t="s">
        <v>92</v>
      </c>
      <c r="B125" s="492"/>
      <c r="C125" s="598"/>
      <c r="D125" s="598"/>
      <c r="E125" s="598"/>
      <c r="F125" s="492"/>
      <c r="G125" s="597"/>
      <c r="H125" s="767">
        <f>SUM(H111:H121)</f>
        <v>11.849746226268094</v>
      </c>
      <c r="I125" s="488"/>
      <c r="J125" s="488"/>
      <c r="K125" s="488"/>
      <c r="L125" s="488"/>
      <c r="M125" s="488"/>
      <c r="N125" s="488"/>
      <c r="O125" s="488"/>
      <c r="P125" s="488"/>
      <c r="Q125" s="488"/>
      <c r="R125" s="488"/>
      <c r="S125" s="488"/>
      <c r="T125" s="488"/>
      <c r="U125" s="488"/>
    </row>
    <row r="126" spans="1:21">
      <c r="A126" s="446"/>
      <c r="U126" s="441"/>
    </row>
    <row r="127" spans="1:21">
      <c r="A127" s="1370" t="s">
        <v>65</v>
      </c>
      <c r="B127" s="1297"/>
      <c r="C127" s="1297"/>
      <c r="D127" s="1297"/>
      <c r="E127" s="1297"/>
      <c r="F127" s="1297"/>
      <c r="G127" s="1297"/>
      <c r="H127" s="1297"/>
      <c r="I127" s="1297"/>
      <c r="J127" s="1297"/>
      <c r="K127" s="1297"/>
      <c r="L127" s="1297"/>
      <c r="M127" s="1297"/>
      <c r="N127" s="1297"/>
      <c r="O127" s="1297"/>
      <c r="P127" s="1297"/>
      <c r="Q127" s="1297"/>
      <c r="R127" s="1297"/>
      <c r="S127" s="1297"/>
      <c r="T127" s="1297"/>
      <c r="U127" s="1342"/>
    </row>
    <row r="128" spans="1:21">
      <c r="A128" s="1343"/>
      <c r="B128" s="1297"/>
      <c r="C128" s="1297"/>
      <c r="D128" s="1297"/>
      <c r="E128" s="1297"/>
      <c r="F128" s="1297"/>
      <c r="G128" s="1297"/>
      <c r="H128" s="1297"/>
      <c r="I128" s="1297"/>
      <c r="J128" s="1297"/>
      <c r="K128" s="1297"/>
      <c r="L128" s="1297"/>
      <c r="M128" s="1297"/>
      <c r="N128" s="1297"/>
      <c r="O128" s="1297"/>
      <c r="P128" s="1297"/>
      <c r="Q128" s="1297"/>
      <c r="R128" s="1297"/>
      <c r="S128" s="1297"/>
      <c r="T128" s="1297"/>
      <c r="U128" s="1342"/>
    </row>
    <row r="129" spans="1:21">
      <c r="A129" s="1362" t="s">
        <v>730</v>
      </c>
      <c r="B129" s="1297"/>
      <c r="D129" s="1358" t="s">
        <v>731</v>
      </c>
      <c r="E129" s="1297"/>
      <c r="G129" s="1358" t="s">
        <v>732</v>
      </c>
      <c r="H129" s="1297"/>
      <c r="J129" s="1367" t="s">
        <v>733</v>
      </c>
      <c r="K129" s="1297"/>
      <c r="U129" s="441"/>
    </row>
    <row r="130" spans="1:21">
      <c r="A130" s="558" t="s">
        <v>734</v>
      </c>
      <c r="B130" s="771">
        <f>'BASES Model'!L11</f>
        <v>245757</v>
      </c>
      <c r="D130" s="559" t="s">
        <v>735</v>
      </c>
      <c r="E130" s="560">
        <f>COGS!E20</f>
        <v>16.886108025115679</v>
      </c>
      <c r="G130" s="559" t="s">
        <v>736</v>
      </c>
      <c r="H130" s="772">
        <f>B136/2</f>
        <v>4260.045503866364</v>
      </c>
      <c r="J130" s="398" t="s">
        <v>674</v>
      </c>
      <c r="K130" s="562">
        <f>SUMPRODUCT(F141:F154,T141:T154)</f>
        <v>867554.1369846391</v>
      </c>
      <c r="U130" s="441"/>
    </row>
    <row r="131" spans="1:21">
      <c r="A131" s="563" t="s">
        <v>737</v>
      </c>
      <c r="B131" s="772">
        <f>B130*2</f>
        <v>491514</v>
      </c>
      <c r="D131" s="559" t="s">
        <v>738</v>
      </c>
      <c r="E131" s="562">
        <f>'Avg. Weighted Manufacturer''s Pr'!C34-E130</f>
        <v>41.950868126471974</v>
      </c>
      <c r="G131" s="559" t="s">
        <v>739</v>
      </c>
      <c r="H131" s="772">
        <f>E135*B136*SQRT(1)</f>
        <v>15711.552040979153</v>
      </c>
      <c r="J131" s="398" t="s">
        <v>675</v>
      </c>
      <c r="K131" s="562">
        <f>(ROUND(H136, 0)*(SUMPRODUCT(F141:F154, G141:G154)+E130))/2</f>
        <v>80604.256395506061</v>
      </c>
      <c r="U131" s="441"/>
    </row>
    <row r="132" spans="1:21">
      <c r="A132" s="564" t="s">
        <v>740</v>
      </c>
      <c r="B132" s="772">
        <f>B130/2</f>
        <v>122878.5</v>
      </c>
      <c r="D132" s="559" t="s">
        <v>741</v>
      </c>
      <c r="E132" s="562">
        <f>(E130*'OM Assumptions'!$B$22)/6</f>
        <v>0.8443054012557839</v>
      </c>
      <c r="G132" s="559" t="s">
        <v>742</v>
      </c>
      <c r="H132" s="772">
        <v>0</v>
      </c>
      <c r="J132" s="474" t="s">
        <v>676</v>
      </c>
      <c r="K132" s="565">
        <f>H133*E130</f>
        <v>337242.55357639649</v>
      </c>
      <c r="U132" s="441"/>
    </row>
    <row r="133" spans="1:21">
      <c r="A133" s="564" t="s">
        <v>743</v>
      </c>
      <c r="B133" s="772">
        <f>(B131+(B130*4)+B132)/6</f>
        <v>266236.75</v>
      </c>
      <c r="D133" s="559" t="s">
        <v>744</v>
      </c>
      <c r="E133" s="560">
        <f>E131-E130</f>
        <v>25.064760101356296</v>
      </c>
      <c r="G133" s="559" t="s">
        <v>745</v>
      </c>
      <c r="H133" s="772">
        <f>SUM(H130:H132)</f>
        <v>19971.597544845517</v>
      </c>
      <c r="J133" s="456" t="s">
        <v>678</v>
      </c>
      <c r="K133" s="566">
        <f>SUM(K130:K132)</f>
        <v>1285400.9469565416</v>
      </c>
      <c r="U133" s="441"/>
    </row>
    <row r="134" spans="1:21">
      <c r="A134" s="564" t="s">
        <v>746</v>
      </c>
      <c r="B134" s="772">
        <f>(B131-B132)/6</f>
        <v>61439.25</v>
      </c>
      <c r="D134" s="559" t="s">
        <v>726</v>
      </c>
      <c r="E134" s="773">
        <f>E133/(E132+E133)</f>
        <v>0.96741274203152317</v>
      </c>
      <c r="G134" s="561"/>
      <c r="H134" s="561"/>
      <c r="U134" s="441"/>
    </row>
    <row r="135" spans="1:21">
      <c r="A135" s="564" t="s">
        <v>747</v>
      </c>
      <c r="B135" s="772">
        <f>B133/52</f>
        <v>5119.9375</v>
      </c>
      <c r="D135" s="559" t="s">
        <v>748</v>
      </c>
      <c r="E135" s="774">
        <f>NORMSINV(E134)</f>
        <v>1.8440591804382775</v>
      </c>
      <c r="G135" s="1358" t="s">
        <v>749</v>
      </c>
      <c r="H135" s="1297"/>
      <c r="U135" s="441"/>
    </row>
    <row r="136" spans="1:21">
      <c r="A136" s="564" t="s">
        <v>750</v>
      </c>
      <c r="B136" s="772">
        <f>B134/SQRT(52)</f>
        <v>8520.091007732728</v>
      </c>
      <c r="G136" s="559" t="s">
        <v>751</v>
      </c>
      <c r="H136" s="772">
        <f>B135</f>
        <v>5119.9375</v>
      </c>
      <c r="U136" s="441"/>
    </row>
    <row r="137" spans="1:21">
      <c r="A137" s="446"/>
      <c r="U137" s="441"/>
    </row>
    <row r="138" spans="1:21">
      <c r="A138" s="570" t="s">
        <v>752</v>
      </c>
      <c r="B138" s="561"/>
      <c r="C138" s="544"/>
      <c r="D138" s="544"/>
      <c r="E138" s="544"/>
      <c r="F138" s="571"/>
      <c r="G138" s="544"/>
      <c r="H138" s="544"/>
      <c r="I138" s="544"/>
      <c r="J138" s="544"/>
      <c r="K138" s="568"/>
      <c r="L138" s="456"/>
      <c r="M138" s="456"/>
      <c r="U138" s="441"/>
    </row>
    <row r="139" spans="1:21">
      <c r="A139" s="572" t="s">
        <v>681</v>
      </c>
      <c r="B139" s="572" t="s">
        <v>753</v>
      </c>
      <c r="C139" s="604" t="s">
        <v>754</v>
      </c>
      <c r="D139" s="573" t="s">
        <v>755</v>
      </c>
      <c r="E139" s="604" t="s">
        <v>756</v>
      </c>
      <c r="F139" s="572" t="s">
        <v>757</v>
      </c>
      <c r="G139" s="572" t="s">
        <v>758</v>
      </c>
      <c r="H139" s="574" t="s">
        <v>759</v>
      </c>
      <c r="I139" s="785" t="s">
        <v>747</v>
      </c>
      <c r="J139" s="785" t="s">
        <v>760</v>
      </c>
      <c r="K139" s="785" t="s">
        <v>761</v>
      </c>
      <c r="L139" s="785" t="s">
        <v>762</v>
      </c>
      <c r="M139" s="785" t="s">
        <v>763</v>
      </c>
      <c r="N139" s="785" t="s">
        <v>764</v>
      </c>
      <c r="O139" s="785" t="s">
        <v>765</v>
      </c>
      <c r="P139" s="785" t="s">
        <v>772</v>
      </c>
      <c r="Q139" s="785" t="s">
        <v>767</v>
      </c>
      <c r="R139" s="785" t="s">
        <v>768</v>
      </c>
      <c r="S139" s="785" t="s">
        <v>769</v>
      </c>
      <c r="T139" s="786" t="s">
        <v>770</v>
      </c>
      <c r="U139" s="784" t="s">
        <v>771</v>
      </c>
    </row>
    <row r="140" spans="1:21">
      <c r="A140" s="575" t="s">
        <v>689</v>
      </c>
      <c r="B140" s="576"/>
      <c r="C140" s="584"/>
      <c r="D140" s="577"/>
      <c r="E140" s="584"/>
      <c r="F140" s="576"/>
      <c r="G140" s="578"/>
      <c r="H140" s="579"/>
      <c r="I140" s="585"/>
      <c r="J140" s="585"/>
      <c r="K140" s="585"/>
      <c r="L140" s="585"/>
      <c r="M140" s="585"/>
      <c r="N140" s="585"/>
      <c r="O140" s="585"/>
      <c r="P140" s="585"/>
      <c r="Q140" s="585"/>
      <c r="R140" s="605"/>
      <c r="S140" s="585"/>
      <c r="T140" s="486"/>
      <c r="U140" s="488"/>
    </row>
    <row r="141" spans="1:21">
      <c r="A141" s="492" t="s">
        <v>697</v>
      </c>
      <c r="B141" s="606">
        <v>30</v>
      </c>
      <c r="C141" s="584">
        <f t="shared" ref="C141:C151" si="91">B141/7</f>
        <v>4.2857142857142856</v>
      </c>
      <c r="D141" s="583">
        <v>30</v>
      </c>
      <c r="E141" s="584">
        <f t="shared" ref="E141:E151" si="92">D141/7</f>
        <v>4.2857142857142856</v>
      </c>
      <c r="F141" s="576">
        <f>F111*(1+'OM Assumptions'!$B$12)</f>
        <v>5.3655640063599996</v>
      </c>
      <c r="G141" s="768">
        <v>3.0042860000000001E-2</v>
      </c>
      <c r="H141" s="766">
        <f t="shared" ref="H141:H151" si="93">F141*G141</f>
        <v>0.16119688826411258</v>
      </c>
      <c r="I141" s="585">
        <f t="shared" ref="I141:I151" si="94">$B$135*G141</f>
        <v>153.81756552125</v>
      </c>
      <c r="J141" s="585">
        <f t="shared" ref="J141:J151" si="95">G141*$B$136</f>
        <v>255.96790133257326</v>
      </c>
      <c r="K141" s="585">
        <f t="shared" ref="K141:K151" si="96">C141/2</f>
        <v>2.1428571428571428</v>
      </c>
      <c r="L141" s="585">
        <f t="shared" ref="L141:L151" si="97">C141*2</f>
        <v>8.5714285714285712</v>
      </c>
      <c r="M141" s="585">
        <f t="shared" ref="M141:M151" si="98">(K141+(C141*4)+L141)/6</f>
        <v>4.6428571428571423</v>
      </c>
      <c r="N141" s="776">
        <f t="shared" ref="N141:N151" si="99">(L141-K141)/6</f>
        <v>1.0714285714285714</v>
      </c>
      <c r="O141" s="585">
        <f>SQRT((2*I141*'OM Assumptions'!$B$24*'OM Assumptions'!$B$23)/(F141*'OM Assumptions'!$B$22))</f>
        <v>630.49451779934543</v>
      </c>
      <c r="P141" s="585">
        <f t="shared" ref="P141:P151" si="100">O141/G141</f>
        <v>20986.501211913426</v>
      </c>
      <c r="Q141" s="585">
        <f t="shared" ref="Q141:Q151" si="101">O141/2</f>
        <v>315.24725889967272</v>
      </c>
      <c r="R141" s="585">
        <f t="shared" ref="R141:R151" si="102">$E$135 * SQRT(M141*J141^2+I141^2*N141^2)</f>
        <v>1061.5096013608759</v>
      </c>
      <c r="S141" s="585">
        <f t="shared" ref="S141:S151" si="103">I141*E141</f>
        <v>659.21813794821423</v>
      </c>
      <c r="T141" s="486">
        <f t="shared" ref="T141:T151" si="104">ROUND(SUM(Q141:S141), 0)</f>
        <v>2036</v>
      </c>
      <c r="U141" s="488">
        <v>12</v>
      </c>
    </row>
    <row r="142" spans="1:21">
      <c r="A142" s="492" t="s">
        <v>700</v>
      </c>
      <c r="B142" s="606">
        <v>30</v>
      </c>
      <c r="C142" s="584">
        <f t="shared" si="91"/>
        <v>4.2857142857142856</v>
      </c>
      <c r="D142" s="583">
        <v>30</v>
      </c>
      <c r="E142" s="584">
        <f t="shared" si="92"/>
        <v>4.2857142857142856</v>
      </c>
      <c r="F142" s="576">
        <f>F112*(1+'OM Assumptions'!$B$12)</f>
        <v>5.3655640063600008E-3</v>
      </c>
      <c r="G142" s="578">
        <v>1</v>
      </c>
      <c r="H142" s="766">
        <f t="shared" si="93"/>
        <v>5.3655640063600008E-3</v>
      </c>
      <c r="I142" s="585">
        <f t="shared" si="94"/>
        <v>5119.9375</v>
      </c>
      <c r="J142" s="585">
        <f t="shared" si="95"/>
        <v>8520.091007732728</v>
      </c>
      <c r="K142" s="585">
        <f t="shared" si="96"/>
        <v>2.1428571428571428</v>
      </c>
      <c r="L142" s="585">
        <f t="shared" si="97"/>
        <v>8.5714285714285712</v>
      </c>
      <c r="M142" s="585">
        <f t="shared" si="98"/>
        <v>4.6428571428571423</v>
      </c>
      <c r="N142" s="776">
        <f t="shared" si="99"/>
        <v>1.0714285714285714</v>
      </c>
      <c r="O142" s="585">
        <f>SQRT((2*I142*'OM Assumptions'!$B$24*'OM Assumptions'!$B$23)/(F142*'OM Assumptions'!$B$22))</f>
        <v>115029.88290831531</v>
      </c>
      <c r="P142" s="585">
        <f t="shared" si="100"/>
        <v>115029.88290831531</v>
      </c>
      <c r="Q142" s="585">
        <f t="shared" si="101"/>
        <v>57514.941454157655</v>
      </c>
      <c r="R142" s="585">
        <f t="shared" si="102"/>
        <v>35333.174050702095</v>
      </c>
      <c r="S142" s="585">
        <f t="shared" si="103"/>
        <v>21942.589285714286</v>
      </c>
      <c r="T142" s="486">
        <f t="shared" si="104"/>
        <v>114791</v>
      </c>
      <c r="U142" s="488">
        <v>2</v>
      </c>
    </row>
    <row r="143" spans="1:21">
      <c r="A143" s="492" t="s">
        <v>707</v>
      </c>
      <c r="B143" s="606">
        <v>56</v>
      </c>
      <c r="C143" s="584">
        <f t="shared" si="91"/>
        <v>8</v>
      </c>
      <c r="D143" s="583">
        <v>7</v>
      </c>
      <c r="E143" s="584">
        <f t="shared" si="92"/>
        <v>1</v>
      </c>
      <c r="F143" s="576">
        <f>F113*(1+'OM Assumptions'!$B$12)</f>
        <v>0.11482306973610402</v>
      </c>
      <c r="G143" s="578">
        <v>1</v>
      </c>
      <c r="H143" s="766">
        <f t="shared" si="93"/>
        <v>0.11482306973610402</v>
      </c>
      <c r="I143" s="585">
        <f t="shared" si="94"/>
        <v>5119.9375</v>
      </c>
      <c r="J143" s="585">
        <f t="shared" si="95"/>
        <v>8520.091007732728</v>
      </c>
      <c r="K143" s="585">
        <f t="shared" si="96"/>
        <v>4</v>
      </c>
      <c r="L143" s="585">
        <f t="shared" si="97"/>
        <v>16</v>
      </c>
      <c r="M143" s="585">
        <f t="shared" si="98"/>
        <v>8.6666666666666661</v>
      </c>
      <c r="N143" s="776">
        <f t="shared" si="99"/>
        <v>2</v>
      </c>
      <c r="O143" s="585">
        <f>SQRT((2*I143*'OM Assumptions'!$B$24*'OM Assumptions'!$B$23)/(F143*'OM Assumptions'!$B$22))</f>
        <v>24865.877571051838</v>
      </c>
      <c r="P143" s="585">
        <f t="shared" si="100"/>
        <v>24865.877571051838</v>
      </c>
      <c r="Q143" s="585">
        <f t="shared" si="101"/>
        <v>12432.938785525919</v>
      </c>
      <c r="R143" s="585">
        <f t="shared" si="102"/>
        <v>49959.551356641445</v>
      </c>
      <c r="S143" s="585">
        <f t="shared" si="103"/>
        <v>5119.9375</v>
      </c>
      <c r="T143" s="486">
        <f t="shared" si="104"/>
        <v>67512</v>
      </c>
      <c r="U143" s="488">
        <v>10</v>
      </c>
    </row>
    <row r="144" spans="1:21">
      <c r="A144" s="492" t="s">
        <v>710</v>
      </c>
      <c r="B144" s="606">
        <v>23</v>
      </c>
      <c r="C144" s="584">
        <f t="shared" si="91"/>
        <v>3.2857142857142856</v>
      </c>
      <c r="D144" s="583">
        <v>7</v>
      </c>
      <c r="E144" s="584">
        <f t="shared" si="92"/>
        <v>1</v>
      </c>
      <c r="F144" s="576">
        <f>F114*(1+'OM Assumptions'!$B$12)</f>
        <v>1.0194571612084</v>
      </c>
      <c r="G144" s="578">
        <v>1</v>
      </c>
      <c r="H144" s="766">
        <f t="shared" si="93"/>
        <v>1.0194571612084</v>
      </c>
      <c r="I144" s="585">
        <f t="shared" si="94"/>
        <v>5119.9375</v>
      </c>
      <c r="J144" s="585">
        <f t="shared" si="95"/>
        <v>8520.091007732728</v>
      </c>
      <c r="K144" s="585">
        <f t="shared" si="96"/>
        <v>1.6428571428571428</v>
      </c>
      <c r="L144" s="585">
        <f t="shared" si="97"/>
        <v>6.5714285714285712</v>
      </c>
      <c r="M144" s="585">
        <f t="shared" si="98"/>
        <v>3.5595238095238089</v>
      </c>
      <c r="N144" s="776">
        <f t="shared" si="99"/>
        <v>0.82142857142857151</v>
      </c>
      <c r="O144" s="585">
        <f>SQRT((2*I144*'OM Assumptions'!$B$24*'OM Assumptions'!$B$23)/(F144*'OM Assumptions'!$B$22))</f>
        <v>8345.144810291833</v>
      </c>
      <c r="P144" s="585">
        <f t="shared" si="100"/>
        <v>8345.144810291833</v>
      </c>
      <c r="Q144" s="585">
        <f t="shared" si="101"/>
        <v>4172.5724051459165</v>
      </c>
      <c r="R144" s="585">
        <f t="shared" si="102"/>
        <v>30640.272612626792</v>
      </c>
      <c r="S144" s="585">
        <f t="shared" si="103"/>
        <v>5119.9375</v>
      </c>
      <c r="T144" s="486">
        <f t="shared" si="104"/>
        <v>39933</v>
      </c>
      <c r="U144" s="488">
        <v>29</v>
      </c>
    </row>
    <row r="145" spans="1:21">
      <c r="A145" s="492" t="s">
        <v>713</v>
      </c>
      <c r="B145" s="606">
        <v>30</v>
      </c>
      <c r="C145" s="584">
        <f t="shared" si="91"/>
        <v>4.2857142857142856</v>
      </c>
      <c r="D145" s="583">
        <v>30</v>
      </c>
      <c r="E145" s="584">
        <f t="shared" si="92"/>
        <v>4.2857142857142856</v>
      </c>
      <c r="F145" s="576">
        <f>F115*(1+'OM Assumptions'!$B$12)</f>
        <v>1.7277116100479204</v>
      </c>
      <c r="G145" s="578">
        <v>1</v>
      </c>
      <c r="H145" s="766">
        <f t="shared" si="93"/>
        <v>1.7277116100479204</v>
      </c>
      <c r="I145" s="585">
        <f t="shared" si="94"/>
        <v>5119.9375</v>
      </c>
      <c r="J145" s="585">
        <f t="shared" si="95"/>
        <v>8520.091007732728</v>
      </c>
      <c r="K145" s="585">
        <f t="shared" si="96"/>
        <v>2.1428571428571428</v>
      </c>
      <c r="L145" s="585">
        <f t="shared" si="97"/>
        <v>8.5714285714285712</v>
      </c>
      <c r="M145" s="585">
        <f t="shared" si="98"/>
        <v>4.6428571428571423</v>
      </c>
      <c r="N145" s="776">
        <f t="shared" si="99"/>
        <v>1.0714285714285714</v>
      </c>
      <c r="O145" s="585">
        <f>SQRT((2*I145*'OM Assumptions'!$B$24*'OM Assumptions'!$B$23)/(F145*'OM Assumptions'!$B$22))</f>
        <v>6410.3647539898084</v>
      </c>
      <c r="P145" s="585">
        <f t="shared" si="100"/>
        <v>6410.3647539898084</v>
      </c>
      <c r="Q145" s="585">
        <f t="shared" si="101"/>
        <v>3205.1823769949042</v>
      </c>
      <c r="R145" s="585">
        <f t="shared" si="102"/>
        <v>35333.174050702095</v>
      </c>
      <c r="S145" s="585">
        <f t="shared" si="103"/>
        <v>21942.589285714286</v>
      </c>
      <c r="T145" s="486">
        <f t="shared" si="104"/>
        <v>60481</v>
      </c>
      <c r="U145" s="488">
        <v>38</v>
      </c>
    </row>
    <row r="146" spans="1:21">
      <c r="A146" s="492" t="s">
        <v>714</v>
      </c>
      <c r="B146" s="606">
        <v>23</v>
      </c>
      <c r="C146" s="584">
        <f t="shared" si="91"/>
        <v>3.2857142857142856</v>
      </c>
      <c r="D146" s="583">
        <v>7</v>
      </c>
      <c r="E146" s="584">
        <f t="shared" si="92"/>
        <v>1</v>
      </c>
      <c r="F146" s="576">
        <f>F116*(1+'OM Assumptions'!$B$12)</f>
        <v>1.0731128012720002E-2</v>
      </c>
      <c r="G146" s="578">
        <v>1</v>
      </c>
      <c r="H146" s="766">
        <f t="shared" si="93"/>
        <v>1.0731128012720002E-2</v>
      </c>
      <c r="I146" s="585">
        <f t="shared" si="94"/>
        <v>5119.9375</v>
      </c>
      <c r="J146" s="585">
        <f t="shared" si="95"/>
        <v>8520.091007732728</v>
      </c>
      <c r="K146" s="585">
        <f t="shared" si="96"/>
        <v>1.6428571428571428</v>
      </c>
      <c r="L146" s="585">
        <f t="shared" si="97"/>
        <v>6.5714285714285712</v>
      </c>
      <c r="M146" s="585">
        <f t="shared" si="98"/>
        <v>3.5595238095238089</v>
      </c>
      <c r="N146" s="776">
        <f t="shared" si="99"/>
        <v>0.82142857142857151</v>
      </c>
      <c r="O146" s="585">
        <f>SQRT((2*I146*'OM Assumptions'!$B$24*'OM Assumptions'!$B$23)/(F146*'OM Assumptions'!$B$22))</f>
        <v>81338.4102435643</v>
      </c>
      <c r="P146" s="585">
        <f t="shared" si="100"/>
        <v>81338.4102435643</v>
      </c>
      <c r="Q146" s="585">
        <f t="shared" si="101"/>
        <v>40669.20512178215</v>
      </c>
      <c r="R146" s="585">
        <f t="shared" si="102"/>
        <v>30640.272612626792</v>
      </c>
      <c r="S146" s="585">
        <f t="shared" si="103"/>
        <v>5119.9375</v>
      </c>
      <c r="T146" s="486">
        <f t="shared" si="104"/>
        <v>76429</v>
      </c>
      <c r="U146" s="488">
        <v>3</v>
      </c>
    </row>
    <row r="147" spans="1:21">
      <c r="A147" s="492" t="s">
        <v>715</v>
      </c>
      <c r="B147" s="606">
        <v>30</v>
      </c>
      <c r="C147" s="584">
        <f t="shared" si="91"/>
        <v>4.2857142857142856</v>
      </c>
      <c r="D147" s="583">
        <v>30</v>
      </c>
      <c r="E147" s="584">
        <f t="shared" si="92"/>
        <v>4.2857142857142856</v>
      </c>
      <c r="F147" s="576">
        <f>F117*(1+'OM Assumptions'!$B$12)</f>
        <v>7.383016072751361</v>
      </c>
      <c r="G147" s="578">
        <v>1</v>
      </c>
      <c r="H147" s="766">
        <f t="shared" si="93"/>
        <v>7.383016072751361</v>
      </c>
      <c r="I147" s="585">
        <f t="shared" si="94"/>
        <v>5119.9375</v>
      </c>
      <c r="J147" s="585">
        <f t="shared" si="95"/>
        <v>8520.091007732728</v>
      </c>
      <c r="K147" s="585">
        <f t="shared" si="96"/>
        <v>2.1428571428571428</v>
      </c>
      <c r="L147" s="585">
        <f t="shared" si="97"/>
        <v>8.5714285714285712</v>
      </c>
      <c r="M147" s="585">
        <f t="shared" si="98"/>
        <v>4.6428571428571423</v>
      </c>
      <c r="N147" s="776">
        <f t="shared" si="99"/>
        <v>1.0714285714285714</v>
      </c>
      <c r="O147" s="585">
        <f>SQRT((2*I147*'OM Assumptions'!$B$24*'OM Assumptions'!$B$23)/(F147*'OM Assumptions'!$B$22))*2</f>
        <v>6201.9956376352211</v>
      </c>
      <c r="P147" s="585">
        <f t="shared" si="100"/>
        <v>6201.9956376352211</v>
      </c>
      <c r="Q147" s="585">
        <f t="shared" si="101"/>
        <v>3100.9978188176106</v>
      </c>
      <c r="R147" s="585">
        <f t="shared" si="102"/>
        <v>35333.174050702095</v>
      </c>
      <c r="S147" s="585">
        <f t="shared" si="103"/>
        <v>21942.589285714286</v>
      </c>
      <c r="T147" s="486">
        <f t="shared" si="104"/>
        <v>60377</v>
      </c>
      <c r="U147" s="488">
        <v>40</v>
      </c>
    </row>
    <row r="148" spans="1:21">
      <c r="A148" s="492" t="s">
        <v>716</v>
      </c>
      <c r="B148" s="606">
        <v>30</v>
      </c>
      <c r="C148" s="584">
        <f t="shared" si="91"/>
        <v>4.2857142857142856</v>
      </c>
      <c r="D148" s="583">
        <v>30</v>
      </c>
      <c r="E148" s="584">
        <f t="shared" si="92"/>
        <v>4.2857142857142856</v>
      </c>
      <c r="F148" s="576">
        <f>F118*(1+'OM Assumptions'!$B$12)</f>
        <v>0.10731128012720002</v>
      </c>
      <c r="G148" s="578">
        <v>1</v>
      </c>
      <c r="H148" s="766">
        <f t="shared" si="93"/>
        <v>0.10731128012720002</v>
      </c>
      <c r="I148" s="585">
        <f t="shared" si="94"/>
        <v>5119.9375</v>
      </c>
      <c r="J148" s="585">
        <f t="shared" si="95"/>
        <v>8520.091007732728</v>
      </c>
      <c r="K148" s="585">
        <f t="shared" si="96"/>
        <v>2.1428571428571428</v>
      </c>
      <c r="L148" s="585">
        <f t="shared" si="97"/>
        <v>8.5714285714285712</v>
      </c>
      <c r="M148" s="585">
        <f t="shared" si="98"/>
        <v>4.6428571428571423</v>
      </c>
      <c r="N148" s="776">
        <f t="shared" si="99"/>
        <v>1.0714285714285714</v>
      </c>
      <c r="O148" s="585">
        <f>SQRT((2*I148*'OM Assumptions'!$B$24*'OM Assumptions'!$B$23)/(F148*'OM Assumptions'!$B$22))</f>
        <v>25721.463762683423</v>
      </c>
      <c r="P148" s="585">
        <f t="shared" si="100"/>
        <v>25721.463762683423</v>
      </c>
      <c r="Q148" s="585">
        <f t="shared" si="101"/>
        <v>12860.731881341711</v>
      </c>
      <c r="R148" s="585">
        <f t="shared" si="102"/>
        <v>35333.174050702095</v>
      </c>
      <c r="S148" s="585">
        <f t="shared" si="103"/>
        <v>21942.589285714286</v>
      </c>
      <c r="T148" s="486">
        <f t="shared" si="104"/>
        <v>70136</v>
      </c>
      <c r="U148" s="488">
        <v>10</v>
      </c>
    </row>
    <row r="149" spans="1:21">
      <c r="A149" s="492" t="s">
        <v>717</v>
      </c>
      <c r="B149" s="606">
        <v>30</v>
      </c>
      <c r="C149" s="584">
        <f t="shared" si="91"/>
        <v>4.2857142857142856</v>
      </c>
      <c r="D149" s="583">
        <v>30</v>
      </c>
      <c r="E149" s="584">
        <f t="shared" si="92"/>
        <v>4.2857142857142856</v>
      </c>
      <c r="F149" s="576">
        <f>F119*(1+'OM Assumptions'!$B$12)</f>
        <v>1.4916267937680803</v>
      </c>
      <c r="G149" s="578">
        <v>1</v>
      </c>
      <c r="H149" s="766">
        <f t="shared" si="93"/>
        <v>1.4916267937680803</v>
      </c>
      <c r="I149" s="585">
        <f t="shared" si="94"/>
        <v>5119.9375</v>
      </c>
      <c r="J149" s="585">
        <f t="shared" si="95"/>
        <v>8520.091007732728</v>
      </c>
      <c r="K149" s="585">
        <f t="shared" si="96"/>
        <v>2.1428571428571428</v>
      </c>
      <c r="L149" s="585">
        <f t="shared" si="97"/>
        <v>8.5714285714285712</v>
      </c>
      <c r="M149" s="585">
        <f t="shared" si="98"/>
        <v>4.6428571428571423</v>
      </c>
      <c r="N149" s="776">
        <f t="shared" si="99"/>
        <v>1.0714285714285714</v>
      </c>
      <c r="O149" s="585">
        <f>SQRT((2*I149*'OM Assumptions'!$B$24*'OM Assumptions'!$B$23)/(F149*'OM Assumptions'!$B$22))</f>
        <v>6899.0339126359186</v>
      </c>
      <c r="P149" s="585">
        <f t="shared" si="100"/>
        <v>6899.0339126359186</v>
      </c>
      <c r="Q149" s="585">
        <f t="shared" si="101"/>
        <v>3449.5169563179593</v>
      </c>
      <c r="R149" s="585">
        <f t="shared" si="102"/>
        <v>35333.174050702095</v>
      </c>
      <c r="S149" s="585">
        <f t="shared" si="103"/>
        <v>21942.589285714286</v>
      </c>
      <c r="T149" s="486">
        <f t="shared" si="104"/>
        <v>60725</v>
      </c>
      <c r="U149" s="488">
        <v>36</v>
      </c>
    </row>
    <row r="150" spans="1:21">
      <c r="A150" s="492" t="s">
        <v>718</v>
      </c>
      <c r="B150" s="606">
        <v>30</v>
      </c>
      <c r="C150" s="584">
        <f t="shared" si="91"/>
        <v>4.2857142857142856</v>
      </c>
      <c r="D150" s="583">
        <v>30</v>
      </c>
      <c r="E150" s="584">
        <f t="shared" si="92"/>
        <v>4.2857142857142856</v>
      </c>
      <c r="F150" s="576">
        <f>F120*(1+'OM Assumptions'!$B$12)</f>
        <v>1.0731128012720002E-2</v>
      </c>
      <c r="G150" s="578">
        <v>8</v>
      </c>
      <c r="H150" s="766">
        <f t="shared" si="93"/>
        <v>8.5849024101760013E-2</v>
      </c>
      <c r="I150" s="585">
        <f t="shared" si="94"/>
        <v>40959.5</v>
      </c>
      <c r="J150" s="585">
        <f t="shared" si="95"/>
        <v>68160.728061861824</v>
      </c>
      <c r="K150" s="585">
        <f t="shared" si="96"/>
        <v>2.1428571428571428</v>
      </c>
      <c r="L150" s="585">
        <f t="shared" si="97"/>
        <v>8.5714285714285712</v>
      </c>
      <c r="M150" s="585">
        <f t="shared" si="98"/>
        <v>4.6428571428571423</v>
      </c>
      <c r="N150" s="776">
        <f t="shared" si="99"/>
        <v>1.0714285714285714</v>
      </c>
      <c r="O150" s="585">
        <f>SQRT((2*I150*'OM Assumptions'!$B$24*'OM Assumptions'!$B$23)/(F150*'OM Assumptions'!$B$22))</f>
        <v>230059.76581663062</v>
      </c>
      <c r="P150" s="585">
        <f t="shared" si="100"/>
        <v>28757.470727078828</v>
      </c>
      <c r="Q150" s="585">
        <f t="shared" si="101"/>
        <v>115029.88290831531</v>
      </c>
      <c r="R150" s="585">
        <f t="shared" si="102"/>
        <v>282665.39240561676</v>
      </c>
      <c r="S150" s="585">
        <f t="shared" si="103"/>
        <v>175540.71428571429</v>
      </c>
      <c r="T150" s="486">
        <f t="shared" si="104"/>
        <v>573236</v>
      </c>
      <c r="U150" s="488">
        <v>9</v>
      </c>
    </row>
    <row r="151" spans="1:21">
      <c r="A151" s="492" t="s">
        <v>719</v>
      </c>
      <c r="B151" s="606">
        <v>30</v>
      </c>
      <c r="C151" s="584">
        <f t="shared" si="91"/>
        <v>4.2857142857142856</v>
      </c>
      <c r="D151" s="583">
        <v>30</v>
      </c>
      <c r="E151" s="584">
        <f t="shared" si="92"/>
        <v>4.2857142857142856</v>
      </c>
      <c r="F151" s="576">
        <f>F121*(1+'OM Assumptions'!$B$12)</f>
        <v>2.4681594429256006</v>
      </c>
      <c r="G151" s="578">
        <v>0.01</v>
      </c>
      <c r="H151" s="766">
        <f t="shared" si="93"/>
        <v>2.4681594429256007E-2</v>
      </c>
      <c r="I151" s="585">
        <f t="shared" si="94"/>
        <v>51.199375000000003</v>
      </c>
      <c r="J151" s="585">
        <f t="shared" si="95"/>
        <v>85.200910077327279</v>
      </c>
      <c r="K151" s="585">
        <f t="shared" si="96"/>
        <v>2.1428571428571428</v>
      </c>
      <c r="L151" s="585">
        <f t="shared" si="97"/>
        <v>8.5714285714285712</v>
      </c>
      <c r="M151" s="585">
        <f t="shared" si="98"/>
        <v>4.6428571428571423</v>
      </c>
      <c r="N151" s="776">
        <f t="shared" si="99"/>
        <v>1.0714285714285714</v>
      </c>
      <c r="O151" s="585">
        <f>SQRT((2*I151*'OM Assumptions'!$B$24*'OM Assumptions'!$B$23)/(F151*'OM Assumptions'!$B$22))</f>
        <v>536.32959451662157</v>
      </c>
      <c r="P151" s="585">
        <f t="shared" si="100"/>
        <v>53632.959451662158</v>
      </c>
      <c r="Q151" s="585">
        <f t="shared" si="101"/>
        <v>268.16479725831078</v>
      </c>
      <c r="R151" s="585">
        <f t="shared" si="102"/>
        <v>353.33174050702092</v>
      </c>
      <c r="S151" s="585">
        <f t="shared" si="103"/>
        <v>219.42589285714286</v>
      </c>
      <c r="T151" s="486">
        <f t="shared" si="104"/>
        <v>841</v>
      </c>
      <c r="U151" s="488">
        <v>5</v>
      </c>
    </row>
    <row r="152" spans="1:21">
      <c r="A152" s="575" t="s">
        <v>720</v>
      </c>
      <c r="B152" s="598"/>
      <c r="C152" s="584"/>
      <c r="D152" s="577"/>
      <c r="E152" s="584"/>
      <c r="F152" s="576"/>
      <c r="G152" s="597"/>
      <c r="H152" s="766"/>
      <c r="I152" s="585"/>
      <c r="J152" s="585"/>
      <c r="K152" s="585"/>
      <c r="L152" s="585"/>
      <c r="M152" s="585"/>
      <c r="N152" s="776"/>
      <c r="O152" s="585"/>
      <c r="P152" s="585"/>
      <c r="Q152" s="585"/>
      <c r="R152" s="585"/>
      <c r="S152" s="585"/>
      <c r="T152" s="486"/>
      <c r="U152" s="488"/>
    </row>
    <row r="153" spans="1:21">
      <c r="A153" s="589" t="s">
        <v>721</v>
      </c>
      <c r="B153" s="425">
        <v>30</v>
      </c>
      <c r="C153" s="584">
        <f t="shared" ref="C153:C154" si="105">B153/7</f>
        <v>4.2857142857142856</v>
      </c>
      <c r="D153" s="591">
        <v>30</v>
      </c>
      <c r="E153" s="584">
        <f t="shared" ref="E153:E154" si="106">D153/7</f>
        <v>4.2857142857142856</v>
      </c>
      <c r="F153" s="576">
        <f>F123*(1+'OM Assumptions'!$B$12)</f>
        <v>2.0389143224168</v>
      </c>
      <c r="G153" s="594">
        <v>1</v>
      </c>
      <c r="H153" s="766">
        <f t="shared" ref="H153:H154" si="107">F153*G153</f>
        <v>2.0389143224168</v>
      </c>
      <c r="I153" s="585">
        <f t="shared" ref="I153:I154" si="108">$B$135*G153</f>
        <v>5119.9375</v>
      </c>
      <c r="J153" s="585">
        <f t="shared" ref="J153:J154" si="109">G153*$B$136</f>
        <v>8520.091007732728</v>
      </c>
      <c r="K153" s="585">
        <f t="shared" ref="K153:K154" si="110">C153/2</f>
        <v>2.1428571428571428</v>
      </c>
      <c r="L153" s="585">
        <f t="shared" ref="L153:L154" si="111">C153*2</f>
        <v>8.5714285714285712</v>
      </c>
      <c r="M153" s="585">
        <f t="shared" ref="M153:M154" si="112">(K153+(C153*4)+L153)/6</f>
        <v>4.6428571428571423</v>
      </c>
      <c r="N153" s="776">
        <f t="shared" ref="N153:N154" si="113">(L153-K153)/6</f>
        <v>1.0714285714285714</v>
      </c>
      <c r="O153" s="585">
        <f>SQRT((2*I153*'OM Assumptions'!$B$24*'OM Assumptions'!$B$23)/(F153*'OM Assumptions'!$B$22))</f>
        <v>5900.9084853410795</v>
      </c>
      <c r="P153" s="585">
        <f t="shared" ref="P153:P154" si="114">O153/G153</f>
        <v>5900.9084853410795</v>
      </c>
      <c r="Q153" s="585">
        <f t="shared" ref="Q153:Q154" si="115">O153/2</f>
        <v>2950.4542426705398</v>
      </c>
      <c r="R153" s="585">
        <f t="shared" ref="R153:R154" si="116">$E$135 * SQRT(M153*J153^2+I153^2*N153^2)</f>
        <v>35333.174050702095</v>
      </c>
      <c r="S153" s="585">
        <f t="shared" ref="S153:S154" si="117">I153*E153</f>
        <v>21942.589285714286</v>
      </c>
      <c r="T153" s="486">
        <f t="shared" ref="T153:T154" si="118">ROUND(SUM(Q153:S153), 0)</f>
        <v>60226</v>
      </c>
      <c r="U153" s="488">
        <v>42</v>
      </c>
    </row>
    <row r="154" spans="1:21">
      <c r="A154" s="594" t="s">
        <v>722</v>
      </c>
      <c r="B154" s="594">
        <v>30</v>
      </c>
      <c r="C154" s="584">
        <f t="shared" si="105"/>
        <v>4.2857142857142856</v>
      </c>
      <c r="D154" s="583">
        <v>30</v>
      </c>
      <c r="E154" s="584">
        <f t="shared" si="106"/>
        <v>4.2857142857142856</v>
      </c>
      <c r="F154" s="576">
        <f>F124*(1+'OM Assumptions'!$B$12)</f>
        <v>0.21462256025440005</v>
      </c>
      <c r="G154" s="594">
        <v>2</v>
      </c>
      <c r="H154" s="766">
        <f t="shared" si="107"/>
        <v>0.42924512050880009</v>
      </c>
      <c r="I154" s="585">
        <f t="shared" si="108"/>
        <v>10239.875</v>
      </c>
      <c r="J154" s="585">
        <f t="shared" si="109"/>
        <v>17040.182015465456</v>
      </c>
      <c r="K154" s="585">
        <f t="shared" si="110"/>
        <v>2.1428571428571428</v>
      </c>
      <c r="L154" s="585">
        <f t="shared" si="111"/>
        <v>8.5714285714285712</v>
      </c>
      <c r="M154" s="585">
        <f t="shared" si="112"/>
        <v>4.6428571428571423</v>
      </c>
      <c r="N154" s="776">
        <f t="shared" si="113"/>
        <v>1.0714285714285714</v>
      </c>
      <c r="O154" s="585">
        <f>SQRT((2*I154*'OM Assumptions'!$B$24*'OM Assumptions'!$B$23)/(F154*'OM Assumptions'!$B$22))</f>
        <v>25721.463762683423</v>
      </c>
      <c r="P154" s="585">
        <f t="shared" si="114"/>
        <v>12860.731881341711</v>
      </c>
      <c r="Q154" s="585">
        <f t="shared" si="115"/>
        <v>12860.731881341711</v>
      </c>
      <c r="R154" s="585">
        <f t="shared" si="116"/>
        <v>70666.34810140419</v>
      </c>
      <c r="S154" s="585">
        <f t="shared" si="117"/>
        <v>43885.178571428572</v>
      </c>
      <c r="T154" s="486">
        <f t="shared" si="118"/>
        <v>127412</v>
      </c>
      <c r="U154" s="488">
        <v>19</v>
      </c>
    </row>
    <row r="155" spans="1:21">
      <c r="A155" s="597" t="s">
        <v>92</v>
      </c>
      <c r="B155" s="492"/>
      <c r="C155" s="666"/>
      <c r="D155" s="586"/>
      <c r="E155" s="666"/>
      <c r="F155" s="492"/>
      <c r="G155" s="597"/>
      <c r="H155" s="767">
        <f>SUM(H141:H151)</f>
        <v>12.131770186453275</v>
      </c>
      <c r="I155" s="585"/>
      <c r="J155" s="585"/>
      <c r="K155" s="585"/>
      <c r="L155" s="585"/>
      <c r="M155" s="585"/>
      <c r="N155" s="585"/>
      <c r="O155" s="585"/>
      <c r="P155" s="585"/>
      <c r="Q155" s="585"/>
      <c r="R155" s="585"/>
      <c r="S155" s="585"/>
      <c r="T155" s="486"/>
      <c r="U155" s="488"/>
    </row>
    <row r="156" spans="1:21">
      <c r="A156" s="446"/>
      <c r="C156" s="544"/>
      <c r="D156" s="544"/>
      <c r="E156" s="544"/>
      <c r="F156" s="544"/>
      <c r="G156" s="544"/>
      <c r="H156" s="544"/>
      <c r="I156" s="544"/>
      <c r="J156" s="544"/>
      <c r="K156" s="568"/>
      <c r="L156" s="456"/>
      <c r="M156" s="456"/>
      <c r="U156" s="441"/>
    </row>
    <row r="157" spans="1:21">
      <c r="A157" s="1370" t="s">
        <v>67</v>
      </c>
      <c r="B157" s="1297"/>
      <c r="C157" s="1297"/>
      <c r="D157" s="1297"/>
      <c r="E157" s="1297"/>
      <c r="F157" s="1297"/>
      <c r="G157" s="1297"/>
      <c r="H157" s="1297"/>
      <c r="I157" s="1297"/>
      <c r="J157" s="1297"/>
      <c r="K157" s="1297"/>
      <c r="L157" s="1297"/>
      <c r="M157" s="1297"/>
      <c r="N157" s="1297"/>
      <c r="O157" s="1297"/>
      <c r="P157" s="1297"/>
      <c r="Q157" s="1297"/>
      <c r="R157" s="1297"/>
      <c r="S157" s="1297"/>
      <c r="T157" s="1297"/>
      <c r="U157" s="1342"/>
    </row>
    <row r="158" spans="1:21">
      <c r="A158" s="1343"/>
      <c r="B158" s="1297"/>
      <c r="C158" s="1297"/>
      <c r="D158" s="1297"/>
      <c r="E158" s="1297"/>
      <c r="F158" s="1297"/>
      <c r="G158" s="1297"/>
      <c r="H158" s="1297"/>
      <c r="I158" s="1297"/>
      <c r="J158" s="1297"/>
      <c r="K158" s="1297"/>
      <c r="L158" s="1297"/>
      <c r="M158" s="1297"/>
      <c r="N158" s="1297"/>
      <c r="O158" s="1297"/>
      <c r="P158" s="1297"/>
      <c r="Q158" s="1297"/>
      <c r="R158" s="1297"/>
      <c r="S158" s="1297"/>
      <c r="T158" s="1297"/>
      <c r="U158" s="1342"/>
    </row>
    <row r="159" spans="1:21">
      <c r="A159" s="1362" t="s">
        <v>730</v>
      </c>
      <c r="B159" s="1297"/>
      <c r="C159" s="544"/>
      <c r="D159" s="1358" t="s">
        <v>731</v>
      </c>
      <c r="E159" s="1297"/>
      <c r="F159" s="544"/>
      <c r="G159" s="1358" t="s">
        <v>732</v>
      </c>
      <c r="H159" s="1297"/>
      <c r="I159" s="544"/>
      <c r="J159" s="1367" t="s">
        <v>733</v>
      </c>
      <c r="K159" s="1297"/>
      <c r="L159" s="456"/>
      <c r="M159" s="456"/>
      <c r="U159" s="441"/>
    </row>
    <row r="160" spans="1:21">
      <c r="A160" s="558" t="s">
        <v>734</v>
      </c>
      <c r="B160" s="771">
        <f>'BASES Model'!M11</f>
        <v>297058</v>
      </c>
      <c r="C160" s="544"/>
      <c r="D160" s="559" t="s">
        <v>735</v>
      </c>
      <c r="E160" s="560">
        <f>COGS!F20</f>
        <v>17.572466529037754</v>
      </c>
      <c r="F160" s="544"/>
      <c r="G160" s="559" t="s">
        <v>736</v>
      </c>
      <c r="H160" s="772">
        <f>B166/2</f>
        <v>5149.3165903210665</v>
      </c>
      <c r="I160" s="544"/>
      <c r="J160" s="398" t="s">
        <v>674</v>
      </c>
      <c r="K160" s="562">
        <f>SUMPRODUCT(F171:F184,T171:T184)</f>
        <v>1049261.0590677341</v>
      </c>
      <c r="L160" s="456"/>
      <c r="M160" s="456"/>
      <c r="U160" s="441"/>
    </row>
    <row r="161" spans="1:21">
      <c r="A161" s="563" t="s">
        <v>737</v>
      </c>
      <c r="B161" s="772">
        <f>B160*2</f>
        <v>594116</v>
      </c>
      <c r="C161" s="544"/>
      <c r="D161" s="559" t="s">
        <v>738</v>
      </c>
      <c r="E161" s="562">
        <f>'Avg. Weighted Manufacturer''s Pr'!C43-E160</f>
        <v>40.765306759207832</v>
      </c>
      <c r="F161" s="544"/>
      <c r="G161" s="559" t="s">
        <v>739</v>
      </c>
      <c r="H161" s="772">
        <f>E165*B166*SQRT(1)</f>
        <v>18463.625924346838</v>
      </c>
      <c r="I161" s="544"/>
      <c r="J161" s="398" t="s">
        <v>675</v>
      </c>
      <c r="K161" s="562">
        <f>(ROUND(H166, 0)*(SUMPRODUCT(F171:F184, G171:G184)+E160))/2</f>
        <v>100632.75158948734</v>
      </c>
      <c r="L161" s="456"/>
      <c r="M161" s="456"/>
      <c r="U161" s="441"/>
    </row>
    <row r="162" spans="1:21">
      <c r="A162" s="564" t="s">
        <v>740</v>
      </c>
      <c r="B162" s="772">
        <f>B160/2</f>
        <v>148529</v>
      </c>
      <c r="C162" s="544"/>
      <c r="D162" s="559" t="s">
        <v>741</v>
      </c>
      <c r="E162" s="562">
        <f>(E160*'OM Assumptions'!$B$22)/6</f>
        <v>0.87862332645188779</v>
      </c>
      <c r="F162" s="544"/>
      <c r="G162" s="559" t="s">
        <v>742</v>
      </c>
      <c r="H162" s="772">
        <v>0</v>
      </c>
      <c r="I162" s="544"/>
      <c r="J162" s="474" t="s">
        <v>676</v>
      </c>
      <c r="K162" s="565">
        <f>H163*E160</f>
        <v>414937.64199109434</v>
      </c>
      <c r="L162" s="456"/>
      <c r="M162" s="456"/>
      <c r="U162" s="441"/>
    </row>
    <row r="163" spans="1:21">
      <c r="A163" s="564" t="s">
        <v>743</v>
      </c>
      <c r="B163" s="772">
        <f>(B161+(B160*4)+B162)/6</f>
        <v>321812.83333333331</v>
      </c>
      <c r="C163" s="544"/>
      <c r="D163" s="559" t="s">
        <v>744</v>
      </c>
      <c r="E163" s="560">
        <f>E161-E160</f>
        <v>23.192840230170077</v>
      </c>
      <c r="F163" s="544"/>
      <c r="G163" s="559" t="s">
        <v>745</v>
      </c>
      <c r="H163" s="772">
        <f>SUM(H160:H162)</f>
        <v>23612.942514667906</v>
      </c>
      <c r="I163" s="544"/>
      <c r="J163" s="456" t="s">
        <v>678</v>
      </c>
      <c r="K163" s="566">
        <f>SUM(K160:K162)</f>
        <v>1564831.4526483156</v>
      </c>
      <c r="L163" s="456"/>
      <c r="M163" s="456"/>
      <c r="U163" s="441"/>
    </row>
    <row r="164" spans="1:21">
      <c r="A164" s="564" t="s">
        <v>746</v>
      </c>
      <c r="B164" s="772">
        <f>(B161-B162)/6</f>
        <v>74264.5</v>
      </c>
      <c r="C164" s="544"/>
      <c r="D164" s="559" t="s">
        <v>726</v>
      </c>
      <c r="E164" s="773">
        <f>E163/(E162+E163)</f>
        <v>0.96349938073415642</v>
      </c>
      <c r="F164" s="544"/>
      <c r="G164" s="561"/>
      <c r="H164" s="561"/>
      <c r="I164" s="544"/>
      <c r="J164" s="544"/>
      <c r="K164" s="568"/>
      <c r="L164" s="456"/>
      <c r="M164" s="456"/>
      <c r="U164" s="441"/>
    </row>
    <row r="165" spans="1:21">
      <c r="A165" s="564" t="s">
        <v>747</v>
      </c>
      <c r="B165" s="772">
        <f>B163/52</f>
        <v>6188.708333333333</v>
      </c>
      <c r="C165" s="544"/>
      <c r="D165" s="559" t="s">
        <v>748</v>
      </c>
      <c r="E165" s="774">
        <f>NORMSINV(E164)</f>
        <v>1.7928229504330795</v>
      </c>
      <c r="F165" s="544"/>
      <c r="G165" s="1358" t="s">
        <v>749</v>
      </c>
      <c r="H165" s="1297"/>
      <c r="I165" s="544"/>
      <c r="J165" s="544"/>
      <c r="K165" s="568"/>
      <c r="L165" s="456"/>
      <c r="M165" s="456"/>
      <c r="U165" s="441"/>
    </row>
    <row r="166" spans="1:21">
      <c r="A166" s="564" t="s">
        <v>750</v>
      </c>
      <c r="B166" s="772">
        <f>B164/SQRT(52)</f>
        <v>10298.633180642133</v>
      </c>
      <c r="C166" s="544"/>
      <c r="D166" s="544"/>
      <c r="E166" s="544"/>
      <c r="F166" s="544"/>
      <c r="G166" s="559" t="s">
        <v>751</v>
      </c>
      <c r="H166" s="772">
        <f>B165</f>
        <v>6188.708333333333</v>
      </c>
      <c r="I166" s="544"/>
      <c r="J166" s="544"/>
      <c r="K166" s="568"/>
      <c r="L166" s="456"/>
      <c r="M166" s="456"/>
      <c r="U166" s="441"/>
    </row>
    <row r="167" spans="1:21">
      <c r="A167" s="446"/>
      <c r="C167" s="544"/>
      <c r="D167" s="544"/>
      <c r="E167" s="544"/>
      <c r="F167" s="544"/>
      <c r="G167" s="544"/>
      <c r="H167" s="544"/>
      <c r="I167" s="544"/>
      <c r="J167" s="544"/>
      <c r="K167" s="568"/>
      <c r="L167" s="456"/>
      <c r="M167" s="456"/>
      <c r="U167" s="441"/>
    </row>
    <row r="168" spans="1:21">
      <c r="A168" s="570" t="s">
        <v>752</v>
      </c>
      <c r="B168" s="561"/>
      <c r="C168" s="544"/>
      <c r="D168" s="544"/>
      <c r="E168" s="544"/>
      <c r="F168" s="571"/>
      <c r="G168" s="544"/>
      <c r="H168" s="544"/>
      <c r="I168" s="544"/>
      <c r="J168" s="544"/>
      <c r="K168" s="568"/>
      <c r="L168" s="456"/>
      <c r="M168" s="456"/>
      <c r="U168" s="441"/>
    </row>
    <row r="169" spans="1:21">
      <c r="A169" s="572" t="s">
        <v>681</v>
      </c>
      <c r="B169" s="572" t="s">
        <v>753</v>
      </c>
      <c r="C169" s="572" t="s">
        <v>754</v>
      </c>
      <c r="D169" s="572" t="s">
        <v>755</v>
      </c>
      <c r="E169" s="572" t="s">
        <v>756</v>
      </c>
      <c r="F169" s="572" t="s">
        <v>757</v>
      </c>
      <c r="G169" s="572" t="s">
        <v>758</v>
      </c>
      <c r="H169" s="777" t="s">
        <v>759</v>
      </c>
      <c r="I169" s="784" t="s">
        <v>747</v>
      </c>
      <c r="J169" s="784" t="s">
        <v>760</v>
      </c>
      <c r="K169" s="784" t="s">
        <v>761</v>
      </c>
      <c r="L169" s="784" t="s">
        <v>762</v>
      </c>
      <c r="M169" s="784" t="s">
        <v>763</v>
      </c>
      <c r="N169" s="784" t="s">
        <v>764</v>
      </c>
      <c r="O169" s="784" t="s">
        <v>765</v>
      </c>
      <c r="P169" s="784" t="s">
        <v>772</v>
      </c>
      <c r="Q169" s="784" t="s">
        <v>767</v>
      </c>
      <c r="R169" s="784" t="s">
        <v>768</v>
      </c>
      <c r="S169" s="784" t="s">
        <v>769</v>
      </c>
      <c r="T169" s="784" t="s">
        <v>770</v>
      </c>
      <c r="U169" s="784" t="s">
        <v>771</v>
      </c>
    </row>
    <row r="170" spans="1:21">
      <c r="A170" s="575" t="s">
        <v>689</v>
      </c>
      <c r="B170" s="576"/>
      <c r="C170" s="576"/>
      <c r="D170" s="576"/>
      <c r="E170" s="576"/>
      <c r="F170" s="576"/>
      <c r="G170" s="578"/>
      <c r="H170" s="579"/>
      <c r="I170" s="488"/>
      <c r="J170" s="488"/>
      <c r="K170" s="488"/>
      <c r="L170" s="488"/>
      <c r="M170" s="488"/>
      <c r="N170" s="488"/>
      <c r="O170" s="488"/>
      <c r="P170" s="488"/>
      <c r="Q170" s="488"/>
      <c r="R170" s="580"/>
      <c r="S170" s="488"/>
      <c r="T170" s="488"/>
      <c r="U170" s="488"/>
    </row>
    <row r="171" spans="1:21">
      <c r="A171" s="492" t="s">
        <v>697</v>
      </c>
      <c r="B171" s="606">
        <v>30</v>
      </c>
      <c r="C171" s="584">
        <f t="shared" ref="C171:C181" si="119">B171/7</f>
        <v>4.2857142857142856</v>
      </c>
      <c r="D171" s="606">
        <v>30</v>
      </c>
      <c r="E171" s="584">
        <f t="shared" ref="E171:E181" si="120">D171/7</f>
        <v>4.2857142857142856</v>
      </c>
      <c r="F171" s="576">
        <f>F141*(1+'OM Assumptions'!$B$12)</f>
        <v>5.4932644297113677</v>
      </c>
      <c r="G171" s="768">
        <v>3.0042860000000001E-2</v>
      </c>
      <c r="H171" s="766">
        <f t="shared" ref="H171:H181" si="121">F171*G171</f>
        <v>0.16503337420479847</v>
      </c>
      <c r="I171" s="585">
        <f t="shared" ref="I171:I181" si="122">$B$165*G171</f>
        <v>185.92649803916666</v>
      </c>
      <c r="J171" s="585">
        <f t="shared" ref="J171:J181" si="123">G171*$B$166</f>
        <v>309.40039483738633</v>
      </c>
      <c r="K171" s="585">
        <f t="shared" ref="K171:K181" si="124">C171/2</f>
        <v>2.1428571428571428</v>
      </c>
      <c r="L171" s="585">
        <f t="shared" ref="L171:L181" si="125">C171*2</f>
        <v>8.5714285714285712</v>
      </c>
      <c r="M171" s="585">
        <f t="shared" ref="M171:M181" si="126">(K171+(C171*4)+L171)/6</f>
        <v>4.6428571428571423</v>
      </c>
      <c r="N171" s="776">
        <f t="shared" ref="N171:N181" si="127">(L171-K171)/6</f>
        <v>1.0714285714285714</v>
      </c>
      <c r="O171" s="585">
        <f>SQRT((2*I171*'OM Assumptions'!$B$24*'OM Assumptions'!$B$23)/(F171*'OM Assumptions'!$B$22))</f>
        <v>685.08022238838475</v>
      </c>
      <c r="P171" s="769">
        <f t="shared" ref="P171:P181" si="128">O171/G171</f>
        <v>22803.428914170778</v>
      </c>
      <c r="Q171" s="769">
        <f t="shared" ref="Q171:Q181" si="129">O171/2</f>
        <v>342.54011119419238</v>
      </c>
      <c r="R171" s="585">
        <f t="shared" ref="R171:R181" si="130">$E$165* SQRT(M171*J171^2+I171^2*N171^2)</f>
        <v>1247.4462194129808</v>
      </c>
      <c r="S171" s="585">
        <f t="shared" ref="S171:S181" si="131">I171*E171</f>
        <v>796.82784873928563</v>
      </c>
      <c r="T171" s="486">
        <f t="shared" ref="T171:T181" si="132">ROUND(SUM(Q171:S171), 0)</f>
        <v>2387</v>
      </c>
      <c r="U171" s="488">
        <v>13</v>
      </c>
    </row>
    <row r="172" spans="1:21">
      <c r="A172" s="492" t="s">
        <v>700</v>
      </c>
      <c r="B172" s="606">
        <v>30</v>
      </c>
      <c r="C172" s="584">
        <f t="shared" si="119"/>
        <v>4.2857142857142856</v>
      </c>
      <c r="D172" s="606">
        <v>30</v>
      </c>
      <c r="E172" s="584">
        <f t="shared" si="120"/>
        <v>4.2857142857142856</v>
      </c>
      <c r="F172" s="576">
        <f>F142*(1+'OM Assumptions'!$B$12)</f>
        <v>5.4932644297113692E-3</v>
      </c>
      <c r="G172" s="578">
        <v>1</v>
      </c>
      <c r="H172" s="766">
        <f t="shared" si="121"/>
        <v>5.4932644297113692E-3</v>
      </c>
      <c r="I172" s="585">
        <f t="shared" si="122"/>
        <v>6188.708333333333</v>
      </c>
      <c r="J172" s="585">
        <f t="shared" si="123"/>
        <v>10298.633180642133</v>
      </c>
      <c r="K172" s="585">
        <f t="shared" si="124"/>
        <v>2.1428571428571428</v>
      </c>
      <c r="L172" s="585">
        <f t="shared" si="125"/>
        <v>8.5714285714285712</v>
      </c>
      <c r="M172" s="585">
        <f t="shared" si="126"/>
        <v>4.6428571428571423</v>
      </c>
      <c r="N172" s="776">
        <f t="shared" si="127"/>
        <v>1.0714285714285714</v>
      </c>
      <c r="O172" s="585">
        <f>SQRT((2*I172*'OM Assumptions'!$B$24*'OM Assumptions'!$B$23)/(F172*'OM Assumptions'!$B$22))</f>
        <v>124988.71209728435</v>
      </c>
      <c r="P172" s="769">
        <f t="shared" si="128"/>
        <v>124988.71209728435</v>
      </c>
      <c r="Q172" s="769">
        <f t="shared" si="129"/>
        <v>62494.356048642177</v>
      </c>
      <c r="R172" s="585">
        <f t="shared" si="130"/>
        <v>41522.219236550074</v>
      </c>
      <c r="S172" s="585">
        <f t="shared" si="131"/>
        <v>26523.035714285714</v>
      </c>
      <c r="T172" s="486">
        <f t="shared" si="132"/>
        <v>130540</v>
      </c>
      <c r="U172" s="488">
        <v>2</v>
      </c>
    </row>
    <row r="173" spans="1:21">
      <c r="A173" s="492" t="s">
        <v>707</v>
      </c>
      <c r="B173" s="606">
        <v>56</v>
      </c>
      <c r="C173" s="584">
        <f t="shared" si="119"/>
        <v>8</v>
      </c>
      <c r="D173" s="606">
        <v>7</v>
      </c>
      <c r="E173" s="584">
        <f t="shared" si="120"/>
        <v>1</v>
      </c>
      <c r="F173" s="576">
        <f>F143*(1+'OM Assumptions'!$B$12)</f>
        <v>0.11755585879582331</v>
      </c>
      <c r="G173" s="578">
        <v>1</v>
      </c>
      <c r="H173" s="766">
        <f t="shared" si="121"/>
        <v>0.11755585879582331</v>
      </c>
      <c r="I173" s="585">
        <f t="shared" si="122"/>
        <v>6188.708333333333</v>
      </c>
      <c r="J173" s="585">
        <f t="shared" si="123"/>
        <v>10298.633180642133</v>
      </c>
      <c r="K173" s="585">
        <f t="shared" si="124"/>
        <v>4</v>
      </c>
      <c r="L173" s="585">
        <f t="shared" si="125"/>
        <v>16</v>
      </c>
      <c r="M173" s="585">
        <f t="shared" si="126"/>
        <v>8.6666666666666661</v>
      </c>
      <c r="N173" s="776">
        <f t="shared" si="127"/>
        <v>2</v>
      </c>
      <c r="O173" s="585">
        <f>SQRT((2*I173*'OM Assumptions'!$B$24*'OM Assumptions'!$B$23)/(F173*'OM Assumptions'!$B$22))</f>
        <v>27018.666229989267</v>
      </c>
      <c r="P173" s="769">
        <f t="shared" si="128"/>
        <v>27018.666229989267</v>
      </c>
      <c r="Q173" s="769">
        <f t="shared" si="129"/>
        <v>13509.333114994633</v>
      </c>
      <c r="R173" s="585">
        <f t="shared" si="130"/>
        <v>58710.588565108796</v>
      </c>
      <c r="S173" s="585">
        <f t="shared" si="131"/>
        <v>6188.708333333333</v>
      </c>
      <c r="T173" s="486">
        <f t="shared" si="132"/>
        <v>78409</v>
      </c>
      <c r="U173" s="488">
        <v>11</v>
      </c>
    </row>
    <row r="174" spans="1:21">
      <c r="A174" s="492" t="s">
        <v>710</v>
      </c>
      <c r="B174" s="606">
        <v>23</v>
      </c>
      <c r="C174" s="584">
        <f t="shared" si="119"/>
        <v>3.2857142857142856</v>
      </c>
      <c r="D174" s="606">
        <v>7</v>
      </c>
      <c r="E174" s="584">
        <f t="shared" si="120"/>
        <v>1</v>
      </c>
      <c r="F174" s="576">
        <f>F144*(1+'OM Assumptions'!$B$12)</f>
        <v>1.0437202416451601</v>
      </c>
      <c r="G174" s="578">
        <v>1</v>
      </c>
      <c r="H174" s="766">
        <f t="shared" si="121"/>
        <v>1.0437202416451601</v>
      </c>
      <c r="I174" s="585">
        <f t="shared" si="122"/>
        <v>6188.708333333333</v>
      </c>
      <c r="J174" s="585">
        <f t="shared" si="123"/>
        <v>10298.633180642133</v>
      </c>
      <c r="K174" s="585">
        <f t="shared" si="124"/>
        <v>1.6428571428571428</v>
      </c>
      <c r="L174" s="585">
        <f t="shared" si="125"/>
        <v>6.5714285714285712</v>
      </c>
      <c r="M174" s="585">
        <f t="shared" si="126"/>
        <v>3.5595238095238089</v>
      </c>
      <c r="N174" s="776">
        <f t="shared" si="127"/>
        <v>0.82142857142857151</v>
      </c>
      <c r="O174" s="585">
        <f>SQRT((2*I174*'OM Assumptions'!$B$24*'OM Assumptions'!$B$23)/(F174*'OM Assumptions'!$B$22))</f>
        <v>9067.6342158417701</v>
      </c>
      <c r="P174" s="769">
        <f t="shared" si="128"/>
        <v>9067.6342158417701</v>
      </c>
      <c r="Q174" s="769">
        <f t="shared" si="129"/>
        <v>4533.8171079208851</v>
      </c>
      <c r="R174" s="585">
        <f t="shared" si="130"/>
        <v>36007.297704517157</v>
      </c>
      <c r="S174" s="585">
        <f t="shared" si="131"/>
        <v>6188.708333333333</v>
      </c>
      <c r="T174" s="486">
        <f t="shared" si="132"/>
        <v>46730</v>
      </c>
      <c r="U174" s="488">
        <v>33</v>
      </c>
    </row>
    <row r="175" spans="1:21">
      <c r="A175" s="492" t="s">
        <v>713</v>
      </c>
      <c r="B175" s="606">
        <v>30</v>
      </c>
      <c r="C175" s="584">
        <f t="shared" si="119"/>
        <v>4.2857142857142856</v>
      </c>
      <c r="D175" s="606">
        <v>30</v>
      </c>
      <c r="E175" s="584">
        <f t="shared" si="120"/>
        <v>4.2857142857142856</v>
      </c>
      <c r="F175" s="576">
        <f>F145*(1+'OM Assumptions'!$B$12)</f>
        <v>1.768831146367061</v>
      </c>
      <c r="G175" s="578">
        <v>1</v>
      </c>
      <c r="H175" s="766">
        <f t="shared" si="121"/>
        <v>1.768831146367061</v>
      </c>
      <c r="I175" s="585">
        <f t="shared" si="122"/>
        <v>6188.708333333333</v>
      </c>
      <c r="J175" s="585">
        <f t="shared" si="123"/>
        <v>10298.633180642133</v>
      </c>
      <c r="K175" s="585">
        <f t="shared" si="124"/>
        <v>2.1428571428571428</v>
      </c>
      <c r="L175" s="585">
        <f t="shared" si="125"/>
        <v>8.5714285714285712</v>
      </c>
      <c r="M175" s="585">
        <f t="shared" si="126"/>
        <v>4.6428571428571423</v>
      </c>
      <c r="N175" s="776">
        <f t="shared" si="127"/>
        <v>1.0714285714285714</v>
      </c>
      <c r="O175" s="585">
        <f>SQRT((2*I175*'OM Assumptions'!$B$24*'OM Assumptions'!$B$23)/(F175*'OM Assumptions'!$B$22))</f>
        <v>6965.3486069669998</v>
      </c>
      <c r="P175" s="769">
        <f t="shared" si="128"/>
        <v>6965.3486069669998</v>
      </c>
      <c r="Q175" s="769">
        <f t="shared" si="129"/>
        <v>3482.6743034834999</v>
      </c>
      <c r="R175" s="585">
        <f t="shared" si="130"/>
        <v>41522.219236550074</v>
      </c>
      <c r="S175" s="585">
        <f t="shared" si="131"/>
        <v>26523.035714285714</v>
      </c>
      <c r="T175" s="486">
        <f t="shared" si="132"/>
        <v>71528</v>
      </c>
      <c r="U175" s="488">
        <v>43</v>
      </c>
    </row>
    <row r="176" spans="1:21">
      <c r="A176" s="492" t="s">
        <v>714</v>
      </c>
      <c r="B176" s="606">
        <v>23</v>
      </c>
      <c r="C176" s="584">
        <f t="shared" si="119"/>
        <v>3.2857142857142856</v>
      </c>
      <c r="D176" s="606">
        <v>7</v>
      </c>
      <c r="E176" s="584">
        <f t="shared" si="120"/>
        <v>1</v>
      </c>
      <c r="F176" s="576">
        <f>F146*(1+'OM Assumptions'!$B$12)</f>
        <v>1.0986528859422738E-2</v>
      </c>
      <c r="G176" s="578">
        <v>1</v>
      </c>
      <c r="H176" s="766">
        <f t="shared" si="121"/>
        <v>1.0986528859422738E-2</v>
      </c>
      <c r="I176" s="585">
        <f t="shared" si="122"/>
        <v>6188.708333333333</v>
      </c>
      <c r="J176" s="585">
        <f t="shared" si="123"/>
        <v>10298.633180642133</v>
      </c>
      <c r="K176" s="585">
        <f t="shared" si="124"/>
        <v>1.6428571428571428</v>
      </c>
      <c r="L176" s="585">
        <f t="shared" si="125"/>
        <v>6.5714285714285712</v>
      </c>
      <c r="M176" s="585">
        <f t="shared" si="126"/>
        <v>3.5595238095238089</v>
      </c>
      <c r="N176" s="776">
        <f t="shared" si="127"/>
        <v>0.82142857142857151</v>
      </c>
      <c r="O176" s="585">
        <f>SQRT((2*I176*'OM Assumptions'!$B$24*'OM Assumptions'!$B$23)/(F176*'OM Assumptions'!$B$22))</f>
        <v>88380.365895762836</v>
      </c>
      <c r="P176" s="769">
        <f t="shared" si="128"/>
        <v>88380.365895762836</v>
      </c>
      <c r="Q176" s="769">
        <f t="shared" si="129"/>
        <v>44190.182947881418</v>
      </c>
      <c r="R176" s="585">
        <f t="shared" si="130"/>
        <v>36007.297704517157</v>
      </c>
      <c r="S176" s="585">
        <f t="shared" si="131"/>
        <v>6188.708333333333</v>
      </c>
      <c r="T176" s="486">
        <f t="shared" si="132"/>
        <v>86386</v>
      </c>
      <c r="U176" s="488">
        <v>3</v>
      </c>
    </row>
    <row r="177" spans="1:21">
      <c r="A177" s="492" t="s">
        <v>715</v>
      </c>
      <c r="B177" s="606">
        <v>30</v>
      </c>
      <c r="C177" s="584">
        <f t="shared" si="119"/>
        <v>4.2857142857142856</v>
      </c>
      <c r="D177" s="606">
        <v>30</v>
      </c>
      <c r="E177" s="584">
        <f t="shared" si="120"/>
        <v>4.2857142857142856</v>
      </c>
      <c r="F177" s="576">
        <f>F147*(1+'OM Assumptions'!$B$12)</f>
        <v>7.5587318552828435</v>
      </c>
      <c r="G177" s="578">
        <v>1</v>
      </c>
      <c r="H177" s="766">
        <f t="shared" si="121"/>
        <v>7.5587318552828435</v>
      </c>
      <c r="I177" s="585">
        <f t="shared" si="122"/>
        <v>6188.708333333333</v>
      </c>
      <c r="J177" s="585">
        <f t="shared" si="123"/>
        <v>10298.633180642133</v>
      </c>
      <c r="K177" s="585">
        <f t="shared" si="124"/>
        <v>2.1428571428571428</v>
      </c>
      <c r="L177" s="585">
        <f t="shared" si="125"/>
        <v>8.5714285714285712</v>
      </c>
      <c r="M177" s="585">
        <f t="shared" si="126"/>
        <v>4.6428571428571423</v>
      </c>
      <c r="N177" s="776">
        <f t="shared" si="127"/>
        <v>1.0714285714285714</v>
      </c>
      <c r="O177" s="585">
        <f>SQRT((2*I177*'OM Assumptions'!$B$24*'OM Assumptions'!$B$23)/(F177*'OM Assumptions'!$B$22))*2</f>
        <v>6738.9397222881607</v>
      </c>
      <c r="P177" s="769">
        <f t="shared" si="128"/>
        <v>6738.9397222881607</v>
      </c>
      <c r="Q177" s="769">
        <f t="shared" si="129"/>
        <v>3369.4698611440804</v>
      </c>
      <c r="R177" s="585">
        <f t="shared" si="130"/>
        <v>41522.219236550074</v>
      </c>
      <c r="S177" s="585">
        <f t="shared" si="131"/>
        <v>26523.035714285714</v>
      </c>
      <c r="T177" s="486">
        <f t="shared" si="132"/>
        <v>71415</v>
      </c>
      <c r="U177" s="488">
        <v>44</v>
      </c>
    </row>
    <row r="178" spans="1:21">
      <c r="A178" s="492" t="s">
        <v>716</v>
      </c>
      <c r="B178" s="606">
        <v>30</v>
      </c>
      <c r="C178" s="584">
        <f t="shared" si="119"/>
        <v>4.2857142857142856</v>
      </c>
      <c r="D178" s="606">
        <v>30</v>
      </c>
      <c r="E178" s="584">
        <f t="shared" si="120"/>
        <v>4.2857142857142856</v>
      </c>
      <c r="F178" s="576">
        <f>F148*(1+'OM Assumptions'!$B$12)</f>
        <v>0.10986528859422739</v>
      </c>
      <c r="G178" s="578">
        <v>1</v>
      </c>
      <c r="H178" s="766">
        <f t="shared" si="121"/>
        <v>0.10986528859422739</v>
      </c>
      <c r="I178" s="585">
        <f t="shared" si="122"/>
        <v>6188.708333333333</v>
      </c>
      <c r="J178" s="585">
        <f t="shared" si="123"/>
        <v>10298.633180642133</v>
      </c>
      <c r="K178" s="585">
        <f t="shared" si="124"/>
        <v>2.1428571428571428</v>
      </c>
      <c r="L178" s="585">
        <f t="shared" si="125"/>
        <v>8.5714285714285712</v>
      </c>
      <c r="M178" s="585">
        <f t="shared" si="126"/>
        <v>4.6428571428571423</v>
      </c>
      <c r="N178" s="776">
        <f t="shared" si="127"/>
        <v>1.0714285714285714</v>
      </c>
      <c r="O178" s="585">
        <f>SQRT((2*I178*'OM Assumptions'!$B$24*'OM Assumptions'!$B$23)/(F178*'OM Assumptions'!$B$22))</f>
        <v>27948.325666967809</v>
      </c>
      <c r="P178" s="769">
        <f t="shared" si="128"/>
        <v>27948.325666967809</v>
      </c>
      <c r="Q178" s="769">
        <f t="shared" si="129"/>
        <v>13974.162833483904</v>
      </c>
      <c r="R178" s="585">
        <f t="shared" si="130"/>
        <v>41522.219236550074</v>
      </c>
      <c r="S178" s="585">
        <f t="shared" si="131"/>
        <v>26523.035714285714</v>
      </c>
      <c r="T178" s="486">
        <f t="shared" si="132"/>
        <v>82019</v>
      </c>
      <c r="U178" s="488">
        <v>11</v>
      </c>
    </row>
    <row r="179" spans="1:21">
      <c r="A179" s="492" t="s">
        <v>717</v>
      </c>
      <c r="B179" s="606">
        <v>30</v>
      </c>
      <c r="C179" s="584">
        <f t="shared" si="119"/>
        <v>4.2857142857142856</v>
      </c>
      <c r="D179" s="606">
        <v>30</v>
      </c>
      <c r="E179" s="584">
        <f t="shared" si="120"/>
        <v>4.2857142857142856</v>
      </c>
      <c r="F179" s="576">
        <f>F149*(1+'OM Assumptions'!$B$12)</f>
        <v>1.5271275114597607</v>
      </c>
      <c r="G179" s="578">
        <v>1</v>
      </c>
      <c r="H179" s="766">
        <f t="shared" si="121"/>
        <v>1.5271275114597607</v>
      </c>
      <c r="I179" s="585">
        <f t="shared" si="122"/>
        <v>6188.708333333333</v>
      </c>
      <c r="J179" s="585">
        <f t="shared" si="123"/>
        <v>10298.633180642133</v>
      </c>
      <c r="K179" s="585">
        <f t="shared" si="124"/>
        <v>2.1428571428571428</v>
      </c>
      <c r="L179" s="585">
        <f t="shared" si="125"/>
        <v>8.5714285714285712</v>
      </c>
      <c r="M179" s="585">
        <f t="shared" si="126"/>
        <v>4.6428571428571423</v>
      </c>
      <c r="N179" s="776">
        <f t="shared" si="127"/>
        <v>1.0714285714285714</v>
      </c>
      <c r="O179" s="585">
        <f>SQRT((2*I179*'OM Assumptions'!$B$24*'OM Assumptions'!$B$23)/(F179*'OM Assumptions'!$B$22))</f>
        <v>7496.3247953851278</v>
      </c>
      <c r="P179" s="769">
        <f t="shared" si="128"/>
        <v>7496.3247953851278</v>
      </c>
      <c r="Q179" s="769">
        <f t="shared" si="129"/>
        <v>3748.1623976925639</v>
      </c>
      <c r="R179" s="585">
        <f t="shared" si="130"/>
        <v>41522.219236550074</v>
      </c>
      <c r="S179" s="585">
        <f t="shared" si="131"/>
        <v>26523.035714285714</v>
      </c>
      <c r="T179" s="486">
        <f t="shared" si="132"/>
        <v>71793</v>
      </c>
      <c r="U179" s="488">
        <v>40</v>
      </c>
    </row>
    <row r="180" spans="1:21">
      <c r="A180" s="492" t="s">
        <v>718</v>
      </c>
      <c r="B180" s="606">
        <v>30</v>
      </c>
      <c r="C180" s="584">
        <f t="shared" si="119"/>
        <v>4.2857142857142856</v>
      </c>
      <c r="D180" s="606">
        <v>30</v>
      </c>
      <c r="E180" s="584">
        <f t="shared" si="120"/>
        <v>4.2857142857142856</v>
      </c>
      <c r="F180" s="576">
        <f>F150*(1+'OM Assumptions'!$B$12)</f>
        <v>1.0986528859422738E-2</v>
      </c>
      <c r="G180" s="578">
        <v>8</v>
      </c>
      <c r="H180" s="766">
        <f t="shared" si="121"/>
        <v>8.7892230875381908E-2</v>
      </c>
      <c r="I180" s="585">
        <f t="shared" si="122"/>
        <v>49509.666666666664</v>
      </c>
      <c r="J180" s="585">
        <f t="shared" si="123"/>
        <v>82389.065445137065</v>
      </c>
      <c r="K180" s="585">
        <f t="shared" si="124"/>
        <v>2.1428571428571428</v>
      </c>
      <c r="L180" s="585">
        <f t="shared" si="125"/>
        <v>8.5714285714285712</v>
      </c>
      <c r="M180" s="585">
        <f t="shared" si="126"/>
        <v>4.6428571428571423</v>
      </c>
      <c r="N180" s="776">
        <f t="shared" si="127"/>
        <v>1.0714285714285714</v>
      </c>
      <c r="O180" s="585">
        <f>SQRT((2*I180*'OM Assumptions'!$B$24*'OM Assumptions'!$B$23)/(F180*'OM Assumptions'!$B$22))</f>
        <v>249977.42419456871</v>
      </c>
      <c r="P180" s="769">
        <f t="shared" si="128"/>
        <v>31247.178024321089</v>
      </c>
      <c r="Q180" s="769">
        <f t="shared" si="129"/>
        <v>124988.71209728435</v>
      </c>
      <c r="R180" s="585">
        <f t="shared" si="130"/>
        <v>332177.75389240059</v>
      </c>
      <c r="S180" s="585">
        <f t="shared" si="131"/>
        <v>212184.28571428571</v>
      </c>
      <c r="T180" s="486">
        <f t="shared" si="132"/>
        <v>669351</v>
      </c>
      <c r="U180" s="488">
        <v>10</v>
      </c>
    </row>
    <row r="181" spans="1:21">
      <c r="A181" s="492" t="s">
        <v>719</v>
      </c>
      <c r="B181" s="606">
        <v>30</v>
      </c>
      <c r="C181" s="584">
        <f t="shared" si="119"/>
        <v>4.2857142857142856</v>
      </c>
      <c r="D181" s="606">
        <v>30</v>
      </c>
      <c r="E181" s="584">
        <f t="shared" si="120"/>
        <v>4.2857142857142856</v>
      </c>
      <c r="F181" s="576">
        <f>F151*(1+'OM Assumptions'!$B$12)</f>
        <v>2.5269016376672302</v>
      </c>
      <c r="G181" s="578">
        <v>0.01</v>
      </c>
      <c r="H181" s="766">
        <f t="shared" si="121"/>
        <v>2.5269016376672303E-2</v>
      </c>
      <c r="I181" s="585">
        <f t="shared" si="122"/>
        <v>61.887083333333329</v>
      </c>
      <c r="J181" s="585">
        <f t="shared" si="123"/>
        <v>102.98633180642133</v>
      </c>
      <c r="K181" s="585">
        <f t="shared" si="124"/>
        <v>2.1428571428571428</v>
      </c>
      <c r="L181" s="585">
        <f t="shared" si="125"/>
        <v>8.5714285714285712</v>
      </c>
      <c r="M181" s="585">
        <f t="shared" si="126"/>
        <v>4.6428571428571423</v>
      </c>
      <c r="N181" s="776">
        <f t="shared" si="127"/>
        <v>1.0714285714285714</v>
      </c>
      <c r="O181" s="585">
        <f>SQRT((2*I181*'OM Assumptions'!$B$24*'OM Assumptions'!$B$23)/(F181*'OM Assumptions'!$B$22))</f>
        <v>582.76287503240962</v>
      </c>
      <c r="P181" s="769">
        <f t="shared" si="128"/>
        <v>58276.287503240965</v>
      </c>
      <c r="Q181" s="769">
        <f t="shared" si="129"/>
        <v>291.38143751620481</v>
      </c>
      <c r="R181" s="585">
        <f t="shared" si="130"/>
        <v>415.22219236550069</v>
      </c>
      <c r="S181" s="585">
        <f t="shared" si="131"/>
        <v>265.23035714285714</v>
      </c>
      <c r="T181" s="486">
        <f t="shared" si="132"/>
        <v>972</v>
      </c>
      <c r="U181" s="488">
        <v>5</v>
      </c>
    </row>
    <row r="182" spans="1:21">
      <c r="A182" s="575" t="s">
        <v>720</v>
      </c>
      <c r="B182" s="598"/>
      <c r="C182" s="584"/>
      <c r="D182" s="578"/>
      <c r="E182" s="584"/>
      <c r="F182" s="576"/>
      <c r="G182" s="597"/>
      <c r="H182" s="766"/>
      <c r="I182" s="585"/>
      <c r="J182" s="585"/>
      <c r="K182" s="585"/>
      <c r="L182" s="585"/>
      <c r="M182" s="585"/>
      <c r="N182" s="776"/>
      <c r="O182" s="585"/>
      <c r="P182" s="769"/>
      <c r="Q182" s="769"/>
      <c r="R182" s="585"/>
      <c r="S182" s="585"/>
      <c r="T182" s="486"/>
      <c r="U182" s="488"/>
    </row>
    <row r="183" spans="1:21">
      <c r="A183" s="589" t="s">
        <v>721</v>
      </c>
      <c r="B183" s="425">
        <v>30</v>
      </c>
      <c r="C183" s="584">
        <f t="shared" ref="C183:C184" si="133">B183/7</f>
        <v>4.2857142857142856</v>
      </c>
      <c r="D183" s="652">
        <v>30</v>
      </c>
      <c r="E183" s="584">
        <f t="shared" ref="E183:E184" si="134">D183/7</f>
        <v>4.2857142857142856</v>
      </c>
      <c r="F183" s="576">
        <f>F153*(1+'OM Assumptions'!$B$12)</f>
        <v>2.0874404832903202</v>
      </c>
      <c r="G183" s="594">
        <v>1</v>
      </c>
      <c r="H183" s="766">
        <f t="shared" ref="H183:H184" si="135">F183*G183</f>
        <v>2.0874404832903202</v>
      </c>
      <c r="I183" s="585">
        <f t="shared" ref="I183:I184" si="136">$B$165*G183</f>
        <v>6188.708333333333</v>
      </c>
      <c r="J183" s="585">
        <f t="shared" ref="J183:J184" si="137">G183*$B$166</f>
        <v>10298.633180642133</v>
      </c>
      <c r="K183" s="585">
        <f t="shared" ref="K183:K184" si="138">C183/2</f>
        <v>2.1428571428571428</v>
      </c>
      <c r="L183" s="585">
        <f t="shared" ref="L183:L184" si="139">C183*2</f>
        <v>8.5714285714285712</v>
      </c>
      <c r="M183" s="585">
        <f t="shared" ref="M183:M184" si="140">(K183+(C183*4)+L183)/6</f>
        <v>4.6428571428571423</v>
      </c>
      <c r="N183" s="776">
        <f t="shared" ref="N183:N184" si="141">(L183-K183)/6</f>
        <v>1.0714285714285714</v>
      </c>
      <c r="O183" s="585">
        <f>SQRT((2*I183*'OM Assumptions'!$B$24*'OM Assumptions'!$B$23)/(F183*'OM Assumptions'!$B$22))</f>
        <v>6411.7856433408779</v>
      </c>
      <c r="P183" s="769">
        <f t="shared" ref="P183:P184" si="142">O183/G183</f>
        <v>6411.7856433408779</v>
      </c>
      <c r="Q183" s="769">
        <f t="shared" ref="Q183:Q184" si="143">O183/2</f>
        <v>3205.8928216704389</v>
      </c>
      <c r="R183" s="585">
        <f t="shared" ref="R183:R184" si="144">$E$165* SQRT(M183*J183^2+I183^2*N183^2)</f>
        <v>41522.219236550074</v>
      </c>
      <c r="S183" s="585">
        <f t="shared" ref="S183:S184" si="145">I183*E183</f>
        <v>26523.035714285714</v>
      </c>
      <c r="T183" s="486">
        <f t="shared" ref="T183:T184" si="146">ROUND(SUM(Q183:S183), 0)</f>
        <v>71251</v>
      </c>
      <c r="U183" s="488">
        <v>46</v>
      </c>
    </row>
    <row r="184" spans="1:21">
      <c r="A184" s="594" t="s">
        <v>722</v>
      </c>
      <c r="B184" s="594">
        <v>30</v>
      </c>
      <c r="C184" s="584">
        <f t="shared" si="133"/>
        <v>4.2857142857142856</v>
      </c>
      <c r="D184" s="606">
        <v>30</v>
      </c>
      <c r="E184" s="584">
        <f t="shared" si="134"/>
        <v>4.2857142857142856</v>
      </c>
      <c r="F184" s="576">
        <f>F154*(1+'OM Assumptions'!$B$12)</f>
        <v>0.21973057718845479</v>
      </c>
      <c r="G184" s="594">
        <v>2</v>
      </c>
      <c r="H184" s="766">
        <f t="shared" si="135"/>
        <v>0.43946115437690958</v>
      </c>
      <c r="I184" s="585">
        <f t="shared" si="136"/>
        <v>12377.416666666666</v>
      </c>
      <c r="J184" s="585">
        <f t="shared" si="137"/>
        <v>20597.266361284266</v>
      </c>
      <c r="K184" s="585">
        <f t="shared" si="138"/>
        <v>2.1428571428571428</v>
      </c>
      <c r="L184" s="585">
        <f t="shared" si="139"/>
        <v>8.5714285714285712</v>
      </c>
      <c r="M184" s="585">
        <f t="shared" si="140"/>
        <v>4.6428571428571423</v>
      </c>
      <c r="N184" s="776">
        <f t="shared" si="141"/>
        <v>1.0714285714285714</v>
      </c>
      <c r="O184" s="585">
        <f>SQRT((2*I184*'OM Assumptions'!$B$24*'OM Assumptions'!$B$23)/(F184*'OM Assumptions'!$B$22))</f>
        <v>27948.325666967809</v>
      </c>
      <c r="P184" s="769">
        <f t="shared" si="142"/>
        <v>13974.162833483904</v>
      </c>
      <c r="Q184" s="769">
        <f t="shared" si="143"/>
        <v>13974.162833483904</v>
      </c>
      <c r="R184" s="585">
        <f t="shared" si="144"/>
        <v>83044.438473100148</v>
      </c>
      <c r="S184" s="585">
        <f t="shared" si="145"/>
        <v>53046.071428571428</v>
      </c>
      <c r="T184" s="486">
        <f t="shared" si="146"/>
        <v>150065</v>
      </c>
      <c r="U184" s="488">
        <v>21</v>
      </c>
    </row>
    <row r="185" spans="1:21">
      <c r="A185" s="597" t="s">
        <v>92</v>
      </c>
      <c r="B185" s="492"/>
      <c r="C185" s="666"/>
      <c r="D185" s="598"/>
      <c r="E185" s="666"/>
      <c r="F185" s="492"/>
      <c r="G185" s="597"/>
      <c r="H185" s="767">
        <f>SUM(H171:H181)</f>
        <v>12.420506316890862</v>
      </c>
      <c r="I185" s="585"/>
      <c r="J185" s="585"/>
      <c r="K185" s="585"/>
      <c r="L185" s="585"/>
      <c r="M185" s="585"/>
      <c r="N185" s="585"/>
      <c r="O185" s="585"/>
      <c r="P185" s="488"/>
      <c r="Q185" s="488"/>
      <c r="R185" s="585"/>
      <c r="S185" s="585"/>
      <c r="T185" s="486"/>
      <c r="U185" s="488"/>
    </row>
    <row r="199" spans="1:13">
      <c r="C199" s="544"/>
      <c r="D199" s="544"/>
      <c r="E199" s="544"/>
      <c r="F199" s="544"/>
      <c r="G199" s="544"/>
      <c r="H199" s="544"/>
      <c r="I199" s="544"/>
      <c r="J199" s="544"/>
      <c r="K199" s="568"/>
      <c r="L199" s="456"/>
      <c r="M199" s="456"/>
    </row>
    <row r="200" spans="1:13">
      <c r="C200" s="544"/>
      <c r="D200" s="544"/>
      <c r="E200" s="544"/>
      <c r="F200" s="544"/>
      <c r="G200" s="544"/>
      <c r="H200" s="544"/>
      <c r="I200" s="544"/>
      <c r="J200" s="544"/>
      <c r="K200" s="568"/>
      <c r="L200" s="456"/>
      <c r="M200" s="456"/>
    </row>
    <row r="201" spans="1:13">
      <c r="C201" s="544"/>
      <c r="D201" s="544"/>
      <c r="E201" s="544"/>
      <c r="F201" s="544"/>
      <c r="G201" s="544"/>
      <c r="H201" s="544"/>
      <c r="I201" s="544"/>
      <c r="J201" s="544"/>
      <c r="K201" s="568"/>
      <c r="L201" s="456"/>
      <c r="M201" s="456"/>
    </row>
    <row r="202" spans="1:13">
      <c r="C202" s="544"/>
      <c r="D202" s="544"/>
      <c r="E202" s="544"/>
      <c r="F202" s="544"/>
      <c r="G202" s="544"/>
      <c r="H202" s="544"/>
      <c r="I202" s="544"/>
      <c r="J202" s="544"/>
      <c r="K202" s="568"/>
      <c r="L202" s="456"/>
      <c r="M202" s="456"/>
    </row>
    <row r="203" spans="1:13">
      <c r="C203" s="544"/>
      <c r="D203" s="544"/>
      <c r="E203" s="544"/>
      <c r="F203" s="544"/>
      <c r="G203" s="544"/>
      <c r="H203" s="544"/>
      <c r="I203" s="544"/>
      <c r="J203" s="544"/>
      <c r="K203" s="568"/>
      <c r="L203" s="456"/>
      <c r="M203" s="456"/>
    </row>
    <row r="204" spans="1:13">
      <c r="C204" s="544"/>
      <c r="D204" s="544"/>
      <c r="E204" s="544"/>
      <c r="F204" s="544"/>
      <c r="G204" s="544"/>
      <c r="H204" s="544"/>
      <c r="I204" s="544"/>
      <c r="J204" s="544"/>
      <c r="K204" s="568"/>
      <c r="L204" s="456"/>
      <c r="M204" s="456"/>
    </row>
    <row r="205" spans="1:13">
      <c r="C205" s="544"/>
      <c r="D205" s="544"/>
      <c r="E205" s="544"/>
      <c r="F205" s="544"/>
      <c r="G205" s="544"/>
      <c r="H205" s="544"/>
      <c r="I205" s="544"/>
      <c r="J205" s="544"/>
      <c r="K205" s="568"/>
      <c r="L205" s="456"/>
      <c r="M205" s="456"/>
    </row>
    <row r="206" spans="1:13">
      <c r="C206" s="544"/>
      <c r="D206" s="544"/>
      <c r="E206" s="544"/>
      <c r="F206" s="544"/>
      <c r="G206" s="544"/>
      <c r="H206" s="544"/>
      <c r="I206" s="544"/>
      <c r="J206" s="544"/>
      <c r="K206" s="568"/>
      <c r="L206" s="456"/>
      <c r="M206" s="456"/>
    </row>
    <row r="207" spans="1:13">
      <c r="A207" s="561"/>
      <c r="B207" s="561"/>
      <c r="C207" s="544"/>
      <c r="D207" s="544"/>
      <c r="E207" s="544"/>
      <c r="F207" s="544"/>
      <c r="G207" s="544"/>
      <c r="H207" s="544"/>
      <c r="I207" s="544"/>
      <c r="J207" s="544"/>
      <c r="K207" s="568"/>
      <c r="L207" s="456"/>
      <c r="M207" s="456"/>
    </row>
    <row r="208" spans="1:13">
      <c r="C208" s="544"/>
      <c r="D208" s="544"/>
      <c r="E208" s="544"/>
      <c r="F208" s="544"/>
      <c r="G208" s="544"/>
      <c r="H208" s="544"/>
      <c r="I208" s="544"/>
      <c r="J208" s="544"/>
      <c r="K208" s="568"/>
      <c r="L208" s="456"/>
      <c r="M208" s="456"/>
    </row>
    <row r="209" spans="1:13">
      <c r="C209" s="544"/>
      <c r="D209" s="544"/>
      <c r="E209" s="544"/>
      <c r="F209" s="544"/>
      <c r="G209" s="544"/>
      <c r="H209" s="544"/>
      <c r="I209" s="544"/>
      <c r="J209" s="544"/>
      <c r="K209" s="568"/>
      <c r="L209" s="456"/>
      <c r="M209" s="456"/>
    </row>
    <row r="210" spans="1:13">
      <c r="C210" s="544"/>
      <c r="D210" s="544"/>
      <c r="E210" s="544"/>
      <c r="F210" s="544"/>
      <c r="G210" s="544"/>
      <c r="H210" s="544"/>
      <c r="I210" s="544"/>
      <c r="J210" s="544"/>
      <c r="K210" s="568"/>
      <c r="L210" s="456"/>
      <c r="M210" s="456"/>
    </row>
    <row r="211" spans="1:13">
      <c r="C211" s="544"/>
      <c r="D211" s="544"/>
      <c r="E211" s="544"/>
      <c r="F211" s="544"/>
      <c r="G211" s="544"/>
      <c r="H211" s="544"/>
      <c r="I211" s="544"/>
      <c r="J211" s="544"/>
      <c r="K211" s="568"/>
      <c r="L211" s="456"/>
      <c r="M211" s="456"/>
    </row>
    <row r="212" spans="1:13">
      <c r="C212" s="544"/>
      <c r="D212" s="544"/>
      <c r="E212" s="544"/>
      <c r="F212" s="544"/>
      <c r="G212" s="544"/>
      <c r="H212" s="544"/>
      <c r="I212" s="544"/>
      <c r="J212" s="544"/>
      <c r="K212" s="568"/>
      <c r="L212" s="456"/>
      <c r="M212" s="456"/>
    </row>
    <row r="213" spans="1:13">
      <c r="C213" s="544"/>
      <c r="D213" s="544"/>
      <c r="E213" s="544"/>
      <c r="F213" s="544"/>
      <c r="G213" s="544"/>
      <c r="H213" s="544"/>
      <c r="I213" s="544"/>
      <c r="J213" s="544"/>
      <c r="K213" s="568"/>
      <c r="L213" s="456"/>
      <c r="M213" s="456"/>
    </row>
    <row r="214" spans="1:13">
      <c r="C214" s="544"/>
      <c r="D214" s="544"/>
      <c r="E214" s="544"/>
      <c r="F214" s="544"/>
      <c r="G214" s="544"/>
      <c r="H214" s="544"/>
      <c r="I214" s="544"/>
      <c r="J214" s="544"/>
      <c r="K214" s="568"/>
      <c r="L214" s="456"/>
      <c r="M214" s="456"/>
    </row>
    <row r="215" spans="1:13">
      <c r="A215" s="561"/>
      <c r="B215" s="561"/>
      <c r="C215" s="544"/>
      <c r="D215" s="544"/>
      <c r="E215" s="544"/>
      <c r="F215" s="544"/>
      <c r="G215" s="544"/>
      <c r="H215" s="544"/>
      <c r="I215" s="544"/>
      <c r="J215" s="544"/>
      <c r="K215" s="568"/>
      <c r="L215" s="456"/>
      <c r="M215" s="456"/>
    </row>
    <row r="216" spans="1:13">
      <c r="C216" s="544"/>
      <c r="D216" s="544"/>
      <c r="E216" s="544"/>
      <c r="F216" s="544"/>
      <c r="G216" s="544"/>
      <c r="H216" s="544"/>
      <c r="I216" s="544"/>
      <c r="J216" s="544"/>
      <c r="K216" s="568"/>
      <c r="L216" s="456"/>
      <c r="M216" s="456"/>
    </row>
    <row r="217" spans="1:13">
      <c r="C217" s="544"/>
      <c r="D217" s="544"/>
      <c r="E217" s="544"/>
      <c r="F217" s="544"/>
      <c r="G217" s="544"/>
      <c r="H217" s="544"/>
      <c r="I217" s="544"/>
      <c r="J217" s="544"/>
      <c r="K217" s="568"/>
      <c r="L217" s="456"/>
      <c r="M217" s="456"/>
    </row>
    <row r="218" spans="1:13">
      <c r="C218" s="544"/>
      <c r="D218" s="544"/>
      <c r="E218" s="544"/>
      <c r="F218" s="544"/>
      <c r="G218" s="544"/>
      <c r="H218" s="544"/>
      <c r="I218" s="544"/>
      <c r="J218" s="544"/>
      <c r="K218" s="568"/>
      <c r="L218" s="456"/>
      <c r="M218" s="456"/>
    </row>
    <row r="219" spans="1:13">
      <c r="C219" s="544"/>
      <c r="D219" s="544"/>
      <c r="E219" s="544"/>
      <c r="F219" s="544"/>
      <c r="G219" s="544"/>
      <c r="H219" s="544"/>
      <c r="I219" s="544"/>
      <c r="J219" s="544"/>
      <c r="K219" s="568"/>
      <c r="L219" s="456"/>
      <c r="M219" s="456"/>
    </row>
    <row r="220" spans="1:13">
      <c r="C220" s="544"/>
      <c r="D220" s="544"/>
      <c r="E220" s="544"/>
      <c r="F220" s="544"/>
      <c r="G220" s="544"/>
      <c r="H220" s="544"/>
      <c r="I220" s="544"/>
      <c r="J220" s="544"/>
      <c r="K220" s="568"/>
      <c r="L220" s="456"/>
      <c r="M220" s="456"/>
    </row>
    <row r="221" spans="1:13">
      <c r="C221" s="544"/>
      <c r="D221" s="544"/>
      <c r="E221" s="544"/>
      <c r="F221" s="544"/>
      <c r="G221" s="544"/>
      <c r="H221" s="544"/>
      <c r="I221" s="544"/>
      <c r="J221" s="544"/>
      <c r="K221" s="568"/>
      <c r="L221" s="456"/>
      <c r="M221" s="456"/>
    </row>
    <row r="222" spans="1:13">
      <c r="C222" s="544"/>
      <c r="D222" s="544"/>
      <c r="E222" s="544"/>
      <c r="F222" s="544"/>
      <c r="G222" s="544"/>
      <c r="H222" s="544"/>
      <c r="I222" s="544"/>
      <c r="J222" s="544"/>
      <c r="K222" s="568"/>
      <c r="L222" s="456"/>
      <c r="M222" s="456"/>
    </row>
    <row r="223" spans="1:13">
      <c r="C223" s="544"/>
      <c r="D223" s="544"/>
      <c r="E223" s="544"/>
      <c r="F223" s="544"/>
      <c r="G223" s="544"/>
      <c r="H223" s="544"/>
      <c r="I223" s="544"/>
      <c r="J223" s="544"/>
      <c r="K223" s="568"/>
      <c r="L223" s="456"/>
      <c r="M223" s="456"/>
    </row>
    <row r="224" spans="1:13">
      <c r="A224" s="561"/>
      <c r="B224" s="561"/>
      <c r="C224" s="544"/>
      <c r="D224" s="544"/>
      <c r="E224" s="544"/>
      <c r="F224" s="544"/>
      <c r="G224" s="544"/>
      <c r="H224" s="544"/>
      <c r="I224" s="544"/>
      <c r="J224" s="544"/>
      <c r="K224" s="568"/>
      <c r="L224" s="456"/>
      <c r="M224" s="456"/>
    </row>
    <row r="251" spans="3:13">
      <c r="C251" s="544"/>
      <c r="D251" s="544"/>
      <c r="E251" s="544"/>
      <c r="F251" s="544"/>
      <c r="G251" s="544"/>
      <c r="H251" s="544"/>
      <c r="I251" s="544"/>
      <c r="J251" s="544"/>
      <c r="K251" s="568"/>
      <c r="L251" s="456"/>
      <c r="M251" s="456"/>
    </row>
    <row r="252" spans="3:13">
      <c r="C252" s="544"/>
      <c r="D252" s="544"/>
      <c r="E252" s="544"/>
      <c r="F252" s="544"/>
      <c r="G252" s="544"/>
      <c r="H252" s="544"/>
      <c r="I252" s="544"/>
      <c r="J252" s="544"/>
      <c r="K252" s="568"/>
      <c r="L252" s="456"/>
      <c r="M252" s="456"/>
    </row>
    <row r="253" spans="3:13">
      <c r="C253" s="544"/>
      <c r="D253" s="544"/>
      <c r="E253" s="544"/>
      <c r="F253" s="544"/>
      <c r="G253" s="544"/>
      <c r="H253" s="544"/>
      <c r="I253" s="544"/>
      <c r="J253" s="544"/>
      <c r="K253" s="568"/>
      <c r="L253" s="456"/>
      <c r="M253" s="456"/>
    </row>
    <row r="254" spans="3:13">
      <c r="C254" s="544"/>
      <c r="D254" s="544"/>
      <c r="E254" s="544"/>
      <c r="F254" s="544"/>
      <c r="G254" s="544"/>
      <c r="H254" s="544"/>
      <c r="I254" s="544"/>
      <c r="J254" s="544"/>
      <c r="K254" s="568"/>
      <c r="L254" s="456"/>
      <c r="M254" s="456"/>
    </row>
    <row r="255" spans="3:13">
      <c r="C255" s="544"/>
      <c r="D255" s="544"/>
      <c r="E255" s="544"/>
      <c r="F255" s="544"/>
      <c r="G255" s="544"/>
      <c r="H255" s="544"/>
      <c r="I255" s="544"/>
      <c r="J255" s="544"/>
      <c r="K255" s="568"/>
      <c r="L255" s="456"/>
      <c r="M255" s="456"/>
    </row>
    <row r="256" spans="3:13">
      <c r="C256" s="544"/>
      <c r="D256" s="544"/>
      <c r="E256" s="544"/>
      <c r="F256" s="544"/>
      <c r="G256" s="544"/>
      <c r="H256" s="544"/>
      <c r="I256" s="544"/>
      <c r="J256" s="544"/>
      <c r="K256" s="568"/>
      <c r="L256" s="456"/>
      <c r="M256" s="456"/>
    </row>
    <row r="257" spans="1:13">
      <c r="C257" s="544"/>
      <c r="D257" s="544"/>
      <c r="E257" s="544"/>
      <c r="F257" s="544"/>
      <c r="G257" s="544"/>
      <c r="H257" s="544"/>
      <c r="I257" s="544"/>
      <c r="J257" s="544"/>
      <c r="K257" s="568"/>
      <c r="L257" s="456"/>
      <c r="M257" s="456"/>
    </row>
    <row r="258" spans="1:13">
      <c r="C258" s="544"/>
      <c r="D258" s="544"/>
      <c r="E258" s="544"/>
      <c r="F258" s="544"/>
      <c r="G258" s="544"/>
      <c r="H258" s="544"/>
      <c r="I258" s="544"/>
      <c r="J258" s="544"/>
      <c r="K258" s="568"/>
      <c r="L258" s="456"/>
      <c r="M258" s="456"/>
    </row>
    <row r="259" spans="1:13">
      <c r="A259" s="561"/>
      <c r="B259" s="561"/>
      <c r="C259" s="544"/>
      <c r="D259" s="544"/>
      <c r="E259" s="544"/>
      <c r="F259" s="544"/>
      <c r="G259" s="544"/>
      <c r="H259" s="544"/>
      <c r="I259" s="544"/>
      <c r="J259" s="544"/>
      <c r="K259" s="568"/>
      <c r="L259" s="456"/>
      <c r="M259" s="456"/>
    </row>
    <row r="260" spans="1:13">
      <c r="C260" s="544"/>
      <c r="D260" s="544"/>
      <c r="E260" s="544"/>
      <c r="F260" s="544"/>
      <c r="G260" s="544"/>
      <c r="H260" s="544"/>
      <c r="I260" s="544"/>
      <c r="J260" s="544"/>
      <c r="K260" s="568"/>
      <c r="L260" s="456"/>
      <c r="M260" s="456"/>
    </row>
    <row r="261" spans="1:13">
      <c r="C261" s="544"/>
      <c r="D261" s="544"/>
      <c r="E261" s="544"/>
      <c r="F261" s="544"/>
      <c r="G261" s="544"/>
      <c r="H261" s="544"/>
      <c r="I261" s="544"/>
      <c r="J261" s="544"/>
      <c r="K261" s="568"/>
      <c r="L261" s="456"/>
      <c r="M261" s="456"/>
    </row>
    <row r="262" spans="1:13">
      <c r="C262" s="544"/>
      <c r="D262" s="544"/>
      <c r="E262" s="544"/>
      <c r="F262" s="544"/>
      <c r="G262" s="544"/>
      <c r="H262" s="544"/>
      <c r="I262" s="544"/>
      <c r="J262" s="544"/>
      <c r="K262" s="568"/>
      <c r="L262" s="456"/>
      <c r="M262" s="456"/>
    </row>
    <row r="263" spans="1:13">
      <c r="C263" s="544"/>
      <c r="D263" s="544"/>
      <c r="E263" s="544"/>
      <c r="F263" s="544"/>
      <c r="G263" s="544"/>
      <c r="H263" s="544"/>
      <c r="I263" s="544"/>
      <c r="J263" s="544"/>
      <c r="K263" s="568"/>
      <c r="L263" s="456"/>
      <c r="M263" s="456"/>
    </row>
    <row r="264" spans="1:13">
      <c r="C264" s="544"/>
      <c r="D264" s="544"/>
      <c r="E264" s="544"/>
      <c r="F264" s="544"/>
      <c r="G264" s="544"/>
      <c r="H264" s="544"/>
      <c r="I264" s="544"/>
      <c r="J264" s="544"/>
      <c r="K264" s="568"/>
      <c r="L264" s="456"/>
      <c r="M264" s="456"/>
    </row>
    <row r="265" spans="1:13">
      <c r="C265" s="544"/>
      <c r="D265" s="544"/>
      <c r="E265" s="544"/>
      <c r="F265" s="544"/>
      <c r="G265" s="544"/>
      <c r="H265" s="544"/>
      <c r="I265" s="544"/>
      <c r="J265" s="544"/>
      <c r="K265" s="568"/>
      <c r="L265" s="456"/>
      <c r="M265" s="456"/>
    </row>
    <row r="266" spans="1:13">
      <c r="C266" s="544"/>
      <c r="D266" s="544"/>
      <c r="E266" s="544"/>
      <c r="F266" s="544"/>
      <c r="G266" s="544"/>
      <c r="H266" s="544"/>
      <c r="I266" s="544"/>
      <c r="J266" s="544"/>
      <c r="K266" s="568"/>
      <c r="L266" s="456"/>
      <c r="M266" s="456"/>
    </row>
    <row r="267" spans="1:13">
      <c r="A267" s="561"/>
      <c r="B267" s="561"/>
      <c r="C267" s="544"/>
      <c r="D267" s="544"/>
      <c r="E267" s="544"/>
      <c r="F267" s="544"/>
      <c r="G267" s="544"/>
      <c r="H267" s="544"/>
      <c r="I267" s="544"/>
      <c r="J267" s="544"/>
      <c r="K267" s="568"/>
      <c r="L267" s="456"/>
      <c r="M267" s="456"/>
    </row>
    <row r="268" spans="1:13">
      <c r="C268" s="544"/>
      <c r="D268" s="544"/>
      <c r="E268" s="544"/>
      <c r="F268" s="544"/>
      <c r="G268" s="544"/>
      <c r="H268" s="544"/>
      <c r="I268" s="544"/>
      <c r="J268" s="544"/>
      <c r="K268" s="568"/>
      <c r="L268" s="456"/>
      <c r="M268" s="456"/>
    </row>
    <row r="269" spans="1:13">
      <c r="C269" s="544"/>
      <c r="D269" s="544"/>
      <c r="E269" s="544"/>
      <c r="F269" s="544"/>
      <c r="G269" s="544"/>
      <c r="H269" s="544"/>
      <c r="I269" s="544"/>
      <c r="J269" s="544"/>
      <c r="K269" s="568"/>
      <c r="L269" s="456"/>
      <c r="M269" s="456"/>
    </row>
    <row r="270" spans="1:13">
      <c r="C270" s="544"/>
      <c r="D270" s="544"/>
      <c r="E270" s="544"/>
      <c r="F270" s="544"/>
      <c r="G270" s="544"/>
      <c r="H270" s="544"/>
      <c r="I270" s="544"/>
      <c r="J270" s="544"/>
      <c r="K270" s="568"/>
      <c r="L270" s="456"/>
      <c r="M270" s="456"/>
    </row>
    <row r="271" spans="1:13">
      <c r="C271" s="544"/>
      <c r="D271" s="544"/>
      <c r="E271" s="544"/>
      <c r="F271" s="544"/>
      <c r="G271" s="544"/>
      <c r="H271" s="544"/>
      <c r="I271" s="544"/>
      <c r="J271" s="544"/>
      <c r="K271" s="568"/>
      <c r="L271" s="456"/>
      <c r="M271" s="456"/>
    </row>
    <row r="272" spans="1:13">
      <c r="C272" s="544"/>
      <c r="D272" s="544"/>
      <c r="E272" s="544"/>
      <c r="F272" s="544"/>
      <c r="G272" s="544"/>
      <c r="H272" s="544"/>
      <c r="I272" s="544"/>
      <c r="J272" s="544"/>
      <c r="K272" s="568"/>
      <c r="L272" s="456"/>
      <c r="M272" s="456"/>
    </row>
    <row r="273" spans="1:13">
      <c r="C273" s="544"/>
      <c r="D273" s="544"/>
      <c r="E273" s="544"/>
      <c r="F273" s="544"/>
      <c r="G273" s="544"/>
      <c r="H273" s="544"/>
      <c r="I273" s="544"/>
      <c r="J273" s="544"/>
      <c r="K273" s="568"/>
      <c r="L273" s="456"/>
      <c r="M273" s="456"/>
    </row>
    <row r="274" spans="1:13">
      <c r="C274" s="544"/>
      <c r="D274" s="544"/>
      <c r="E274" s="544"/>
      <c r="F274" s="544"/>
      <c r="G274" s="544"/>
      <c r="H274" s="544"/>
      <c r="I274" s="544"/>
      <c r="J274" s="544"/>
      <c r="K274" s="568"/>
      <c r="L274" s="456"/>
      <c r="M274" s="456"/>
    </row>
    <row r="275" spans="1:13">
      <c r="C275" s="544"/>
      <c r="D275" s="544"/>
      <c r="E275" s="544"/>
      <c r="F275" s="544"/>
      <c r="G275" s="544"/>
      <c r="H275" s="544"/>
      <c r="I275" s="544"/>
      <c r="J275" s="544"/>
      <c r="K275" s="568"/>
      <c r="L275" s="456"/>
      <c r="M275" s="456"/>
    </row>
    <row r="276" spans="1:13">
      <c r="A276" s="561"/>
      <c r="B276" s="561"/>
      <c r="C276" s="544"/>
      <c r="D276" s="544"/>
      <c r="E276" s="544"/>
      <c r="F276" s="544"/>
      <c r="G276" s="544"/>
      <c r="H276" s="544"/>
      <c r="I276" s="544"/>
      <c r="J276" s="544"/>
      <c r="K276" s="568"/>
      <c r="L276" s="456"/>
      <c r="M276" s="456"/>
    </row>
    <row r="302" spans="1:13">
      <c r="A302" s="456"/>
    </row>
    <row r="303" spans="1:13">
      <c r="A303" s="718"/>
      <c r="B303" s="719"/>
      <c r="C303" s="544"/>
      <c r="D303" s="544"/>
      <c r="E303" s="544"/>
      <c r="F303" s="544"/>
      <c r="G303" s="544"/>
      <c r="H303" s="544"/>
      <c r="I303" s="544"/>
      <c r="J303" s="544"/>
      <c r="K303" s="568"/>
      <c r="L303" s="456"/>
      <c r="M303" s="456"/>
    </row>
    <row r="304" spans="1:13">
      <c r="A304" s="720"/>
      <c r="B304" s="719"/>
      <c r="C304" s="544"/>
      <c r="D304" s="544"/>
      <c r="E304" s="544"/>
      <c r="F304" s="544"/>
      <c r="G304" s="544"/>
      <c r="H304" s="544"/>
      <c r="I304" s="544"/>
      <c r="J304" s="544"/>
      <c r="K304" s="568"/>
      <c r="L304" s="456"/>
      <c r="M304" s="456"/>
    </row>
    <row r="305" spans="1:13">
      <c r="A305" s="721"/>
      <c r="B305" s="561"/>
      <c r="C305" s="544"/>
      <c r="D305" s="544"/>
      <c r="E305" s="544"/>
      <c r="F305" s="544"/>
      <c r="G305" s="544"/>
      <c r="H305" s="544"/>
      <c r="I305" s="544"/>
      <c r="J305" s="544"/>
      <c r="K305" s="568"/>
      <c r="L305" s="456"/>
      <c r="M305" s="456"/>
    </row>
    <row r="306" spans="1:13">
      <c r="A306" s="559"/>
      <c r="B306" s="561"/>
      <c r="C306" s="544"/>
      <c r="D306" s="544"/>
      <c r="E306" s="544"/>
      <c r="F306" s="544"/>
      <c r="G306" s="544"/>
      <c r="H306" s="544"/>
      <c r="I306" s="544"/>
      <c r="J306" s="544"/>
      <c r="K306" s="568"/>
      <c r="L306" s="456"/>
      <c r="M306" s="456"/>
    </row>
    <row r="307" spans="1:13">
      <c r="A307" s="559"/>
      <c r="B307" s="561"/>
      <c r="C307" s="544"/>
      <c r="D307" s="544"/>
      <c r="E307" s="544"/>
      <c r="F307" s="544"/>
      <c r="G307" s="544"/>
      <c r="H307" s="544"/>
      <c r="I307" s="544"/>
      <c r="J307" s="544"/>
      <c r="K307" s="568"/>
      <c r="L307" s="456"/>
      <c r="M307" s="456"/>
    </row>
    <row r="308" spans="1:13">
      <c r="A308" s="559"/>
      <c r="B308" s="561"/>
      <c r="C308" s="544"/>
      <c r="D308" s="544"/>
      <c r="E308" s="544"/>
      <c r="F308" s="544"/>
      <c r="G308" s="544"/>
      <c r="H308" s="544"/>
      <c r="I308" s="544"/>
      <c r="J308" s="544"/>
      <c r="K308" s="568"/>
      <c r="L308" s="456"/>
      <c r="M308" s="456"/>
    </row>
    <row r="309" spans="1:13">
      <c r="A309" s="559"/>
      <c r="B309" s="561"/>
      <c r="C309" s="544"/>
      <c r="D309" s="544"/>
      <c r="E309" s="544"/>
      <c r="F309" s="544"/>
      <c r="G309" s="544"/>
      <c r="H309" s="544"/>
      <c r="I309" s="544"/>
      <c r="J309" s="544"/>
      <c r="K309" s="568"/>
      <c r="L309" s="456"/>
      <c r="M309" s="456"/>
    </row>
    <row r="310" spans="1:13">
      <c r="A310" s="559"/>
      <c r="B310" s="561"/>
      <c r="C310" s="544"/>
      <c r="D310" s="544"/>
      <c r="E310" s="544"/>
      <c r="F310" s="544"/>
      <c r="G310" s="544"/>
      <c r="H310" s="544"/>
      <c r="I310" s="544"/>
      <c r="J310" s="544"/>
      <c r="K310" s="568"/>
      <c r="L310" s="456"/>
      <c r="M310" s="456"/>
    </row>
    <row r="311" spans="1:13">
      <c r="A311" s="561"/>
      <c r="B311" s="561"/>
      <c r="C311" s="544"/>
      <c r="D311" s="544"/>
      <c r="E311" s="544"/>
      <c r="F311" s="544"/>
      <c r="G311" s="544"/>
      <c r="H311" s="544"/>
      <c r="I311" s="544"/>
      <c r="J311" s="544"/>
      <c r="K311" s="568"/>
      <c r="L311" s="456"/>
      <c r="M311" s="456"/>
    </row>
    <row r="312" spans="1:13">
      <c r="A312" s="722"/>
      <c r="B312" s="561"/>
      <c r="C312" s="544"/>
      <c r="D312" s="544"/>
      <c r="E312" s="544"/>
      <c r="F312" s="544"/>
      <c r="G312" s="544"/>
      <c r="H312" s="544"/>
      <c r="I312" s="544"/>
      <c r="J312" s="544"/>
      <c r="K312" s="568"/>
      <c r="L312" s="456"/>
      <c r="M312" s="456"/>
    </row>
    <row r="313" spans="1:13">
      <c r="A313" s="559"/>
      <c r="B313" s="561"/>
      <c r="C313" s="544"/>
      <c r="D313" s="544"/>
      <c r="E313" s="544"/>
      <c r="F313" s="544"/>
      <c r="G313" s="544"/>
      <c r="H313" s="544"/>
      <c r="I313" s="544"/>
      <c r="J313" s="544"/>
      <c r="K313" s="568"/>
      <c r="L313" s="456"/>
      <c r="M313" s="456"/>
    </row>
    <row r="314" spans="1:13">
      <c r="A314" s="559"/>
      <c r="C314" s="544"/>
      <c r="D314" s="544"/>
      <c r="E314" s="544"/>
      <c r="F314" s="544"/>
      <c r="G314" s="544"/>
      <c r="H314" s="544"/>
      <c r="I314" s="544"/>
      <c r="J314" s="544"/>
      <c r="K314" s="568"/>
      <c r="L314" s="456"/>
      <c r="M314" s="456"/>
    </row>
    <row r="315" spans="1:13">
      <c r="A315" s="559"/>
      <c r="B315" s="562"/>
      <c r="C315" s="544"/>
      <c r="D315" s="544"/>
      <c r="E315" s="544"/>
      <c r="F315" s="544"/>
      <c r="G315" s="544"/>
      <c r="H315" s="544"/>
      <c r="I315" s="544"/>
      <c r="J315" s="544"/>
      <c r="K315" s="568"/>
      <c r="L315" s="456"/>
      <c r="M315" s="456"/>
    </row>
    <row r="316" spans="1:13">
      <c r="A316" s="559"/>
      <c r="B316" s="560"/>
      <c r="C316" s="544"/>
      <c r="D316" s="544"/>
      <c r="E316" s="544"/>
      <c r="F316" s="544"/>
      <c r="G316" s="544"/>
      <c r="H316" s="544"/>
      <c r="I316" s="544"/>
      <c r="J316" s="544"/>
      <c r="K316" s="568"/>
      <c r="L316" s="456"/>
      <c r="M316" s="456"/>
    </row>
    <row r="317" spans="1:13">
      <c r="A317" s="559"/>
      <c r="B317" s="567"/>
      <c r="C317" s="544"/>
      <c r="D317" s="544"/>
      <c r="E317" s="544"/>
      <c r="F317" s="544"/>
      <c r="G317" s="544"/>
      <c r="H317" s="544"/>
      <c r="I317" s="544"/>
      <c r="J317" s="544"/>
      <c r="K317" s="568"/>
      <c r="L317" s="456"/>
      <c r="M317" s="456"/>
    </row>
    <row r="318" spans="1:13">
      <c r="A318" s="559"/>
      <c r="B318" s="561"/>
      <c r="C318" s="544"/>
      <c r="D318" s="544"/>
      <c r="E318" s="544"/>
      <c r="F318" s="544"/>
      <c r="G318" s="544"/>
      <c r="H318" s="544"/>
      <c r="I318" s="544"/>
      <c r="J318" s="544"/>
      <c r="K318" s="568"/>
      <c r="L318" s="456"/>
      <c r="M318" s="456"/>
    </row>
    <row r="319" spans="1:13">
      <c r="A319" s="561"/>
      <c r="B319" s="561"/>
      <c r="C319" s="544"/>
      <c r="D319" s="544"/>
      <c r="E319" s="544"/>
      <c r="F319" s="544"/>
      <c r="G319" s="544"/>
      <c r="H319" s="544"/>
      <c r="I319" s="544"/>
      <c r="J319" s="544"/>
      <c r="K319" s="568"/>
      <c r="L319" s="456"/>
      <c r="M319" s="456"/>
    </row>
    <row r="320" spans="1:13">
      <c r="A320" s="722"/>
      <c r="B320" s="561"/>
      <c r="C320" s="544"/>
      <c r="D320" s="544"/>
      <c r="E320" s="544"/>
      <c r="F320" s="544"/>
      <c r="G320" s="544"/>
      <c r="H320" s="544"/>
      <c r="I320" s="544"/>
      <c r="J320" s="544"/>
      <c r="K320" s="568"/>
      <c r="L320" s="456"/>
      <c r="M320" s="456"/>
    </row>
    <row r="321" spans="1:20">
      <c r="A321" s="559"/>
      <c r="B321" s="561"/>
      <c r="C321" s="544"/>
      <c r="D321" s="544"/>
      <c r="E321" s="544"/>
      <c r="F321" s="544"/>
      <c r="G321" s="544"/>
      <c r="H321" s="544"/>
      <c r="I321" s="544"/>
      <c r="J321" s="544"/>
      <c r="K321" s="568"/>
      <c r="L321" s="456"/>
      <c r="M321" s="456"/>
    </row>
    <row r="322" spans="1:20">
      <c r="A322" s="559"/>
      <c r="B322" s="561"/>
      <c r="C322" s="544"/>
      <c r="D322" s="544"/>
      <c r="E322" s="544"/>
      <c r="F322" s="544"/>
      <c r="G322" s="544"/>
      <c r="H322" s="544"/>
      <c r="I322" s="544"/>
      <c r="J322" s="544"/>
      <c r="K322" s="568"/>
      <c r="L322" s="456"/>
      <c r="M322" s="456"/>
    </row>
    <row r="323" spans="1:20">
      <c r="A323" s="559"/>
      <c r="B323" s="559"/>
      <c r="C323" s="544"/>
      <c r="D323" s="544"/>
      <c r="E323" s="544"/>
      <c r="F323" s="544"/>
      <c r="G323" s="544"/>
      <c r="H323" s="544"/>
      <c r="I323" s="544"/>
      <c r="J323" s="544"/>
      <c r="K323" s="568"/>
      <c r="L323" s="456"/>
      <c r="M323" s="456"/>
    </row>
    <row r="324" spans="1:20">
      <c r="A324" s="559"/>
      <c r="B324" s="561"/>
      <c r="C324" s="544"/>
      <c r="D324" s="544"/>
      <c r="E324" s="544"/>
      <c r="F324" s="544"/>
      <c r="G324" s="544"/>
      <c r="H324" s="544"/>
      <c r="I324" s="544"/>
      <c r="J324" s="544"/>
      <c r="K324" s="568"/>
      <c r="L324" s="456"/>
      <c r="M324" s="456"/>
    </row>
    <row r="325" spans="1:20">
      <c r="A325" s="561"/>
      <c r="B325" s="561"/>
      <c r="C325" s="544"/>
      <c r="D325" s="544"/>
      <c r="E325" s="544"/>
      <c r="F325" s="544"/>
      <c r="G325" s="544"/>
      <c r="H325" s="544"/>
      <c r="I325" s="544"/>
      <c r="J325" s="544"/>
      <c r="K325" s="568"/>
      <c r="L325" s="456"/>
      <c r="M325" s="456"/>
    </row>
    <row r="326" spans="1:20">
      <c r="A326" s="722"/>
      <c r="B326" s="561"/>
      <c r="C326" s="544"/>
      <c r="D326" s="544"/>
      <c r="E326" s="544"/>
      <c r="F326" s="544"/>
      <c r="G326" s="544"/>
      <c r="H326" s="544"/>
      <c r="I326" s="544"/>
      <c r="J326" s="544"/>
      <c r="K326" s="568"/>
      <c r="L326" s="456"/>
      <c r="M326" s="456"/>
    </row>
    <row r="327" spans="1:20">
      <c r="A327" s="559"/>
      <c r="B327" s="561"/>
      <c r="C327" s="544"/>
      <c r="D327" s="544"/>
      <c r="E327" s="544"/>
      <c r="F327" s="544"/>
      <c r="G327" s="544"/>
      <c r="H327" s="544"/>
      <c r="I327" s="544"/>
      <c r="J327" s="544"/>
      <c r="K327" s="568"/>
      <c r="L327" s="456"/>
      <c r="M327" s="456"/>
    </row>
    <row r="328" spans="1:20">
      <c r="A328" s="561"/>
      <c r="B328" s="561"/>
      <c r="C328" s="544"/>
      <c r="D328" s="544"/>
      <c r="E328" s="544"/>
      <c r="F328" s="544"/>
      <c r="G328" s="544"/>
      <c r="H328" s="544"/>
      <c r="I328" s="544"/>
      <c r="J328" s="544"/>
      <c r="K328" s="568"/>
      <c r="L328" s="456"/>
      <c r="M328" s="456"/>
    </row>
    <row r="329" spans="1:20">
      <c r="A329" s="722"/>
      <c r="B329" s="561"/>
      <c r="C329" s="544"/>
      <c r="D329" s="544"/>
      <c r="E329" s="544"/>
      <c r="F329" s="571"/>
      <c r="G329" s="544"/>
      <c r="H329" s="544"/>
      <c r="I329" s="544"/>
      <c r="J329" s="544"/>
      <c r="K329" s="568"/>
      <c r="L329" s="456"/>
      <c r="M329" s="456"/>
    </row>
    <row r="330" spans="1:20">
      <c r="A330" s="544"/>
      <c r="B330" s="544"/>
      <c r="C330" s="723"/>
      <c r="D330" s="723"/>
      <c r="E330" s="723"/>
      <c r="F330" s="723"/>
      <c r="G330" s="544"/>
      <c r="H330" s="544"/>
      <c r="I330" s="568"/>
      <c r="J330" s="456"/>
      <c r="K330" s="456"/>
      <c r="L330" s="456"/>
      <c r="M330" s="456"/>
      <c r="N330" s="456"/>
      <c r="O330" s="456"/>
      <c r="P330" s="456"/>
      <c r="Q330" s="456"/>
      <c r="R330" s="456"/>
      <c r="S330" s="456"/>
      <c r="T330" s="456"/>
    </row>
    <row r="331" spans="1:20">
      <c r="A331" s="724"/>
      <c r="B331" s="725"/>
      <c r="C331" s="726"/>
      <c r="D331" s="726"/>
      <c r="E331" s="726"/>
      <c r="F331" s="726"/>
      <c r="G331" s="726"/>
      <c r="H331" s="727"/>
      <c r="I331" s="728"/>
      <c r="R331" s="398"/>
    </row>
    <row r="332" spans="1:20">
      <c r="A332" s="493"/>
      <c r="B332" s="725"/>
      <c r="C332" s="193"/>
      <c r="D332" s="727"/>
      <c r="E332" s="193"/>
      <c r="F332" s="727"/>
      <c r="G332" s="726"/>
      <c r="H332" s="727"/>
      <c r="I332" s="728"/>
    </row>
    <row r="333" spans="1:20">
      <c r="A333" s="493"/>
      <c r="B333" s="725"/>
      <c r="C333" s="193"/>
      <c r="D333" s="727"/>
      <c r="E333" s="193"/>
      <c r="F333" s="727"/>
      <c r="G333" s="726"/>
      <c r="H333" s="727"/>
      <c r="I333" s="728"/>
    </row>
    <row r="334" spans="1:20">
      <c r="A334" s="493"/>
      <c r="B334" s="725"/>
      <c r="C334" s="193"/>
      <c r="D334" s="727"/>
      <c r="E334" s="193"/>
      <c r="F334" s="727"/>
      <c r="G334" s="726"/>
      <c r="H334" s="727"/>
      <c r="I334" s="728"/>
    </row>
    <row r="335" spans="1:20">
      <c r="A335" s="493"/>
      <c r="B335" s="725"/>
      <c r="C335" s="193"/>
      <c r="D335" s="727"/>
      <c r="E335" s="193"/>
      <c r="F335" s="727"/>
      <c r="G335" s="726"/>
      <c r="H335" s="727"/>
      <c r="I335" s="728"/>
    </row>
    <row r="336" spans="1:20">
      <c r="A336" s="493"/>
      <c r="B336" s="725"/>
      <c r="C336" s="193"/>
      <c r="D336" s="727"/>
      <c r="E336" s="193"/>
      <c r="F336" s="727"/>
      <c r="G336" s="726"/>
      <c r="H336" s="727"/>
      <c r="I336" s="728"/>
    </row>
    <row r="337" spans="1:9">
      <c r="A337" s="493"/>
      <c r="B337" s="725"/>
      <c r="C337" s="193"/>
      <c r="D337" s="727"/>
      <c r="E337" s="193"/>
      <c r="F337" s="727"/>
      <c r="G337" s="726"/>
      <c r="H337" s="727"/>
      <c r="I337" s="728"/>
    </row>
    <row r="338" spans="1:9">
      <c r="A338" s="493"/>
      <c r="B338" s="725"/>
      <c r="C338" s="193"/>
      <c r="D338" s="727"/>
      <c r="E338" s="193"/>
      <c r="F338" s="727"/>
      <c r="G338" s="726"/>
      <c r="H338" s="727"/>
      <c r="I338" s="728"/>
    </row>
    <row r="339" spans="1:9">
      <c r="A339" s="493"/>
      <c r="B339" s="725"/>
      <c r="C339" s="193"/>
      <c r="D339" s="727"/>
      <c r="E339" s="193"/>
      <c r="F339" s="727"/>
      <c r="G339" s="726"/>
      <c r="H339" s="727"/>
      <c r="I339" s="728"/>
    </row>
    <row r="340" spans="1:9">
      <c r="A340" s="493"/>
      <c r="B340" s="725"/>
      <c r="C340" s="193"/>
      <c r="D340" s="727"/>
      <c r="E340" s="193"/>
      <c r="F340" s="727"/>
      <c r="G340" s="726"/>
      <c r="H340" s="727"/>
      <c r="I340" s="728"/>
    </row>
    <row r="341" spans="1:9">
      <c r="A341" s="493"/>
      <c r="B341" s="725"/>
      <c r="C341" s="193"/>
      <c r="D341" s="727"/>
      <c r="E341" s="193"/>
      <c r="F341" s="727"/>
      <c r="G341" s="726"/>
      <c r="H341" s="727"/>
      <c r="I341" s="728"/>
    </row>
    <row r="342" spans="1:9">
      <c r="A342" s="493"/>
      <c r="B342" s="725"/>
      <c r="C342" s="193"/>
      <c r="D342" s="727"/>
      <c r="E342" s="193"/>
      <c r="F342" s="727"/>
      <c r="G342" s="726"/>
      <c r="H342" s="727"/>
      <c r="I342" s="728"/>
    </row>
    <row r="343" spans="1:9">
      <c r="A343" s="724"/>
      <c r="B343" s="493"/>
      <c r="C343" s="729"/>
      <c r="D343" s="727"/>
      <c r="E343" s="727"/>
      <c r="F343" s="727"/>
      <c r="G343" s="726"/>
      <c r="H343" s="533"/>
      <c r="I343" s="728"/>
    </row>
    <row r="344" spans="1:9">
      <c r="A344" s="730"/>
      <c r="B344" s="493"/>
      <c r="C344" s="425"/>
      <c r="D344" s="727"/>
      <c r="E344" s="193"/>
      <c r="F344" s="727"/>
      <c r="G344" s="726"/>
      <c r="H344" s="503"/>
      <c r="I344" s="728"/>
    </row>
    <row r="345" spans="1:9">
      <c r="A345" s="503"/>
      <c r="B345" s="493"/>
      <c r="C345" s="503"/>
      <c r="D345" s="727"/>
      <c r="E345" s="193"/>
      <c r="F345" s="727"/>
      <c r="G345" s="726"/>
      <c r="H345" s="503"/>
      <c r="I345" s="728"/>
    </row>
    <row r="346" spans="1:9">
      <c r="A346" s="533"/>
      <c r="B346" s="493"/>
      <c r="C346" s="493"/>
      <c r="D346" s="729"/>
      <c r="E346" s="729"/>
      <c r="F346" s="729"/>
      <c r="G346" s="493"/>
      <c r="H346" s="533"/>
      <c r="I346" s="731"/>
    </row>
    <row r="348" spans="1:9">
      <c r="A348" s="732"/>
    </row>
    <row r="349" spans="1:9">
      <c r="A349" s="398"/>
      <c r="B349" s="562"/>
    </row>
    <row r="350" spans="1:9">
      <c r="A350" s="398"/>
      <c r="B350" s="562"/>
    </row>
    <row r="351" spans="1:9">
      <c r="A351" s="398"/>
      <c r="B351" s="562"/>
    </row>
    <row r="352" spans="1:9">
      <c r="A352" s="456"/>
      <c r="B352" s="529"/>
    </row>
  </sheetData>
  <mergeCells count="38">
    <mergeCell ref="J129:K129"/>
    <mergeCell ref="J99:K99"/>
    <mergeCell ref="A157:U158"/>
    <mergeCell ref="D69:E69"/>
    <mergeCell ref="A69:B69"/>
    <mergeCell ref="G105:H105"/>
    <mergeCell ref="G165:H165"/>
    <mergeCell ref="G135:H135"/>
    <mergeCell ref="G99:H99"/>
    <mergeCell ref="X94:Z94"/>
    <mergeCell ref="A67:U68"/>
    <mergeCell ref="A99:B99"/>
    <mergeCell ref="D99:E99"/>
    <mergeCell ref="J159:K159"/>
    <mergeCell ref="A97:U98"/>
    <mergeCell ref="G129:H129"/>
    <mergeCell ref="A127:U128"/>
    <mergeCell ref="D129:E129"/>
    <mergeCell ref="A129:B129"/>
    <mergeCell ref="A159:B159"/>
    <mergeCell ref="G159:H159"/>
    <mergeCell ref="D159:E159"/>
    <mergeCell ref="G45:H45"/>
    <mergeCell ref="G69:H69"/>
    <mergeCell ref="G75:H75"/>
    <mergeCell ref="A2:F2"/>
    <mergeCell ref="A9:G9"/>
    <mergeCell ref="B32:E32"/>
    <mergeCell ref="D39:E39"/>
    <mergeCell ref="A39:B39"/>
    <mergeCell ref="A29:E29"/>
    <mergeCell ref="A27:D27"/>
    <mergeCell ref="A37:U38"/>
    <mergeCell ref="A35:U36"/>
    <mergeCell ref="J39:K39"/>
    <mergeCell ref="G39:H39"/>
    <mergeCell ref="A34:L34"/>
    <mergeCell ref="J69:K69"/>
  </mergeCells>
  <hyperlinks>
    <hyperlink ref="A1" location="Index!A1" display="Index!A1"/>
  </hyperlinks>
  <pageMargins left="0.7" right="0.7" top="0.75" bottom="0.75" header="0.3" footer="0.3"/>
  <ignoredErrors>
    <ignoredError sqref="C12:D25" numberStoredAsText="1"/>
    <ignoredError sqref="O177 O147 O117 O87 O57" formula="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FC5E8"/>
  </sheetPr>
  <dimension ref="A1:AB990"/>
  <sheetViews>
    <sheetView workbookViewId="0">
      <selection activeCell="A115" sqref="A115"/>
    </sheetView>
  </sheetViews>
  <sheetFormatPr defaultColWidth="14.33203125" defaultRowHeight="14.25"/>
  <cols>
    <col min="1" max="2" width="24.1328125" bestFit="1" customWidth="1"/>
    <col min="3" max="3" width="24.796875" bestFit="1" customWidth="1"/>
    <col min="4" max="4" width="31.33203125" bestFit="1" customWidth="1"/>
    <col min="5" max="5" width="15.6640625" bestFit="1" customWidth="1"/>
    <col min="6" max="6" width="53.1328125" customWidth="1"/>
    <col min="7" max="7" width="16.33203125" customWidth="1"/>
    <col min="8" max="11" width="14.33203125" customWidth="1"/>
    <col min="12" max="28" width="11.33203125" customWidth="1"/>
  </cols>
  <sheetData>
    <row r="1" spans="1:28" s="739" customFormat="1">
      <c r="A1" s="765" t="s">
        <v>0</v>
      </c>
    </row>
    <row r="2" spans="1:28">
      <c r="A2" s="1372" t="s">
        <v>773</v>
      </c>
      <c r="B2" s="1297"/>
      <c r="C2" s="1297"/>
      <c r="D2" s="1297"/>
      <c r="E2" s="1297"/>
      <c r="F2" s="607"/>
      <c r="G2" s="607"/>
      <c r="H2" s="607"/>
      <c r="I2" s="607"/>
      <c r="J2" s="607"/>
      <c r="K2" s="607"/>
      <c r="L2" s="607"/>
      <c r="M2" s="607"/>
      <c r="N2" s="607"/>
      <c r="O2" s="607"/>
      <c r="P2" s="607"/>
      <c r="Q2" s="607"/>
      <c r="R2" s="607"/>
      <c r="S2" s="607"/>
      <c r="T2" s="607"/>
      <c r="U2" s="607"/>
      <c r="V2" s="607"/>
      <c r="W2" s="607"/>
      <c r="X2" s="607"/>
      <c r="Y2" s="607"/>
      <c r="Z2" s="607"/>
      <c r="AA2" s="607"/>
      <c r="AB2" s="607"/>
    </row>
    <row r="3" spans="1:28">
      <c r="A3" s="608" t="s">
        <v>774</v>
      </c>
      <c r="B3" s="609" t="s">
        <v>775</v>
      </c>
      <c r="C3" s="609" t="s">
        <v>776</v>
      </c>
      <c r="D3" s="610" t="s">
        <v>777</v>
      </c>
      <c r="E3" s="611" t="s">
        <v>778</v>
      </c>
      <c r="F3" s="607"/>
      <c r="G3" s="607"/>
      <c r="H3" s="607"/>
      <c r="I3" s="607"/>
      <c r="J3" s="607"/>
      <c r="K3" s="607"/>
      <c r="L3" s="607"/>
      <c r="M3" s="607"/>
      <c r="N3" s="607"/>
      <c r="O3" s="607"/>
      <c r="P3" s="607"/>
      <c r="Q3" s="607"/>
      <c r="R3" s="607"/>
      <c r="S3" s="607"/>
      <c r="T3" s="607"/>
      <c r="U3" s="607"/>
      <c r="V3" s="607"/>
      <c r="W3" s="607"/>
      <c r="X3" s="607"/>
      <c r="Y3" s="607"/>
      <c r="Z3" s="607"/>
      <c r="AA3" s="607"/>
      <c r="AB3" s="607"/>
    </row>
    <row r="4" spans="1:28">
      <c r="A4" s="612" t="s">
        <v>697</v>
      </c>
      <c r="B4" s="614" t="str">
        <f>HYPERLINK("https://www.alibaba.com/product-detail/Manufacture-of-silicon-rubber-for-20_233935159.html?spm=a2700.7724838.2017115.1.bb0e689rQtiAH","Alibaba")</f>
        <v>Alibaba</v>
      </c>
      <c r="C4" s="615" t="s">
        <v>780</v>
      </c>
      <c r="D4" s="616" t="s">
        <v>781</v>
      </c>
      <c r="E4" s="617" t="s">
        <v>782</v>
      </c>
      <c r="F4" s="618"/>
      <c r="G4" s="618"/>
      <c r="H4" s="618"/>
      <c r="I4" s="618"/>
      <c r="J4" s="618"/>
      <c r="K4" s="618"/>
      <c r="L4" s="618"/>
      <c r="M4" s="618"/>
      <c r="N4" s="618"/>
      <c r="O4" s="618"/>
      <c r="P4" s="618"/>
      <c r="Q4" s="618"/>
      <c r="R4" s="618"/>
      <c r="S4" s="618"/>
      <c r="T4" s="618"/>
      <c r="U4" s="618"/>
      <c r="V4" s="618"/>
      <c r="W4" s="618"/>
      <c r="X4" s="618"/>
      <c r="Y4" s="618"/>
      <c r="Z4" s="618"/>
      <c r="AA4" s="618"/>
      <c r="AB4" s="618"/>
    </row>
    <row r="5" spans="1:28">
      <c r="A5" s="612" t="s">
        <v>700</v>
      </c>
      <c r="B5" s="614" t="str">
        <f>HYPERLINK("http://www.alibaba.com/product-detail/Custom-Push-Button-Switch-Silicone-rubber_60633190357.html?spm=a2700.7724838.2017115.50.5cc7f2d3VmhNOV", "Alibaba")</f>
        <v>Alibaba</v>
      </c>
      <c r="C5" s="615" t="s">
        <v>780</v>
      </c>
      <c r="D5" s="616" t="s">
        <v>781</v>
      </c>
      <c r="E5" s="617" t="s">
        <v>782</v>
      </c>
      <c r="F5" s="618"/>
      <c r="G5" s="618"/>
      <c r="H5" s="618"/>
      <c r="I5" s="618"/>
      <c r="J5" s="618"/>
      <c r="K5" s="618"/>
      <c r="L5" s="618"/>
      <c r="M5" s="618"/>
      <c r="N5" s="618"/>
      <c r="O5" s="618"/>
      <c r="P5" s="618"/>
      <c r="Q5" s="618"/>
      <c r="R5" s="618"/>
      <c r="S5" s="618"/>
      <c r="T5" s="618"/>
      <c r="U5" s="618"/>
      <c r="V5" s="618"/>
      <c r="W5" s="618"/>
      <c r="X5" s="618"/>
      <c r="Y5" s="618"/>
      <c r="Z5" s="618"/>
      <c r="AA5" s="618"/>
      <c r="AB5" s="618"/>
    </row>
    <row r="6" spans="1:28">
      <c r="A6" s="612" t="s">
        <v>707</v>
      </c>
      <c r="B6" s="614" t="str">
        <f>HYPERLINK("https://www.mouser.com/ProductDetail/Cree-Inc/C503B-AAS-CY0B0251/?qs=UHyCXFkX5Ez5%252bQKogeh7uw%3D%3D&amp;gclid=Cj0KCQiA84rQBRDCARIsAPO8RFxVbNfu7hZg1K21JPReE1E8iOyoJ-NCCszhhxXUzril3-RnViMkxPUaApGiEALw_wcB", "Mouser Electronics")</f>
        <v>Mouser Electronics</v>
      </c>
      <c r="C6" s="623" t="s">
        <v>784</v>
      </c>
      <c r="D6" s="625" t="s">
        <v>183</v>
      </c>
      <c r="E6" s="628" t="str">
        <f t="shared" ref="E6:E7" si="0">HYPERLINK("https://www.freightcenter.com/quote","FreightCenter")</f>
        <v>FreightCenter</v>
      </c>
      <c r="F6" s="618"/>
      <c r="G6" s="618"/>
      <c r="H6" s="618"/>
      <c r="I6" s="618"/>
      <c r="J6" s="618"/>
      <c r="K6" s="618"/>
      <c r="L6" s="618"/>
      <c r="M6" s="618"/>
      <c r="N6" s="618"/>
      <c r="O6" s="618"/>
      <c r="P6" s="618"/>
      <c r="Q6" s="618"/>
      <c r="R6" s="618"/>
      <c r="S6" s="618"/>
      <c r="T6" s="618"/>
      <c r="U6" s="618"/>
      <c r="V6" s="618"/>
      <c r="W6" s="618"/>
      <c r="X6" s="618"/>
      <c r="Y6" s="618"/>
      <c r="Z6" s="618"/>
      <c r="AA6" s="618"/>
      <c r="AB6" s="618"/>
    </row>
    <row r="7" spans="1:28">
      <c r="A7" s="612" t="s">
        <v>710</v>
      </c>
      <c r="B7" s="614" t="str">
        <f>HYPERLINK("http://www.st.com/content/st_com/en/products/audio-ics/mems-microphones/mp23ab01dh.html", "STMicroelectronics")</f>
        <v>STMicroelectronics</v>
      </c>
      <c r="C7" s="633" t="s">
        <v>791</v>
      </c>
      <c r="D7" s="625" t="s">
        <v>183</v>
      </c>
      <c r="E7" s="635" t="str">
        <f t="shared" si="0"/>
        <v>FreightCenter</v>
      </c>
      <c r="F7" s="618"/>
      <c r="G7" s="618"/>
      <c r="H7" s="618"/>
      <c r="I7" s="618"/>
      <c r="J7" s="618"/>
      <c r="K7" s="618"/>
      <c r="L7" s="618"/>
      <c r="M7" s="618"/>
      <c r="N7" s="618"/>
      <c r="O7" s="618"/>
      <c r="P7" s="618"/>
      <c r="Q7" s="618"/>
      <c r="R7" s="618"/>
      <c r="S7" s="618"/>
      <c r="T7" s="618"/>
      <c r="U7" s="618"/>
      <c r="V7" s="618"/>
      <c r="W7" s="618"/>
      <c r="X7" s="618"/>
      <c r="Y7" s="618"/>
      <c r="Z7" s="618"/>
      <c r="AA7" s="618"/>
      <c r="AB7" s="618"/>
    </row>
    <row r="8" spans="1:28">
      <c r="A8" s="612" t="s">
        <v>713</v>
      </c>
      <c r="B8" s="614" t="str">
        <f>HYPERLINK("https://www.alibaba.com/product-detail/9mm-1W-4-Ohm-Skinny-Mini_60520851923.html","Alibaba")</f>
        <v>Alibaba</v>
      </c>
      <c r="C8" s="615" t="s">
        <v>780</v>
      </c>
      <c r="D8" s="616" t="s">
        <v>781</v>
      </c>
      <c r="E8" s="617" t="s">
        <v>782</v>
      </c>
      <c r="F8" s="618"/>
      <c r="G8" s="618"/>
      <c r="H8" s="618"/>
      <c r="I8" s="618"/>
      <c r="J8" s="618"/>
      <c r="K8" s="618"/>
      <c r="L8" s="618"/>
      <c r="M8" s="618"/>
      <c r="N8" s="618"/>
      <c r="O8" s="618"/>
      <c r="P8" s="618"/>
      <c r="Q8" s="618"/>
      <c r="R8" s="618"/>
      <c r="S8" s="618"/>
      <c r="T8" s="618"/>
      <c r="U8" s="618"/>
      <c r="V8" s="618"/>
      <c r="W8" s="618"/>
      <c r="X8" s="618"/>
      <c r="Y8" s="618"/>
      <c r="Z8" s="618"/>
      <c r="AA8" s="618"/>
      <c r="AB8" s="618"/>
    </row>
    <row r="9" spans="1:28">
      <c r="A9" s="612" t="s">
        <v>714</v>
      </c>
      <c r="B9" s="614" t="str">
        <f>HYPERLINK("http://www.st.com/content/st_com/en/products/microcontrollers/legacy-mcus/str7-32-bit-arm7-mcus/str710fz1.html#samplebuy-scroll", "STMicroelectronics")</f>
        <v>STMicroelectronics</v>
      </c>
      <c r="C9" s="633" t="s">
        <v>791</v>
      </c>
      <c r="D9" s="625" t="s">
        <v>183</v>
      </c>
      <c r="E9" s="635" t="str">
        <f>HYPERLINK("https://www.freightcenter.com/quote","FreightCenter")</f>
        <v>FreightCenter</v>
      </c>
      <c r="F9" s="618"/>
      <c r="G9" s="618"/>
      <c r="H9" s="618"/>
      <c r="I9" s="618"/>
      <c r="J9" s="618"/>
      <c r="K9" s="618"/>
      <c r="L9" s="618"/>
      <c r="M9" s="618"/>
      <c r="N9" s="618"/>
      <c r="O9" s="618"/>
      <c r="P9" s="618"/>
      <c r="Q9" s="618"/>
      <c r="R9" s="618"/>
      <c r="S9" s="618"/>
      <c r="T9" s="618"/>
      <c r="U9" s="618"/>
      <c r="V9" s="618"/>
      <c r="W9" s="618"/>
      <c r="X9" s="618"/>
      <c r="Y9" s="618"/>
      <c r="Z9" s="618"/>
      <c r="AA9" s="618"/>
      <c r="AB9" s="618"/>
    </row>
    <row r="10" spans="1:28">
      <c r="A10" s="612" t="s">
        <v>715</v>
      </c>
      <c r="B10" s="614" t="str">
        <f>HYPERLINK("https://www.alibaba.com/product-detail/Original-new-simcom-SIM808-Quad-band_60678195106.html?spm=a2700.7724838.2017115.11.6954edb9FJSBWq&amp;s=p", "Alibaba")</f>
        <v>Alibaba</v>
      </c>
      <c r="C10" s="615" t="s">
        <v>780</v>
      </c>
      <c r="D10" s="616" t="s">
        <v>781</v>
      </c>
      <c r="E10" s="617" t="s">
        <v>782</v>
      </c>
      <c r="F10" s="618"/>
      <c r="G10" s="618"/>
      <c r="H10" s="618"/>
      <c r="I10" s="618"/>
      <c r="J10" s="618"/>
      <c r="K10" s="618"/>
      <c r="L10" s="618"/>
      <c r="M10" s="618"/>
      <c r="N10" s="618"/>
      <c r="O10" s="618"/>
      <c r="P10" s="618"/>
      <c r="Q10" s="618"/>
      <c r="R10" s="618"/>
      <c r="S10" s="618"/>
      <c r="T10" s="618"/>
      <c r="U10" s="618"/>
      <c r="V10" s="618"/>
      <c r="W10" s="618"/>
      <c r="X10" s="618"/>
      <c r="Y10" s="618"/>
      <c r="Z10" s="618"/>
      <c r="AA10" s="618"/>
      <c r="AB10" s="618"/>
    </row>
    <row r="11" spans="1:28">
      <c r="A11" s="612" t="s">
        <v>716</v>
      </c>
      <c r="B11" s="614" t="str">
        <f>HYPERLINK("https://www.alibaba.com/product-detail/-Hot-Offer-SEN0203-Heart-Rate_60655537891.html?spm=a2700.7724838.2017115.46.c4a7b0cRgyY1C", "Alibaba")</f>
        <v>Alibaba</v>
      </c>
      <c r="C11" s="615" t="s">
        <v>780</v>
      </c>
      <c r="D11" s="616" t="s">
        <v>781</v>
      </c>
      <c r="E11" s="617" t="s">
        <v>782</v>
      </c>
      <c r="F11" s="618"/>
      <c r="G11" s="618"/>
      <c r="H11" s="618"/>
      <c r="I11" s="618"/>
      <c r="J11" s="618"/>
      <c r="K11" s="618"/>
      <c r="L11" s="618"/>
      <c r="M11" s="618"/>
      <c r="N11" s="618"/>
      <c r="O11" s="618"/>
      <c r="P11" s="618"/>
      <c r="Q11" s="618"/>
      <c r="R11" s="618"/>
      <c r="S11" s="618"/>
      <c r="T11" s="618"/>
      <c r="U11" s="618"/>
      <c r="V11" s="618"/>
      <c r="W11" s="618"/>
      <c r="X11" s="618"/>
      <c r="Y11" s="618"/>
      <c r="Z11" s="618"/>
      <c r="AA11" s="618"/>
      <c r="AB11" s="618"/>
    </row>
    <row r="12" spans="1:28">
      <c r="A12" s="612" t="s">
        <v>717</v>
      </c>
      <c r="B12" s="614" t="str">
        <f>HYPERLINK("https://www.alibaba.com/product-detail/Rechargeable-3-7V-320-mah-303040_60697695521.html", "Alibaba")</f>
        <v>Alibaba</v>
      </c>
      <c r="C12" s="615" t="s">
        <v>780</v>
      </c>
      <c r="D12" s="616" t="s">
        <v>781</v>
      </c>
      <c r="E12" s="617" t="s">
        <v>782</v>
      </c>
      <c r="F12" s="618"/>
      <c r="G12" s="618"/>
      <c r="H12" s="618"/>
      <c r="I12" s="618"/>
      <c r="J12" s="618"/>
      <c r="K12" s="618"/>
      <c r="L12" s="618"/>
      <c r="M12" s="618"/>
      <c r="N12" s="618"/>
      <c r="O12" s="618"/>
      <c r="P12" s="618"/>
      <c r="Q12" s="618"/>
      <c r="R12" s="618"/>
      <c r="S12" s="618"/>
      <c r="T12" s="618"/>
      <c r="U12" s="618"/>
      <c r="V12" s="618"/>
      <c r="W12" s="618"/>
      <c r="X12" s="618"/>
      <c r="Y12" s="618"/>
      <c r="Z12" s="618"/>
      <c r="AA12" s="618"/>
      <c r="AB12" s="618"/>
    </row>
    <row r="13" spans="1:28">
      <c r="A13" s="612" t="s">
        <v>718</v>
      </c>
      <c r="B13" s="614" t="str">
        <f>HYPERLINK("https://www.alibaba.com/product-detail/Certificated-by-SGS-ISO-custom-mini_60117073673.html?spm=a2700.7724838.2017115.1.56fa93ecVJOson&amp;s=p", "Alibaba")</f>
        <v>Alibaba</v>
      </c>
      <c r="C13" s="615" t="s">
        <v>780</v>
      </c>
      <c r="D13" s="616" t="s">
        <v>781</v>
      </c>
      <c r="E13" s="617" t="s">
        <v>782</v>
      </c>
      <c r="F13" s="618"/>
      <c r="G13" s="618"/>
      <c r="H13" s="618"/>
      <c r="I13" s="618"/>
      <c r="J13" s="618"/>
      <c r="K13" s="618"/>
      <c r="L13" s="618"/>
      <c r="M13" s="618"/>
      <c r="N13" s="618"/>
      <c r="O13" s="618"/>
      <c r="P13" s="618"/>
      <c r="Q13" s="618"/>
      <c r="R13" s="618"/>
      <c r="S13" s="618"/>
      <c r="T13" s="618"/>
      <c r="U13" s="618"/>
      <c r="V13" s="618"/>
      <c r="W13" s="618"/>
      <c r="X13" s="618"/>
      <c r="Y13" s="618"/>
      <c r="Z13" s="618"/>
      <c r="AA13" s="618"/>
      <c r="AB13" s="618"/>
    </row>
    <row r="14" spans="1:28">
      <c r="A14" s="638" t="s">
        <v>719</v>
      </c>
      <c r="B14" s="639" t="str">
        <f>HYPERLINK("https://www.alibaba.com/product-detail/Tin-Lead-Solder-Wire-Sn10Pb90-competitive_60578378688.html?spm=a2700.7724838.2017115.1.382e63ef9lJlot&amp;s=p", "Alibaba")</f>
        <v>Alibaba</v>
      </c>
      <c r="C14" s="640" t="s">
        <v>795</v>
      </c>
      <c r="D14" s="641" t="s">
        <v>781</v>
      </c>
      <c r="E14" s="642" t="s">
        <v>782</v>
      </c>
      <c r="F14" s="618"/>
      <c r="G14" s="618"/>
      <c r="H14" s="618"/>
      <c r="I14" s="618"/>
      <c r="J14" s="618"/>
      <c r="K14" s="618"/>
      <c r="L14" s="618"/>
      <c r="M14" s="618"/>
      <c r="N14" s="618"/>
      <c r="O14" s="618"/>
      <c r="P14" s="618"/>
      <c r="Q14" s="618"/>
      <c r="R14" s="618"/>
      <c r="S14" s="618"/>
      <c r="T14" s="618"/>
      <c r="U14" s="618"/>
      <c r="V14" s="618"/>
      <c r="W14" s="618"/>
      <c r="X14" s="618"/>
      <c r="Y14" s="618"/>
      <c r="Z14" s="618"/>
      <c r="AA14" s="618"/>
      <c r="AB14" s="618"/>
    </row>
    <row r="15" spans="1:28">
      <c r="A15" s="618"/>
      <c r="B15" s="618"/>
      <c r="C15" s="643"/>
      <c r="D15" s="644"/>
      <c r="E15" s="618"/>
      <c r="F15" s="618"/>
      <c r="G15" s="618"/>
      <c r="H15" s="618"/>
      <c r="I15" s="618"/>
      <c r="J15" s="618"/>
      <c r="K15" s="618"/>
      <c r="L15" s="618"/>
      <c r="M15" s="618"/>
      <c r="N15" s="618"/>
      <c r="O15" s="618"/>
      <c r="P15" s="618"/>
      <c r="Q15" s="618"/>
      <c r="R15" s="618"/>
      <c r="S15" s="618"/>
      <c r="T15" s="618"/>
      <c r="U15" s="618"/>
      <c r="V15" s="618"/>
      <c r="W15" s="618"/>
      <c r="X15" s="618"/>
      <c r="Y15" s="618"/>
      <c r="Z15" s="618"/>
      <c r="AA15" s="618"/>
      <c r="AB15" s="618"/>
    </row>
    <row r="16" spans="1:28">
      <c r="A16" s="1373" t="s">
        <v>4</v>
      </c>
      <c r="B16" s="1306"/>
      <c r="C16" s="645" t="s">
        <v>799</v>
      </c>
      <c r="D16" s="646" t="s">
        <v>801</v>
      </c>
      <c r="H16" s="618"/>
      <c r="I16" s="618"/>
      <c r="J16" s="618"/>
      <c r="K16" s="618"/>
      <c r="L16" s="618"/>
      <c r="M16" s="618"/>
      <c r="N16" s="618"/>
      <c r="O16" s="618"/>
      <c r="P16" s="618"/>
      <c r="Q16" s="618"/>
      <c r="R16" s="618"/>
      <c r="S16" s="618"/>
      <c r="T16" s="618"/>
      <c r="U16" s="618"/>
      <c r="V16" s="618"/>
      <c r="W16" s="618"/>
      <c r="X16" s="618"/>
      <c r="Y16" s="618"/>
      <c r="Z16" s="618"/>
      <c r="AA16" s="618"/>
      <c r="AB16" s="618"/>
    </row>
    <row r="17" spans="1:28">
      <c r="A17" s="1374" t="s">
        <v>802</v>
      </c>
      <c r="B17" s="648" t="s">
        <v>689</v>
      </c>
      <c r="C17" s="649"/>
      <c r="D17" s="650"/>
      <c r="E17" s="618"/>
      <c r="F17" s="618"/>
      <c r="G17" s="618"/>
      <c r="H17" s="618"/>
      <c r="I17" s="618"/>
      <c r="J17" s="618"/>
      <c r="K17" s="618"/>
      <c r="L17" s="618"/>
      <c r="M17" s="618"/>
      <c r="N17" s="618"/>
      <c r="O17" s="618"/>
      <c r="P17" s="618"/>
      <c r="Q17" s="618"/>
      <c r="R17" s="618"/>
      <c r="S17" s="618"/>
      <c r="T17" s="618"/>
      <c r="U17" s="618"/>
      <c r="V17" s="618"/>
      <c r="W17" s="618"/>
      <c r="X17" s="618"/>
      <c r="Y17" s="618"/>
      <c r="Z17" s="618"/>
      <c r="AA17" s="618"/>
      <c r="AB17" s="618"/>
    </row>
    <row r="18" spans="1:28">
      <c r="A18" s="1309"/>
      <c r="B18" s="432" t="s">
        <v>697</v>
      </c>
      <c r="C18" s="649">
        <f>Inventory!$U$51</f>
        <v>6</v>
      </c>
      <c r="D18" s="524">
        <f>'OM Assumptions'!$B$38*C18</f>
        <v>6600</v>
      </c>
      <c r="E18" s="618"/>
      <c r="F18" s="618"/>
      <c r="G18" s="651"/>
      <c r="H18" s="651"/>
      <c r="I18" s="651"/>
      <c r="J18" s="651"/>
      <c r="K18" s="618"/>
      <c r="L18" s="618"/>
      <c r="M18" s="618"/>
      <c r="N18" s="618"/>
      <c r="O18" s="618"/>
      <c r="P18" s="618"/>
      <c r="Q18" s="618"/>
      <c r="R18" s="618"/>
      <c r="S18" s="618"/>
      <c r="T18" s="618"/>
      <c r="U18" s="618"/>
      <c r="V18" s="618"/>
      <c r="W18" s="618"/>
      <c r="X18" s="618"/>
      <c r="Y18" s="618"/>
      <c r="Z18" s="618"/>
      <c r="AA18" s="618"/>
      <c r="AB18" s="618"/>
    </row>
    <row r="19" spans="1:28">
      <c r="A19" s="1309"/>
      <c r="B19" s="432" t="s">
        <v>700</v>
      </c>
      <c r="C19" s="649">
        <f>Inventory!$U$52</f>
        <v>1</v>
      </c>
      <c r="D19" s="524">
        <f>'OM Assumptions'!$B$38*C19</f>
        <v>1100</v>
      </c>
      <c r="E19" s="618"/>
      <c r="F19" s="618"/>
      <c r="G19" s="493"/>
      <c r="J19" s="618"/>
      <c r="K19" s="618"/>
      <c r="L19" s="618"/>
      <c r="M19" s="618"/>
      <c r="N19" s="618"/>
      <c r="O19" s="618"/>
      <c r="P19" s="618"/>
      <c r="Q19" s="618"/>
      <c r="R19" s="618"/>
      <c r="S19" s="618"/>
      <c r="T19" s="618"/>
      <c r="U19" s="618"/>
      <c r="V19" s="618"/>
      <c r="W19" s="618"/>
      <c r="X19" s="618"/>
      <c r="Y19" s="618"/>
      <c r="Z19" s="618"/>
      <c r="AA19" s="618"/>
      <c r="AB19" s="618"/>
    </row>
    <row r="20" spans="1:28">
      <c r="A20" s="1309"/>
      <c r="B20" s="432" t="s">
        <v>713</v>
      </c>
      <c r="C20" s="649">
        <f>Inventory!$U$55</f>
        <v>19</v>
      </c>
      <c r="D20" s="524">
        <f>'OM Assumptions'!$B$38*C20</f>
        <v>20900</v>
      </c>
      <c r="E20" s="618"/>
      <c r="F20" s="618"/>
      <c r="G20" s="493"/>
      <c r="H20" s="618"/>
      <c r="I20" s="618"/>
      <c r="J20" s="618"/>
      <c r="K20" s="618"/>
      <c r="L20" s="618"/>
      <c r="M20" s="618"/>
      <c r="N20" s="618"/>
      <c r="O20" s="618"/>
      <c r="P20" s="618"/>
      <c r="Q20" s="618"/>
      <c r="R20" s="618"/>
      <c r="S20" s="618"/>
      <c r="T20" s="618"/>
      <c r="U20" s="618"/>
      <c r="V20" s="618"/>
      <c r="W20" s="618"/>
      <c r="X20" s="618"/>
      <c r="Y20" s="618"/>
      <c r="Z20" s="618"/>
      <c r="AA20" s="618"/>
      <c r="AB20" s="618"/>
    </row>
    <row r="21" spans="1:28">
      <c r="A21" s="1309"/>
      <c r="B21" s="432" t="s">
        <v>715</v>
      </c>
      <c r="C21" s="649">
        <f>Inventory!$U$57</f>
        <v>20</v>
      </c>
      <c r="D21" s="524">
        <f>'OM Assumptions'!$B$38*C21</f>
        <v>22000</v>
      </c>
      <c r="E21" s="618"/>
      <c r="F21" s="618"/>
      <c r="G21" s="533"/>
      <c r="H21" s="654"/>
      <c r="I21" s="654"/>
      <c r="J21" s="618"/>
      <c r="K21" s="618"/>
      <c r="L21" s="618"/>
      <c r="M21" s="618"/>
      <c r="N21" s="618"/>
      <c r="O21" s="618"/>
      <c r="P21" s="618"/>
      <c r="Q21" s="618"/>
      <c r="R21" s="618"/>
      <c r="S21" s="618"/>
      <c r="T21" s="618"/>
      <c r="U21" s="618"/>
      <c r="V21" s="618"/>
      <c r="W21" s="618"/>
      <c r="X21" s="618"/>
      <c r="Y21" s="618"/>
      <c r="Z21" s="618"/>
      <c r="AA21" s="618"/>
      <c r="AB21" s="618"/>
    </row>
    <row r="22" spans="1:28">
      <c r="A22" s="1309"/>
      <c r="B22" s="432" t="s">
        <v>716</v>
      </c>
      <c r="C22" s="649">
        <f>Inventory!$U$58</f>
        <v>5</v>
      </c>
      <c r="D22" s="524">
        <f>'OM Assumptions'!$B$38*C22</f>
        <v>5500</v>
      </c>
      <c r="E22" s="618"/>
      <c r="F22" s="618"/>
      <c r="G22" s="533"/>
      <c r="H22" s="607"/>
      <c r="I22" s="607"/>
      <c r="J22" s="618"/>
      <c r="K22" s="618"/>
      <c r="L22" s="618"/>
      <c r="M22" s="618"/>
      <c r="N22" s="618"/>
      <c r="O22" s="618"/>
      <c r="P22" s="618"/>
      <c r="Q22" s="618"/>
      <c r="R22" s="618"/>
      <c r="S22" s="618"/>
      <c r="T22" s="618"/>
      <c r="U22" s="618"/>
      <c r="V22" s="618"/>
      <c r="W22" s="618"/>
      <c r="X22" s="618"/>
      <c r="Y22" s="618"/>
      <c r="Z22" s="618"/>
      <c r="AA22" s="618"/>
      <c r="AB22" s="618"/>
    </row>
    <row r="23" spans="1:28">
      <c r="A23" s="1309"/>
      <c r="B23" s="432" t="s">
        <v>717</v>
      </c>
      <c r="C23" s="649">
        <f>Inventory!$U$59</f>
        <v>18</v>
      </c>
      <c r="D23" s="524">
        <f>'OM Assumptions'!$B$38*C23</f>
        <v>19800</v>
      </c>
      <c r="E23" s="618"/>
      <c r="F23" s="618"/>
      <c r="G23" s="657"/>
      <c r="H23" s="1371"/>
      <c r="I23" s="1297"/>
      <c r="J23" s="1297"/>
      <c r="K23" s="659"/>
      <c r="L23" s="618"/>
      <c r="M23" s="618"/>
      <c r="N23" s="618"/>
      <c r="O23" s="618"/>
      <c r="P23" s="618"/>
      <c r="Q23" s="618"/>
      <c r="R23" s="618"/>
      <c r="S23" s="618"/>
      <c r="T23" s="618"/>
      <c r="U23" s="618"/>
      <c r="V23" s="618"/>
      <c r="W23" s="618"/>
      <c r="X23" s="618"/>
      <c r="Y23" s="618"/>
      <c r="Z23" s="618"/>
      <c r="AA23" s="618"/>
      <c r="AB23" s="618"/>
    </row>
    <row r="24" spans="1:28">
      <c r="A24" s="1309"/>
      <c r="B24" s="432" t="s">
        <v>718</v>
      </c>
      <c r="C24" s="649">
        <f>Inventory!$U$60</f>
        <v>4</v>
      </c>
      <c r="D24" s="524">
        <f>'OM Assumptions'!$B$38*C24</f>
        <v>4400</v>
      </c>
      <c r="E24" s="618"/>
      <c r="F24" s="618"/>
      <c r="G24" s="660"/>
      <c r="H24" s="658"/>
      <c r="I24" s="658"/>
      <c r="J24" s="658"/>
      <c r="K24" s="658"/>
      <c r="L24" s="618"/>
      <c r="M24" s="618"/>
      <c r="N24" s="618"/>
      <c r="O24" s="618"/>
      <c r="P24" s="618"/>
      <c r="Q24" s="618"/>
      <c r="R24" s="618"/>
      <c r="S24" s="618"/>
      <c r="T24" s="618"/>
      <c r="U24" s="618"/>
      <c r="V24" s="618"/>
      <c r="W24" s="618"/>
      <c r="X24" s="618"/>
      <c r="Y24" s="618"/>
      <c r="Z24" s="618"/>
      <c r="AA24" s="618"/>
      <c r="AB24" s="618"/>
    </row>
    <row r="25" spans="1:28">
      <c r="A25" s="1309"/>
      <c r="B25" s="432" t="s">
        <v>719</v>
      </c>
      <c r="C25" s="649">
        <f>Inventory!$U$61</f>
        <v>2</v>
      </c>
      <c r="D25" s="524">
        <f>'OM Assumptions'!$B$38*C25</f>
        <v>2200</v>
      </c>
      <c r="E25" s="618"/>
      <c r="F25" s="618"/>
      <c r="G25" s="662"/>
      <c r="H25" s="662"/>
      <c r="I25" s="662"/>
      <c r="J25" s="662"/>
      <c r="K25" s="662"/>
      <c r="L25" s="618"/>
      <c r="M25" s="618"/>
      <c r="N25" s="618"/>
      <c r="O25" s="618"/>
      <c r="P25" s="618"/>
      <c r="Q25" s="618"/>
      <c r="R25" s="618"/>
      <c r="S25" s="618"/>
      <c r="T25" s="618"/>
      <c r="U25" s="618"/>
      <c r="V25" s="618"/>
      <c r="W25" s="618"/>
      <c r="X25" s="618"/>
      <c r="Y25" s="618"/>
      <c r="Z25" s="618"/>
      <c r="AA25" s="618"/>
      <c r="AB25" s="618"/>
    </row>
    <row r="26" spans="1:28">
      <c r="A26" s="1309"/>
      <c r="B26" s="648" t="s">
        <v>720</v>
      </c>
      <c r="C26" s="649"/>
      <c r="D26" s="524"/>
      <c r="E26" s="618"/>
      <c r="F26" s="618"/>
      <c r="G26" s="493"/>
      <c r="H26" s="618"/>
      <c r="I26" s="618"/>
      <c r="J26" s="618"/>
      <c r="K26" s="618"/>
      <c r="L26" s="618"/>
      <c r="M26" s="618"/>
      <c r="N26" s="618"/>
      <c r="O26" s="618"/>
      <c r="P26" s="618"/>
      <c r="Q26" s="618"/>
      <c r="R26" s="618"/>
      <c r="S26" s="618"/>
      <c r="T26" s="618"/>
      <c r="U26" s="618"/>
      <c r="V26" s="618"/>
      <c r="W26" s="618"/>
      <c r="X26" s="618"/>
      <c r="Y26" s="618"/>
      <c r="Z26" s="618"/>
      <c r="AA26" s="618"/>
      <c r="AB26" s="618"/>
    </row>
    <row r="27" spans="1:28">
      <c r="A27" s="1309"/>
      <c r="B27" s="664" t="s">
        <v>721</v>
      </c>
      <c r="C27" s="649">
        <f>Inventory!$U$63</f>
        <v>21</v>
      </c>
      <c r="D27" s="524">
        <f>'OM Assumptions'!$B$38*C27</f>
        <v>23100</v>
      </c>
      <c r="E27" s="618"/>
      <c r="F27" s="618"/>
      <c r="G27" s="493"/>
      <c r="H27" s="618"/>
      <c r="I27" s="618"/>
      <c r="J27" s="618"/>
      <c r="K27" s="618"/>
      <c r="L27" s="618"/>
      <c r="M27" s="618"/>
      <c r="N27" s="618"/>
      <c r="O27" s="618"/>
      <c r="P27" s="618"/>
      <c r="Q27" s="618"/>
      <c r="R27" s="618"/>
      <c r="S27" s="618"/>
      <c r="T27" s="618"/>
      <c r="U27" s="618"/>
      <c r="V27" s="618"/>
      <c r="W27" s="618"/>
      <c r="X27" s="618"/>
      <c r="Y27" s="618"/>
      <c r="Z27" s="618"/>
      <c r="AA27" s="618"/>
      <c r="AB27" s="618"/>
    </row>
    <row r="28" spans="1:28">
      <c r="A28" s="1309"/>
      <c r="B28" s="669" t="s">
        <v>722</v>
      </c>
      <c r="C28" s="670">
        <f>Inventory!$U$64</f>
        <v>10</v>
      </c>
      <c r="D28" s="452">
        <f>'OM Assumptions'!$B$38*C28</f>
        <v>11000</v>
      </c>
      <c r="E28" s="618"/>
      <c r="F28" s="618"/>
      <c r="G28" s="493"/>
      <c r="H28" s="618"/>
      <c r="I28" s="618"/>
      <c r="J28" s="618"/>
      <c r="K28" s="618"/>
      <c r="L28" s="618"/>
      <c r="M28" s="618"/>
      <c r="N28" s="618"/>
      <c r="O28" s="618"/>
      <c r="P28" s="618"/>
      <c r="Q28" s="618"/>
      <c r="R28" s="618"/>
      <c r="S28" s="618"/>
      <c r="T28" s="618"/>
      <c r="U28" s="618"/>
      <c r="V28" s="618"/>
      <c r="W28" s="618"/>
      <c r="X28" s="618"/>
      <c r="Y28" s="618"/>
      <c r="Z28" s="618"/>
      <c r="AA28" s="618"/>
      <c r="AB28" s="618"/>
    </row>
    <row r="29" spans="1:28">
      <c r="A29" s="1310"/>
      <c r="B29" s="671" t="s">
        <v>825</v>
      </c>
      <c r="C29" s="672">
        <f>SUM(C17:C28)</f>
        <v>106</v>
      </c>
      <c r="D29" s="673">
        <f>SUM(D18:D28)</f>
        <v>116600</v>
      </c>
      <c r="E29" s="618"/>
      <c r="F29" s="618"/>
      <c r="G29" s="493"/>
      <c r="H29" s="618"/>
      <c r="I29" s="618"/>
      <c r="J29" s="618"/>
      <c r="K29" s="618"/>
      <c r="L29" s="618"/>
      <c r="M29" s="618"/>
      <c r="N29" s="618"/>
      <c r="O29" s="618"/>
      <c r="P29" s="618"/>
      <c r="Q29" s="618"/>
      <c r="R29" s="618"/>
      <c r="S29" s="618"/>
      <c r="T29" s="618"/>
      <c r="U29" s="618"/>
      <c r="V29" s="618"/>
      <c r="W29" s="618"/>
      <c r="X29" s="618"/>
      <c r="Y29" s="618"/>
      <c r="Z29" s="618"/>
      <c r="AA29" s="618"/>
      <c r="AB29" s="618"/>
    </row>
    <row r="30" spans="1:28">
      <c r="A30" s="1374" t="s">
        <v>828</v>
      </c>
      <c r="B30" s="675" t="s">
        <v>707</v>
      </c>
      <c r="C30" s="649">
        <f>Inventory!U53</f>
        <v>5</v>
      </c>
      <c r="D30" s="650">
        <f>C30*'OM Assumptions'!$B$39*'OM Assumptions'!$B$40*(1+'OM Assumptions'!$B$12)</f>
        <v>266.18799999999999</v>
      </c>
      <c r="E30" s="618"/>
      <c r="F30" s="618"/>
      <c r="G30" s="493"/>
      <c r="H30" s="618"/>
      <c r="I30" s="618"/>
      <c r="J30" s="618"/>
      <c r="K30" s="618"/>
      <c r="L30" s="618"/>
      <c r="M30" s="618"/>
      <c r="N30" s="618"/>
      <c r="O30" s="618"/>
      <c r="P30" s="618"/>
      <c r="Q30" s="618"/>
      <c r="R30" s="618"/>
      <c r="S30" s="618"/>
      <c r="T30" s="618"/>
      <c r="U30" s="618"/>
      <c r="V30" s="618"/>
      <c r="W30" s="618"/>
      <c r="X30" s="618"/>
      <c r="Y30" s="618"/>
      <c r="Z30" s="618"/>
      <c r="AA30" s="618"/>
      <c r="AB30" s="618"/>
    </row>
    <row r="31" spans="1:28">
      <c r="A31" s="1309"/>
      <c r="B31" s="675" t="s">
        <v>710</v>
      </c>
      <c r="C31" s="649">
        <f>Inventory!U54</f>
        <v>15</v>
      </c>
      <c r="D31" s="650">
        <f>C31*'OM Assumptions'!$B$39*'OM Assumptions'!$B$40*(1+'OM Assumptions'!$B$12)</f>
        <v>798.56400000000008</v>
      </c>
      <c r="E31" s="618"/>
      <c r="F31" s="618"/>
      <c r="G31" s="493"/>
      <c r="H31" s="618"/>
      <c r="I31" s="618"/>
      <c r="J31" s="618"/>
      <c r="K31" s="618"/>
      <c r="L31" s="618"/>
      <c r="M31" s="618"/>
      <c r="N31" s="618"/>
      <c r="O31" s="618"/>
      <c r="P31" s="618"/>
      <c r="Q31" s="618"/>
      <c r="R31" s="618"/>
      <c r="S31" s="618"/>
      <c r="T31" s="618"/>
      <c r="U31" s="618"/>
      <c r="V31" s="618"/>
      <c r="W31" s="618"/>
      <c r="X31" s="618"/>
      <c r="Y31" s="618"/>
      <c r="Z31" s="618"/>
      <c r="AA31" s="618"/>
      <c r="AB31" s="618"/>
    </row>
    <row r="32" spans="1:28">
      <c r="A32" s="1309"/>
      <c r="B32" s="675" t="s">
        <v>714</v>
      </c>
      <c r="C32" s="649">
        <f>Inventory!U56</f>
        <v>2</v>
      </c>
      <c r="D32" s="650">
        <f>C32*'OM Assumptions'!$B$39*'OM Assumptions'!$B$40*(1+'OM Assumptions'!$B$12)</f>
        <v>106.4752</v>
      </c>
      <c r="E32" s="618"/>
      <c r="F32" s="618"/>
      <c r="G32" s="493"/>
      <c r="H32" s="618"/>
      <c r="I32" s="618"/>
      <c r="J32" s="618"/>
      <c r="K32" s="618"/>
      <c r="L32" s="618"/>
      <c r="M32" s="618"/>
      <c r="N32" s="618"/>
      <c r="O32" s="618"/>
      <c r="P32" s="618"/>
      <c r="Q32" s="618"/>
      <c r="R32" s="618"/>
      <c r="S32" s="618"/>
      <c r="T32" s="618"/>
      <c r="U32" s="618"/>
      <c r="V32" s="618"/>
      <c r="W32" s="618"/>
      <c r="X32" s="618"/>
      <c r="Y32" s="618"/>
      <c r="Z32" s="618"/>
      <c r="AA32" s="618"/>
      <c r="AB32" s="618"/>
    </row>
    <row r="33" spans="1:28">
      <c r="A33" s="1310"/>
      <c r="B33" s="676" t="s">
        <v>833</v>
      </c>
      <c r="C33" s="677">
        <f t="shared" ref="C33:D33" si="1">SUM(C30:C32)</f>
        <v>22</v>
      </c>
      <c r="D33" s="679">
        <f t="shared" si="1"/>
        <v>1171.2272</v>
      </c>
      <c r="E33" s="618"/>
      <c r="F33" s="618"/>
      <c r="G33" s="493"/>
      <c r="H33" s="618"/>
      <c r="I33" s="618"/>
      <c r="J33" s="618"/>
      <c r="K33" s="618"/>
      <c r="L33" s="618"/>
      <c r="M33" s="618"/>
      <c r="N33" s="618"/>
      <c r="O33" s="618"/>
      <c r="P33" s="618"/>
      <c r="Q33" s="618"/>
      <c r="R33" s="618"/>
      <c r="S33" s="618"/>
      <c r="T33" s="618"/>
      <c r="U33" s="618"/>
      <c r="V33" s="618"/>
      <c r="W33" s="618"/>
      <c r="X33" s="618"/>
      <c r="Y33" s="618"/>
      <c r="Z33" s="618"/>
      <c r="AA33" s="618"/>
      <c r="AB33" s="618"/>
    </row>
    <row r="34" spans="1:28">
      <c r="A34" s="681"/>
      <c r="B34" s="682" t="s">
        <v>92</v>
      </c>
      <c r="C34" s="670">
        <f t="shared" ref="C34:D34" si="2">C29+C33</f>
        <v>128</v>
      </c>
      <c r="D34" s="684">
        <f t="shared" si="2"/>
        <v>117771.22719999999</v>
      </c>
      <c r="E34" s="618"/>
      <c r="F34" s="618"/>
      <c r="G34" s="493"/>
      <c r="H34" s="618"/>
      <c r="I34" s="618"/>
      <c r="J34" s="618"/>
      <c r="K34" s="618"/>
      <c r="L34" s="618"/>
      <c r="M34" s="618"/>
      <c r="N34" s="618"/>
      <c r="O34" s="618"/>
      <c r="P34" s="618"/>
      <c r="Q34" s="618"/>
      <c r="R34" s="618"/>
      <c r="S34" s="618"/>
      <c r="T34" s="618"/>
      <c r="U34" s="618"/>
      <c r="V34" s="618"/>
      <c r="W34" s="618"/>
      <c r="X34" s="618"/>
      <c r="Y34" s="618"/>
      <c r="Z34" s="618"/>
      <c r="AA34" s="618"/>
      <c r="AB34" s="618"/>
    </row>
    <row r="35" spans="1:28">
      <c r="A35" s="654"/>
      <c r="B35" s="654"/>
      <c r="C35" s="654"/>
      <c r="D35" s="686"/>
      <c r="E35" s="618"/>
      <c r="F35" s="618"/>
      <c r="G35" s="618"/>
      <c r="H35" s="618"/>
      <c r="I35" s="618"/>
      <c r="J35" s="618"/>
      <c r="K35" s="618"/>
      <c r="L35" s="618"/>
      <c r="M35" s="618"/>
      <c r="N35" s="618"/>
      <c r="O35" s="618"/>
      <c r="P35" s="618"/>
      <c r="Q35" s="618"/>
      <c r="R35" s="618"/>
      <c r="S35" s="618"/>
      <c r="T35" s="618"/>
      <c r="U35" s="618"/>
      <c r="V35" s="618"/>
      <c r="W35" s="618"/>
      <c r="X35" s="618"/>
      <c r="Y35" s="618"/>
      <c r="Z35" s="618"/>
      <c r="AA35" s="618"/>
      <c r="AB35" s="618"/>
    </row>
    <row r="36" spans="1:28">
      <c r="A36" s="1373" t="s">
        <v>61</v>
      </c>
      <c r="B36" s="1306"/>
      <c r="C36" s="645" t="s">
        <v>799</v>
      </c>
      <c r="D36" s="646" t="s">
        <v>801</v>
      </c>
      <c r="E36" s="618"/>
      <c r="F36" s="618"/>
      <c r="G36" s="658"/>
      <c r="H36" s="658"/>
      <c r="I36" s="658"/>
      <c r="J36" s="658"/>
      <c r="K36" s="658"/>
      <c r="L36" s="658"/>
      <c r="M36" s="658"/>
      <c r="N36" s="618"/>
      <c r="O36" s="618"/>
      <c r="P36" s="618"/>
      <c r="Q36" s="618"/>
      <c r="R36" s="618"/>
      <c r="S36" s="618"/>
      <c r="T36" s="618"/>
      <c r="U36" s="618"/>
      <c r="V36" s="618"/>
      <c r="W36" s="618"/>
      <c r="X36" s="618"/>
      <c r="Y36" s="618"/>
      <c r="Z36" s="618"/>
      <c r="AA36" s="618"/>
      <c r="AB36" s="618"/>
    </row>
    <row r="37" spans="1:28">
      <c r="A37" s="1374" t="s">
        <v>802</v>
      </c>
      <c r="B37" s="648" t="s">
        <v>689</v>
      </c>
      <c r="C37" s="649"/>
      <c r="D37" s="650"/>
      <c r="E37" s="618"/>
      <c r="F37" s="618"/>
      <c r="G37" s="654"/>
      <c r="H37" s="654"/>
      <c r="I37" s="654"/>
      <c r="J37" s="654"/>
      <c r="K37" s="654"/>
      <c r="L37" s="654"/>
      <c r="M37" s="654"/>
      <c r="N37" s="618"/>
      <c r="O37" s="618"/>
      <c r="P37" s="618"/>
      <c r="Q37" s="618"/>
      <c r="R37" s="618"/>
      <c r="S37" s="618"/>
      <c r="T37" s="618"/>
      <c r="U37" s="618"/>
      <c r="V37" s="618"/>
      <c r="W37" s="618"/>
      <c r="X37" s="618"/>
      <c r="Y37" s="618"/>
      <c r="Z37" s="618"/>
      <c r="AA37" s="618"/>
      <c r="AB37" s="618"/>
    </row>
    <row r="38" spans="1:28">
      <c r="A38" s="1309"/>
      <c r="B38" s="432" t="s">
        <v>697</v>
      </c>
      <c r="C38" s="649">
        <f>Inventory!$U$81</f>
        <v>7</v>
      </c>
      <c r="D38" s="524">
        <f>'OM Assumptions'!$B$38*C38</f>
        <v>7700</v>
      </c>
      <c r="E38" s="618"/>
      <c r="F38" s="618"/>
      <c r="G38" s="654"/>
      <c r="H38" s="654"/>
      <c r="I38" s="654"/>
      <c r="J38" s="654"/>
      <c r="K38" s="618"/>
      <c r="L38" s="618"/>
      <c r="M38" s="618"/>
      <c r="N38" s="618"/>
      <c r="O38" s="618"/>
      <c r="P38" s="618"/>
      <c r="Q38" s="618"/>
      <c r="R38" s="618"/>
      <c r="S38" s="618"/>
      <c r="T38" s="618"/>
      <c r="U38" s="618"/>
      <c r="V38" s="618"/>
      <c r="W38" s="618"/>
      <c r="X38" s="618"/>
      <c r="Y38" s="618"/>
      <c r="Z38" s="618"/>
      <c r="AA38" s="618"/>
      <c r="AB38" s="618"/>
    </row>
    <row r="39" spans="1:28">
      <c r="A39" s="1309"/>
      <c r="B39" s="432" t="s">
        <v>700</v>
      </c>
      <c r="C39" s="649">
        <f>Inventory!$U$82</f>
        <v>1</v>
      </c>
      <c r="D39" s="524">
        <f>'OM Assumptions'!$B$38*C39</f>
        <v>1100</v>
      </c>
      <c r="E39" s="618"/>
      <c r="F39" s="618"/>
      <c r="G39" s="654"/>
      <c r="H39" s="654"/>
      <c r="I39" s="654"/>
      <c r="J39" s="654"/>
      <c r="K39" s="618"/>
      <c r="L39" s="618"/>
      <c r="M39" s="618"/>
      <c r="N39" s="618"/>
      <c r="O39" s="618"/>
      <c r="P39" s="618"/>
      <c r="Q39" s="618"/>
      <c r="R39" s="618"/>
      <c r="S39" s="618"/>
      <c r="T39" s="618"/>
      <c r="U39" s="618"/>
      <c r="V39" s="618"/>
      <c r="W39" s="618"/>
      <c r="X39" s="618"/>
      <c r="Y39" s="618"/>
      <c r="Z39" s="618"/>
      <c r="AA39" s="618"/>
      <c r="AB39" s="618"/>
    </row>
    <row r="40" spans="1:28">
      <c r="A40" s="1309"/>
      <c r="B40" s="432" t="s">
        <v>713</v>
      </c>
      <c r="C40" s="649">
        <f>Inventory!$U$85</f>
        <v>23</v>
      </c>
      <c r="D40" s="524">
        <f>'OM Assumptions'!$B$38*C40</f>
        <v>25300</v>
      </c>
      <c r="E40" s="618"/>
      <c r="F40" s="618"/>
      <c r="G40" s="654"/>
      <c r="H40" s="654"/>
      <c r="I40" s="654"/>
      <c r="J40" s="654"/>
      <c r="K40" s="618"/>
      <c r="L40" s="618"/>
      <c r="M40" s="618"/>
      <c r="N40" s="618"/>
      <c r="O40" s="618"/>
      <c r="P40" s="618"/>
      <c r="Q40" s="618"/>
      <c r="R40" s="618"/>
      <c r="S40" s="618"/>
      <c r="T40" s="618"/>
      <c r="U40" s="618"/>
      <c r="V40" s="618"/>
      <c r="W40" s="618"/>
      <c r="X40" s="618"/>
      <c r="Y40" s="618"/>
      <c r="Z40" s="618"/>
      <c r="AA40" s="618"/>
      <c r="AB40" s="618"/>
    </row>
    <row r="41" spans="1:28">
      <c r="A41" s="1309"/>
      <c r="B41" s="432" t="s">
        <v>715</v>
      </c>
      <c r="C41" s="649">
        <f>Inventory!$U$87</f>
        <v>24</v>
      </c>
      <c r="D41" s="524">
        <f>'OM Assumptions'!$B$38*C41</f>
        <v>26400</v>
      </c>
      <c r="E41" s="618"/>
      <c r="F41" s="618"/>
      <c r="G41" s="654"/>
      <c r="H41" s="654"/>
      <c r="I41" s="654"/>
      <c r="J41" s="654"/>
      <c r="K41" s="618"/>
      <c r="L41" s="618"/>
      <c r="M41" s="618"/>
      <c r="N41" s="618"/>
      <c r="O41" s="618"/>
      <c r="P41" s="618"/>
      <c r="Q41" s="618"/>
      <c r="R41" s="618"/>
      <c r="S41" s="618"/>
      <c r="T41" s="618"/>
      <c r="U41" s="618"/>
      <c r="V41" s="618"/>
      <c r="W41" s="618"/>
      <c r="X41" s="618"/>
      <c r="Y41" s="618"/>
      <c r="Z41" s="618"/>
      <c r="AA41" s="618"/>
      <c r="AB41" s="618"/>
    </row>
    <row r="42" spans="1:28">
      <c r="A42" s="1309"/>
      <c r="B42" s="432" t="s">
        <v>716</v>
      </c>
      <c r="C42" s="649">
        <f>Inventory!$U$88</f>
        <v>6</v>
      </c>
      <c r="D42" s="524">
        <f>'OM Assumptions'!$B$38*C42</f>
        <v>6600</v>
      </c>
      <c r="E42" s="618"/>
      <c r="F42" s="618"/>
      <c r="G42" s="654"/>
      <c r="H42" s="654"/>
      <c r="I42" s="654"/>
      <c r="J42" s="654"/>
      <c r="K42" s="618"/>
      <c r="L42" s="618"/>
      <c r="M42" s="618"/>
      <c r="N42" s="618"/>
      <c r="O42" s="618"/>
      <c r="P42" s="618"/>
      <c r="Q42" s="618"/>
      <c r="R42" s="618"/>
      <c r="S42" s="618"/>
      <c r="T42" s="618"/>
      <c r="U42" s="618"/>
      <c r="V42" s="618"/>
      <c r="W42" s="618"/>
      <c r="X42" s="618"/>
      <c r="Y42" s="618"/>
      <c r="Z42" s="618"/>
      <c r="AA42" s="618"/>
      <c r="AB42" s="618"/>
    </row>
    <row r="43" spans="1:28">
      <c r="A43" s="1309"/>
      <c r="B43" s="432" t="s">
        <v>717</v>
      </c>
      <c r="C43" s="649">
        <f>Inventory!$U$89</f>
        <v>21</v>
      </c>
      <c r="D43" s="524">
        <f>'OM Assumptions'!$B$38*C43</f>
        <v>23100</v>
      </c>
      <c r="E43" s="618"/>
      <c r="F43" s="618"/>
      <c r="G43" s="654"/>
      <c r="H43" s="654"/>
      <c r="I43" s="654"/>
      <c r="J43" s="654"/>
      <c r="K43" s="618"/>
      <c r="L43" s="618"/>
      <c r="M43" s="618"/>
      <c r="N43" s="618"/>
      <c r="O43" s="618"/>
      <c r="P43" s="618"/>
      <c r="Q43" s="618"/>
      <c r="R43" s="618"/>
      <c r="S43" s="618"/>
      <c r="T43" s="618"/>
      <c r="U43" s="618"/>
      <c r="V43" s="618"/>
      <c r="W43" s="618"/>
      <c r="X43" s="618"/>
      <c r="Y43" s="618"/>
      <c r="Z43" s="618"/>
      <c r="AA43" s="618"/>
      <c r="AB43" s="618"/>
    </row>
    <row r="44" spans="1:28">
      <c r="A44" s="1309"/>
      <c r="B44" s="432" t="s">
        <v>718</v>
      </c>
      <c r="C44" s="649">
        <f>Inventory!$U$90</f>
        <v>5</v>
      </c>
      <c r="D44" s="524">
        <f>'OM Assumptions'!$B$38*C44</f>
        <v>5500</v>
      </c>
      <c r="E44" s="618"/>
      <c r="F44" s="618"/>
      <c r="G44" s="654"/>
      <c r="H44" s="654"/>
      <c r="I44" s="654"/>
      <c r="J44" s="654"/>
      <c r="K44" s="618"/>
      <c r="L44" s="618"/>
      <c r="M44" s="618"/>
      <c r="N44" s="618"/>
      <c r="O44" s="618"/>
      <c r="P44" s="618"/>
      <c r="Q44" s="618"/>
      <c r="R44" s="618"/>
      <c r="S44" s="618"/>
      <c r="T44" s="618"/>
      <c r="U44" s="618"/>
      <c r="V44" s="618"/>
      <c r="W44" s="618"/>
      <c r="X44" s="618"/>
      <c r="Y44" s="618"/>
      <c r="Z44" s="618"/>
      <c r="AA44" s="618"/>
      <c r="AB44" s="618"/>
    </row>
    <row r="45" spans="1:28">
      <c r="A45" s="1309"/>
      <c r="B45" s="432" t="s">
        <v>719</v>
      </c>
      <c r="C45" s="649">
        <f>Inventory!$U$91</f>
        <v>3</v>
      </c>
      <c r="D45" s="524">
        <f>'OM Assumptions'!$B$38*C45</f>
        <v>3300</v>
      </c>
      <c r="E45" s="618"/>
      <c r="F45" s="618"/>
      <c r="G45" s="654"/>
      <c r="H45" s="654"/>
      <c r="I45" s="654"/>
      <c r="J45" s="654"/>
      <c r="K45" s="618"/>
      <c r="L45" s="618"/>
      <c r="M45" s="618"/>
      <c r="N45" s="618"/>
      <c r="O45" s="618"/>
      <c r="P45" s="618"/>
      <c r="Q45" s="618"/>
      <c r="R45" s="618"/>
      <c r="S45" s="618"/>
      <c r="T45" s="618"/>
      <c r="U45" s="618"/>
      <c r="V45" s="618"/>
      <c r="W45" s="618"/>
      <c r="X45" s="618"/>
      <c r="Y45" s="618"/>
      <c r="Z45" s="618"/>
      <c r="AA45" s="618"/>
      <c r="AB45" s="618"/>
    </row>
    <row r="46" spans="1:28">
      <c r="A46" s="1309"/>
      <c r="B46" s="648" t="s">
        <v>720</v>
      </c>
      <c r="C46" s="649"/>
      <c r="D46" s="524"/>
      <c r="E46" s="618"/>
      <c r="F46" s="618"/>
      <c r="G46" s="654"/>
      <c r="H46" s="654"/>
      <c r="I46" s="654"/>
      <c r="J46" s="654"/>
      <c r="K46" s="618"/>
      <c r="L46" s="618"/>
      <c r="M46" s="618"/>
      <c r="N46" s="618"/>
      <c r="O46" s="618"/>
      <c r="P46" s="618"/>
      <c r="Q46" s="618"/>
      <c r="R46" s="618"/>
      <c r="S46" s="618"/>
      <c r="T46" s="618"/>
      <c r="U46" s="618"/>
      <c r="V46" s="618"/>
      <c r="W46" s="618"/>
      <c r="X46" s="618"/>
      <c r="Y46" s="618"/>
      <c r="Z46" s="618"/>
      <c r="AA46" s="618"/>
      <c r="AB46" s="618"/>
    </row>
    <row r="47" spans="1:28">
      <c r="A47" s="1309"/>
      <c r="B47" s="664" t="s">
        <v>721</v>
      </c>
      <c r="C47" s="649">
        <f>Inventory!$U$93</f>
        <v>25</v>
      </c>
      <c r="D47" s="524">
        <f>'OM Assumptions'!$B$38*C47</f>
        <v>27500</v>
      </c>
      <c r="E47" s="618"/>
      <c r="F47" s="618"/>
      <c r="G47" s="654"/>
      <c r="H47" s="654"/>
      <c r="I47" s="654"/>
      <c r="J47" s="654"/>
      <c r="K47" s="618"/>
      <c r="L47" s="618"/>
      <c r="M47" s="618"/>
      <c r="N47" s="618"/>
      <c r="O47" s="618"/>
      <c r="P47" s="618"/>
      <c r="Q47" s="618"/>
      <c r="R47" s="618"/>
      <c r="S47" s="618"/>
      <c r="T47" s="618"/>
      <c r="U47" s="618"/>
      <c r="V47" s="618"/>
      <c r="W47" s="618"/>
      <c r="X47" s="618"/>
      <c r="Y47" s="618"/>
      <c r="Z47" s="618"/>
      <c r="AA47" s="618"/>
      <c r="AB47" s="618"/>
    </row>
    <row r="48" spans="1:28">
      <c r="A48" s="1309"/>
      <c r="B48" s="669" t="s">
        <v>722</v>
      </c>
      <c r="C48" s="649">
        <f>Inventory!$U$94</f>
        <v>11</v>
      </c>
      <c r="D48" s="452">
        <f>'OM Assumptions'!$B$38*C48</f>
        <v>12100</v>
      </c>
      <c r="E48" s="618"/>
      <c r="F48" s="618"/>
      <c r="G48" s="654"/>
      <c r="H48" s="654"/>
      <c r="I48" s="654"/>
      <c r="J48" s="654"/>
      <c r="K48" s="618"/>
      <c r="L48" s="618"/>
      <c r="M48" s="618"/>
      <c r="N48" s="618"/>
      <c r="O48" s="618"/>
      <c r="P48" s="618"/>
      <c r="Q48" s="618"/>
      <c r="R48" s="618"/>
      <c r="S48" s="618"/>
      <c r="T48" s="618"/>
      <c r="U48" s="618"/>
      <c r="V48" s="618"/>
      <c r="W48" s="618"/>
      <c r="X48" s="618"/>
      <c r="Y48" s="618"/>
      <c r="Z48" s="618"/>
      <c r="AA48" s="618"/>
      <c r="AB48" s="618"/>
    </row>
    <row r="49" spans="1:28">
      <c r="A49" s="1310"/>
      <c r="B49" s="676" t="s">
        <v>825</v>
      </c>
      <c r="C49" s="677">
        <f>SUM(C37:C48)</f>
        <v>126</v>
      </c>
      <c r="D49" s="679">
        <f>SUM(D38:D48)</f>
        <v>138600</v>
      </c>
      <c r="E49" s="618"/>
      <c r="F49" s="618"/>
      <c r="G49" s="654"/>
      <c r="H49" s="654"/>
      <c r="I49" s="654"/>
      <c r="J49" s="654"/>
      <c r="K49" s="607"/>
      <c r="L49" s="607"/>
      <c r="M49" s="607"/>
      <c r="N49" s="618"/>
      <c r="O49" s="618"/>
      <c r="P49" s="618"/>
      <c r="Q49" s="618"/>
      <c r="R49" s="618"/>
      <c r="S49" s="618"/>
      <c r="T49" s="618"/>
      <c r="U49" s="618"/>
      <c r="V49" s="618"/>
      <c r="W49" s="618"/>
      <c r="X49" s="618"/>
      <c r="Y49" s="618"/>
      <c r="Z49" s="618"/>
      <c r="AA49" s="618"/>
      <c r="AB49" s="618"/>
    </row>
    <row r="50" spans="1:28">
      <c r="A50" s="1374" t="s">
        <v>828</v>
      </c>
      <c r="B50" s="675" t="s">
        <v>707</v>
      </c>
      <c r="C50" s="649">
        <f>Inventory!$U$83</f>
        <v>6</v>
      </c>
      <c r="D50" s="650">
        <f>C50*'OM Assumptions'!$B$39*'OM Assumptions'!$B$40*(1+'OM Assumptions'!$C$12)</f>
        <v>320.23680000000002</v>
      </c>
      <c r="E50" s="618"/>
      <c r="F50" s="618"/>
      <c r="G50" s="654"/>
      <c r="H50" s="654"/>
      <c r="I50" s="654"/>
      <c r="J50" s="654"/>
      <c r="K50" s="651"/>
      <c r="L50" s="651"/>
      <c r="M50" s="651"/>
      <c r="N50" s="618"/>
      <c r="O50" s="618"/>
      <c r="P50" s="618"/>
      <c r="Q50" s="618"/>
      <c r="R50" s="618"/>
      <c r="S50" s="618"/>
      <c r="T50" s="618"/>
      <c r="U50" s="618"/>
      <c r="V50" s="618"/>
      <c r="W50" s="618"/>
      <c r="X50" s="618"/>
      <c r="Y50" s="618"/>
      <c r="Z50" s="618"/>
      <c r="AA50" s="618"/>
      <c r="AB50" s="618"/>
    </row>
    <row r="51" spans="1:28">
      <c r="A51" s="1309"/>
      <c r="B51" s="675" t="s">
        <v>710</v>
      </c>
      <c r="C51" s="649">
        <f>Inventory!$U$84</f>
        <v>18</v>
      </c>
      <c r="D51" s="650">
        <f>C51*'OM Assumptions'!$B$39*'OM Assumptions'!$B$40*(1+'OM Assumptions'!$C$12)</f>
        <v>960.71039999999994</v>
      </c>
      <c r="E51" s="618"/>
      <c r="F51" s="618"/>
      <c r="G51" s="654"/>
      <c r="H51" s="654"/>
      <c r="I51" s="654"/>
      <c r="J51" s="654"/>
      <c r="K51" s="651"/>
      <c r="L51" s="651"/>
      <c r="M51" s="651"/>
      <c r="N51" s="618"/>
      <c r="O51" s="618"/>
      <c r="P51" s="618"/>
      <c r="Q51" s="618"/>
      <c r="R51" s="618"/>
      <c r="S51" s="618"/>
      <c r="T51" s="618"/>
      <c r="U51" s="618"/>
      <c r="V51" s="618"/>
      <c r="W51" s="618"/>
      <c r="X51" s="618"/>
      <c r="Y51" s="618"/>
      <c r="Z51" s="618"/>
      <c r="AA51" s="618"/>
      <c r="AB51" s="618"/>
    </row>
    <row r="52" spans="1:28">
      <c r="A52" s="1309"/>
      <c r="B52" s="675" t="s">
        <v>714</v>
      </c>
      <c r="C52" s="649">
        <f>Inventory!$U$86</f>
        <v>2</v>
      </c>
      <c r="D52" s="650">
        <f>C52*'OM Assumptions'!$B$39*'OM Assumptions'!$B$40*(1+'OM Assumptions'!$C$12)</f>
        <v>106.7456</v>
      </c>
      <c r="E52" s="618"/>
      <c r="F52" s="618"/>
      <c r="G52" s="654"/>
      <c r="H52" s="654"/>
      <c r="I52" s="654"/>
      <c r="J52" s="654"/>
      <c r="K52" s="651"/>
      <c r="L52" s="651"/>
      <c r="M52" s="651"/>
      <c r="N52" s="618"/>
      <c r="O52" s="618"/>
      <c r="P52" s="618"/>
      <c r="Q52" s="618"/>
      <c r="R52" s="618"/>
      <c r="S52" s="618"/>
      <c r="T52" s="618"/>
      <c r="U52" s="618"/>
      <c r="V52" s="618"/>
      <c r="W52" s="618"/>
      <c r="X52" s="618"/>
      <c r="Y52" s="618"/>
      <c r="Z52" s="618"/>
      <c r="AA52" s="618"/>
      <c r="AB52" s="618"/>
    </row>
    <row r="53" spans="1:28">
      <c r="A53" s="1310"/>
      <c r="B53" s="676" t="s">
        <v>833</v>
      </c>
      <c r="C53" s="677">
        <f t="shared" ref="C53:D53" si="3">SUM(C50:C52)</f>
        <v>26</v>
      </c>
      <c r="D53" s="679">
        <f t="shared" si="3"/>
        <v>1387.6928</v>
      </c>
      <c r="E53" s="618"/>
      <c r="F53" s="618"/>
      <c r="G53" s="654"/>
      <c r="H53" s="654"/>
      <c r="I53" s="654"/>
      <c r="J53" s="654"/>
      <c r="K53" s="607"/>
      <c r="L53" s="654"/>
      <c r="M53" s="654"/>
      <c r="N53" s="618"/>
      <c r="O53" s="618"/>
      <c r="P53" s="618"/>
      <c r="Q53" s="618"/>
      <c r="R53" s="618"/>
      <c r="S53" s="618"/>
      <c r="T53" s="618"/>
      <c r="U53" s="618"/>
      <c r="V53" s="618"/>
      <c r="W53" s="618"/>
      <c r="X53" s="618"/>
      <c r="Y53" s="618"/>
      <c r="Z53" s="618"/>
      <c r="AA53" s="618"/>
      <c r="AB53" s="618"/>
    </row>
    <row r="54" spans="1:28">
      <c r="A54" s="681"/>
      <c r="B54" s="682" t="s">
        <v>92</v>
      </c>
      <c r="C54" s="670">
        <f t="shared" ref="C54:D54" si="4">C49+C53</f>
        <v>152</v>
      </c>
      <c r="D54" s="684">
        <f t="shared" si="4"/>
        <v>139987.69279999999</v>
      </c>
      <c r="E54" s="618"/>
      <c r="F54" s="618"/>
      <c r="G54" s="693"/>
      <c r="H54" s="654"/>
      <c r="I54" s="694"/>
      <c r="J54" s="694"/>
      <c r="K54" s="694"/>
      <c r="L54" s="694"/>
      <c r="M54" s="694"/>
      <c r="N54" s="618"/>
      <c r="O54" s="618"/>
      <c r="P54" s="618"/>
      <c r="Q54" s="618"/>
      <c r="R54" s="618"/>
      <c r="S54" s="618"/>
      <c r="T54" s="618"/>
      <c r="U54" s="618"/>
      <c r="V54" s="618"/>
      <c r="W54" s="618"/>
      <c r="X54" s="618"/>
      <c r="Y54" s="618"/>
      <c r="Z54" s="618"/>
      <c r="AA54" s="618"/>
      <c r="AB54" s="618"/>
    </row>
    <row r="55" spans="1:28">
      <c r="A55" s="654"/>
      <c r="B55" s="695"/>
      <c r="C55" s="696"/>
      <c r="D55" s="697"/>
      <c r="E55" s="618"/>
      <c r="F55" s="618"/>
      <c r="G55" s="618"/>
      <c r="H55" s="618"/>
      <c r="I55" s="618"/>
      <c r="J55" s="618"/>
      <c r="K55" s="618"/>
      <c r="L55" s="618"/>
      <c r="M55" s="618"/>
      <c r="N55" s="618"/>
      <c r="O55" s="618"/>
      <c r="P55" s="618"/>
      <c r="Q55" s="618"/>
      <c r="R55" s="618"/>
      <c r="S55" s="618"/>
      <c r="T55" s="618"/>
      <c r="U55" s="618"/>
      <c r="V55" s="618"/>
      <c r="W55" s="618"/>
      <c r="X55" s="618"/>
      <c r="Y55" s="618"/>
      <c r="Z55" s="618"/>
      <c r="AA55" s="618"/>
      <c r="AB55" s="618"/>
    </row>
    <row r="56" spans="1:28">
      <c r="A56" s="1373" t="s">
        <v>63</v>
      </c>
      <c r="B56" s="1306"/>
      <c r="C56" s="645" t="s">
        <v>799</v>
      </c>
      <c r="D56" s="646" t="s">
        <v>801</v>
      </c>
      <c r="E56" s="618"/>
      <c r="F56" s="618"/>
      <c r="G56" s="618"/>
      <c r="H56" s="618"/>
      <c r="I56" s="618"/>
      <c r="J56" s="618"/>
      <c r="K56" s="618"/>
      <c r="L56" s="618"/>
      <c r="M56" s="618"/>
      <c r="N56" s="618"/>
      <c r="O56" s="618"/>
      <c r="P56" s="618"/>
      <c r="Q56" s="618"/>
      <c r="R56" s="618"/>
      <c r="S56" s="618"/>
      <c r="T56" s="618"/>
      <c r="U56" s="618"/>
      <c r="V56" s="618"/>
      <c r="W56" s="618"/>
      <c r="X56" s="618"/>
      <c r="Y56" s="618"/>
      <c r="Z56" s="618"/>
      <c r="AA56" s="618"/>
      <c r="AB56" s="618"/>
    </row>
    <row r="57" spans="1:28">
      <c r="A57" s="1374" t="s">
        <v>802</v>
      </c>
      <c r="B57" s="648" t="s">
        <v>689</v>
      </c>
      <c r="C57" s="649"/>
      <c r="D57" s="650"/>
      <c r="E57" s="618"/>
      <c r="F57" s="618"/>
      <c r="G57" s="618"/>
      <c r="H57" s="618"/>
      <c r="I57" s="618"/>
      <c r="J57" s="618"/>
      <c r="K57" s="618"/>
      <c r="L57" s="618"/>
      <c r="M57" s="618"/>
      <c r="N57" s="618"/>
      <c r="O57" s="618"/>
      <c r="P57" s="618"/>
      <c r="Q57" s="618"/>
      <c r="R57" s="618"/>
      <c r="S57" s="618"/>
      <c r="T57" s="618"/>
      <c r="U57" s="618"/>
      <c r="V57" s="618"/>
      <c r="W57" s="618"/>
      <c r="X57" s="618"/>
      <c r="Y57" s="618"/>
      <c r="Z57" s="618"/>
      <c r="AA57" s="618"/>
      <c r="AB57" s="618"/>
    </row>
    <row r="58" spans="1:28">
      <c r="A58" s="1309"/>
      <c r="B58" s="432" t="s">
        <v>697</v>
      </c>
      <c r="C58" s="649">
        <f>Inventory!$U$111</f>
        <v>9</v>
      </c>
      <c r="D58" s="524">
        <f>'OM Assumptions'!$B$38*C58</f>
        <v>9900</v>
      </c>
      <c r="E58" s="618"/>
      <c r="F58" s="618"/>
      <c r="G58" s="618"/>
      <c r="H58" s="618"/>
      <c r="I58" s="618"/>
      <c r="J58" s="618"/>
      <c r="K58" s="618"/>
      <c r="L58" s="618"/>
      <c r="M58" s="618"/>
      <c r="N58" s="618"/>
      <c r="O58" s="618"/>
      <c r="P58" s="618"/>
      <c r="Q58" s="618"/>
      <c r="R58" s="618"/>
      <c r="S58" s="618"/>
      <c r="T58" s="618"/>
      <c r="U58" s="618"/>
      <c r="V58" s="618"/>
      <c r="W58" s="618"/>
      <c r="X58" s="618"/>
      <c r="Y58" s="618"/>
      <c r="Z58" s="618"/>
      <c r="AA58" s="618"/>
      <c r="AB58" s="618"/>
    </row>
    <row r="59" spans="1:28">
      <c r="A59" s="1309"/>
      <c r="B59" s="432" t="s">
        <v>700</v>
      </c>
      <c r="C59" s="649">
        <f>Inventory!$U$112</f>
        <v>2</v>
      </c>
      <c r="D59" s="524">
        <f>'OM Assumptions'!$B$38*C59</f>
        <v>2200</v>
      </c>
      <c r="E59" s="618"/>
      <c r="F59" s="618"/>
      <c r="G59" s="618"/>
      <c r="H59" s="618"/>
      <c r="I59" s="618"/>
      <c r="J59" s="618"/>
      <c r="K59" s="618"/>
      <c r="L59" s="618"/>
      <c r="M59" s="618"/>
      <c r="N59" s="618"/>
      <c r="O59" s="618"/>
      <c r="P59" s="618"/>
      <c r="Q59" s="618"/>
      <c r="R59" s="618"/>
      <c r="S59" s="618"/>
      <c r="T59" s="618"/>
      <c r="U59" s="618"/>
      <c r="V59" s="618"/>
      <c r="W59" s="618"/>
      <c r="X59" s="618"/>
      <c r="Y59" s="618"/>
      <c r="Z59" s="618"/>
      <c r="AA59" s="618"/>
      <c r="AB59" s="618"/>
    </row>
    <row r="60" spans="1:28">
      <c r="A60" s="1309"/>
      <c r="B60" s="432" t="s">
        <v>713</v>
      </c>
      <c r="C60" s="649">
        <f>Inventory!$U$115</f>
        <v>31</v>
      </c>
      <c r="D60" s="524">
        <f>'OM Assumptions'!$B$38*C60</f>
        <v>34100</v>
      </c>
      <c r="E60" s="618"/>
      <c r="F60" s="618"/>
      <c r="G60" s="618"/>
      <c r="H60" s="618"/>
      <c r="I60" s="618"/>
      <c r="J60" s="618"/>
      <c r="K60" s="618"/>
      <c r="L60" s="618"/>
      <c r="M60" s="618"/>
      <c r="N60" s="618"/>
      <c r="O60" s="618"/>
      <c r="P60" s="618"/>
      <c r="Q60" s="618"/>
      <c r="R60" s="618"/>
      <c r="S60" s="618"/>
      <c r="T60" s="618"/>
      <c r="U60" s="618"/>
      <c r="V60" s="618"/>
      <c r="W60" s="618"/>
      <c r="X60" s="618"/>
      <c r="Y60" s="618"/>
      <c r="Z60" s="618"/>
      <c r="AA60" s="618"/>
      <c r="AB60" s="618"/>
    </row>
    <row r="61" spans="1:28">
      <c r="A61" s="1309"/>
      <c r="B61" s="432" t="s">
        <v>715</v>
      </c>
      <c r="C61" s="649">
        <f>Inventory!$U$117</f>
        <v>32</v>
      </c>
      <c r="D61" s="524">
        <f>'OM Assumptions'!$B$38*C61</f>
        <v>35200</v>
      </c>
      <c r="E61" s="618"/>
      <c r="F61" s="618"/>
      <c r="G61" s="618"/>
      <c r="H61" s="618"/>
      <c r="I61" s="618"/>
      <c r="J61" s="618"/>
      <c r="K61" s="618"/>
      <c r="L61" s="618"/>
      <c r="M61" s="618"/>
      <c r="N61" s="618"/>
      <c r="O61" s="618"/>
      <c r="P61" s="618"/>
      <c r="Q61" s="618"/>
      <c r="R61" s="618"/>
      <c r="S61" s="618"/>
      <c r="T61" s="618"/>
      <c r="U61" s="618"/>
      <c r="V61" s="618"/>
      <c r="W61" s="618"/>
      <c r="X61" s="618"/>
      <c r="Y61" s="618"/>
      <c r="Z61" s="618"/>
      <c r="AA61" s="618"/>
      <c r="AB61" s="618"/>
    </row>
    <row r="62" spans="1:28">
      <c r="A62" s="1309"/>
      <c r="B62" s="432" t="s">
        <v>716</v>
      </c>
      <c r="C62" s="649">
        <f>Inventory!$U$118</f>
        <v>8</v>
      </c>
      <c r="D62" s="524">
        <f>'OM Assumptions'!$B$38*C62</f>
        <v>8800</v>
      </c>
      <c r="E62" s="618"/>
      <c r="F62" s="618"/>
      <c r="G62" s="618"/>
      <c r="H62" s="618"/>
      <c r="I62" s="618"/>
      <c r="J62" s="618"/>
      <c r="K62" s="618"/>
      <c r="L62" s="618"/>
      <c r="M62" s="618"/>
      <c r="N62" s="618"/>
      <c r="O62" s="618"/>
      <c r="P62" s="618"/>
      <c r="Q62" s="618"/>
      <c r="R62" s="618"/>
      <c r="S62" s="618"/>
      <c r="T62" s="618"/>
      <c r="U62" s="618"/>
      <c r="V62" s="618"/>
      <c r="W62" s="618"/>
      <c r="X62" s="618"/>
      <c r="Y62" s="618"/>
      <c r="Z62" s="618"/>
      <c r="AA62" s="618"/>
      <c r="AB62" s="618"/>
    </row>
    <row r="63" spans="1:28">
      <c r="A63" s="1309"/>
      <c r="B63" s="432" t="s">
        <v>717</v>
      </c>
      <c r="C63" s="649">
        <f>Inventory!$U$119</f>
        <v>29</v>
      </c>
      <c r="D63" s="524">
        <f>'OM Assumptions'!$B$38*C63</f>
        <v>31900</v>
      </c>
      <c r="E63" s="618"/>
      <c r="F63" s="618"/>
      <c r="G63" s="618"/>
      <c r="H63" s="618"/>
      <c r="I63" s="618"/>
      <c r="J63" s="618"/>
      <c r="K63" s="618"/>
      <c r="L63" s="618"/>
      <c r="M63" s="618"/>
      <c r="N63" s="618"/>
      <c r="O63" s="618"/>
      <c r="P63" s="618"/>
      <c r="Q63" s="618"/>
      <c r="R63" s="618"/>
      <c r="S63" s="618"/>
      <c r="T63" s="618"/>
      <c r="U63" s="618"/>
      <c r="V63" s="618"/>
      <c r="W63" s="618"/>
      <c r="X63" s="618"/>
      <c r="Y63" s="618"/>
      <c r="Z63" s="618"/>
      <c r="AA63" s="618"/>
      <c r="AB63" s="618"/>
    </row>
    <row r="64" spans="1:28">
      <c r="A64" s="1309"/>
      <c r="B64" s="432" t="s">
        <v>718</v>
      </c>
      <c r="C64" s="649">
        <f>Inventory!$U$120</f>
        <v>7</v>
      </c>
      <c r="D64" s="524">
        <f>'OM Assumptions'!$B$38*C64</f>
        <v>7700</v>
      </c>
      <c r="E64" s="618"/>
      <c r="F64" s="618"/>
      <c r="G64" s="618"/>
      <c r="H64" s="618"/>
      <c r="I64" s="618"/>
      <c r="J64" s="618"/>
      <c r="K64" s="618"/>
      <c r="L64" s="618"/>
      <c r="M64" s="618"/>
      <c r="N64" s="618"/>
      <c r="O64" s="618"/>
      <c r="P64" s="618"/>
      <c r="Q64" s="618"/>
      <c r="R64" s="618"/>
      <c r="S64" s="618"/>
      <c r="T64" s="618"/>
      <c r="U64" s="618"/>
      <c r="V64" s="618"/>
      <c r="W64" s="618"/>
      <c r="X64" s="618"/>
      <c r="Y64" s="618"/>
      <c r="Z64" s="618"/>
      <c r="AA64" s="618"/>
      <c r="AB64" s="618"/>
    </row>
    <row r="65" spans="1:28">
      <c r="A65" s="1309"/>
      <c r="B65" s="432" t="s">
        <v>719</v>
      </c>
      <c r="C65" s="649">
        <f>Inventory!$U$121</f>
        <v>4</v>
      </c>
      <c r="D65" s="524">
        <f>'OM Assumptions'!$B$38*C65</f>
        <v>4400</v>
      </c>
      <c r="E65" s="618"/>
      <c r="F65" s="618"/>
      <c r="G65" s="618"/>
      <c r="H65" s="618"/>
      <c r="I65" s="618"/>
      <c r="J65" s="618"/>
      <c r="K65" s="618"/>
      <c r="L65" s="618"/>
      <c r="M65" s="618"/>
      <c r="N65" s="618"/>
      <c r="O65" s="618"/>
      <c r="P65" s="618"/>
      <c r="Q65" s="618"/>
      <c r="R65" s="618"/>
      <c r="S65" s="618"/>
      <c r="T65" s="618"/>
      <c r="U65" s="618"/>
      <c r="V65" s="618"/>
      <c r="W65" s="618"/>
      <c r="X65" s="618"/>
      <c r="Y65" s="618"/>
      <c r="Z65" s="618"/>
      <c r="AA65" s="618"/>
      <c r="AB65" s="618"/>
    </row>
    <row r="66" spans="1:28">
      <c r="A66" s="1309"/>
      <c r="B66" s="648" t="s">
        <v>720</v>
      </c>
      <c r="C66" s="649"/>
      <c r="D66" s="524"/>
      <c r="E66" s="618"/>
      <c r="F66" s="618"/>
      <c r="G66" s="618"/>
      <c r="H66" s="618"/>
      <c r="I66" s="618"/>
      <c r="J66" s="618"/>
      <c r="K66" s="618"/>
      <c r="L66" s="618"/>
      <c r="M66" s="618"/>
      <c r="N66" s="618"/>
      <c r="O66" s="618"/>
      <c r="P66" s="618"/>
      <c r="Q66" s="618"/>
      <c r="R66" s="618"/>
      <c r="S66" s="618"/>
      <c r="T66" s="618"/>
      <c r="U66" s="618"/>
      <c r="V66" s="618"/>
      <c r="W66" s="618"/>
      <c r="X66" s="618"/>
      <c r="Y66" s="618"/>
      <c r="Z66" s="618"/>
      <c r="AA66" s="618"/>
      <c r="AB66" s="618"/>
    </row>
    <row r="67" spans="1:28">
      <c r="A67" s="1309"/>
      <c r="B67" s="664" t="s">
        <v>721</v>
      </c>
      <c r="C67" s="649">
        <f>Inventory!$U$123</f>
        <v>33</v>
      </c>
      <c r="D67" s="524">
        <f>'OM Assumptions'!$B$38*C67</f>
        <v>36300</v>
      </c>
      <c r="E67" s="618"/>
      <c r="F67" s="618"/>
      <c r="G67" s="618"/>
      <c r="H67" s="618"/>
      <c r="I67" s="618"/>
      <c r="J67" s="618"/>
      <c r="K67" s="618"/>
      <c r="L67" s="618"/>
      <c r="M67" s="618"/>
      <c r="N67" s="618"/>
      <c r="O67" s="618"/>
      <c r="P67" s="618"/>
      <c r="Q67" s="618"/>
      <c r="R67" s="618"/>
      <c r="S67" s="618"/>
      <c r="T67" s="618"/>
      <c r="U67" s="618"/>
      <c r="V67" s="618"/>
      <c r="W67" s="618"/>
      <c r="X67" s="618"/>
      <c r="Y67" s="618"/>
      <c r="Z67" s="618"/>
      <c r="AA67" s="618"/>
      <c r="AB67" s="618"/>
    </row>
    <row r="68" spans="1:28">
      <c r="A68" s="1309"/>
      <c r="B68" s="669" t="s">
        <v>722</v>
      </c>
      <c r="C68" s="649">
        <f>Inventory!$U$124</f>
        <v>15</v>
      </c>
      <c r="D68" s="452">
        <f>'OM Assumptions'!$B$38*C68</f>
        <v>16500</v>
      </c>
      <c r="E68" s="618"/>
      <c r="F68" s="618"/>
      <c r="G68" s="618"/>
      <c r="H68" s="618"/>
      <c r="I68" s="618"/>
      <c r="J68" s="618"/>
      <c r="K68" s="618"/>
      <c r="L68" s="618"/>
      <c r="M68" s="618"/>
      <c r="N68" s="618"/>
      <c r="O68" s="618"/>
      <c r="P68" s="618"/>
      <c r="Q68" s="618"/>
      <c r="R68" s="618"/>
      <c r="S68" s="618"/>
      <c r="T68" s="618"/>
      <c r="U68" s="618"/>
      <c r="V68" s="618"/>
      <c r="W68" s="618"/>
      <c r="X68" s="618"/>
      <c r="Y68" s="618"/>
      <c r="Z68" s="618"/>
      <c r="AA68" s="618"/>
      <c r="AB68" s="618"/>
    </row>
    <row r="69" spans="1:28">
      <c r="A69" s="1310"/>
      <c r="B69" s="676" t="s">
        <v>837</v>
      </c>
      <c r="C69" s="677">
        <f>SUM(C57:C68)</f>
        <v>170</v>
      </c>
      <c r="D69" s="679">
        <f>SUM(D58:D68)</f>
        <v>187000</v>
      </c>
      <c r="E69" s="618"/>
      <c r="F69" s="618"/>
      <c r="G69" s="618"/>
      <c r="H69" s="618"/>
      <c r="I69" s="618"/>
      <c r="J69" s="618"/>
      <c r="K69" s="618"/>
      <c r="L69" s="618"/>
      <c r="M69" s="618"/>
      <c r="N69" s="618"/>
      <c r="O69" s="618"/>
      <c r="P69" s="618"/>
      <c r="Q69" s="618"/>
      <c r="R69" s="618"/>
      <c r="S69" s="618"/>
      <c r="T69" s="618"/>
      <c r="U69" s="618"/>
      <c r="V69" s="618"/>
      <c r="W69" s="618"/>
      <c r="X69" s="618"/>
      <c r="Y69" s="618"/>
      <c r="Z69" s="618"/>
      <c r="AA69" s="618"/>
      <c r="AB69" s="618"/>
    </row>
    <row r="70" spans="1:28">
      <c r="A70" s="1374" t="s">
        <v>828</v>
      </c>
      <c r="B70" s="702" t="s">
        <v>707</v>
      </c>
      <c r="C70" s="703">
        <f>Inventory!$U$113</f>
        <v>8</v>
      </c>
      <c r="D70" s="650">
        <f>C70*'OM Assumptions'!$B$39*'OM Assumptions'!$B$40*(1+'OM Assumptions'!$D$12)</f>
        <v>425.65120000000002</v>
      </c>
      <c r="E70" s="618"/>
      <c r="F70" s="618"/>
      <c r="G70" s="618"/>
      <c r="H70" s="618"/>
      <c r="I70" s="618"/>
      <c r="J70" s="618"/>
      <c r="K70" s="618"/>
      <c r="L70" s="618"/>
      <c r="M70" s="618"/>
      <c r="N70" s="618"/>
      <c r="O70" s="618"/>
      <c r="P70" s="618"/>
      <c r="Q70" s="618"/>
      <c r="R70" s="618"/>
      <c r="S70" s="618"/>
      <c r="T70" s="618"/>
      <c r="U70" s="618"/>
      <c r="V70" s="618"/>
      <c r="W70" s="618"/>
      <c r="X70" s="618"/>
      <c r="Y70" s="618"/>
      <c r="Z70" s="618"/>
      <c r="AA70" s="618"/>
      <c r="AB70" s="618"/>
    </row>
    <row r="71" spans="1:28">
      <c r="A71" s="1309"/>
      <c r="B71" s="675" t="s">
        <v>710</v>
      </c>
      <c r="C71" s="623">
        <f>Inventory!$U$114</f>
        <v>24</v>
      </c>
      <c r="D71" s="650">
        <f>C71*'OM Assumptions'!$B$39*'OM Assumptions'!$B$40*(1+'OM Assumptions'!$D$12)</f>
        <v>1276.9536000000001</v>
      </c>
      <c r="E71" s="618"/>
      <c r="F71" s="618"/>
      <c r="G71" s="618"/>
      <c r="H71" s="618"/>
      <c r="I71" s="618"/>
      <c r="J71" s="618"/>
      <c r="K71" s="618"/>
      <c r="L71" s="618"/>
      <c r="M71" s="618"/>
      <c r="N71" s="618"/>
      <c r="O71" s="618"/>
      <c r="P71" s="618"/>
      <c r="Q71" s="618"/>
      <c r="R71" s="618"/>
      <c r="S71" s="618"/>
      <c r="T71" s="618"/>
      <c r="U71" s="618"/>
      <c r="V71" s="618"/>
      <c r="W71" s="618"/>
      <c r="X71" s="618"/>
      <c r="Y71" s="618"/>
      <c r="Z71" s="618"/>
      <c r="AA71" s="618"/>
      <c r="AB71" s="618"/>
    </row>
    <row r="72" spans="1:28">
      <c r="A72" s="1309"/>
      <c r="B72" s="704" t="s">
        <v>714</v>
      </c>
      <c r="C72" s="705">
        <f>Inventory!$U$116</f>
        <v>2</v>
      </c>
      <c r="D72" s="684">
        <f>C72*'OM Assumptions'!$B$39*'OM Assumptions'!$B$40*(1+'OM Assumptions'!$D$12)</f>
        <v>106.4128</v>
      </c>
      <c r="E72" s="618"/>
      <c r="F72" s="618"/>
      <c r="G72" s="618"/>
      <c r="H72" s="618"/>
      <c r="I72" s="618"/>
      <c r="J72" s="618"/>
      <c r="K72" s="618"/>
      <c r="L72" s="618"/>
      <c r="M72" s="618"/>
      <c r="N72" s="618"/>
      <c r="O72" s="618"/>
      <c r="P72" s="618"/>
      <c r="Q72" s="618"/>
      <c r="R72" s="618"/>
      <c r="S72" s="618"/>
      <c r="T72" s="618"/>
      <c r="U72" s="618"/>
      <c r="V72" s="618"/>
      <c r="W72" s="618"/>
      <c r="X72" s="618"/>
      <c r="Y72" s="618"/>
      <c r="Z72" s="618"/>
      <c r="AA72" s="618"/>
      <c r="AB72" s="618"/>
    </row>
    <row r="73" spans="1:28">
      <c r="A73" s="1310"/>
      <c r="B73" s="671" t="s">
        <v>833</v>
      </c>
      <c r="C73" s="672">
        <f t="shared" ref="C73:D73" si="5">SUM(C70:C72)</f>
        <v>34</v>
      </c>
      <c r="D73" s="673">
        <f t="shared" si="5"/>
        <v>1809.0176000000001</v>
      </c>
      <c r="E73" s="618"/>
      <c r="F73" s="618"/>
      <c r="G73" s="618"/>
      <c r="H73" s="618"/>
      <c r="I73" s="618"/>
      <c r="J73" s="618"/>
      <c r="K73" s="618"/>
      <c r="L73" s="618"/>
      <c r="M73" s="618"/>
      <c r="N73" s="618"/>
      <c r="O73" s="618"/>
      <c r="P73" s="618"/>
      <c r="Q73" s="618"/>
      <c r="R73" s="618"/>
      <c r="S73" s="618"/>
      <c r="T73" s="618"/>
      <c r="U73" s="618"/>
      <c r="V73" s="618"/>
      <c r="W73" s="618"/>
      <c r="X73" s="618"/>
      <c r="Y73" s="618"/>
      <c r="Z73" s="618"/>
      <c r="AA73" s="618"/>
      <c r="AB73" s="618"/>
    </row>
    <row r="74" spans="1:28">
      <c r="A74" s="681"/>
      <c r="B74" s="706" t="s">
        <v>92</v>
      </c>
      <c r="C74" s="670">
        <f t="shared" ref="C74:D74" si="6">C69+C73</f>
        <v>204</v>
      </c>
      <c r="D74" s="684">
        <f t="shared" si="6"/>
        <v>188809.01759999999</v>
      </c>
      <c r="E74" s="618"/>
      <c r="F74" s="618"/>
      <c r="G74" s="618"/>
      <c r="H74" s="618"/>
      <c r="I74" s="618"/>
      <c r="J74" s="618"/>
      <c r="K74" s="618"/>
      <c r="L74" s="618"/>
      <c r="M74" s="618"/>
      <c r="N74" s="618"/>
      <c r="O74" s="618"/>
      <c r="P74" s="618"/>
      <c r="Q74" s="618"/>
      <c r="R74" s="618"/>
      <c r="S74" s="618"/>
      <c r="T74" s="618"/>
      <c r="U74" s="618"/>
      <c r="V74" s="618"/>
      <c r="W74" s="618"/>
      <c r="X74" s="618"/>
      <c r="Y74" s="618"/>
      <c r="Z74" s="618"/>
      <c r="AA74" s="618"/>
      <c r="AB74" s="618"/>
    </row>
    <row r="75" spans="1:28">
      <c r="A75" s="493"/>
      <c r="B75" s="707"/>
      <c r="C75" s="708"/>
      <c r="D75" s="686"/>
      <c r="E75" s="618"/>
      <c r="F75" s="618"/>
      <c r="G75" s="618"/>
      <c r="H75" s="618"/>
      <c r="I75" s="618"/>
      <c r="J75" s="618"/>
      <c r="K75" s="618"/>
      <c r="L75" s="618"/>
      <c r="M75" s="618"/>
      <c r="N75" s="618"/>
      <c r="O75" s="618"/>
      <c r="P75" s="618"/>
      <c r="Q75" s="618"/>
      <c r="R75" s="618"/>
      <c r="S75" s="618"/>
      <c r="T75" s="618"/>
      <c r="U75" s="618"/>
      <c r="V75" s="618"/>
      <c r="W75" s="618"/>
      <c r="X75" s="618"/>
      <c r="Y75" s="618"/>
      <c r="Z75" s="618"/>
      <c r="AA75" s="618"/>
      <c r="AB75" s="618"/>
    </row>
    <row r="76" spans="1:28">
      <c r="A76" s="1373" t="s">
        <v>65</v>
      </c>
      <c r="B76" s="1306"/>
      <c r="C76" s="645" t="s">
        <v>799</v>
      </c>
      <c r="D76" s="646" t="s">
        <v>801</v>
      </c>
      <c r="E76" s="618"/>
      <c r="F76" s="618"/>
      <c r="G76" s="618"/>
      <c r="H76" s="618"/>
      <c r="I76" s="618"/>
      <c r="J76" s="618"/>
      <c r="K76" s="618"/>
      <c r="L76" s="618"/>
      <c r="M76" s="618"/>
      <c r="N76" s="618"/>
      <c r="O76" s="618"/>
      <c r="P76" s="618"/>
      <c r="Q76" s="618"/>
      <c r="R76" s="618"/>
      <c r="S76" s="618"/>
      <c r="T76" s="618"/>
      <c r="U76" s="618"/>
      <c r="V76" s="618"/>
      <c r="W76" s="618"/>
      <c r="X76" s="618"/>
      <c r="Y76" s="618"/>
      <c r="Z76" s="618"/>
      <c r="AA76" s="618"/>
      <c r="AB76" s="618"/>
    </row>
    <row r="77" spans="1:28">
      <c r="A77" s="1374" t="s">
        <v>802</v>
      </c>
      <c r="B77" s="648" t="s">
        <v>689</v>
      </c>
      <c r="C77" s="649"/>
      <c r="D77" s="650"/>
      <c r="E77" s="618"/>
      <c r="F77" s="618"/>
      <c r="G77" s="618"/>
      <c r="H77" s="618"/>
      <c r="I77" s="618"/>
      <c r="J77" s="618"/>
      <c r="K77" s="618"/>
      <c r="L77" s="618"/>
      <c r="M77" s="618"/>
      <c r="N77" s="618"/>
      <c r="O77" s="618"/>
      <c r="P77" s="618"/>
      <c r="Q77" s="618"/>
      <c r="R77" s="618"/>
      <c r="S77" s="618"/>
      <c r="T77" s="618"/>
      <c r="U77" s="618"/>
      <c r="V77" s="618"/>
      <c r="W77" s="618"/>
      <c r="X77" s="618"/>
      <c r="Y77" s="618"/>
      <c r="Z77" s="618"/>
      <c r="AA77" s="618"/>
      <c r="AB77" s="618"/>
    </row>
    <row r="78" spans="1:28">
      <c r="A78" s="1309"/>
      <c r="B78" s="432" t="s">
        <v>697</v>
      </c>
      <c r="C78" s="649">
        <f>Inventory!$U$141</f>
        <v>12</v>
      </c>
      <c r="D78" s="524">
        <f>'OM Assumptions'!$B$38*C78</f>
        <v>13200</v>
      </c>
      <c r="E78" s="618"/>
      <c r="F78" s="618"/>
      <c r="G78" s="618"/>
      <c r="H78" s="618"/>
      <c r="I78" s="618"/>
      <c r="J78" s="618"/>
      <c r="K78" s="618"/>
      <c r="L78" s="618"/>
      <c r="M78" s="618"/>
      <c r="N78" s="618"/>
      <c r="O78" s="618"/>
      <c r="P78" s="618"/>
      <c r="Q78" s="618"/>
      <c r="R78" s="618"/>
      <c r="S78" s="618"/>
      <c r="T78" s="618"/>
      <c r="U78" s="618"/>
      <c r="V78" s="618"/>
      <c r="W78" s="618"/>
      <c r="X78" s="618"/>
      <c r="Y78" s="618"/>
      <c r="Z78" s="618"/>
      <c r="AA78" s="618"/>
      <c r="AB78" s="618"/>
    </row>
    <row r="79" spans="1:28">
      <c r="A79" s="1309"/>
      <c r="B79" s="432" t="s">
        <v>700</v>
      </c>
      <c r="C79" s="649">
        <f>Inventory!$U$142</f>
        <v>2</v>
      </c>
      <c r="D79" s="524">
        <f>'OM Assumptions'!$B$38*C79</f>
        <v>2200</v>
      </c>
      <c r="E79" s="618"/>
      <c r="F79" s="618"/>
      <c r="G79" s="618"/>
      <c r="H79" s="618"/>
      <c r="I79" s="618"/>
      <c r="J79" s="618"/>
      <c r="K79" s="618"/>
      <c r="L79" s="618"/>
      <c r="M79" s="618"/>
      <c r="N79" s="618"/>
      <c r="O79" s="618"/>
      <c r="P79" s="618"/>
      <c r="Q79" s="618"/>
      <c r="R79" s="618"/>
      <c r="S79" s="618"/>
      <c r="T79" s="618"/>
      <c r="U79" s="618"/>
      <c r="V79" s="618"/>
      <c r="W79" s="618"/>
      <c r="X79" s="618"/>
      <c r="Y79" s="618"/>
      <c r="Z79" s="618"/>
      <c r="AA79" s="618"/>
      <c r="AB79" s="618"/>
    </row>
    <row r="80" spans="1:28">
      <c r="A80" s="1309"/>
      <c r="B80" s="432" t="s">
        <v>713</v>
      </c>
      <c r="C80" s="649">
        <f>Inventory!$U$145</f>
        <v>38</v>
      </c>
      <c r="D80" s="524">
        <f>'OM Assumptions'!$B$38*C80</f>
        <v>41800</v>
      </c>
      <c r="E80" s="618"/>
      <c r="F80" s="618"/>
      <c r="G80" s="618"/>
      <c r="H80" s="618"/>
      <c r="I80" s="618"/>
      <c r="J80" s="618"/>
      <c r="K80" s="618"/>
      <c r="L80" s="618"/>
      <c r="M80" s="618"/>
      <c r="N80" s="618"/>
      <c r="O80" s="618"/>
      <c r="P80" s="618"/>
      <c r="Q80" s="618"/>
      <c r="R80" s="618"/>
      <c r="S80" s="618"/>
      <c r="T80" s="618"/>
      <c r="U80" s="618"/>
      <c r="V80" s="618"/>
      <c r="W80" s="618"/>
      <c r="X80" s="618"/>
      <c r="Y80" s="618"/>
      <c r="Z80" s="618"/>
      <c r="AA80" s="618"/>
      <c r="AB80" s="618"/>
    </row>
    <row r="81" spans="1:28">
      <c r="A81" s="1309"/>
      <c r="B81" s="432" t="s">
        <v>715</v>
      </c>
      <c r="C81" s="649">
        <f>Inventory!$U$147</f>
        <v>40</v>
      </c>
      <c r="D81" s="524">
        <f>'OM Assumptions'!$B$38*C81</f>
        <v>44000</v>
      </c>
      <c r="E81" s="618"/>
      <c r="F81" s="618"/>
      <c r="G81" s="618"/>
      <c r="H81" s="618"/>
      <c r="I81" s="618"/>
      <c r="J81" s="618"/>
      <c r="K81" s="618"/>
      <c r="L81" s="618"/>
      <c r="M81" s="618"/>
      <c r="N81" s="618"/>
      <c r="O81" s="618"/>
      <c r="P81" s="618"/>
      <c r="Q81" s="618"/>
      <c r="R81" s="618"/>
      <c r="S81" s="618"/>
      <c r="T81" s="618"/>
      <c r="U81" s="618"/>
      <c r="V81" s="618"/>
      <c r="W81" s="618"/>
      <c r="X81" s="618"/>
      <c r="Y81" s="618"/>
      <c r="Z81" s="618"/>
      <c r="AA81" s="618"/>
      <c r="AB81" s="618"/>
    </row>
    <row r="82" spans="1:28">
      <c r="A82" s="1309"/>
      <c r="B82" s="432" t="s">
        <v>716</v>
      </c>
      <c r="C82" s="649">
        <f>Inventory!$U$148</f>
        <v>10</v>
      </c>
      <c r="D82" s="524">
        <f>'OM Assumptions'!$B$38*C82</f>
        <v>11000</v>
      </c>
      <c r="E82" s="618"/>
      <c r="F82" s="618"/>
      <c r="G82" s="618"/>
      <c r="H82" s="618"/>
      <c r="I82" s="618"/>
      <c r="J82" s="618"/>
      <c r="K82" s="618"/>
      <c r="L82" s="618"/>
      <c r="M82" s="618"/>
      <c r="N82" s="618"/>
      <c r="O82" s="618"/>
      <c r="P82" s="618"/>
      <c r="Q82" s="618"/>
      <c r="R82" s="618"/>
      <c r="S82" s="618"/>
      <c r="T82" s="618"/>
      <c r="U82" s="618"/>
      <c r="V82" s="618"/>
      <c r="W82" s="618"/>
      <c r="X82" s="618"/>
      <c r="Y82" s="618"/>
      <c r="Z82" s="618"/>
      <c r="AA82" s="618"/>
      <c r="AB82" s="618"/>
    </row>
    <row r="83" spans="1:28">
      <c r="A83" s="1309"/>
      <c r="B83" s="432" t="s">
        <v>717</v>
      </c>
      <c r="C83" s="649">
        <f>Inventory!$U$149</f>
        <v>36</v>
      </c>
      <c r="D83" s="524">
        <f>'OM Assumptions'!$B$38*C83</f>
        <v>39600</v>
      </c>
      <c r="E83" s="618"/>
      <c r="F83" s="618"/>
      <c r="G83" s="618"/>
      <c r="H83" s="618"/>
      <c r="I83" s="618"/>
      <c r="J83" s="618"/>
      <c r="K83" s="618"/>
      <c r="L83" s="618"/>
      <c r="M83" s="618"/>
      <c r="N83" s="618"/>
      <c r="O83" s="618"/>
      <c r="P83" s="618"/>
      <c r="Q83" s="618"/>
      <c r="R83" s="618"/>
      <c r="S83" s="618"/>
      <c r="T83" s="618"/>
      <c r="U83" s="618"/>
      <c r="V83" s="618"/>
      <c r="W83" s="618"/>
      <c r="X83" s="618"/>
      <c r="Y83" s="618"/>
      <c r="Z83" s="618"/>
      <c r="AA83" s="618"/>
      <c r="AB83" s="618"/>
    </row>
    <row r="84" spans="1:28">
      <c r="A84" s="1309"/>
      <c r="B84" s="432" t="s">
        <v>718</v>
      </c>
      <c r="C84" s="649">
        <f>Inventory!$U$150</f>
        <v>9</v>
      </c>
      <c r="D84" s="524">
        <f>'OM Assumptions'!$B$38*C84</f>
        <v>9900</v>
      </c>
      <c r="E84" s="618"/>
      <c r="F84" s="618"/>
      <c r="G84" s="618"/>
      <c r="H84" s="618"/>
      <c r="I84" s="618"/>
      <c r="J84" s="618"/>
      <c r="K84" s="618"/>
      <c r="L84" s="618"/>
      <c r="M84" s="618"/>
      <c r="N84" s="618"/>
      <c r="O84" s="618"/>
      <c r="P84" s="618"/>
      <c r="Q84" s="618"/>
      <c r="R84" s="618"/>
      <c r="S84" s="618"/>
      <c r="T84" s="618"/>
      <c r="U84" s="618"/>
      <c r="V84" s="618"/>
      <c r="W84" s="618"/>
      <c r="X84" s="618"/>
      <c r="Y84" s="618"/>
      <c r="Z84" s="618"/>
      <c r="AA84" s="618"/>
      <c r="AB84" s="618"/>
    </row>
    <row r="85" spans="1:28">
      <c r="A85" s="1309"/>
      <c r="B85" s="432" t="s">
        <v>719</v>
      </c>
      <c r="C85" s="649">
        <f>Inventory!$U$151</f>
        <v>5</v>
      </c>
      <c r="D85" s="524">
        <f>'OM Assumptions'!$B$38*C85</f>
        <v>5500</v>
      </c>
      <c r="E85" s="618"/>
      <c r="F85" s="618"/>
      <c r="G85" s="618"/>
      <c r="H85" s="618"/>
      <c r="I85" s="618"/>
      <c r="J85" s="618"/>
      <c r="K85" s="618"/>
      <c r="L85" s="618"/>
      <c r="M85" s="618"/>
      <c r="N85" s="618"/>
      <c r="O85" s="618"/>
      <c r="P85" s="618"/>
      <c r="Q85" s="618"/>
      <c r="R85" s="618"/>
      <c r="S85" s="618"/>
      <c r="T85" s="618"/>
      <c r="U85" s="618"/>
      <c r="V85" s="618"/>
      <c r="W85" s="618"/>
      <c r="X85" s="618"/>
      <c r="Y85" s="618"/>
      <c r="Z85" s="618"/>
      <c r="AA85" s="618"/>
      <c r="AB85" s="618"/>
    </row>
    <row r="86" spans="1:28">
      <c r="A86" s="1309"/>
      <c r="B86" s="648" t="s">
        <v>720</v>
      </c>
      <c r="C86" s="649">
        <f>Inventory!U152</f>
        <v>0</v>
      </c>
      <c r="D86" s="524"/>
      <c r="E86" s="618"/>
      <c r="F86" s="618"/>
      <c r="G86" s="618"/>
      <c r="H86" s="618"/>
      <c r="I86" s="618"/>
      <c r="J86" s="618"/>
      <c r="K86" s="618"/>
      <c r="L86" s="618"/>
      <c r="M86" s="618"/>
      <c r="N86" s="618"/>
      <c r="O86" s="618"/>
      <c r="P86" s="618"/>
      <c r="Q86" s="618"/>
      <c r="R86" s="618"/>
      <c r="S86" s="618"/>
      <c r="T86" s="618"/>
      <c r="U86" s="618"/>
      <c r="V86" s="618"/>
      <c r="W86" s="618"/>
      <c r="X86" s="618"/>
      <c r="Y86" s="618"/>
      <c r="Z86" s="618"/>
      <c r="AA86" s="618"/>
      <c r="AB86" s="618"/>
    </row>
    <row r="87" spans="1:28">
      <c r="A87" s="1309"/>
      <c r="B87" s="664" t="s">
        <v>721</v>
      </c>
      <c r="C87" s="649">
        <f>Inventory!$U$153</f>
        <v>42</v>
      </c>
      <c r="D87" s="524">
        <f>'OM Assumptions'!$B$38*C87</f>
        <v>46200</v>
      </c>
      <c r="E87" s="618"/>
      <c r="F87" s="618"/>
      <c r="G87" s="618"/>
      <c r="H87" s="618"/>
      <c r="I87" s="618"/>
      <c r="J87" s="618"/>
      <c r="K87" s="618"/>
      <c r="L87" s="618"/>
      <c r="M87" s="618"/>
      <c r="N87" s="618"/>
      <c r="O87" s="618"/>
      <c r="P87" s="618"/>
      <c r="Q87" s="618"/>
      <c r="R87" s="618"/>
      <c r="S87" s="618"/>
      <c r="T87" s="618"/>
      <c r="U87" s="618"/>
      <c r="V87" s="618"/>
      <c r="W87" s="618"/>
      <c r="X87" s="618"/>
      <c r="Y87" s="618"/>
      <c r="Z87" s="618"/>
      <c r="AA87" s="618"/>
      <c r="AB87" s="618"/>
    </row>
    <row r="88" spans="1:28">
      <c r="A88" s="1309"/>
      <c r="B88" s="669" t="s">
        <v>722</v>
      </c>
      <c r="C88" s="649">
        <f>Inventory!$U$154</f>
        <v>19</v>
      </c>
      <c r="D88" s="452">
        <f>'OM Assumptions'!$B$38*C88</f>
        <v>20900</v>
      </c>
      <c r="E88" s="618"/>
      <c r="F88" s="618"/>
      <c r="G88" s="618"/>
      <c r="H88" s="618"/>
      <c r="I88" s="618"/>
      <c r="J88" s="618"/>
      <c r="K88" s="618"/>
      <c r="L88" s="618"/>
      <c r="M88" s="618"/>
      <c r="N88" s="618"/>
      <c r="O88" s="618"/>
      <c r="P88" s="618"/>
      <c r="Q88" s="618"/>
      <c r="R88" s="618"/>
      <c r="S88" s="618"/>
      <c r="T88" s="618"/>
      <c r="U88" s="618"/>
      <c r="V88" s="618"/>
      <c r="W88" s="618"/>
      <c r="X88" s="618"/>
      <c r="Y88" s="618"/>
      <c r="Z88" s="618"/>
      <c r="AA88" s="618"/>
      <c r="AB88" s="618"/>
    </row>
    <row r="89" spans="1:28">
      <c r="A89" s="1310"/>
      <c r="B89" s="676" t="s">
        <v>825</v>
      </c>
      <c r="C89" s="677">
        <f>SUM(C77:C88)</f>
        <v>213</v>
      </c>
      <c r="D89" s="679">
        <f>SUM(D78:D88)</f>
        <v>234300</v>
      </c>
      <c r="E89" s="618"/>
      <c r="F89" s="618"/>
      <c r="G89" s="618"/>
      <c r="H89" s="618"/>
      <c r="I89" s="618"/>
      <c r="J89" s="618"/>
      <c r="K89" s="618"/>
      <c r="L89" s="618"/>
      <c r="M89" s="618"/>
      <c r="N89" s="618"/>
      <c r="O89" s="618"/>
      <c r="P89" s="618"/>
      <c r="Q89" s="618"/>
      <c r="R89" s="618"/>
      <c r="S89" s="618"/>
      <c r="T89" s="618"/>
      <c r="U89" s="618"/>
      <c r="V89" s="618"/>
      <c r="W89" s="618"/>
      <c r="X89" s="618"/>
      <c r="Y89" s="618"/>
      <c r="Z89" s="618"/>
      <c r="AA89" s="618"/>
      <c r="AB89" s="618"/>
    </row>
    <row r="90" spans="1:28">
      <c r="A90" s="1374" t="s">
        <v>828</v>
      </c>
      <c r="B90" s="702" t="s">
        <v>707</v>
      </c>
      <c r="C90" s="623">
        <f>Inventory!$U$143</f>
        <v>10</v>
      </c>
      <c r="D90" s="650">
        <f>C90*'OM Assumptions'!$B$39*'OM Assumptions'!$B$40*(1+'OM Assumptions'!$E$12)</f>
        <v>531.33600000000001</v>
      </c>
      <c r="E90" s="618"/>
      <c r="F90" s="618"/>
      <c r="G90" s="618"/>
      <c r="H90" s="618"/>
      <c r="I90" s="618"/>
      <c r="J90" s="618"/>
      <c r="K90" s="618"/>
      <c r="L90" s="618"/>
      <c r="M90" s="618"/>
      <c r="N90" s="618"/>
      <c r="O90" s="618"/>
      <c r="P90" s="618"/>
      <c r="Q90" s="618"/>
      <c r="R90" s="618"/>
      <c r="S90" s="618"/>
      <c r="T90" s="618"/>
      <c r="U90" s="618"/>
      <c r="V90" s="618"/>
      <c r="W90" s="618"/>
      <c r="X90" s="618"/>
      <c r="Y90" s="618"/>
      <c r="Z90" s="618"/>
      <c r="AA90" s="618"/>
      <c r="AB90" s="618"/>
    </row>
    <row r="91" spans="1:28">
      <c r="A91" s="1309"/>
      <c r="B91" s="675" t="s">
        <v>710</v>
      </c>
      <c r="C91" s="623">
        <f>Inventory!$U$144</f>
        <v>29</v>
      </c>
      <c r="D91" s="650">
        <f>C91*'OM Assumptions'!$B$39*'OM Assumptions'!$B$40*(1+'OM Assumptions'!$E$12)</f>
        <v>1540.8744000000002</v>
      </c>
      <c r="E91" s="618"/>
      <c r="F91" s="618"/>
      <c r="G91" s="618"/>
      <c r="H91" s="618"/>
      <c r="I91" s="618"/>
      <c r="J91" s="618"/>
      <c r="K91" s="618"/>
      <c r="L91" s="618"/>
      <c r="M91" s="618"/>
      <c r="N91" s="618"/>
      <c r="O91" s="618"/>
      <c r="P91" s="618"/>
      <c r="Q91" s="618"/>
      <c r="R91" s="618"/>
      <c r="S91" s="618"/>
      <c r="T91" s="618"/>
      <c r="U91" s="618"/>
      <c r="V91" s="618"/>
      <c r="W91" s="618"/>
      <c r="X91" s="618"/>
      <c r="Y91" s="618"/>
      <c r="Z91" s="618"/>
      <c r="AA91" s="618"/>
      <c r="AB91" s="618"/>
    </row>
    <row r="92" spans="1:28">
      <c r="A92" s="1309"/>
      <c r="B92" s="704" t="s">
        <v>714</v>
      </c>
      <c r="C92" s="705">
        <f>Inventory!$U$146</f>
        <v>3</v>
      </c>
      <c r="D92" s="684">
        <f>C92*'OM Assumptions'!$B$39*'OM Assumptions'!$B$40*(1+'OM Assumptions'!$E$12)</f>
        <v>159.4008</v>
      </c>
      <c r="E92" s="618"/>
      <c r="F92" s="618"/>
      <c r="G92" s="618"/>
      <c r="H92" s="618"/>
      <c r="I92" s="618"/>
      <c r="J92" s="618"/>
      <c r="K92" s="618"/>
      <c r="L92" s="618"/>
      <c r="M92" s="618"/>
      <c r="N92" s="618"/>
      <c r="O92" s="618"/>
      <c r="P92" s="618"/>
      <c r="Q92" s="618"/>
      <c r="R92" s="618"/>
      <c r="S92" s="618"/>
      <c r="T92" s="618"/>
      <c r="U92" s="618"/>
      <c r="V92" s="618"/>
      <c r="W92" s="618"/>
      <c r="X92" s="618"/>
      <c r="Y92" s="618"/>
      <c r="Z92" s="618"/>
      <c r="AA92" s="618"/>
      <c r="AB92" s="618"/>
    </row>
    <row r="93" spans="1:28">
      <c r="A93" s="1310"/>
      <c r="B93" s="671" t="s">
        <v>833</v>
      </c>
      <c r="C93" s="711">
        <f t="shared" ref="C93:D93" si="7">SUM(C90:C92)</f>
        <v>42</v>
      </c>
      <c r="D93" s="673">
        <f t="shared" si="7"/>
        <v>2231.6111999999998</v>
      </c>
      <c r="E93" s="618"/>
      <c r="F93" s="618"/>
      <c r="G93" s="618"/>
      <c r="H93" s="618"/>
      <c r="I93" s="618"/>
      <c r="J93" s="618"/>
      <c r="K93" s="618"/>
      <c r="L93" s="618"/>
      <c r="M93" s="618"/>
      <c r="N93" s="618"/>
      <c r="O93" s="618"/>
      <c r="P93" s="618"/>
      <c r="Q93" s="618"/>
      <c r="R93" s="618"/>
      <c r="S93" s="618"/>
      <c r="T93" s="618"/>
      <c r="U93" s="618"/>
      <c r="V93" s="618"/>
      <c r="W93" s="618"/>
      <c r="X93" s="618"/>
      <c r="Y93" s="618"/>
      <c r="Z93" s="618"/>
      <c r="AA93" s="618"/>
      <c r="AB93" s="618"/>
    </row>
    <row r="94" spans="1:28">
      <c r="A94" s="681"/>
      <c r="B94" s="682" t="s">
        <v>92</v>
      </c>
      <c r="C94" s="705">
        <f t="shared" ref="C94:D94" si="8">C93+C89</f>
        <v>255</v>
      </c>
      <c r="D94" s="712">
        <f t="shared" si="8"/>
        <v>236531.61120000001</v>
      </c>
      <c r="E94" s="618"/>
      <c r="F94" s="618"/>
      <c r="G94" s="618"/>
      <c r="H94" s="618"/>
      <c r="I94" s="618"/>
      <c r="J94" s="618"/>
      <c r="K94" s="618"/>
      <c r="L94" s="618"/>
      <c r="M94" s="618"/>
      <c r="N94" s="618"/>
      <c r="O94" s="618"/>
      <c r="P94" s="618"/>
      <c r="Q94" s="618"/>
      <c r="R94" s="618"/>
      <c r="S94" s="618"/>
      <c r="T94" s="618"/>
      <c r="U94" s="618"/>
      <c r="V94" s="618"/>
      <c r="W94" s="618"/>
      <c r="X94" s="618"/>
      <c r="Y94" s="618"/>
      <c r="Z94" s="618"/>
      <c r="AA94" s="618"/>
      <c r="AB94" s="618"/>
    </row>
    <row r="95" spans="1:28">
      <c r="A95" s="493"/>
      <c r="B95" s="695"/>
      <c r="C95" s="695"/>
      <c r="D95" s="713"/>
      <c r="E95" s="618"/>
      <c r="F95" s="618"/>
      <c r="G95" s="618"/>
      <c r="H95" s="618"/>
      <c r="I95" s="618"/>
      <c r="J95" s="618"/>
      <c r="K95" s="618"/>
      <c r="L95" s="618"/>
      <c r="M95" s="618"/>
      <c r="N95" s="618"/>
      <c r="O95" s="618"/>
      <c r="P95" s="618"/>
      <c r="Q95" s="618"/>
      <c r="R95" s="618"/>
      <c r="S95" s="618"/>
      <c r="T95" s="618"/>
      <c r="U95" s="618"/>
      <c r="V95" s="618"/>
      <c r="W95" s="618"/>
      <c r="X95" s="618"/>
      <c r="Y95" s="618"/>
      <c r="Z95" s="618"/>
      <c r="AA95" s="618"/>
      <c r="AB95" s="618"/>
    </row>
    <row r="96" spans="1:28">
      <c r="A96" s="1373" t="s">
        <v>67</v>
      </c>
      <c r="B96" s="1306"/>
      <c r="C96" s="645" t="s">
        <v>799</v>
      </c>
      <c r="D96" s="646" t="s">
        <v>801</v>
      </c>
      <c r="E96" s="618"/>
      <c r="F96" s="618"/>
      <c r="G96" s="618"/>
      <c r="H96" s="618"/>
      <c r="I96" s="618"/>
      <c r="J96" s="618"/>
      <c r="K96" s="618"/>
      <c r="L96" s="618"/>
      <c r="M96" s="618"/>
      <c r="N96" s="618"/>
      <c r="O96" s="618"/>
      <c r="P96" s="618"/>
      <c r="Q96" s="618"/>
      <c r="R96" s="618"/>
      <c r="S96" s="618"/>
      <c r="T96" s="618"/>
      <c r="U96" s="618"/>
      <c r="V96" s="618"/>
      <c r="W96" s="618"/>
      <c r="X96" s="618"/>
      <c r="Y96" s="618"/>
      <c r="Z96" s="618"/>
      <c r="AA96" s="618"/>
      <c r="AB96" s="618"/>
    </row>
    <row r="97" spans="1:28">
      <c r="A97" s="1374" t="s">
        <v>802</v>
      </c>
      <c r="B97" s="648" t="s">
        <v>689</v>
      </c>
      <c r="C97" s="649"/>
      <c r="D97" s="650"/>
      <c r="E97" s="618"/>
      <c r="F97" s="618"/>
      <c r="G97" s="618"/>
      <c r="H97" s="618"/>
      <c r="I97" s="618"/>
      <c r="J97" s="618"/>
      <c r="K97" s="618"/>
      <c r="L97" s="618"/>
      <c r="M97" s="618"/>
      <c r="N97" s="618"/>
      <c r="O97" s="618"/>
      <c r="P97" s="618"/>
      <c r="Q97" s="618"/>
      <c r="R97" s="618"/>
      <c r="S97" s="618"/>
      <c r="T97" s="618"/>
      <c r="U97" s="618"/>
      <c r="V97" s="618"/>
      <c r="W97" s="618"/>
      <c r="X97" s="618"/>
      <c r="Y97" s="618"/>
      <c r="Z97" s="618"/>
      <c r="AA97" s="618"/>
      <c r="AB97" s="618"/>
    </row>
    <row r="98" spans="1:28">
      <c r="A98" s="1309"/>
      <c r="B98" s="432" t="s">
        <v>697</v>
      </c>
      <c r="C98" s="649">
        <f>Inventory!$U$171</f>
        <v>13</v>
      </c>
      <c r="D98" s="524">
        <f>'OM Assumptions'!$B$38*C98</f>
        <v>14300</v>
      </c>
      <c r="E98" s="618"/>
      <c r="F98" s="618"/>
      <c r="G98" s="618"/>
      <c r="H98" s="618"/>
      <c r="I98" s="618"/>
      <c r="J98" s="618"/>
      <c r="K98" s="618"/>
      <c r="L98" s="618"/>
      <c r="M98" s="618"/>
      <c r="N98" s="618"/>
      <c r="O98" s="618"/>
      <c r="P98" s="618"/>
      <c r="Q98" s="618"/>
      <c r="R98" s="618"/>
      <c r="S98" s="618"/>
      <c r="T98" s="618"/>
      <c r="U98" s="618"/>
      <c r="V98" s="618"/>
      <c r="W98" s="618"/>
      <c r="X98" s="618"/>
      <c r="Y98" s="618"/>
      <c r="Z98" s="618"/>
      <c r="AA98" s="618"/>
      <c r="AB98" s="618"/>
    </row>
    <row r="99" spans="1:28">
      <c r="A99" s="1309"/>
      <c r="B99" s="432" t="s">
        <v>700</v>
      </c>
      <c r="C99" s="649">
        <f>Inventory!$U$172</f>
        <v>2</v>
      </c>
      <c r="D99" s="524">
        <f>'OM Assumptions'!$B$38*C99</f>
        <v>2200</v>
      </c>
      <c r="E99" s="618"/>
      <c r="F99" s="618"/>
      <c r="G99" s="618"/>
      <c r="H99" s="618"/>
      <c r="I99" s="618"/>
      <c r="J99" s="618"/>
      <c r="K99" s="618"/>
      <c r="L99" s="618"/>
      <c r="M99" s="618"/>
      <c r="N99" s="618"/>
      <c r="O99" s="618"/>
      <c r="P99" s="618"/>
      <c r="Q99" s="618"/>
      <c r="R99" s="618"/>
      <c r="S99" s="618"/>
      <c r="T99" s="618"/>
      <c r="U99" s="618"/>
      <c r="V99" s="618"/>
      <c r="W99" s="618"/>
      <c r="X99" s="618"/>
      <c r="Y99" s="618"/>
      <c r="Z99" s="618"/>
      <c r="AA99" s="618"/>
      <c r="AB99" s="618"/>
    </row>
    <row r="100" spans="1:28">
      <c r="A100" s="1309"/>
      <c r="B100" s="432" t="s">
        <v>713</v>
      </c>
      <c r="C100" s="649">
        <f>Inventory!$U$175</f>
        <v>43</v>
      </c>
      <c r="D100" s="524">
        <f>'OM Assumptions'!$B$38*C100</f>
        <v>47300</v>
      </c>
      <c r="E100" s="618"/>
      <c r="F100" s="618"/>
      <c r="G100" s="618"/>
      <c r="H100" s="618"/>
      <c r="I100" s="618"/>
      <c r="J100" s="618"/>
      <c r="K100" s="618"/>
      <c r="L100" s="618"/>
      <c r="M100" s="618"/>
      <c r="N100" s="618"/>
      <c r="O100" s="618"/>
      <c r="P100" s="618"/>
      <c r="Q100" s="618"/>
      <c r="R100" s="618"/>
      <c r="S100" s="618"/>
      <c r="T100" s="618"/>
      <c r="U100" s="618"/>
      <c r="V100" s="618"/>
      <c r="W100" s="618"/>
      <c r="X100" s="618"/>
      <c r="Y100" s="618"/>
      <c r="Z100" s="618"/>
      <c r="AA100" s="618"/>
      <c r="AB100" s="618"/>
    </row>
    <row r="101" spans="1:28">
      <c r="A101" s="1309"/>
      <c r="B101" s="432" t="s">
        <v>715</v>
      </c>
      <c r="C101" s="649">
        <f>Inventory!$U$177</f>
        <v>44</v>
      </c>
      <c r="D101" s="524">
        <f>'OM Assumptions'!$B$38*C101</f>
        <v>48400</v>
      </c>
      <c r="E101" s="618"/>
      <c r="F101" s="618"/>
      <c r="G101" s="618"/>
      <c r="H101" s="618"/>
      <c r="I101" s="618"/>
      <c r="J101" s="618"/>
      <c r="K101" s="618"/>
      <c r="L101" s="618"/>
      <c r="M101" s="618"/>
      <c r="N101" s="618"/>
      <c r="O101" s="618"/>
      <c r="P101" s="618"/>
      <c r="Q101" s="618"/>
      <c r="R101" s="618"/>
      <c r="S101" s="618"/>
      <c r="T101" s="618"/>
      <c r="U101" s="618"/>
      <c r="V101" s="618"/>
      <c r="W101" s="618"/>
      <c r="X101" s="618"/>
      <c r="Y101" s="618"/>
      <c r="Z101" s="618"/>
      <c r="AA101" s="618"/>
      <c r="AB101" s="618"/>
    </row>
    <row r="102" spans="1:28">
      <c r="A102" s="1309"/>
      <c r="B102" s="432" t="s">
        <v>716</v>
      </c>
      <c r="C102" s="649">
        <f>Inventory!$U$178</f>
        <v>11</v>
      </c>
      <c r="D102" s="524">
        <f>'OM Assumptions'!$B$38*C102</f>
        <v>12100</v>
      </c>
      <c r="E102" s="618"/>
      <c r="F102" s="618"/>
      <c r="G102" s="618"/>
      <c r="H102" s="618"/>
      <c r="I102" s="618"/>
      <c r="J102" s="618"/>
      <c r="K102" s="618"/>
      <c r="L102" s="618"/>
      <c r="M102" s="618"/>
      <c r="N102" s="618"/>
      <c r="O102" s="618"/>
      <c r="P102" s="618"/>
      <c r="Q102" s="618"/>
      <c r="R102" s="618"/>
      <c r="S102" s="618"/>
      <c r="T102" s="618"/>
      <c r="U102" s="618"/>
      <c r="V102" s="618"/>
      <c r="W102" s="618"/>
      <c r="X102" s="618"/>
      <c r="Y102" s="618"/>
      <c r="Z102" s="618"/>
      <c r="AA102" s="618"/>
      <c r="AB102" s="618"/>
    </row>
    <row r="103" spans="1:28">
      <c r="A103" s="1309"/>
      <c r="B103" s="432" t="s">
        <v>717</v>
      </c>
      <c r="C103" s="649">
        <f>Inventory!$U$179</f>
        <v>40</v>
      </c>
      <c r="D103" s="524">
        <f>'OM Assumptions'!$B$38*C103</f>
        <v>44000</v>
      </c>
      <c r="E103" s="618"/>
      <c r="F103" s="618"/>
      <c r="G103" s="618"/>
      <c r="H103" s="618"/>
      <c r="I103" s="618"/>
      <c r="J103" s="618"/>
      <c r="K103" s="618"/>
      <c r="L103" s="618"/>
      <c r="M103" s="618"/>
      <c r="N103" s="618"/>
      <c r="O103" s="618"/>
      <c r="P103" s="618"/>
      <c r="Q103" s="618"/>
      <c r="R103" s="618"/>
      <c r="S103" s="618"/>
      <c r="T103" s="618"/>
      <c r="U103" s="618"/>
      <c r="V103" s="618"/>
      <c r="W103" s="618"/>
      <c r="X103" s="618"/>
      <c r="Y103" s="618"/>
      <c r="Z103" s="618"/>
      <c r="AA103" s="618"/>
      <c r="AB103" s="618"/>
    </row>
    <row r="104" spans="1:28">
      <c r="A104" s="1309"/>
      <c r="B104" s="432" t="s">
        <v>718</v>
      </c>
      <c r="C104" s="649">
        <f>Inventory!$U$180</f>
        <v>10</v>
      </c>
      <c r="D104" s="524">
        <f>'OM Assumptions'!$B$38*C104</f>
        <v>11000</v>
      </c>
      <c r="E104" s="618"/>
      <c r="F104" s="618"/>
      <c r="G104" s="618"/>
      <c r="H104" s="618"/>
      <c r="I104" s="618"/>
      <c r="J104" s="618"/>
      <c r="K104" s="618"/>
      <c r="L104" s="618"/>
      <c r="M104" s="618"/>
      <c r="N104" s="618"/>
      <c r="O104" s="618"/>
      <c r="P104" s="618"/>
      <c r="Q104" s="618"/>
      <c r="R104" s="618"/>
      <c r="S104" s="618"/>
      <c r="T104" s="618"/>
      <c r="U104" s="618"/>
      <c r="V104" s="618"/>
      <c r="W104" s="618"/>
      <c r="X104" s="618"/>
      <c r="Y104" s="618"/>
      <c r="Z104" s="618"/>
      <c r="AA104" s="618"/>
      <c r="AB104" s="618"/>
    </row>
    <row r="105" spans="1:28">
      <c r="A105" s="1309"/>
      <c r="B105" s="432" t="s">
        <v>719</v>
      </c>
      <c r="C105" s="649">
        <f>Inventory!$U$181</f>
        <v>5</v>
      </c>
      <c r="D105" s="524">
        <f>'OM Assumptions'!$B$38*C105</f>
        <v>5500</v>
      </c>
      <c r="E105" s="618"/>
      <c r="F105" s="618"/>
      <c r="G105" s="618"/>
      <c r="H105" s="618"/>
      <c r="I105" s="618"/>
      <c r="J105" s="618"/>
      <c r="K105" s="618"/>
      <c r="L105" s="618"/>
      <c r="M105" s="618"/>
      <c r="N105" s="618"/>
      <c r="O105" s="618"/>
      <c r="P105" s="618"/>
      <c r="Q105" s="618"/>
      <c r="R105" s="618"/>
      <c r="S105" s="618"/>
      <c r="T105" s="618"/>
      <c r="U105" s="618"/>
      <c r="V105" s="618"/>
      <c r="W105" s="618"/>
      <c r="X105" s="618"/>
      <c r="Y105" s="618"/>
      <c r="Z105" s="618"/>
      <c r="AA105" s="618"/>
      <c r="AB105" s="618"/>
    </row>
    <row r="106" spans="1:28">
      <c r="A106" s="1309"/>
      <c r="B106" s="648" t="s">
        <v>720</v>
      </c>
      <c r="C106" s="649">
        <f>Inventory!U182</f>
        <v>0</v>
      </c>
      <c r="D106" s="524"/>
      <c r="E106" s="618"/>
      <c r="F106" s="618"/>
      <c r="G106" s="618"/>
      <c r="H106" s="618"/>
      <c r="I106" s="618"/>
      <c r="J106" s="618"/>
      <c r="K106" s="618"/>
      <c r="L106" s="618"/>
      <c r="M106" s="618"/>
      <c r="N106" s="618"/>
      <c r="O106" s="618"/>
      <c r="P106" s="618"/>
      <c r="Q106" s="618"/>
      <c r="R106" s="618"/>
      <c r="S106" s="618"/>
      <c r="T106" s="618"/>
      <c r="U106" s="618"/>
      <c r="V106" s="618"/>
      <c r="W106" s="618"/>
      <c r="X106" s="618"/>
      <c r="Y106" s="618"/>
      <c r="Z106" s="618"/>
      <c r="AA106" s="618"/>
      <c r="AB106" s="618"/>
    </row>
    <row r="107" spans="1:28">
      <c r="A107" s="1309"/>
      <c r="B107" s="664" t="s">
        <v>721</v>
      </c>
      <c r="C107" s="649">
        <f>Inventory!$U$183</f>
        <v>46</v>
      </c>
      <c r="D107" s="524">
        <f>'OM Assumptions'!$B$38*C107</f>
        <v>50600</v>
      </c>
      <c r="E107" s="618"/>
      <c r="F107" s="618"/>
      <c r="G107" s="618"/>
      <c r="H107" s="618"/>
      <c r="I107" s="618"/>
      <c r="J107" s="618"/>
      <c r="K107" s="618"/>
      <c r="L107" s="618"/>
      <c r="M107" s="618"/>
      <c r="N107" s="618"/>
      <c r="O107" s="618"/>
      <c r="P107" s="618"/>
      <c r="Q107" s="618"/>
      <c r="R107" s="618"/>
      <c r="S107" s="618"/>
      <c r="T107" s="618"/>
      <c r="U107" s="618"/>
      <c r="V107" s="618"/>
      <c r="W107" s="618"/>
      <c r="X107" s="618"/>
      <c r="Y107" s="618"/>
      <c r="Z107" s="618"/>
      <c r="AA107" s="618"/>
      <c r="AB107" s="618"/>
    </row>
    <row r="108" spans="1:28">
      <c r="A108" s="1309"/>
      <c r="B108" s="669" t="s">
        <v>722</v>
      </c>
      <c r="C108" s="649">
        <f>Inventory!$U$184</f>
        <v>21</v>
      </c>
      <c r="D108" s="452">
        <f>'OM Assumptions'!$B$38*C108</f>
        <v>23100</v>
      </c>
      <c r="E108" s="618"/>
      <c r="F108" s="618"/>
      <c r="G108" s="618"/>
      <c r="H108" s="618"/>
      <c r="I108" s="618"/>
      <c r="J108" s="618"/>
      <c r="K108" s="618"/>
      <c r="L108" s="618"/>
      <c r="M108" s="618"/>
      <c r="N108" s="618"/>
      <c r="O108" s="618"/>
      <c r="P108" s="618"/>
      <c r="Q108" s="618"/>
      <c r="R108" s="618"/>
      <c r="S108" s="618"/>
      <c r="T108" s="618"/>
      <c r="U108" s="618"/>
      <c r="V108" s="618"/>
      <c r="W108" s="618"/>
      <c r="X108" s="618"/>
      <c r="Y108" s="618"/>
      <c r="Z108" s="618"/>
      <c r="AA108" s="618"/>
      <c r="AB108" s="618"/>
    </row>
    <row r="109" spans="1:28">
      <c r="A109" s="1310"/>
      <c r="B109" s="676" t="s">
        <v>92</v>
      </c>
      <c r="C109" s="677">
        <f>SUM(C97:C108)</f>
        <v>235</v>
      </c>
      <c r="D109" s="679">
        <f>SUM(D98:D108)</f>
        <v>258500</v>
      </c>
      <c r="E109" s="618"/>
      <c r="F109" s="618"/>
      <c r="G109" s="618"/>
      <c r="H109" s="618"/>
      <c r="I109" s="618"/>
      <c r="J109" s="618"/>
      <c r="K109" s="618"/>
      <c r="L109" s="618"/>
      <c r="M109" s="618"/>
      <c r="N109" s="618"/>
      <c r="O109" s="618"/>
      <c r="P109" s="618"/>
      <c r="Q109" s="618"/>
      <c r="R109" s="618"/>
      <c r="S109" s="618"/>
      <c r="T109" s="618"/>
      <c r="U109" s="618"/>
      <c r="V109" s="618"/>
      <c r="W109" s="618"/>
      <c r="X109" s="618"/>
      <c r="Y109" s="618"/>
      <c r="Z109" s="618"/>
      <c r="AA109" s="618"/>
      <c r="AB109" s="618"/>
    </row>
    <row r="110" spans="1:28">
      <c r="A110" s="1374" t="s">
        <v>828</v>
      </c>
      <c r="B110" s="702" t="s">
        <v>707</v>
      </c>
      <c r="C110" s="623">
        <f>Inventory!$U$173</f>
        <v>11</v>
      </c>
      <c r="D110" s="650">
        <f>C110*'OM Assumptions'!$B$39*'OM Assumptions'!$B$40*(1+'OM Assumptions'!$F$12)</f>
        <v>584.98439999999994</v>
      </c>
      <c r="E110" s="618"/>
      <c r="F110" s="618"/>
      <c r="G110" s="618"/>
      <c r="H110" s="618"/>
      <c r="I110" s="618"/>
      <c r="J110" s="618"/>
      <c r="K110" s="618"/>
      <c r="L110" s="618"/>
      <c r="M110" s="618"/>
      <c r="N110" s="618"/>
      <c r="O110" s="618"/>
      <c r="P110" s="618"/>
      <c r="Q110" s="618"/>
      <c r="R110" s="618"/>
      <c r="S110" s="618"/>
      <c r="T110" s="618"/>
      <c r="U110" s="618"/>
      <c r="V110" s="618"/>
      <c r="W110" s="618"/>
      <c r="X110" s="618"/>
      <c r="Y110" s="618"/>
      <c r="Z110" s="618"/>
      <c r="AA110" s="618"/>
      <c r="AB110" s="618"/>
    </row>
    <row r="111" spans="1:28">
      <c r="A111" s="1309"/>
      <c r="B111" s="675" t="s">
        <v>710</v>
      </c>
      <c r="C111" s="623">
        <f>Inventory!$U$174</f>
        <v>33</v>
      </c>
      <c r="D111" s="650">
        <f>C111*'OM Assumptions'!$B$39*'OM Assumptions'!$B$40*(1+'OM Assumptions'!$F$12)</f>
        <v>1754.9531999999999</v>
      </c>
      <c r="E111" s="618"/>
      <c r="F111" s="618"/>
      <c r="G111" s="618"/>
      <c r="H111" s="618"/>
      <c r="I111" s="618"/>
      <c r="J111" s="618"/>
      <c r="K111" s="618"/>
      <c r="L111" s="618"/>
      <c r="M111" s="618"/>
      <c r="N111" s="618"/>
      <c r="O111" s="618"/>
      <c r="P111" s="618"/>
      <c r="Q111" s="618"/>
      <c r="R111" s="618"/>
      <c r="S111" s="618"/>
      <c r="T111" s="618"/>
      <c r="U111" s="618"/>
      <c r="V111" s="618"/>
      <c r="W111" s="618"/>
      <c r="X111" s="618"/>
      <c r="Y111" s="618"/>
      <c r="Z111" s="618"/>
      <c r="AA111" s="618"/>
      <c r="AB111" s="618"/>
    </row>
    <row r="112" spans="1:28">
      <c r="A112" s="1309"/>
      <c r="B112" s="704" t="s">
        <v>714</v>
      </c>
      <c r="C112" s="623">
        <f>Inventory!$U$176</f>
        <v>3</v>
      </c>
      <c r="D112" s="684">
        <f>C112*'OM Assumptions'!$B$39*'OM Assumptions'!$B$40*(1+'OM Assumptions'!$F$12)</f>
        <v>159.5412</v>
      </c>
      <c r="E112" s="618"/>
      <c r="F112" s="618"/>
      <c r="G112" s="618"/>
      <c r="H112" s="618"/>
      <c r="I112" s="618"/>
      <c r="J112" s="618"/>
      <c r="K112" s="618"/>
      <c r="L112" s="618"/>
      <c r="M112" s="618"/>
      <c r="N112" s="618"/>
      <c r="O112" s="618"/>
      <c r="P112" s="618"/>
      <c r="Q112" s="618"/>
      <c r="R112" s="618"/>
      <c r="S112" s="618"/>
      <c r="T112" s="618"/>
      <c r="U112" s="618"/>
      <c r="V112" s="618"/>
      <c r="W112" s="618"/>
      <c r="X112" s="618"/>
      <c r="Y112" s="618"/>
      <c r="Z112" s="618"/>
      <c r="AA112" s="618"/>
      <c r="AB112" s="618"/>
    </row>
    <row r="113" spans="1:28">
      <c r="A113" s="1310"/>
      <c r="B113" s="671" t="s">
        <v>833</v>
      </c>
      <c r="C113" s="714">
        <f t="shared" ref="C113:D113" si="9">SUM(C110:C112)</f>
        <v>47</v>
      </c>
      <c r="D113" s="673">
        <f t="shared" si="9"/>
        <v>2499.4787999999999</v>
      </c>
      <c r="E113" s="618"/>
      <c r="F113" s="618"/>
      <c r="G113" s="618"/>
      <c r="H113" s="618"/>
      <c r="I113" s="618"/>
      <c r="J113" s="618"/>
      <c r="K113" s="618"/>
      <c r="L113" s="618"/>
      <c r="M113" s="618"/>
      <c r="N113" s="618"/>
      <c r="O113" s="618"/>
      <c r="P113" s="618"/>
      <c r="Q113" s="618"/>
      <c r="R113" s="618"/>
      <c r="S113" s="618"/>
      <c r="T113" s="618"/>
      <c r="U113" s="618"/>
      <c r="V113" s="618"/>
      <c r="W113" s="618"/>
      <c r="X113" s="618"/>
      <c r="Y113" s="618"/>
      <c r="Z113" s="618"/>
      <c r="AA113" s="618"/>
      <c r="AB113" s="618"/>
    </row>
    <row r="114" spans="1:28">
      <c r="A114" s="681"/>
      <c r="B114" s="682" t="s">
        <v>92</v>
      </c>
      <c r="C114" s="705">
        <f t="shared" ref="C114:D114" si="10">C113+C109</f>
        <v>282</v>
      </c>
      <c r="D114" s="712">
        <f t="shared" si="10"/>
        <v>260999.47880000001</v>
      </c>
      <c r="E114" s="618"/>
      <c r="F114" s="618"/>
      <c r="G114" s="618"/>
      <c r="H114" s="618"/>
      <c r="I114" s="618"/>
      <c r="J114" s="618"/>
      <c r="K114" s="618"/>
      <c r="L114" s="618"/>
      <c r="M114" s="618"/>
      <c r="N114" s="618"/>
      <c r="O114" s="618"/>
      <c r="P114" s="618"/>
      <c r="Q114" s="618"/>
      <c r="R114" s="618"/>
      <c r="S114" s="618"/>
      <c r="T114" s="618"/>
      <c r="U114" s="618"/>
      <c r="V114" s="618"/>
      <c r="W114" s="618"/>
      <c r="X114" s="618"/>
      <c r="Y114" s="618"/>
      <c r="Z114" s="618"/>
      <c r="AA114" s="618"/>
      <c r="AB114" s="618"/>
    </row>
    <row r="115" spans="1:28">
      <c r="A115" s="618"/>
      <c r="B115" s="618"/>
      <c r="C115" s="618"/>
      <c r="D115" s="644"/>
      <c r="E115" s="618"/>
      <c r="F115" s="618"/>
      <c r="G115" s="618"/>
      <c r="H115" s="618"/>
      <c r="I115" s="618"/>
      <c r="J115" s="618"/>
      <c r="K115" s="618"/>
      <c r="L115" s="618"/>
      <c r="M115" s="618"/>
      <c r="N115" s="618"/>
      <c r="O115" s="618"/>
      <c r="P115" s="618"/>
      <c r="Q115" s="618"/>
      <c r="R115" s="618"/>
      <c r="S115" s="618"/>
      <c r="T115" s="618"/>
      <c r="U115" s="618"/>
      <c r="V115" s="618"/>
      <c r="W115" s="618"/>
      <c r="X115" s="618"/>
      <c r="Y115" s="618"/>
      <c r="Z115" s="618"/>
      <c r="AA115" s="618"/>
      <c r="AB115" s="618"/>
    </row>
    <row r="116" spans="1:28">
      <c r="A116" s="618"/>
      <c r="B116" s="618"/>
      <c r="C116" s="618"/>
      <c r="D116" s="644"/>
      <c r="E116" s="618"/>
      <c r="F116" s="618"/>
      <c r="G116" s="618"/>
      <c r="H116" s="618"/>
      <c r="I116" s="618"/>
      <c r="J116" s="618"/>
      <c r="K116" s="618"/>
      <c r="L116" s="618"/>
      <c r="M116" s="618"/>
      <c r="N116" s="618"/>
      <c r="O116" s="618"/>
      <c r="P116" s="618"/>
      <c r="Q116" s="618"/>
      <c r="R116" s="618"/>
      <c r="S116" s="618"/>
      <c r="T116" s="618"/>
      <c r="U116" s="618"/>
      <c r="V116" s="618"/>
      <c r="W116" s="618"/>
      <c r="X116" s="618"/>
      <c r="Y116" s="618"/>
      <c r="Z116" s="618"/>
      <c r="AA116" s="618"/>
      <c r="AB116" s="618"/>
    </row>
    <row r="117" spans="1:28">
      <c r="A117" s="618"/>
      <c r="B117" s="618"/>
      <c r="C117" s="618"/>
      <c r="D117" s="644"/>
      <c r="E117" s="618"/>
      <c r="F117" s="618"/>
      <c r="G117" s="618"/>
      <c r="H117" s="618"/>
      <c r="I117" s="618"/>
      <c r="J117" s="618"/>
      <c r="K117" s="618"/>
      <c r="L117" s="618"/>
      <c r="M117" s="618"/>
      <c r="N117" s="618"/>
      <c r="O117" s="618"/>
      <c r="P117" s="618"/>
      <c r="Q117" s="618"/>
      <c r="R117" s="618"/>
      <c r="S117" s="618"/>
      <c r="T117" s="618"/>
      <c r="U117" s="618"/>
      <c r="V117" s="618"/>
      <c r="W117" s="618"/>
      <c r="X117" s="618"/>
      <c r="Y117" s="618"/>
      <c r="Z117" s="618"/>
      <c r="AA117" s="618"/>
      <c r="AB117" s="618"/>
    </row>
    <row r="118" spans="1:28">
      <c r="A118" s="618"/>
      <c r="B118" s="618"/>
      <c r="C118" s="618"/>
      <c r="D118" s="644"/>
      <c r="E118" s="618"/>
      <c r="F118" s="618"/>
      <c r="G118" s="618"/>
      <c r="H118" s="618"/>
      <c r="I118" s="618"/>
      <c r="J118" s="618"/>
      <c r="K118" s="618"/>
      <c r="L118" s="618"/>
      <c r="M118" s="618"/>
      <c r="N118" s="618"/>
      <c r="O118" s="618"/>
      <c r="P118" s="618"/>
      <c r="Q118" s="618"/>
      <c r="R118" s="618"/>
      <c r="S118" s="618"/>
      <c r="T118" s="618"/>
      <c r="U118" s="618"/>
      <c r="V118" s="618"/>
      <c r="W118" s="618"/>
      <c r="X118" s="618"/>
      <c r="Y118" s="618"/>
      <c r="Z118" s="618"/>
      <c r="AA118" s="618"/>
      <c r="AB118" s="618"/>
    </row>
    <row r="119" spans="1:28">
      <c r="A119" s="618"/>
      <c r="B119" s="618"/>
      <c r="C119" s="618"/>
      <c r="D119" s="644"/>
      <c r="E119" s="618"/>
      <c r="F119" s="618"/>
      <c r="G119" s="618"/>
      <c r="H119" s="618"/>
      <c r="I119" s="618"/>
      <c r="J119" s="618"/>
      <c r="K119" s="618"/>
      <c r="L119" s="618"/>
      <c r="M119" s="618"/>
      <c r="N119" s="618"/>
      <c r="O119" s="618"/>
      <c r="P119" s="618"/>
      <c r="Q119" s="618"/>
      <c r="R119" s="618"/>
      <c r="S119" s="618"/>
      <c r="T119" s="618"/>
      <c r="U119" s="618"/>
      <c r="V119" s="618"/>
      <c r="W119" s="618"/>
      <c r="X119" s="618"/>
      <c r="Y119" s="618"/>
      <c r="Z119" s="618"/>
      <c r="AA119" s="618"/>
      <c r="AB119" s="618"/>
    </row>
    <row r="120" spans="1:28">
      <c r="A120" s="618"/>
      <c r="B120" s="618"/>
      <c r="C120" s="618"/>
      <c r="D120" s="644"/>
      <c r="E120" s="618"/>
      <c r="F120" s="618"/>
      <c r="G120" s="618"/>
      <c r="H120" s="618"/>
      <c r="I120" s="618"/>
      <c r="J120" s="618"/>
      <c r="K120" s="618"/>
      <c r="L120" s="618"/>
      <c r="M120" s="618"/>
      <c r="N120" s="618"/>
      <c r="O120" s="618"/>
      <c r="P120" s="618"/>
      <c r="Q120" s="618"/>
      <c r="R120" s="618"/>
      <c r="S120" s="618"/>
      <c r="T120" s="618"/>
      <c r="U120" s="618"/>
      <c r="V120" s="618"/>
      <c r="W120" s="618"/>
      <c r="X120" s="618"/>
      <c r="Y120" s="618"/>
      <c r="Z120" s="618"/>
      <c r="AA120" s="618"/>
      <c r="AB120" s="618"/>
    </row>
    <row r="121" spans="1:28">
      <c r="A121" s="618"/>
      <c r="B121" s="618"/>
      <c r="C121" s="618"/>
      <c r="D121" s="644"/>
      <c r="E121" s="618"/>
      <c r="F121" s="618"/>
      <c r="G121" s="618"/>
      <c r="H121" s="618"/>
      <c r="I121" s="618"/>
      <c r="J121" s="618"/>
      <c r="K121" s="618"/>
      <c r="L121" s="618"/>
      <c r="M121" s="618"/>
      <c r="N121" s="618"/>
      <c r="O121" s="618"/>
      <c r="P121" s="618"/>
      <c r="Q121" s="618"/>
      <c r="R121" s="618"/>
      <c r="S121" s="618"/>
      <c r="T121" s="618"/>
      <c r="U121" s="618"/>
      <c r="V121" s="618"/>
      <c r="W121" s="618"/>
      <c r="X121" s="618"/>
      <c r="Y121" s="618"/>
      <c r="Z121" s="618"/>
      <c r="AA121" s="618"/>
      <c r="AB121" s="618"/>
    </row>
    <row r="122" spans="1:28">
      <c r="A122" s="618"/>
      <c r="B122" s="618"/>
      <c r="C122" s="618"/>
      <c r="D122" s="644"/>
      <c r="E122" s="618"/>
      <c r="F122" s="618"/>
      <c r="G122" s="618"/>
      <c r="H122" s="618"/>
      <c r="I122" s="618"/>
      <c r="J122" s="618"/>
      <c r="K122" s="618"/>
      <c r="L122" s="618"/>
      <c r="M122" s="618"/>
      <c r="N122" s="618"/>
      <c r="O122" s="618"/>
      <c r="P122" s="618"/>
      <c r="Q122" s="618"/>
      <c r="R122" s="618"/>
      <c r="S122" s="618"/>
      <c r="T122" s="618"/>
      <c r="U122" s="618"/>
      <c r="V122" s="618"/>
      <c r="W122" s="618"/>
      <c r="X122" s="618"/>
      <c r="Y122" s="618"/>
      <c r="Z122" s="618"/>
      <c r="AA122" s="618"/>
      <c r="AB122" s="618"/>
    </row>
    <row r="123" spans="1:28">
      <c r="A123" s="618"/>
      <c r="B123" s="618"/>
      <c r="C123" s="618"/>
      <c r="D123" s="644"/>
      <c r="E123" s="618"/>
      <c r="F123" s="618"/>
      <c r="G123" s="618"/>
      <c r="H123" s="618"/>
      <c r="I123" s="618"/>
      <c r="J123" s="618"/>
      <c r="K123" s="618"/>
      <c r="L123" s="618"/>
      <c r="M123" s="618"/>
      <c r="N123" s="618"/>
      <c r="O123" s="618"/>
      <c r="P123" s="618"/>
      <c r="Q123" s="618"/>
      <c r="R123" s="618"/>
      <c r="S123" s="618"/>
      <c r="T123" s="618"/>
      <c r="U123" s="618"/>
      <c r="V123" s="618"/>
      <c r="W123" s="618"/>
      <c r="X123" s="618"/>
      <c r="Y123" s="618"/>
      <c r="Z123" s="618"/>
      <c r="AA123" s="618"/>
      <c r="AB123" s="618"/>
    </row>
    <row r="124" spans="1:28">
      <c r="A124" s="618"/>
      <c r="B124" s="618"/>
      <c r="C124" s="618"/>
      <c r="D124" s="644"/>
      <c r="E124" s="618"/>
      <c r="F124" s="618"/>
      <c r="G124" s="618"/>
      <c r="H124" s="618"/>
      <c r="I124" s="618"/>
      <c r="J124" s="618"/>
      <c r="K124" s="618"/>
      <c r="L124" s="618"/>
      <c r="M124" s="618"/>
      <c r="N124" s="618"/>
      <c r="O124" s="618"/>
      <c r="P124" s="618"/>
      <c r="Q124" s="618"/>
      <c r="R124" s="618"/>
      <c r="S124" s="618"/>
      <c r="T124" s="618"/>
      <c r="U124" s="618"/>
      <c r="V124" s="618"/>
      <c r="W124" s="618"/>
      <c r="X124" s="618"/>
      <c r="Y124" s="618"/>
      <c r="Z124" s="618"/>
      <c r="AA124" s="618"/>
      <c r="AB124" s="618"/>
    </row>
    <row r="125" spans="1:28">
      <c r="A125" s="618"/>
      <c r="B125" s="618"/>
      <c r="C125" s="618"/>
      <c r="D125" s="644"/>
      <c r="E125" s="618"/>
      <c r="F125" s="618"/>
      <c r="G125" s="618"/>
      <c r="H125" s="618"/>
      <c r="I125" s="618"/>
      <c r="J125" s="618"/>
      <c r="K125" s="618"/>
      <c r="L125" s="618"/>
      <c r="M125" s="618"/>
      <c r="N125" s="618"/>
      <c r="O125" s="618"/>
      <c r="P125" s="618"/>
      <c r="Q125" s="618"/>
      <c r="R125" s="618"/>
      <c r="S125" s="618"/>
      <c r="T125" s="618"/>
      <c r="U125" s="618"/>
      <c r="V125" s="618"/>
      <c r="W125" s="618"/>
      <c r="X125" s="618"/>
      <c r="Y125" s="618"/>
      <c r="Z125" s="618"/>
      <c r="AA125" s="618"/>
      <c r="AB125" s="618"/>
    </row>
    <row r="126" spans="1:28">
      <c r="A126" s="618"/>
      <c r="B126" s="618"/>
      <c r="C126" s="618"/>
      <c r="D126" s="644"/>
      <c r="E126" s="618"/>
      <c r="F126" s="618"/>
      <c r="G126" s="618"/>
      <c r="H126" s="618"/>
      <c r="I126" s="618"/>
      <c r="J126" s="618"/>
      <c r="K126" s="618"/>
      <c r="L126" s="618"/>
      <c r="M126" s="618"/>
      <c r="N126" s="618"/>
      <c r="O126" s="618"/>
      <c r="P126" s="618"/>
      <c r="Q126" s="618"/>
      <c r="R126" s="618"/>
      <c r="S126" s="618"/>
      <c r="T126" s="618"/>
      <c r="U126" s="618"/>
      <c r="V126" s="618"/>
      <c r="W126" s="618"/>
      <c r="X126" s="618"/>
      <c r="Y126" s="618"/>
      <c r="Z126" s="618"/>
      <c r="AA126" s="618"/>
      <c r="AB126" s="618"/>
    </row>
    <row r="127" spans="1:28">
      <c r="A127" s="618"/>
      <c r="B127" s="618"/>
      <c r="C127" s="618"/>
      <c r="D127" s="644"/>
      <c r="E127" s="618"/>
      <c r="F127" s="618"/>
      <c r="G127" s="618"/>
      <c r="H127" s="618"/>
      <c r="I127" s="618"/>
      <c r="J127" s="618"/>
      <c r="K127" s="618"/>
      <c r="L127" s="618"/>
      <c r="M127" s="618"/>
      <c r="N127" s="618"/>
      <c r="O127" s="618"/>
      <c r="P127" s="618"/>
      <c r="Q127" s="618"/>
      <c r="R127" s="618"/>
      <c r="S127" s="618"/>
      <c r="T127" s="618"/>
      <c r="U127" s="618"/>
      <c r="V127" s="618"/>
      <c r="W127" s="618"/>
      <c r="X127" s="618"/>
      <c r="Y127" s="618"/>
      <c r="Z127" s="618"/>
      <c r="AA127" s="618"/>
      <c r="AB127" s="618"/>
    </row>
    <row r="128" spans="1:28">
      <c r="A128" s="618"/>
      <c r="B128" s="618"/>
      <c r="C128" s="618"/>
      <c r="D128" s="644"/>
      <c r="E128" s="618"/>
      <c r="F128" s="618"/>
      <c r="G128" s="618"/>
      <c r="H128" s="618"/>
      <c r="I128" s="618"/>
      <c r="J128" s="618"/>
      <c r="K128" s="618"/>
      <c r="L128" s="618"/>
      <c r="M128" s="618"/>
      <c r="N128" s="618"/>
      <c r="O128" s="618"/>
      <c r="P128" s="618"/>
      <c r="Q128" s="618"/>
      <c r="R128" s="618"/>
      <c r="S128" s="618"/>
      <c r="T128" s="618"/>
      <c r="U128" s="618"/>
      <c r="V128" s="618"/>
      <c r="W128" s="618"/>
      <c r="X128" s="618"/>
      <c r="Y128" s="618"/>
      <c r="Z128" s="618"/>
      <c r="AA128" s="618"/>
      <c r="AB128" s="618"/>
    </row>
    <row r="129" spans="1:28">
      <c r="A129" s="618"/>
      <c r="B129" s="618"/>
      <c r="C129" s="618"/>
      <c r="D129" s="644"/>
      <c r="E129" s="618"/>
      <c r="F129" s="618"/>
      <c r="G129" s="618"/>
      <c r="H129" s="618"/>
      <c r="I129" s="618"/>
      <c r="J129" s="618"/>
      <c r="K129" s="618"/>
      <c r="L129" s="618"/>
      <c r="M129" s="618"/>
      <c r="N129" s="618"/>
      <c r="O129" s="618"/>
      <c r="P129" s="618"/>
      <c r="Q129" s="618"/>
      <c r="R129" s="618"/>
      <c r="S129" s="618"/>
      <c r="T129" s="618"/>
      <c r="U129" s="618"/>
      <c r="V129" s="618"/>
      <c r="W129" s="618"/>
      <c r="X129" s="618"/>
      <c r="Y129" s="618"/>
      <c r="Z129" s="618"/>
      <c r="AA129" s="618"/>
      <c r="AB129" s="618"/>
    </row>
    <row r="130" spans="1:28">
      <c r="A130" s="618"/>
      <c r="B130" s="618"/>
      <c r="C130" s="618"/>
      <c r="D130" s="644"/>
      <c r="E130" s="618"/>
      <c r="F130" s="618"/>
      <c r="G130" s="618"/>
      <c r="H130" s="618"/>
      <c r="I130" s="618"/>
      <c r="J130" s="618"/>
      <c r="K130" s="618"/>
      <c r="L130" s="618"/>
      <c r="M130" s="618"/>
      <c r="N130" s="618"/>
      <c r="O130" s="618"/>
      <c r="P130" s="618"/>
      <c r="Q130" s="618"/>
      <c r="R130" s="618"/>
      <c r="S130" s="618"/>
      <c r="T130" s="618"/>
      <c r="U130" s="618"/>
      <c r="V130" s="618"/>
      <c r="W130" s="618"/>
      <c r="X130" s="618"/>
      <c r="Y130" s="618"/>
      <c r="Z130" s="618"/>
      <c r="AA130" s="618"/>
      <c r="AB130" s="618"/>
    </row>
    <row r="131" spans="1:28">
      <c r="A131" s="618"/>
      <c r="B131" s="618"/>
      <c r="C131" s="618"/>
      <c r="D131" s="644"/>
      <c r="E131" s="618"/>
      <c r="F131" s="618"/>
      <c r="G131" s="618"/>
      <c r="H131" s="618"/>
      <c r="I131" s="618"/>
      <c r="J131" s="618"/>
      <c r="K131" s="618"/>
      <c r="L131" s="618"/>
      <c r="M131" s="618"/>
      <c r="N131" s="618"/>
      <c r="O131" s="618"/>
      <c r="P131" s="618"/>
      <c r="Q131" s="618"/>
      <c r="R131" s="618"/>
      <c r="S131" s="618"/>
      <c r="T131" s="618"/>
      <c r="U131" s="618"/>
      <c r="V131" s="618"/>
      <c r="W131" s="618"/>
      <c r="X131" s="618"/>
      <c r="Y131" s="618"/>
      <c r="Z131" s="618"/>
      <c r="AA131" s="618"/>
      <c r="AB131" s="618"/>
    </row>
    <row r="132" spans="1:28">
      <c r="A132" s="618"/>
      <c r="B132" s="618"/>
      <c r="C132" s="618"/>
      <c r="D132" s="644"/>
      <c r="E132" s="618"/>
      <c r="F132" s="618"/>
      <c r="G132" s="618"/>
      <c r="H132" s="618"/>
      <c r="I132" s="618"/>
      <c r="J132" s="618"/>
      <c r="K132" s="618"/>
      <c r="L132" s="618"/>
      <c r="M132" s="618"/>
      <c r="N132" s="618"/>
      <c r="O132" s="618"/>
      <c r="P132" s="618"/>
      <c r="Q132" s="618"/>
      <c r="R132" s="618"/>
      <c r="S132" s="618"/>
      <c r="T132" s="618"/>
      <c r="U132" s="618"/>
      <c r="V132" s="618"/>
      <c r="W132" s="618"/>
      <c r="X132" s="618"/>
      <c r="Y132" s="618"/>
      <c r="Z132" s="618"/>
      <c r="AA132" s="618"/>
      <c r="AB132" s="618"/>
    </row>
    <row r="133" spans="1:28">
      <c r="A133" s="618"/>
      <c r="B133" s="618"/>
      <c r="C133" s="618"/>
      <c r="D133" s="644"/>
      <c r="E133" s="618"/>
      <c r="F133" s="618"/>
      <c r="G133" s="618"/>
      <c r="H133" s="618"/>
      <c r="I133" s="618"/>
      <c r="J133" s="618"/>
      <c r="K133" s="618"/>
      <c r="L133" s="618"/>
      <c r="M133" s="618"/>
      <c r="N133" s="618"/>
      <c r="O133" s="618"/>
      <c r="P133" s="618"/>
      <c r="Q133" s="618"/>
      <c r="R133" s="618"/>
      <c r="S133" s="618"/>
      <c r="T133" s="618"/>
      <c r="U133" s="618"/>
      <c r="V133" s="618"/>
      <c r="W133" s="618"/>
      <c r="X133" s="618"/>
      <c r="Y133" s="618"/>
      <c r="Z133" s="618"/>
      <c r="AA133" s="618"/>
      <c r="AB133" s="618"/>
    </row>
    <row r="134" spans="1:28">
      <c r="A134" s="618"/>
      <c r="B134" s="618"/>
      <c r="C134" s="618"/>
      <c r="D134" s="644"/>
      <c r="E134" s="618"/>
      <c r="F134" s="618"/>
      <c r="G134" s="618"/>
      <c r="H134" s="618"/>
      <c r="I134" s="618"/>
      <c r="J134" s="618"/>
      <c r="K134" s="618"/>
      <c r="L134" s="618"/>
      <c r="M134" s="618"/>
      <c r="N134" s="618"/>
      <c r="O134" s="618"/>
      <c r="P134" s="618"/>
      <c r="Q134" s="618"/>
      <c r="R134" s="618"/>
      <c r="S134" s="618"/>
      <c r="T134" s="618"/>
      <c r="U134" s="618"/>
      <c r="V134" s="618"/>
      <c r="W134" s="618"/>
      <c r="X134" s="618"/>
      <c r="Y134" s="618"/>
      <c r="Z134" s="618"/>
      <c r="AA134" s="618"/>
      <c r="AB134" s="618"/>
    </row>
    <row r="135" spans="1:28">
      <c r="A135" s="618"/>
      <c r="B135" s="618"/>
      <c r="C135" s="618"/>
      <c r="D135" s="644"/>
      <c r="E135" s="618"/>
      <c r="F135" s="618"/>
      <c r="G135" s="618"/>
      <c r="H135" s="618"/>
      <c r="I135" s="618"/>
      <c r="J135" s="618"/>
      <c r="K135" s="618"/>
      <c r="L135" s="618"/>
      <c r="M135" s="618"/>
      <c r="N135" s="618"/>
      <c r="O135" s="618"/>
      <c r="P135" s="618"/>
      <c r="Q135" s="618"/>
      <c r="R135" s="618"/>
      <c r="S135" s="618"/>
      <c r="T135" s="618"/>
      <c r="U135" s="618"/>
      <c r="V135" s="618"/>
      <c r="W135" s="618"/>
      <c r="X135" s="618"/>
      <c r="Y135" s="618"/>
      <c r="Z135" s="618"/>
      <c r="AA135" s="618"/>
      <c r="AB135" s="618"/>
    </row>
    <row r="136" spans="1:28">
      <c r="A136" s="618"/>
      <c r="B136" s="618"/>
      <c r="C136" s="618"/>
      <c r="D136" s="644"/>
      <c r="E136" s="618"/>
      <c r="F136" s="618"/>
      <c r="G136" s="618"/>
      <c r="H136" s="618"/>
      <c r="I136" s="618"/>
      <c r="J136" s="618"/>
      <c r="K136" s="618"/>
      <c r="L136" s="618"/>
      <c r="M136" s="618"/>
      <c r="N136" s="618"/>
      <c r="O136" s="618"/>
      <c r="P136" s="618"/>
      <c r="Q136" s="618"/>
      <c r="R136" s="618"/>
      <c r="S136" s="618"/>
      <c r="T136" s="618"/>
      <c r="U136" s="618"/>
      <c r="V136" s="618"/>
      <c r="W136" s="618"/>
      <c r="X136" s="618"/>
      <c r="Y136" s="618"/>
      <c r="Z136" s="618"/>
      <c r="AA136" s="618"/>
      <c r="AB136" s="618"/>
    </row>
    <row r="137" spans="1:28">
      <c r="A137" s="618"/>
      <c r="B137" s="618"/>
      <c r="C137" s="618"/>
      <c r="D137" s="644"/>
      <c r="E137" s="618"/>
      <c r="F137" s="618"/>
      <c r="G137" s="618"/>
      <c r="H137" s="618"/>
      <c r="I137" s="618"/>
      <c r="J137" s="618"/>
      <c r="K137" s="618"/>
      <c r="L137" s="618"/>
      <c r="M137" s="618"/>
      <c r="N137" s="618"/>
      <c r="O137" s="618"/>
      <c r="P137" s="618"/>
      <c r="Q137" s="618"/>
      <c r="R137" s="618"/>
      <c r="S137" s="618"/>
      <c r="T137" s="618"/>
      <c r="U137" s="618"/>
      <c r="V137" s="618"/>
      <c r="W137" s="618"/>
      <c r="X137" s="618"/>
      <c r="Y137" s="618"/>
      <c r="Z137" s="618"/>
      <c r="AA137" s="618"/>
      <c r="AB137" s="618"/>
    </row>
    <row r="138" spans="1:28">
      <c r="A138" s="618"/>
      <c r="B138" s="618"/>
      <c r="C138" s="618"/>
      <c r="D138" s="644"/>
      <c r="E138" s="618"/>
      <c r="F138" s="618"/>
      <c r="G138" s="618"/>
      <c r="H138" s="618"/>
      <c r="I138" s="618"/>
      <c r="J138" s="618"/>
      <c r="K138" s="618"/>
      <c r="L138" s="618"/>
      <c r="M138" s="618"/>
      <c r="N138" s="618"/>
      <c r="O138" s="618"/>
      <c r="P138" s="618"/>
      <c r="Q138" s="618"/>
      <c r="R138" s="618"/>
      <c r="S138" s="618"/>
      <c r="T138" s="618"/>
      <c r="U138" s="618"/>
      <c r="V138" s="618"/>
      <c r="W138" s="618"/>
      <c r="X138" s="618"/>
      <c r="Y138" s="618"/>
      <c r="Z138" s="618"/>
      <c r="AA138" s="618"/>
      <c r="AB138" s="618"/>
    </row>
    <row r="139" spans="1:28">
      <c r="A139" s="618"/>
      <c r="B139" s="618"/>
      <c r="C139" s="618"/>
      <c r="D139" s="644"/>
      <c r="E139" s="618"/>
      <c r="F139" s="618"/>
      <c r="G139" s="618"/>
      <c r="H139" s="618"/>
      <c r="I139" s="618"/>
      <c r="J139" s="618"/>
      <c r="K139" s="618"/>
      <c r="L139" s="618"/>
      <c r="M139" s="618"/>
      <c r="N139" s="618"/>
      <c r="O139" s="618"/>
      <c r="P139" s="618"/>
      <c r="Q139" s="618"/>
      <c r="R139" s="618"/>
      <c r="S139" s="618"/>
      <c r="T139" s="618"/>
      <c r="U139" s="618"/>
      <c r="V139" s="618"/>
      <c r="W139" s="618"/>
      <c r="X139" s="618"/>
      <c r="Y139" s="618"/>
      <c r="Z139" s="618"/>
      <c r="AA139" s="618"/>
      <c r="AB139" s="618"/>
    </row>
    <row r="140" spans="1:28">
      <c r="A140" s="618"/>
      <c r="B140" s="618"/>
      <c r="C140" s="618"/>
      <c r="D140" s="644"/>
      <c r="E140" s="618"/>
      <c r="F140" s="618"/>
      <c r="G140" s="618"/>
      <c r="H140" s="618"/>
      <c r="I140" s="618"/>
      <c r="J140" s="618"/>
      <c r="K140" s="618"/>
      <c r="L140" s="618"/>
      <c r="M140" s="618"/>
      <c r="N140" s="618"/>
      <c r="O140" s="618"/>
      <c r="P140" s="618"/>
      <c r="Q140" s="618"/>
      <c r="R140" s="618"/>
      <c r="S140" s="618"/>
      <c r="T140" s="618"/>
      <c r="U140" s="618"/>
      <c r="V140" s="618"/>
      <c r="W140" s="618"/>
      <c r="X140" s="618"/>
      <c r="Y140" s="618"/>
      <c r="Z140" s="618"/>
      <c r="AA140" s="618"/>
      <c r="AB140" s="618"/>
    </row>
    <row r="141" spans="1:28">
      <c r="A141" s="618"/>
      <c r="B141" s="618"/>
      <c r="C141" s="618"/>
      <c r="D141" s="644"/>
      <c r="E141" s="618"/>
      <c r="F141" s="618"/>
      <c r="G141" s="618"/>
      <c r="H141" s="618"/>
      <c r="I141" s="618"/>
      <c r="J141" s="618"/>
      <c r="K141" s="618"/>
      <c r="L141" s="618"/>
      <c r="M141" s="618"/>
      <c r="N141" s="618"/>
      <c r="O141" s="618"/>
      <c r="P141" s="618"/>
      <c r="Q141" s="618"/>
      <c r="R141" s="618"/>
      <c r="S141" s="618"/>
      <c r="T141" s="618"/>
      <c r="U141" s="618"/>
      <c r="V141" s="618"/>
      <c r="W141" s="618"/>
      <c r="X141" s="618"/>
      <c r="Y141" s="618"/>
      <c r="Z141" s="618"/>
      <c r="AA141" s="618"/>
      <c r="AB141" s="618"/>
    </row>
    <row r="142" spans="1:28">
      <c r="A142" s="618"/>
      <c r="B142" s="618"/>
      <c r="C142" s="618"/>
      <c r="D142" s="644"/>
      <c r="E142" s="618"/>
      <c r="F142" s="618"/>
      <c r="G142" s="618"/>
      <c r="H142" s="618"/>
      <c r="I142" s="618"/>
      <c r="J142" s="618"/>
      <c r="K142" s="618"/>
      <c r="L142" s="618"/>
      <c r="M142" s="618"/>
      <c r="N142" s="618"/>
      <c r="O142" s="618"/>
      <c r="P142" s="618"/>
      <c r="Q142" s="618"/>
      <c r="R142" s="618"/>
      <c r="S142" s="618"/>
      <c r="T142" s="618"/>
      <c r="U142" s="618"/>
      <c r="V142" s="618"/>
      <c r="W142" s="618"/>
      <c r="X142" s="618"/>
      <c r="Y142" s="618"/>
      <c r="Z142" s="618"/>
      <c r="AA142" s="618"/>
      <c r="AB142" s="618"/>
    </row>
    <row r="143" spans="1:28">
      <c r="A143" s="618"/>
      <c r="B143" s="618"/>
      <c r="C143" s="618"/>
      <c r="D143" s="644"/>
      <c r="E143" s="618"/>
      <c r="F143" s="618"/>
      <c r="G143" s="618"/>
      <c r="H143" s="618"/>
      <c r="I143" s="618"/>
      <c r="J143" s="618"/>
      <c r="K143" s="618"/>
      <c r="L143" s="618"/>
      <c r="M143" s="618"/>
      <c r="N143" s="618"/>
      <c r="O143" s="618"/>
      <c r="P143" s="618"/>
      <c r="Q143" s="618"/>
      <c r="R143" s="618"/>
      <c r="S143" s="618"/>
      <c r="T143" s="618"/>
      <c r="U143" s="618"/>
      <c r="V143" s="618"/>
      <c r="W143" s="618"/>
      <c r="X143" s="618"/>
      <c r="Y143" s="618"/>
      <c r="Z143" s="618"/>
      <c r="AA143" s="618"/>
      <c r="AB143" s="618"/>
    </row>
    <row r="144" spans="1:28">
      <c r="A144" s="618"/>
      <c r="B144" s="618"/>
      <c r="C144" s="618"/>
      <c r="D144" s="644"/>
      <c r="E144" s="618"/>
      <c r="F144" s="618"/>
      <c r="G144" s="618"/>
      <c r="H144" s="618"/>
      <c r="I144" s="618"/>
      <c r="J144" s="618"/>
      <c r="K144" s="618"/>
      <c r="L144" s="618"/>
      <c r="M144" s="618"/>
      <c r="N144" s="618"/>
      <c r="O144" s="618"/>
      <c r="P144" s="618"/>
      <c r="Q144" s="618"/>
      <c r="R144" s="618"/>
      <c r="S144" s="618"/>
      <c r="T144" s="618"/>
      <c r="U144" s="618"/>
      <c r="V144" s="618"/>
      <c r="W144" s="618"/>
      <c r="X144" s="618"/>
      <c r="Y144" s="618"/>
      <c r="Z144" s="618"/>
      <c r="AA144" s="618"/>
      <c r="AB144" s="618"/>
    </row>
    <row r="145" spans="1:28">
      <c r="A145" s="618"/>
      <c r="B145" s="618"/>
      <c r="C145" s="618"/>
      <c r="D145" s="644"/>
      <c r="E145" s="618"/>
      <c r="F145" s="618"/>
      <c r="G145" s="618"/>
      <c r="H145" s="618"/>
      <c r="I145" s="618"/>
      <c r="J145" s="618"/>
      <c r="K145" s="618"/>
      <c r="L145" s="618"/>
      <c r="M145" s="618"/>
      <c r="N145" s="618"/>
      <c r="O145" s="618"/>
      <c r="P145" s="618"/>
      <c r="Q145" s="618"/>
      <c r="R145" s="618"/>
      <c r="S145" s="618"/>
      <c r="T145" s="618"/>
      <c r="U145" s="618"/>
      <c r="V145" s="618"/>
      <c r="W145" s="618"/>
      <c r="X145" s="618"/>
      <c r="Y145" s="618"/>
      <c r="Z145" s="618"/>
      <c r="AA145" s="618"/>
      <c r="AB145" s="618"/>
    </row>
    <row r="146" spans="1:28">
      <c r="A146" s="618"/>
      <c r="B146" s="618"/>
      <c r="C146" s="618"/>
      <c r="D146" s="644"/>
      <c r="E146" s="618"/>
      <c r="F146" s="618"/>
      <c r="G146" s="618"/>
      <c r="H146" s="618"/>
      <c r="I146" s="618"/>
      <c r="J146" s="618"/>
      <c r="K146" s="618"/>
      <c r="L146" s="618"/>
      <c r="M146" s="618"/>
      <c r="N146" s="618"/>
      <c r="O146" s="618"/>
      <c r="P146" s="618"/>
      <c r="Q146" s="618"/>
      <c r="R146" s="618"/>
      <c r="S146" s="618"/>
      <c r="T146" s="618"/>
      <c r="U146" s="618"/>
      <c r="V146" s="618"/>
      <c r="W146" s="618"/>
      <c r="X146" s="618"/>
      <c r="Y146" s="618"/>
      <c r="Z146" s="618"/>
      <c r="AA146" s="618"/>
      <c r="AB146" s="618"/>
    </row>
    <row r="147" spans="1:28">
      <c r="A147" s="618"/>
      <c r="B147" s="618"/>
      <c r="C147" s="618"/>
      <c r="D147" s="644"/>
      <c r="E147" s="618"/>
      <c r="F147" s="618"/>
      <c r="G147" s="618"/>
      <c r="H147" s="618"/>
      <c r="I147" s="618"/>
      <c r="J147" s="618"/>
      <c r="K147" s="618"/>
      <c r="L147" s="618"/>
      <c r="M147" s="618"/>
      <c r="N147" s="618"/>
      <c r="O147" s="618"/>
      <c r="P147" s="618"/>
      <c r="Q147" s="618"/>
      <c r="R147" s="618"/>
      <c r="S147" s="618"/>
      <c r="T147" s="618"/>
      <c r="U147" s="618"/>
      <c r="V147" s="618"/>
      <c r="W147" s="618"/>
      <c r="X147" s="618"/>
      <c r="Y147" s="618"/>
      <c r="Z147" s="618"/>
      <c r="AA147" s="618"/>
      <c r="AB147" s="618"/>
    </row>
    <row r="148" spans="1:28">
      <c r="A148" s="618"/>
      <c r="B148" s="618"/>
      <c r="C148" s="618"/>
      <c r="D148" s="644"/>
      <c r="E148" s="618"/>
      <c r="F148" s="618"/>
      <c r="G148" s="618"/>
      <c r="H148" s="618"/>
      <c r="I148" s="618"/>
      <c r="J148" s="618"/>
      <c r="K148" s="618"/>
      <c r="L148" s="618"/>
      <c r="M148" s="618"/>
      <c r="N148" s="618"/>
      <c r="O148" s="618"/>
      <c r="P148" s="618"/>
      <c r="Q148" s="618"/>
      <c r="R148" s="618"/>
      <c r="S148" s="618"/>
      <c r="T148" s="618"/>
      <c r="U148" s="618"/>
      <c r="V148" s="618"/>
      <c r="W148" s="618"/>
      <c r="X148" s="618"/>
      <c r="Y148" s="618"/>
      <c r="Z148" s="618"/>
      <c r="AA148" s="618"/>
      <c r="AB148" s="618"/>
    </row>
    <row r="149" spans="1:28">
      <c r="A149" s="618"/>
      <c r="B149" s="618"/>
      <c r="C149" s="618"/>
      <c r="D149" s="644"/>
      <c r="E149" s="618"/>
      <c r="F149" s="618"/>
      <c r="G149" s="618"/>
      <c r="H149" s="618"/>
      <c r="I149" s="618"/>
      <c r="J149" s="618"/>
      <c r="K149" s="618"/>
      <c r="L149" s="618"/>
      <c r="M149" s="618"/>
      <c r="N149" s="618"/>
      <c r="O149" s="618"/>
      <c r="P149" s="618"/>
      <c r="Q149" s="618"/>
      <c r="R149" s="618"/>
      <c r="S149" s="618"/>
      <c r="T149" s="618"/>
      <c r="U149" s="618"/>
      <c r="V149" s="618"/>
      <c r="W149" s="618"/>
      <c r="X149" s="618"/>
      <c r="Y149" s="618"/>
      <c r="Z149" s="618"/>
      <c r="AA149" s="618"/>
      <c r="AB149" s="618"/>
    </row>
    <row r="150" spans="1:28">
      <c r="A150" s="618"/>
      <c r="B150" s="618"/>
      <c r="C150" s="618"/>
      <c r="D150" s="644"/>
      <c r="E150" s="618"/>
      <c r="F150" s="618"/>
      <c r="G150" s="618"/>
      <c r="H150" s="618"/>
      <c r="I150" s="618"/>
      <c r="J150" s="618"/>
      <c r="K150" s="618"/>
      <c r="L150" s="618"/>
      <c r="M150" s="618"/>
      <c r="N150" s="618"/>
      <c r="O150" s="618"/>
      <c r="P150" s="618"/>
      <c r="Q150" s="618"/>
      <c r="R150" s="618"/>
      <c r="S150" s="618"/>
      <c r="T150" s="618"/>
      <c r="U150" s="618"/>
      <c r="V150" s="618"/>
      <c r="W150" s="618"/>
      <c r="X150" s="618"/>
      <c r="Y150" s="618"/>
      <c r="Z150" s="618"/>
      <c r="AA150" s="618"/>
      <c r="AB150" s="618"/>
    </row>
    <row r="151" spans="1:28">
      <c r="A151" s="618"/>
      <c r="B151" s="618"/>
      <c r="C151" s="618"/>
      <c r="D151" s="644"/>
      <c r="E151" s="618"/>
      <c r="F151" s="618"/>
      <c r="G151" s="618"/>
      <c r="H151" s="618"/>
      <c r="I151" s="618"/>
      <c r="J151" s="618"/>
      <c r="K151" s="618"/>
      <c r="L151" s="618"/>
      <c r="M151" s="618"/>
      <c r="N151" s="618"/>
      <c r="O151" s="618"/>
      <c r="P151" s="618"/>
      <c r="Q151" s="618"/>
      <c r="R151" s="618"/>
      <c r="S151" s="618"/>
      <c r="T151" s="618"/>
      <c r="U151" s="618"/>
      <c r="V151" s="618"/>
      <c r="W151" s="618"/>
      <c r="X151" s="618"/>
      <c r="Y151" s="618"/>
      <c r="Z151" s="618"/>
      <c r="AA151" s="618"/>
      <c r="AB151" s="618"/>
    </row>
    <row r="152" spans="1:28">
      <c r="A152" s="618"/>
      <c r="B152" s="618"/>
      <c r="C152" s="618"/>
      <c r="D152" s="644"/>
      <c r="E152" s="618"/>
      <c r="F152" s="618"/>
      <c r="G152" s="618"/>
      <c r="H152" s="618"/>
      <c r="I152" s="618"/>
      <c r="J152" s="618"/>
      <c r="K152" s="618"/>
      <c r="L152" s="618"/>
      <c r="M152" s="618"/>
      <c r="N152" s="618"/>
      <c r="O152" s="618"/>
      <c r="P152" s="618"/>
      <c r="Q152" s="618"/>
      <c r="R152" s="618"/>
      <c r="S152" s="618"/>
      <c r="T152" s="618"/>
      <c r="U152" s="618"/>
      <c r="V152" s="618"/>
      <c r="W152" s="618"/>
      <c r="X152" s="618"/>
      <c r="Y152" s="618"/>
      <c r="Z152" s="618"/>
      <c r="AA152" s="618"/>
      <c r="AB152" s="618"/>
    </row>
    <row r="153" spans="1:28">
      <c r="A153" s="618"/>
      <c r="B153" s="618"/>
      <c r="C153" s="618"/>
      <c r="D153" s="644"/>
      <c r="E153" s="618"/>
      <c r="F153" s="618"/>
      <c r="G153" s="618"/>
      <c r="H153" s="618"/>
      <c r="I153" s="618"/>
      <c r="J153" s="618"/>
      <c r="K153" s="618"/>
      <c r="L153" s="618"/>
      <c r="M153" s="618"/>
      <c r="N153" s="618"/>
      <c r="O153" s="618"/>
      <c r="P153" s="618"/>
      <c r="Q153" s="618"/>
      <c r="R153" s="618"/>
      <c r="S153" s="618"/>
      <c r="T153" s="618"/>
      <c r="U153" s="618"/>
      <c r="V153" s="618"/>
      <c r="W153" s="618"/>
      <c r="X153" s="618"/>
      <c r="Y153" s="618"/>
      <c r="Z153" s="618"/>
      <c r="AA153" s="618"/>
      <c r="AB153" s="618"/>
    </row>
    <row r="154" spans="1:28">
      <c r="A154" s="618"/>
      <c r="B154" s="618"/>
      <c r="C154" s="618"/>
      <c r="D154" s="644"/>
      <c r="E154" s="618"/>
      <c r="F154" s="618"/>
      <c r="G154" s="618"/>
      <c r="H154" s="618"/>
      <c r="I154" s="618"/>
      <c r="J154" s="618"/>
      <c r="K154" s="618"/>
      <c r="L154" s="618"/>
      <c r="M154" s="618"/>
      <c r="N154" s="618"/>
      <c r="O154" s="618"/>
      <c r="P154" s="618"/>
      <c r="Q154" s="618"/>
      <c r="R154" s="618"/>
      <c r="S154" s="618"/>
      <c r="T154" s="618"/>
      <c r="U154" s="618"/>
      <c r="V154" s="618"/>
      <c r="W154" s="618"/>
      <c r="X154" s="618"/>
      <c r="Y154" s="618"/>
      <c r="Z154" s="618"/>
      <c r="AA154" s="618"/>
      <c r="AB154" s="618"/>
    </row>
    <row r="155" spans="1:28">
      <c r="A155" s="618"/>
      <c r="B155" s="618"/>
      <c r="C155" s="618"/>
      <c r="D155" s="644"/>
      <c r="E155" s="618"/>
      <c r="F155" s="618"/>
      <c r="G155" s="618"/>
      <c r="H155" s="618"/>
      <c r="I155" s="618"/>
      <c r="J155" s="618"/>
      <c r="K155" s="618"/>
      <c r="L155" s="618"/>
      <c r="M155" s="618"/>
      <c r="N155" s="618"/>
      <c r="O155" s="618"/>
      <c r="P155" s="618"/>
      <c r="Q155" s="618"/>
      <c r="R155" s="618"/>
      <c r="S155" s="618"/>
      <c r="T155" s="618"/>
      <c r="U155" s="618"/>
      <c r="V155" s="618"/>
      <c r="W155" s="618"/>
      <c r="X155" s="618"/>
      <c r="Y155" s="618"/>
      <c r="Z155" s="618"/>
      <c r="AA155" s="618"/>
      <c r="AB155" s="618"/>
    </row>
    <row r="156" spans="1:28">
      <c r="A156" s="618"/>
      <c r="B156" s="618"/>
      <c r="C156" s="618"/>
      <c r="D156" s="644"/>
      <c r="E156" s="618"/>
      <c r="F156" s="618"/>
      <c r="G156" s="618"/>
      <c r="H156" s="618"/>
      <c r="I156" s="618"/>
      <c r="J156" s="618"/>
      <c r="K156" s="618"/>
      <c r="L156" s="618"/>
      <c r="M156" s="618"/>
      <c r="N156" s="618"/>
      <c r="O156" s="618"/>
      <c r="P156" s="618"/>
      <c r="Q156" s="618"/>
      <c r="R156" s="618"/>
      <c r="S156" s="618"/>
      <c r="T156" s="618"/>
      <c r="U156" s="618"/>
      <c r="V156" s="618"/>
      <c r="W156" s="618"/>
      <c r="X156" s="618"/>
      <c r="Y156" s="618"/>
      <c r="Z156" s="618"/>
      <c r="AA156" s="618"/>
      <c r="AB156" s="618"/>
    </row>
    <row r="157" spans="1:28">
      <c r="A157" s="618"/>
      <c r="B157" s="618"/>
      <c r="C157" s="618"/>
      <c r="D157" s="644"/>
      <c r="E157" s="618"/>
      <c r="F157" s="618"/>
      <c r="G157" s="618"/>
      <c r="H157" s="618"/>
      <c r="I157" s="618"/>
      <c r="J157" s="618"/>
      <c r="K157" s="618"/>
      <c r="L157" s="618"/>
      <c r="M157" s="618"/>
      <c r="N157" s="618"/>
      <c r="O157" s="618"/>
      <c r="P157" s="618"/>
      <c r="Q157" s="618"/>
      <c r="R157" s="618"/>
      <c r="S157" s="618"/>
      <c r="T157" s="618"/>
      <c r="U157" s="618"/>
      <c r="V157" s="618"/>
      <c r="W157" s="618"/>
      <c r="X157" s="618"/>
      <c r="Y157" s="618"/>
      <c r="Z157" s="618"/>
      <c r="AA157" s="618"/>
      <c r="AB157" s="618"/>
    </row>
    <row r="158" spans="1:28">
      <c r="A158" s="618"/>
      <c r="B158" s="618"/>
      <c r="C158" s="618"/>
      <c r="D158" s="644"/>
      <c r="E158" s="618"/>
      <c r="F158" s="618"/>
      <c r="G158" s="618"/>
      <c r="H158" s="618"/>
      <c r="I158" s="618"/>
      <c r="J158" s="618"/>
      <c r="K158" s="618"/>
      <c r="L158" s="618"/>
      <c r="M158" s="618"/>
      <c r="N158" s="618"/>
      <c r="O158" s="618"/>
      <c r="P158" s="618"/>
      <c r="Q158" s="618"/>
      <c r="R158" s="618"/>
      <c r="S158" s="618"/>
      <c r="T158" s="618"/>
      <c r="U158" s="618"/>
      <c r="V158" s="618"/>
      <c r="W158" s="618"/>
      <c r="X158" s="618"/>
      <c r="Y158" s="618"/>
      <c r="Z158" s="618"/>
      <c r="AA158" s="618"/>
      <c r="AB158" s="618"/>
    </row>
    <row r="159" spans="1:28">
      <c r="A159" s="618"/>
      <c r="B159" s="618"/>
      <c r="C159" s="618"/>
      <c r="D159" s="644"/>
      <c r="E159" s="618"/>
      <c r="F159" s="618"/>
      <c r="G159" s="618"/>
      <c r="H159" s="618"/>
      <c r="I159" s="618"/>
      <c r="J159" s="618"/>
      <c r="K159" s="618"/>
      <c r="L159" s="618"/>
      <c r="M159" s="618"/>
      <c r="N159" s="618"/>
      <c r="O159" s="618"/>
      <c r="P159" s="618"/>
      <c r="Q159" s="618"/>
      <c r="R159" s="618"/>
      <c r="S159" s="618"/>
      <c r="T159" s="618"/>
      <c r="U159" s="618"/>
      <c r="V159" s="618"/>
      <c r="W159" s="618"/>
      <c r="X159" s="618"/>
      <c r="Y159" s="618"/>
      <c r="Z159" s="618"/>
      <c r="AA159" s="618"/>
      <c r="AB159" s="618"/>
    </row>
    <row r="160" spans="1:28">
      <c r="A160" s="618"/>
      <c r="B160" s="618"/>
      <c r="C160" s="618"/>
      <c r="D160" s="644"/>
      <c r="E160" s="618"/>
      <c r="F160" s="618"/>
      <c r="G160" s="618"/>
      <c r="H160" s="618"/>
      <c r="I160" s="618"/>
      <c r="J160" s="618"/>
      <c r="K160" s="618"/>
      <c r="L160" s="618"/>
      <c r="M160" s="618"/>
      <c r="N160" s="618"/>
      <c r="O160" s="618"/>
      <c r="P160" s="618"/>
      <c r="Q160" s="618"/>
      <c r="R160" s="618"/>
      <c r="S160" s="618"/>
      <c r="T160" s="618"/>
      <c r="U160" s="618"/>
      <c r="V160" s="618"/>
      <c r="W160" s="618"/>
      <c r="X160" s="618"/>
      <c r="Y160" s="618"/>
      <c r="Z160" s="618"/>
      <c r="AA160" s="618"/>
      <c r="AB160" s="618"/>
    </row>
    <row r="161" spans="1:28">
      <c r="A161" s="618"/>
      <c r="B161" s="618"/>
      <c r="C161" s="618"/>
      <c r="D161" s="644"/>
      <c r="E161" s="618"/>
      <c r="F161" s="618"/>
      <c r="G161" s="618"/>
      <c r="H161" s="618"/>
      <c r="I161" s="618"/>
      <c r="J161" s="618"/>
      <c r="K161" s="618"/>
      <c r="L161" s="618"/>
      <c r="M161" s="618"/>
      <c r="N161" s="618"/>
      <c r="O161" s="618"/>
      <c r="P161" s="618"/>
      <c r="Q161" s="618"/>
      <c r="R161" s="618"/>
      <c r="S161" s="618"/>
      <c r="T161" s="618"/>
      <c r="U161" s="618"/>
      <c r="V161" s="618"/>
      <c r="W161" s="618"/>
      <c r="X161" s="618"/>
      <c r="Y161" s="618"/>
      <c r="Z161" s="618"/>
      <c r="AA161" s="618"/>
      <c r="AB161" s="618"/>
    </row>
    <row r="162" spans="1:28">
      <c r="A162" s="618"/>
      <c r="B162" s="618"/>
      <c r="C162" s="618"/>
      <c r="D162" s="644"/>
      <c r="E162" s="618"/>
      <c r="F162" s="618"/>
      <c r="G162" s="618"/>
      <c r="H162" s="618"/>
      <c r="I162" s="618"/>
      <c r="J162" s="618"/>
      <c r="K162" s="618"/>
      <c r="L162" s="618"/>
      <c r="M162" s="618"/>
      <c r="N162" s="618"/>
      <c r="O162" s="618"/>
      <c r="P162" s="618"/>
      <c r="Q162" s="618"/>
      <c r="R162" s="618"/>
      <c r="S162" s="618"/>
      <c r="T162" s="618"/>
      <c r="U162" s="618"/>
      <c r="V162" s="618"/>
      <c r="W162" s="618"/>
      <c r="X162" s="618"/>
      <c r="Y162" s="618"/>
      <c r="Z162" s="618"/>
      <c r="AA162" s="618"/>
      <c r="AB162" s="618"/>
    </row>
    <row r="163" spans="1:28">
      <c r="A163" s="618"/>
      <c r="B163" s="618"/>
      <c r="C163" s="618"/>
      <c r="D163" s="644"/>
      <c r="E163" s="618"/>
      <c r="F163" s="618"/>
      <c r="G163" s="618"/>
      <c r="H163" s="618"/>
      <c r="I163" s="618"/>
      <c r="J163" s="618"/>
      <c r="K163" s="618"/>
      <c r="L163" s="618"/>
      <c r="M163" s="618"/>
      <c r="N163" s="618"/>
      <c r="O163" s="618"/>
      <c r="P163" s="618"/>
      <c r="Q163" s="618"/>
      <c r="R163" s="618"/>
      <c r="S163" s="618"/>
      <c r="T163" s="618"/>
      <c r="U163" s="618"/>
      <c r="V163" s="618"/>
      <c r="W163" s="618"/>
      <c r="X163" s="618"/>
      <c r="Y163" s="618"/>
      <c r="Z163" s="618"/>
      <c r="AA163" s="618"/>
      <c r="AB163" s="618"/>
    </row>
    <row r="164" spans="1:28">
      <c r="A164" s="618"/>
      <c r="B164" s="618"/>
      <c r="C164" s="618"/>
      <c r="D164" s="644"/>
      <c r="E164" s="618"/>
      <c r="F164" s="618"/>
      <c r="G164" s="618"/>
      <c r="H164" s="618"/>
      <c r="I164" s="618"/>
      <c r="J164" s="618"/>
      <c r="K164" s="618"/>
      <c r="L164" s="618"/>
      <c r="M164" s="618"/>
      <c r="N164" s="618"/>
      <c r="O164" s="618"/>
      <c r="P164" s="618"/>
      <c r="Q164" s="618"/>
      <c r="R164" s="618"/>
      <c r="S164" s="618"/>
      <c r="T164" s="618"/>
      <c r="U164" s="618"/>
      <c r="V164" s="618"/>
      <c r="W164" s="618"/>
      <c r="X164" s="618"/>
      <c r="Y164" s="618"/>
      <c r="Z164" s="618"/>
      <c r="AA164" s="618"/>
      <c r="AB164" s="618"/>
    </row>
    <row r="165" spans="1:28">
      <c r="A165" s="618"/>
      <c r="B165" s="618"/>
      <c r="C165" s="618"/>
      <c r="D165" s="644"/>
      <c r="E165" s="618"/>
      <c r="F165" s="618"/>
      <c r="G165" s="618"/>
      <c r="H165" s="618"/>
      <c r="I165" s="618"/>
      <c r="J165" s="618"/>
      <c r="K165" s="618"/>
      <c r="L165" s="618"/>
      <c r="M165" s="618"/>
      <c r="N165" s="618"/>
      <c r="O165" s="618"/>
      <c r="P165" s="618"/>
      <c r="Q165" s="618"/>
      <c r="R165" s="618"/>
      <c r="S165" s="618"/>
      <c r="T165" s="618"/>
      <c r="U165" s="618"/>
      <c r="V165" s="618"/>
      <c r="W165" s="618"/>
      <c r="X165" s="618"/>
      <c r="Y165" s="618"/>
      <c r="Z165" s="618"/>
      <c r="AA165" s="618"/>
      <c r="AB165" s="618"/>
    </row>
    <row r="166" spans="1:28">
      <c r="A166" s="618"/>
      <c r="B166" s="618"/>
      <c r="C166" s="618"/>
      <c r="D166" s="644"/>
      <c r="E166" s="618"/>
      <c r="F166" s="618"/>
      <c r="G166" s="618"/>
      <c r="H166" s="618"/>
      <c r="I166" s="618"/>
      <c r="J166" s="618"/>
      <c r="K166" s="618"/>
      <c r="L166" s="618"/>
      <c r="M166" s="618"/>
      <c r="N166" s="618"/>
      <c r="O166" s="618"/>
      <c r="P166" s="618"/>
      <c r="Q166" s="618"/>
      <c r="R166" s="618"/>
      <c r="S166" s="618"/>
      <c r="T166" s="618"/>
      <c r="U166" s="618"/>
      <c r="V166" s="618"/>
      <c r="W166" s="618"/>
      <c r="X166" s="618"/>
      <c r="Y166" s="618"/>
      <c r="Z166" s="618"/>
      <c r="AA166" s="618"/>
      <c r="AB166" s="618"/>
    </row>
    <row r="167" spans="1:28">
      <c r="A167" s="618"/>
      <c r="B167" s="618"/>
      <c r="C167" s="618"/>
      <c r="D167" s="644"/>
      <c r="E167" s="618"/>
      <c r="F167" s="618"/>
      <c r="G167" s="618"/>
      <c r="H167" s="618"/>
      <c r="I167" s="618"/>
      <c r="J167" s="618"/>
      <c r="K167" s="618"/>
      <c r="L167" s="618"/>
      <c r="M167" s="618"/>
      <c r="N167" s="618"/>
      <c r="O167" s="618"/>
      <c r="P167" s="618"/>
      <c r="Q167" s="618"/>
      <c r="R167" s="618"/>
      <c r="S167" s="618"/>
      <c r="T167" s="618"/>
      <c r="U167" s="618"/>
      <c r="V167" s="618"/>
      <c r="W167" s="618"/>
      <c r="X167" s="618"/>
      <c r="Y167" s="618"/>
      <c r="Z167" s="618"/>
      <c r="AA167" s="618"/>
      <c r="AB167" s="618"/>
    </row>
    <row r="168" spans="1:28">
      <c r="A168" s="618"/>
      <c r="B168" s="618"/>
      <c r="C168" s="618"/>
      <c r="D168" s="644"/>
      <c r="E168" s="618"/>
      <c r="F168" s="618"/>
      <c r="G168" s="618"/>
      <c r="H168" s="618"/>
      <c r="I168" s="618"/>
      <c r="J168" s="618"/>
      <c r="K168" s="618"/>
      <c r="L168" s="618"/>
      <c r="M168" s="618"/>
      <c r="N168" s="618"/>
      <c r="O168" s="618"/>
      <c r="P168" s="618"/>
      <c r="Q168" s="618"/>
      <c r="R168" s="618"/>
      <c r="S168" s="618"/>
      <c r="T168" s="618"/>
      <c r="U168" s="618"/>
      <c r="V168" s="618"/>
      <c r="W168" s="618"/>
      <c r="X168" s="618"/>
      <c r="Y168" s="618"/>
      <c r="Z168" s="618"/>
      <c r="AA168" s="618"/>
      <c r="AB168" s="618"/>
    </row>
    <row r="169" spans="1:28">
      <c r="A169" s="618"/>
      <c r="B169" s="618"/>
      <c r="C169" s="618"/>
      <c r="D169" s="644"/>
      <c r="E169" s="618"/>
      <c r="F169" s="618"/>
      <c r="G169" s="618"/>
      <c r="H169" s="618"/>
      <c r="I169" s="618"/>
      <c r="J169" s="618"/>
      <c r="K169" s="618"/>
      <c r="L169" s="618"/>
      <c r="M169" s="618"/>
      <c r="N169" s="618"/>
      <c r="O169" s="618"/>
      <c r="P169" s="618"/>
      <c r="Q169" s="618"/>
      <c r="R169" s="618"/>
      <c r="S169" s="618"/>
      <c r="T169" s="618"/>
      <c r="U169" s="618"/>
      <c r="V169" s="618"/>
      <c r="W169" s="618"/>
      <c r="X169" s="618"/>
      <c r="Y169" s="618"/>
      <c r="Z169" s="618"/>
      <c r="AA169" s="618"/>
      <c r="AB169" s="618"/>
    </row>
    <row r="170" spans="1:28">
      <c r="A170" s="618"/>
      <c r="B170" s="618"/>
      <c r="C170" s="618"/>
      <c r="D170" s="644"/>
      <c r="E170" s="618"/>
      <c r="F170" s="618"/>
      <c r="G170" s="618"/>
      <c r="H170" s="618"/>
      <c r="I170" s="618"/>
      <c r="J170" s="618"/>
      <c r="K170" s="618"/>
      <c r="L170" s="618"/>
      <c r="M170" s="618"/>
      <c r="N170" s="618"/>
      <c r="O170" s="618"/>
      <c r="P170" s="618"/>
      <c r="Q170" s="618"/>
      <c r="R170" s="618"/>
      <c r="S170" s="618"/>
      <c r="T170" s="618"/>
      <c r="U170" s="618"/>
      <c r="V170" s="618"/>
      <c r="W170" s="618"/>
      <c r="X170" s="618"/>
      <c r="Y170" s="618"/>
      <c r="Z170" s="618"/>
      <c r="AA170" s="618"/>
      <c r="AB170" s="618"/>
    </row>
    <row r="171" spans="1:28">
      <c r="A171" s="618"/>
      <c r="B171" s="618"/>
      <c r="C171" s="618"/>
      <c r="D171" s="644"/>
      <c r="E171" s="618"/>
      <c r="F171" s="618"/>
      <c r="G171" s="618"/>
      <c r="H171" s="618"/>
      <c r="I171" s="618"/>
      <c r="J171" s="618"/>
      <c r="K171" s="618"/>
      <c r="L171" s="618"/>
      <c r="M171" s="618"/>
      <c r="N171" s="618"/>
      <c r="O171" s="618"/>
      <c r="P171" s="618"/>
      <c r="Q171" s="618"/>
      <c r="R171" s="618"/>
      <c r="S171" s="618"/>
      <c r="T171" s="618"/>
      <c r="U171" s="618"/>
      <c r="V171" s="618"/>
      <c r="W171" s="618"/>
      <c r="X171" s="618"/>
      <c r="Y171" s="618"/>
      <c r="Z171" s="618"/>
      <c r="AA171" s="618"/>
      <c r="AB171" s="618"/>
    </row>
    <row r="172" spans="1:28">
      <c r="A172" s="618"/>
      <c r="B172" s="618"/>
      <c r="C172" s="618"/>
      <c r="D172" s="644"/>
      <c r="E172" s="618"/>
      <c r="F172" s="618"/>
      <c r="G172" s="618"/>
      <c r="H172" s="618"/>
      <c r="I172" s="618"/>
      <c r="J172" s="618"/>
      <c r="K172" s="618"/>
      <c r="L172" s="618"/>
      <c r="M172" s="618"/>
      <c r="N172" s="618"/>
      <c r="O172" s="618"/>
      <c r="P172" s="618"/>
      <c r="Q172" s="618"/>
      <c r="R172" s="618"/>
      <c r="S172" s="618"/>
      <c r="T172" s="618"/>
      <c r="U172" s="618"/>
      <c r="V172" s="618"/>
      <c r="W172" s="618"/>
      <c r="X172" s="618"/>
      <c r="Y172" s="618"/>
      <c r="Z172" s="618"/>
      <c r="AA172" s="618"/>
      <c r="AB172" s="618"/>
    </row>
    <row r="173" spans="1:28">
      <c r="A173" s="618"/>
      <c r="B173" s="618"/>
      <c r="C173" s="618"/>
      <c r="D173" s="644"/>
      <c r="E173" s="618"/>
      <c r="F173" s="618"/>
      <c r="G173" s="618"/>
      <c r="H173" s="618"/>
      <c r="I173" s="618"/>
      <c r="J173" s="618"/>
      <c r="K173" s="618"/>
      <c r="L173" s="618"/>
      <c r="M173" s="618"/>
      <c r="N173" s="618"/>
      <c r="O173" s="618"/>
      <c r="P173" s="618"/>
      <c r="Q173" s="618"/>
      <c r="R173" s="618"/>
      <c r="S173" s="618"/>
      <c r="T173" s="618"/>
      <c r="U173" s="618"/>
      <c r="V173" s="618"/>
      <c r="W173" s="618"/>
      <c r="X173" s="618"/>
      <c r="Y173" s="618"/>
      <c r="Z173" s="618"/>
      <c r="AA173" s="618"/>
      <c r="AB173" s="618"/>
    </row>
    <row r="174" spans="1:28">
      <c r="A174" s="618"/>
      <c r="B174" s="618"/>
      <c r="C174" s="618"/>
      <c r="D174" s="644"/>
      <c r="E174" s="618"/>
      <c r="F174" s="618"/>
      <c r="G174" s="618"/>
      <c r="H174" s="618"/>
      <c r="I174" s="618"/>
      <c r="J174" s="618"/>
      <c r="K174" s="618"/>
      <c r="L174" s="618"/>
      <c r="M174" s="618"/>
      <c r="N174" s="618"/>
      <c r="O174" s="618"/>
      <c r="P174" s="618"/>
      <c r="Q174" s="618"/>
      <c r="R174" s="618"/>
      <c r="S174" s="618"/>
      <c r="T174" s="618"/>
      <c r="U174" s="618"/>
      <c r="V174" s="618"/>
      <c r="W174" s="618"/>
      <c r="X174" s="618"/>
      <c r="Y174" s="618"/>
      <c r="Z174" s="618"/>
      <c r="AA174" s="618"/>
      <c r="AB174" s="618"/>
    </row>
    <row r="175" spans="1:28">
      <c r="A175" s="618"/>
      <c r="B175" s="618"/>
      <c r="C175" s="618"/>
      <c r="D175" s="644"/>
      <c r="E175" s="618"/>
      <c r="F175" s="618"/>
      <c r="G175" s="618"/>
      <c r="H175" s="618"/>
      <c r="I175" s="618"/>
      <c r="J175" s="618"/>
      <c r="K175" s="618"/>
      <c r="L175" s="618"/>
      <c r="M175" s="618"/>
      <c r="N175" s="618"/>
      <c r="O175" s="618"/>
      <c r="P175" s="618"/>
      <c r="Q175" s="618"/>
      <c r="R175" s="618"/>
      <c r="S175" s="618"/>
      <c r="T175" s="618"/>
      <c r="U175" s="618"/>
      <c r="V175" s="618"/>
      <c r="W175" s="618"/>
      <c r="X175" s="618"/>
      <c r="Y175" s="618"/>
      <c r="Z175" s="618"/>
      <c r="AA175" s="618"/>
      <c r="AB175" s="618"/>
    </row>
    <row r="176" spans="1:28">
      <c r="A176" s="618"/>
      <c r="B176" s="618"/>
      <c r="C176" s="618"/>
      <c r="D176" s="644"/>
      <c r="E176" s="618"/>
      <c r="F176" s="618"/>
      <c r="G176" s="618"/>
      <c r="H176" s="618"/>
      <c r="I176" s="618"/>
      <c r="J176" s="618"/>
      <c r="K176" s="618"/>
      <c r="L176" s="618"/>
      <c r="M176" s="618"/>
      <c r="N176" s="618"/>
      <c r="O176" s="618"/>
      <c r="P176" s="618"/>
      <c r="Q176" s="618"/>
      <c r="R176" s="618"/>
      <c r="S176" s="618"/>
      <c r="T176" s="618"/>
      <c r="U176" s="618"/>
      <c r="V176" s="618"/>
      <c r="W176" s="618"/>
      <c r="X176" s="618"/>
      <c r="Y176" s="618"/>
      <c r="Z176" s="618"/>
      <c r="AA176" s="618"/>
      <c r="AB176" s="618"/>
    </row>
    <row r="177" spans="1:28">
      <c r="A177" s="618"/>
      <c r="B177" s="618"/>
      <c r="C177" s="618"/>
      <c r="D177" s="644"/>
      <c r="E177" s="618"/>
      <c r="F177" s="618"/>
      <c r="G177" s="618"/>
      <c r="H177" s="618"/>
      <c r="I177" s="618"/>
      <c r="J177" s="618"/>
      <c r="K177" s="618"/>
      <c r="L177" s="618"/>
      <c r="M177" s="618"/>
      <c r="N177" s="618"/>
      <c r="O177" s="618"/>
      <c r="P177" s="618"/>
      <c r="Q177" s="618"/>
      <c r="R177" s="618"/>
      <c r="S177" s="618"/>
      <c r="T177" s="618"/>
      <c r="U177" s="618"/>
      <c r="V177" s="618"/>
      <c r="W177" s="618"/>
      <c r="X177" s="618"/>
      <c r="Y177" s="618"/>
      <c r="Z177" s="618"/>
      <c r="AA177" s="618"/>
      <c r="AB177" s="618"/>
    </row>
    <row r="178" spans="1:28">
      <c r="A178" s="618"/>
      <c r="B178" s="618"/>
      <c r="C178" s="618"/>
      <c r="D178" s="644"/>
      <c r="E178" s="618"/>
      <c r="F178" s="618"/>
      <c r="G178" s="618"/>
      <c r="H178" s="618"/>
      <c r="I178" s="618"/>
      <c r="J178" s="618"/>
      <c r="K178" s="618"/>
      <c r="L178" s="618"/>
      <c r="M178" s="618"/>
      <c r="N178" s="618"/>
      <c r="O178" s="618"/>
      <c r="P178" s="618"/>
      <c r="Q178" s="618"/>
      <c r="R178" s="618"/>
      <c r="S178" s="618"/>
      <c r="T178" s="618"/>
      <c r="U178" s="618"/>
      <c r="V178" s="618"/>
      <c r="W178" s="618"/>
      <c r="X178" s="618"/>
      <c r="Y178" s="618"/>
      <c r="Z178" s="618"/>
      <c r="AA178" s="618"/>
      <c r="AB178" s="618"/>
    </row>
    <row r="179" spans="1:28">
      <c r="A179" s="618"/>
      <c r="B179" s="618"/>
      <c r="C179" s="618"/>
      <c r="D179" s="644"/>
      <c r="E179" s="618"/>
      <c r="F179" s="618"/>
      <c r="G179" s="618"/>
      <c r="H179" s="618"/>
      <c r="I179" s="618"/>
      <c r="J179" s="618"/>
      <c r="K179" s="618"/>
      <c r="L179" s="618"/>
      <c r="M179" s="618"/>
      <c r="N179" s="618"/>
      <c r="O179" s="618"/>
      <c r="P179" s="618"/>
      <c r="Q179" s="618"/>
      <c r="R179" s="618"/>
      <c r="S179" s="618"/>
      <c r="T179" s="618"/>
      <c r="U179" s="618"/>
      <c r="V179" s="618"/>
      <c r="W179" s="618"/>
      <c r="X179" s="618"/>
      <c r="Y179" s="618"/>
      <c r="Z179" s="618"/>
      <c r="AA179" s="618"/>
      <c r="AB179" s="618"/>
    </row>
    <row r="180" spans="1:28">
      <c r="A180" s="618"/>
      <c r="B180" s="618"/>
      <c r="C180" s="618"/>
      <c r="D180" s="644"/>
      <c r="E180" s="618"/>
      <c r="F180" s="618"/>
      <c r="G180" s="618"/>
      <c r="H180" s="618"/>
      <c r="I180" s="618"/>
      <c r="J180" s="618"/>
      <c r="K180" s="618"/>
      <c r="L180" s="618"/>
      <c r="M180" s="618"/>
      <c r="N180" s="618"/>
      <c r="O180" s="618"/>
      <c r="P180" s="618"/>
      <c r="Q180" s="618"/>
      <c r="R180" s="618"/>
      <c r="S180" s="618"/>
      <c r="T180" s="618"/>
      <c r="U180" s="618"/>
      <c r="V180" s="618"/>
      <c r="W180" s="618"/>
      <c r="X180" s="618"/>
      <c r="Y180" s="618"/>
      <c r="Z180" s="618"/>
      <c r="AA180" s="618"/>
      <c r="AB180" s="618"/>
    </row>
    <row r="181" spans="1:28">
      <c r="A181" s="618"/>
      <c r="B181" s="618"/>
      <c r="C181" s="618"/>
      <c r="D181" s="644"/>
      <c r="E181" s="618"/>
      <c r="F181" s="618"/>
      <c r="G181" s="618"/>
      <c r="H181" s="618"/>
      <c r="I181" s="618"/>
      <c r="J181" s="618"/>
      <c r="K181" s="618"/>
      <c r="L181" s="618"/>
      <c r="M181" s="618"/>
      <c r="N181" s="618"/>
      <c r="O181" s="618"/>
      <c r="P181" s="618"/>
      <c r="Q181" s="618"/>
      <c r="R181" s="618"/>
      <c r="S181" s="618"/>
      <c r="T181" s="618"/>
      <c r="U181" s="618"/>
      <c r="V181" s="618"/>
      <c r="W181" s="618"/>
      <c r="X181" s="618"/>
      <c r="Y181" s="618"/>
      <c r="Z181" s="618"/>
      <c r="AA181" s="618"/>
      <c r="AB181" s="618"/>
    </row>
    <row r="182" spans="1:28">
      <c r="A182" s="618"/>
      <c r="B182" s="618"/>
      <c r="C182" s="618"/>
      <c r="D182" s="644"/>
      <c r="E182" s="618"/>
      <c r="F182" s="618"/>
      <c r="G182" s="618"/>
      <c r="H182" s="618"/>
      <c r="I182" s="618"/>
      <c r="J182" s="618"/>
      <c r="K182" s="618"/>
      <c r="L182" s="618"/>
      <c r="M182" s="618"/>
      <c r="N182" s="618"/>
      <c r="O182" s="618"/>
      <c r="P182" s="618"/>
      <c r="Q182" s="618"/>
      <c r="R182" s="618"/>
      <c r="S182" s="618"/>
      <c r="T182" s="618"/>
      <c r="U182" s="618"/>
      <c r="V182" s="618"/>
      <c r="W182" s="618"/>
      <c r="X182" s="618"/>
      <c r="Y182" s="618"/>
      <c r="Z182" s="618"/>
      <c r="AA182" s="618"/>
      <c r="AB182" s="618"/>
    </row>
    <row r="183" spans="1:28">
      <c r="A183" s="618"/>
      <c r="B183" s="618"/>
      <c r="C183" s="618"/>
      <c r="D183" s="644"/>
      <c r="E183" s="618"/>
      <c r="F183" s="618"/>
      <c r="G183" s="618"/>
      <c r="H183" s="618"/>
      <c r="I183" s="618"/>
      <c r="J183" s="618"/>
      <c r="K183" s="618"/>
      <c r="L183" s="618"/>
      <c r="M183" s="618"/>
      <c r="N183" s="618"/>
      <c r="O183" s="618"/>
      <c r="P183" s="618"/>
      <c r="Q183" s="618"/>
      <c r="R183" s="618"/>
      <c r="S183" s="618"/>
      <c r="T183" s="618"/>
      <c r="U183" s="618"/>
      <c r="V183" s="618"/>
      <c r="W183" s="618"/>
      <c r="X183" s="618"/>
      <c r="Y183" s="618"/>
      <c r="Z183" s="618"/>
      <c r="AA183" s="618"/>
      <c r="AB183" s="618"/>
    </row>
    <row r="184" spans="1:28">
      <c r="A184" s="618"/>
      <c r="B184" s="618"/>
      <c r="C184" s="618"/>
      <c r="D184" s="644"/>
      <c r="E184" s="618"/>
      <c r="F184" s="618"/>
      <c r="G184" s="618"/>
      <c r="H184" s="618"/>
      <c r="I184" s="618"/>
      <c r="J184" s="618"/>
      <c r="K184" s="618"/>
      <c r="L184" s="618"/>
      <c r="M184" s="618"/>
      <c r="N184" s="618"/>
      <c r="O184" s="618"/>
      <c r="P184" s="618"/>
      <c r="Q184" s="618"/>
      <c r="R184" s="618"/>
      <c r="S184" s="618"/>
      <c r="T184" s="618"/>
      <c r="U184" s="618"/>
      <c r="V184" s="618"/>
      <c r="W184" s="618"/>
      <c r="X184" s="618"/>
      <c r="Y184" s="618"/>
      <c r="Z184" s="618"/>
      <c r="AA184" s="618"/>
      <c r="AB184" s="618"/>
    </row>
    <row r="185" spans="1:28">
      <c r="A185" s="618"/>
      <c r="B185" s="618"/>
      <c r="C185" s="618"/>
      <c r="D185" s="644"/>
      <c r="E185" s="618"/>
      <c r="F185" s="618"/>
      <c r="G185" s="618"/>
      <c r="H185" s="618"/>
      <c r="I185" s="618"/>
      <c r="J185" s="618"/>
      <c r="K185" s="618"/>
      <c r="L185" s="618"/>
      <c r="M185" s="618"/>
      <c r="N185" s="618"/>
      <c r="O185" s="618"/>
      <c r="P185" s="618"/>
      <c r="Q185" s="618"/>
      <c r="R185" s="618"/>
      <c r="S185" s="618"/>
      <c r="T185" s="618"/>
      <c r="U185" s="618"/>
      <c r="V185" s="618"/>
      <c r="W185" s="618"/>
      <c r="X185" s="618"/>
      <c r="Y185" s="618"/>
      <c r="Z185" s="618"/>
      <c r="AA185" s="618"/>
      <c r="AB185" s="618"/>
    </row>
    <row r="186" spans="1:28">
      <c r="A186" s="618"/>
      <c r="B186" s="618"/>
      <c r="C186" s="618"/>
      <c r="D186" s="644"/>
      <c r="E186" s="618"/>
      <c r="F186" s="618"/>
      <c r="G186" s="618"/>
      <c r="H186" s="618"/>
      <c r="I186" s="618"/>
      <c r="J186" s="618"/>
      <c r="K186" s="618"/>
      <c r="L186" s="618"/>
      <c r="M186" s="618"/>
      <c r="N186" s="618"/>
      <c r="O186" s="618"/>
      <c r="P186" s="618"/>
      <c r="Q186" s="618"/>
      <c r="R186" s="618"/>
      <c r="S186" s="618"/>
      <c r="T186" s="618"/>
      <c r="U186" s="618"/>
      <c r="V186" s="618"/>
      <c r="W186" s="618"/>
      <c r="X186" s="618"/>
      <c r="Y186" s="618"/>
      <c r="Z186" s="618"/>
      <c r="AA186" s="618"/>
      <c r="AB186" s="618"/>
    </row>
    <row r="187" spans="1:28">
      <c r="A187" s="618"/>
      <c r="B187" s="618"/>
      <c r="C187" s="618"/>
      <c r="D187" s="644"/>
      <c r="E187" s="618"/>
      <c r="F187" s="618"/>
      <c r="G187" s="618"/>
      <c r="H187" s="618"/>
      <c r="I187" s="618"/>
      <c r="J187" s="618"/>
      <c r="K187" s="618"/>
      <c r="L187" s="618"/>
      <c r="M187" s="618"/>
      <c r="N187" s="618"/>
      <c r="O187" s="618"/>
      <c r="P187" s="618"/>
      <c r="Q187" s="618"/>
      <c r="R187" s="618"/>
      <c r="S187" s="618"/>
      <c r="T187" s="618"/>
      <c r="U187" s="618"/>
      <c r="V187" s="618"/>
      <c r="W187" s="618"/>
      <c r="X187" s="618"/>
      <c r="Y187" s="618"/>
      <c r="Z187" s="618"/>
      <c r="AA187" s="618"/>
      <c r="AB187" s="618"/>
    </row>
    <row r="188" spans="1:28">
      <c r="A188" s="618"/>
      <c r="B188" s="618"/>
      <c r="C188" s="618"/>
      <c r="D188" s="644"/>
      <c r="E188" s="618"/>
      <c r="F188" s="618"/>
      <c r="G188" s="618"/>
      <c r="H188" s="618"/>
      <c r="I188" s="618"/>
      <c r="J188" s="618"/>
      <c r="K188" s="618"/>
      <c r="L188" s="618"/>
      <c r="M188" s="618"/>
      <c r="N188" s="618"/>
      <c r="O188" s="618"/>
      <c r="P188" s="618"/>
      <c r="Q188" s="618"/>
      <c r="R188" s="618"/>
      <c r="S188" s="618"/>
      <c r="T188" s="618"/>
      <c r="U188" s="618"/>
      <c r="V188" s="618"/>
      <c r="W188" s="618"/>
      <c r="X188" s="618"/>
      <c r="Y188" s="618"/>
      <c r="Z188" s="618"/>
      <c r="AA188" s="618"/>
      <c r="AB188" s="618"/>
    </row>
    <row r="189" spans="1:28">
      <c r="A189" s="618"/>
      <c r="B189" s="618"/>
      <c r="C189" s="618"/>
      <c r="D189" s="644"/>
      <c r="E189" s="618"/>
      <c r="F189" s="618"/>
      <c r="G189" s="618"/>
      <c r="H189" s="618"/>
      <c r="I189" s="618"/>
      <c r="J189" s="618"/>
      <c r="K189" s="618"/>
      <c r="L189" s="618"/>
      <c r="M189" s="618"/>
      <c r="N189" s="618"/>
      <c r="O189" s="618"/>
      <c r="P189" s="618"/>
      <c r="Q189" s="618"/>
      <c r="R189" s="618"/>
      <c r="S189" s="618"/>
      <c r="T189" s="618"/>
      <c r="U189" s="618"/>
      <c r="V189" s="618"/>
      <c r="W189" s="618"/>
      <c r="X189" s="618"/>
      <c r="Y189" s="618"/>
      <c r="Z189" s="618"/>
      <c r="AA189" s="618"/>
      <c r="AB189" s="618"/>
    </row>
    <row r="190" spans="1:28">
      <c r="A190" s="618"/>
      <c r="B190" s="618"/>
      <c r="C190" s="618"/>
      <c r="D190" s="644"/>
      <c r="E190" s="618"/>
      <c r="F190" s="618"/>
      <c r="G190" s="618"/>
      <c r="H190" s="618"/>
      <c r="I190" s="618"/>
      <c r="J190" s="618"/>
      <c r="K190" s="618"/>
      <c r="L190" s="618"/>
      <c r="M190" s="618"/>
      <c r="N190" s="618"/>
      <c r="O190" s="618"/>
      <c r="P190" s="618"/>
      <c r="Q190" s="618"/>
      <c r="R190" s="618"/>
      <c r="S190" s="618"/>
      <c r="T190" s="618"/>
      <c r="U190" s="618"/>
      <c r="V190" s="618"/>
      <c r="W190" s="618"/>
      <c r="X190" s="618"/>
      <c r="Y190" s="618"/>
      <c r="Z190" s="618"/>
      <c r="AA190" s="618"/>
      <c r="AB190" s="618"/>
    </row>
    <row r="191" spans="1:28">
      <c r="A191" s="618"/>
      <c r="B191" s="618"/>
      <c r="C191" s="618"/>
      <c r="D191" s="644"/>
      <c r="E191" s="618"/>
      <c r="F191" s="618"/>
      <c r="G191" s="618"/>
      <c r="H191" s="618"/>
      <c r="I191" s="618"/>
      <c r="J191" s="618"/>
      <c r="K191" s="618"/>
      <c r="L191" s="618"/>
      <c r="M191" s="618"/>
      <c r="N191" s="618"/>
      <c r="O191" s="618"/>
      <c r="P191" s="618"/>
      <c r="Q191" s="618"/>
      <c r="R191" s="618"/>
      <c r="S191" s="618"/>
      <c r="T191" s="618"/>
      <c r="U191" s="618"/>
      <c r="V191" s="618"/>
      <c r="W191" s="618"/>
      <c r="X191" s="618"/>
      <c r="Y191" s="618"/>
      <c r="Z191" s="618"/>
      <c r="AA191" s="618"/>
      <c r="AB191" s="618"/>
    </row>
    <row r="192" spans="1:28">
      <c r="A192" s="618"/>
      <c r="B192" s="618"/>
      <c r="C192" s="618"/>
      <c r="D192" s="644"/>
      <c r="E192" s="618"/>
      <c r="F192" s="618"/>
      <c r="G192" s="618"/>
      <c r="H192" s="618"/>
      <c r="I192" s="618"/>
      <c r="J192" s="618"/>
      <c r="K192" s="618"/>
      <c r="L192" s="618"/>
      <c r="M192" s="618"/>
      <c r="N192" s="618"/>
      <c r="O192" s="618"/>
      <c r="P192" s="618"/>
      <c r="Q192" s="618"/>
      <c r="R192" s="618"/>
      <c r="S192" s="618"/>
      <c r="T192" s="618"/>
      <c r="U192" s="618"/>
      <c r="V192" s="618"/>
      <c r="W192" s="618"/>
      <c r="X192" s="618"/>
      <c r="Y192" s="618"/>
      <c r="Z192" s="618"/>
      <c r="AA192" s="618"/>
      <c r="AB192" s="618"/>
    </row>
    <row r="193" spans="1:28">
      <c r="A193" s="618"/>
      <c r="B193" s="618"/>
      <c r="C193" s="618"/>
      <c r="D193" s="644"/>
      <c r="E193" s="618"/>
      <c r="F193" s="618"/>
      <c r="G193" s="618"/>
      <c r="H193" s="618"/>
      <c r="I193" s="618"/>
      <c r="J193" s="618"/>
      <c r="K193" s="618"/>
      <c r="L193" s="618"/>
      <c r="M193" s="618"/>
      <c r="N193" s="618"/>
      <c r="O193" s="618"/>
      <c r="P193" s="618"/>
      <c r="Q193" s="618"/>
      <c r="R193" s="618"/>
      <c r="S193" s="618"/>
      <c r="T193" s="618"/>
      <c r="U193" s="618"/>
      <c r="V193" s="618"/>
      <c r="W193" s="618"/>
      <c r="X193" s="618"/>
      <c r="Y193" s="618"/>
      <c r="Z193" s="618"/>
      <c r="AA193" s="618"/>
      <c r="AB193" s="618"/>
    </row>
    <row r="194" spans="1:28">
      <c r="A194" s="618"/>
      <c r="B194" s="618"/>
      <c r="C194" s="618"/>
      <c r="D194" s="644"/>
      <c r="E194" s="618"/>
      <c r="F194" s="618"/>
      <c r="G194" s="618"/>
      <c r="H194" s="618"/>
      <c r="I194" s="618"/>
      <c r="J194" s="618"/>
      <c r="K194" s="618"/>
      <c r="L194" s="618"/>
      <c r="M194" s="618"/>
      <c r="N194" s="618"/>
      <c r="O194" s="618"/>
      <c r="P194" s="618"/>
      <c r="Q194" s="618"/>
      <c r="R194" s="618"/>
      <c r="S194" s="618"/>
      <c r="T194" s="618"/>
      <c r="U194" s="618"/>
      <c r="V194" s="618"/>
      <c r="W194" s="618"/>
      <c r="X194" s="618"/>
      <c r="Y194" s="618"/>
      <c r="Z194" s="618"/>
      <c r="AA194" s="618"/>
      <c r="AB194" s="618"/>
    </row>
    <row r="195" spans="1:28">
      <c r="A195" s="618"/>
      <c r="B195" s="618"/>
      <c r="C195" s="618"/>
      <c r="D195" s="644"/>
      <c r="E195" s="618"/>
      <c r="F195" s="618"/>
      <c r="G195" s="618"/>
      <c r="H195" s="618"/>
      <c r="I195" s="618"/>
      <c r="J195" s="618"/>
      <c r="K195" s="618"/>
      <c r="L195" s="618"/>
      <c r="M195" s="618"/>
      <c r="N195" s="618"/>
      <c r="O195" s="618"/>
      <c r="P195" s="618"/>
      <c r="Q195" s="618"/>
      <c r="R195" s="618"/>
      <c r="S195" s="618"/>
      <c r="T195" s="618"/>
      <c r="U195" s="618"/>
      <c r="V195" s="618"/>
      <c r="W195" s="618"/>
      <c r="X195" s="618"/>
      <c r="Y195" s="618"/>
      <c r="Z195" s="618"/>
      <c r="AA195" s="618"/>
      <c r="AB195" s="618"/>
    </row>
    <row r="196" spans="1:28">
      <c r="A196" s="618"/>
      <c r="B196" s="618"/>
      <c r="C196" s="618"/>
      <c r="D196" s="644"/>
      <c r="E196" s="618"/>
      <c r="F196" s="618"/>
      <c r="G196" s="618"/>
      <c r="H196" s="618"/>
      <c r="I196" s="618"/>
      <c r="J196" s="618"/>
      <c r="K196" s="618"/>
      <c r="L196" s="618"/>
      <c r="M196" s="618"/>
      <c r="N196" s="618"/>
      <c r="O196" s="618"/>
      <c r="P196" s="618"/>
      <c r="Q196" s="618"/>
      <c r="R196" s="618"/>
      <c r="S196" s="618"/>
      <c r="T196" s="618"/>
      <c r="U196" s="618"/>
      <c r="V196" s="618"/>
      <c r="W196" s="618"/>
      <c r="X196" s="618"/>
      <c r="Y196" s="618"/>
      <c r="Z196" s="618"/>
      <c r="AA196" s="618"/>
      <c r="AB196" s="618"/>
    </row>
    <row r="197" spans="1:28">
      <c r="A197" s="618"/>
      <c r="B197" s="618"/>
      <c r="C197" s="618"/>
      <c r="D197" s="644"/>
      <c r="E197" s="618"/>
      <c r="F197" s="618"/>
      <c r="G197" s="618"/>
      <c r="H197" s="618"/>
      <c r="I197" s="618"/>
      <c r="J197" s="618"/>
      <c r="K197" s="618"/>
      <c r="L197" s="618"/>
      <c r="M197" s="618"/>
      <c r="N197" s="618"/>
      <c r="O197" s="618"/>
      <c r="P197" s="618"/>
      <c r="Q197" s="618"/>
      <c r="R197" s="618"/>
      <c r="S197" s="618"/>
      <c r="T197" s="618"/>
      <c r="U197" s="618"/>
      <c r="V197" s="618"/>
      <c r="W197" s="618"/>
      <c r="X197" s="618"/>
      <c r="Y197" s="618"/>
      <c r="Z197" s="618"/>
      <c r="AA197" s="618"/>
      <c r="AB197" s="618"/>
    </row>
    <row r="198" spans="1:28">
      <c r="A198" s="618"/>
      <c r="B198" s="618"/>
      <c r="C198" s="618"/>
      <c r="D198" s="644"/>
      <c r="E198" s="618"/>
      <c r="F198" s="618"/>
      <c r="G198" s="618"/>
      <c r="H198" s="618"/>
      <c r="I198" s="618"/>
      <c r="J198" s="618"/>
      <c r="K198" s="618"/>
      <c r="L198" s="618"/>
      <c r="M198" s="618"/>
      <c r="N198" s="618"/>
      <c r="O198" s="618"/>
      <c r="P198" s="618"/>
      <c r="Q198" s="618"/>
      <c r="R198" s="618"/>
      <c r="S198" s="618"/>
      <c r="T198" s="618"/>
      <c r="U198" s="618"/>
      <c r="V198" s="618"/>
      <c r="W198" s="618"/>
      <c r="X198" s="618"/>
      <c r="Y198" s="618"/>
      <c r="Z198" s="618"/>
      <c r="AA198" s="618"/>
      <c r="AB198" s="618"/>
    </row>
    <row r="199" spans="1:28">
      <c r="A199" s="618"/>
      <c r="B199" s="618"/>
      <c r="C199" s="618"/>
      <c r="D199" s="644"/>
      <c r="E199" s="618"/>
      <c r="F199" s="618"/>
      <c r="G199" s="618"/>
      <c r="H199" s="618"/>
      <c r="I199" s="618"/>
      <c r="J199" s="618"/>
      <c r="K199" s="618"/>
      <c r="L199" s="618"/>
      <c r="M199" s="618"/>
      <c r="N199" s="618"/>
      <c r="O199" s="618"/>
      <c r="P199" s="618"/>
      <c r="Q199" s="618"/>
      <c r="R199" s="618"/>
      <c r="S199" s="618"/>
      <c r="T199" s="618"/>
      <c r="U199" s="618"/>
      <c r="V199" s="618"/>
      <c r="W199" s="618"/>
      <c r="X199" s="618"/>
      <c r="Y199" s="618"/>
      <c r="Z199" s="618"/>
      <c r="AA199" s="618"/>
      <c r="AB199" s="618"/>
    </row>
    <row r="200" spans="1:28">
      <c r="A200" s="618"/>
      <c r="B200" s="618"/>
      <c r="C200" s="618"/>
      <c r="D200" s="644"/>
      <c r="E200" s="618"/>
      <c r="F200" s="618"/>
      <c r="G200" s="618"/>
      <c r="H200" s="618"/>
      <c r="I200" s="618"/>
      <c r="J200" s="618"/>
      <c r="K200" s="618"/>
      <c r="L200" s="618"/>
      <c r="M200" s="618"/>
      <c r="N200" s="618"/>
      <c r="O200" s="618"/>
      <c r="P200" s="618"/>
      <c r="Q200" s="618"/>
      <c r="R200" s="618"/>
      <c r="S200" s="618"/>
      <c r="T200" s="618"/>
      <c r="U200" s="618"/>
      <c r="V200" s="618"/>
      <c r="W200" s="618"/>
      <c r="X200" s="618"/>
      <c r="Y200" s="618"/>
      <c r="Z200" s="618"/>
      <c r="AA200" s="618"/>
      <c r="AB200" s="618"/>
    </row>
    <row r="201" spans="1:28">
      <c r="A201" s="618"/>
      <c r="B201" s="618"/>
      <c r="C201" s="618"/>
      <c r="D201" s="644"/>
      <c r="E201" s="618"/>
      <c r="F201" s="618"/>
      <c r="G201" s="618"/>
      <c r="H201" s="618"/>
      <c r="I201" s="618"/>
      <c r="J201" s="618"/>
      <c r="K201" s="618"/>
      <c r="L201" s="618"/>
      <c r="M201" s="618"/>
      <c r="N201" s="618"/>
      <c r="O201" s="618"/>
      <c r="P201" s="618"/>
      <c r="Q201" s="618"/>
      <c r="R201" s="618"/>
      <c r="S201" s="618"/>
      <c r="T201" s="618"/>
      <c r="U201" s="618"/>
      <c r="V201" s="618"/>
      <c r="W201" s="618"/>
      <c r="X201" s="618"/>
      <c r="Y201" s="618"/>
      <c r="Z201" s="618"/>
      <c r="AA201" s="618"/>
      <c r="AB201" s="618"/>
    </row>
    <row r="202" spans="1:28">
      <c r="A202" s="618"/>
      <c r="B202" s="618"/>
      <c r="C202" s="618"/>
      <c r="D202" s="644"/>
      <c r="E202" s="618"/>
      <c r="F202" s="618"/>
      <c r="G202" s="618"/>
      <c r="H202" s="618"/>
      <c r="I202" s="618"/>
      <c r="J202" s="618"/>
      <c r="K202" s="618"/>
      <c r="L202" s="618"/>
      <c r="M202" s="618"/>
      <c r="N202" s="618"/>
      <c r="O202" s="618"/>
      <c r="P202" s="618"/>
      <c r="Q202" s="618"/>
      <c r="R202" s="618"/>
      <c r="S202" s="618"/>
      <c r="T202" s="618"/>
      <c r="U202" s="618"/>
      <c r="V202" s="618"/>
      <c r="W202" s="618"/>
      <c r="X202" s="618"/>
      <c r="Y202" s="618"/>
      <c r="Z202" s="618"/>
      <c r="AA202" s="618"/>
      <c r="AB202" s="618"/>
    </row>
    <row r="203" spans="1:28">
      <c r="A203" s="618"/>
      <c r="B203" s="618"/>
      <c r="C203" s="618"/>
      <c r="D203" s="644"/>
      <c r="E203" s="618"/>
      <c r="F203" s="618"/>
      <c r="G203" s="618"/>
      <c r="H203" s="618"/>
      <c r="I203" s="618"/>
      <c r="J203" s="618"/>
      <c r="K203" s="618"/>
      <c r="L203" s="618"/>
      <c r="M203" s="618"/>
      <c r="N203" s="618"/>
      <c r="O203" s="618"/>
      <c r="P203" s="618"/>
      <c r="Q203" s="618"/>
      <c r="R203" s="618"/>
      <c r="S203" s="618"/>
      <c r="T203" s="618"/>
      <c r="U203" s="618"/>
      <c r="V203" s="618"/>
      <c r="W203" s="618"/>
      <c r="X203" s="618"/>
      <c r="Y203" s="618"/>
      <c r="Z203" s="618"/>
      <c r="AA203" s="618"/>
      <c r="AB203" s="618"/>
    </row>
    <row r="204" spans="1:28">
      <c r="A204" s="618"/>
      <c r="B204" s="618"/>
      <c r="C204" s="618"/>
      <c r="D204" s="644"/>
      <c r="E204" s="618"/>
      <c r="F204" s="618"/>
      <c r="G204" s="618"/>
      <c r="H204" s="618"/>
      <c r="I204" s="618"/>
      <c r="J204" s="618"/>
      <c r="K204" s="618"/>
      <c r="L204" s="618"/>
      <c r="M204" s="618"/>
      <c r="N204" s="618"/>
      <c r="O204" s="618"/>
      <c r="P204" s="618"/>
      <c r="Q204" s="618"/>
      <c r="R204" s="618"/>
      <c r="S204" s="618"/>
      <c r="T204" s="618"/>
      <c r="U204" s="618"/>
      <c r="V204" s="618"/>
      <c r="W204" s="618"/>
      <c r="X204" s="618"/>
      <c r="Y204" s="618"/>
      <c r="Z204" s="618"/>
      <c r="AA204" s="618"/>
      <c r="AB204" s="618"/>
    </row>
    <row r="205" spans="1:28">
      <c r="A205" s="618"/>
      <c r="B205" s="618"/>
      <c r="C205" s="618"/>
      <c r="D205" s="644"/>
      <c r="E205" s="618"/>
      <c r="F205" s="618"/>
      <c r="G205" s="618"/>
      <c r="H205" s="618"/>
      <c r="I205" s="618"/>
      <c r="J205" s="618"/>
      <c r="K205" s="618"/>
      <c r="L205" s="618"/>
      <c r="M205" s="618"/>
      <c r="N205" s="618"/>
      <c r="O205" s="618"/>
      <c r="P205" s="618"/>
      <c r="Q205" s="618"/>
      <c r="R205" s="618"/>
      <c r="S205" s="618"/>
      <c r="T205" s="618"/>
      <c r="U205" s="618"/>
      <c r="V205" s="618"/>
      <c r="W205" s="618"/>
      <c r="X205" s="618"/>
      <c r="Y205" s="618"/>
      <c r="Z205" s="618"/>
      <c r="AA205" s="618"/>
      <c r="AB205" s="618"/>
    </row>
    <row r="206" spans="1:28">
      <c r="A206" s="618"/>
      <c r="B206" s="618"/>
      <c r="C206" s="618"/>
      <c r="D206" s="644"/>
      <c r="E206" s="618"/>
      <c r="F206" s="618"/>
      <c r="G206" s="618"/>
      <c r="H206" s="618"/>
      <c r="I206" s="618"/>
      <c r="J206" s="618"/>
      <c r="K206" s="618"/>
      <c r="L206" s="618"/>
      <c r="M206" s="618"/>
      <c r="N206" s="618"/>
      <c r="O206" s="618"/>
      <c r="P206" s="618"/>
      <c r="Q206" s="618"/>
      <c r="R206" s="618"/>
      <c r="S206" s="618"/>
      <c r="T206" s="618"/>
      <c r="U206" s="618"/>
      <c r="V206" s="618"/>
      <c r="W206" s="618"/>
      <c r="X206" s="618"/>
      <c r="Y206" s="618"/>
      <c r="Z206" s="618"/>
      <c r="AA206" s="618"/>
      <c r="AB206" s="618"/>
    </row>
    <row r="207" spans="1:28">
      <c r="A207" s="618"/>
      <c r="B207" s="618"/>
      <c r="C207" s="618"/>
      <c r="D207" s="644"/>
      <c r="E207" s="618"/>
      <c r="F207" s="618"/>
      <c r="G207" s="618"/>
      <c r="H207" s="618"/>
      <c r="I207" s="618"/>
      <c r="J207" s="618"/>
      <c r="K207" s="618"/>
      <c r="L207" s="618"/>
      <c r="M207" s="618"/>
      <c r="N207" s="618"/>
      <c r="O207" s="618"/>
      <c r="P207" s="618"/>
      <c r="Q207" s="618"/>
      <c r="R207" s="618"/>
      <c r="S207" s="618"/>
      <c r="T207" s="618"/>
      <c r="U207" s="618"/>
      <c r="V207" s="618"/>
      <c r="W207" s="618"/>
      <c r="X207" s="618"/>
      <c r="Y207" s="618"/>
      <c r="Z207" s="618"/>
      <c r="AA207" s="618"/>
      <c r="AB207" s="618"/>
    </row>
    <row r="208" spans="1:28">
      <c r="A208" s="618"/>
      <c r="B208" s="618"/>
      <c r="C208" s="618"/>
      <c r="D208" s="644"/>
      <c r="E208" s="618"/>
      <c r="F208" s="618"/>
      <c r="G208" s="618"/>
      <c r="H208" s="618"/>
      <c r="I208" s="618"/>
      <c r="J208" s="618"/>
      <c r="K208" s="618"/>
      <c r="L208" s="618"/>
      <c r="M208" s="618"/>
      <c r="N208" s="618"/>
      <c r="O208" s="618"/>
      <c r="P208" s="618"/>
      <c r="Q208" s="618"/>
      <c r="R208" s="618"/>
      <c r="S208" s="618"/>
      <c r="T208" s="618"/>
      <c r="U208" s="618"/>
      <c r="V208" s="618"/>
      <c r="W208" s="618"/>
      <c r="X208" s="618"/>
      <c r="Y208" s="618"/>
      <c r="Z208" s="618"/>
      <c r="AA208" s="618"/>
      <c r="AB208" s="618"/>
    </row>
    <row r="209" spans="1:28">
      <c r="A209" s="618"/>
      <c r="B209" s="618"/>
      <c r="C209" s="618"/>
      <c r="D209" s="644"/>
      <c r="E209" s="618"/>
      <c r="F209" s="618"/>
      <c r="G209" s="618"/>
      <c r="H209" s="618"/>
      <c r="I209" s="618"/>
      <c r="J209" s="618"/>
      <c r="K209" s="618"/>
      <c r="L209" s="618"/>
      <c r="M209" s="618"/>
      <c r="N209" s="618"/>
      <c r="O209" s="618"/>
      <c r="P209" s="618"/>
      <c r="Q209" s="618"/>
      <c r="R209" s="618"/>
      <c r="S209" s="618"/>
      <c r="T209" s="618"/>
      <c r="U209" s="618"/>
      <c r="V209" s="618"/>
      <c r="W209" s="618"/>
      <c r="X209" s="618"/>
      <c r="Y209" s="618"/>
      <c r="Z209" s="618"/>
      <c r="AA209" s="618"/>
      <c r="AB209" s="618"/>
    </row>
    <row r="210" spans="1:28">
      <c r="A210" s="618"/>
      <c r="B210" s="618"/>
      <c r="C210" s="618"/>
      <c r="D210" s="644"/>
      <c r="E210" s="618"/>
      <c r="F210" s="618"/>
      <c r="G210" s="618"/>
      <c r="H210" s="618"/>
      <c r="I210" s="618"/>
      <c r="J210" s="618"/>
      <c r="K210" s="618"/>
      <c r="L210" s="618"/>
      <c r="M210" s="618"/>
      <c r="N210" s="618"/>
      <c r="O210" s="618"/>
      <c r="P210" s="618"/>
      <c r="Q210" s="618"/>
      <c r="R210" s="618"/>
      <c r="S210" s="618"/>
      <c r="T210" s="618"/>
      <c r="U210" s="618"/>
      <c r="V210" s="618"/>
      <c r="W210" s="618"/>
      <c r="X210" s="618"/>
      <c r="Y210" s="618"/>
      <c r="Z210" s="618"/>
      <c r="AA210" s="618"/>
      <c r="AB210" s="618"/>
    </row>
    <row r="211" spans="1:28">
      <c r="A211" s="618"/>
      <c r="B211" s="618"/>
      <c r="C211" s="618"/>
      <c r="D211" s="644"/>
      <c r="E211" s="618"/>
      <c r="F211" s="618"/>
      <c r="G211" s="618"/>
      <c r="H211" s="618"/>
      <c r="I211" s="618"/>
      <c r="J211" s="618"/>
      <c r="K211" s="618"/>
      <c r="L211" s="618"/>
      <c r="M211" s="618"/>
      <c r="N211" s="618"/>
      <c r="O211" s="618"/>
      <c r="P211" s="618"/>
      <c r="Q211" s="618"/>
      <c r="R211" s="618"/>
      <c r="S211" s="618"/>
      <c r="T211" s="618"/>
      <c r="U211" s="618"/>
      <c r="V211" s="618"/>
      <c r="W211" s="618"/>
      <c r="X211" s="618"/>
      <c r="Y211" s="618"/>
      <c r="Z211" s="618"/>
      <c r="AA211" s="618"/>
      <c r="AB211" s="618"/>
    </row>
    <row r="212" spans="1:28">
      <c r="A212" s="618"/>
      <c r="B212" s="618"/>
      <c r="C212" s="618"/>
      <c r="D212" s="644"/>
      <c r="E212" s="618"/>
      <c r="F212" s="618"/>
      <c r="G212" s="618"/>
      <c r="H212" s="618"/>
      <c r="I212" s="618"/>
      <c r="J212" s="618"/>
      <c r="K212" s="618"/>
      <c r="L212" s="618"/>
      <c r="M212" s="618"/>
      <c r="N212" s="618"/>
      <c r="O212" s="618"/>
      <c r="P212" s="618"/>
      <c r="Q212" s="618"/>
      <c r="R212" s="618"/>
      <c r="S212" s="618"/>
      <c r="T212" s="618"/>
      <c r="U212" s="618"/>
      <c r="V212" s="618"/>
      <c r="W212" s="618"/>
      <c r="X212" s="618"/>
      <c r="Y212" s="618"/>
      <c r="Z212" s="618"/>
      <c r="AA212" s="618"/>
      <c r="AB212" s="618"/>
    </row>
    <row r="213" spans="1:28">
      <c r="A213" s="618"/>
      <c r="B213" s="618"/>
      <c r="C213" s="618"/>
      <c r="D213" s="644"/>
      <c r="E213" s="618"/>
      <c r="F213" s="618"/>
      <c r="G213" s="618"/>
      <c r="H213" s="618"/>
      <c r="I213" s="618"/>
      <c r="J213" s="618"/>
      <c r="K213" s="618"/>
      <c r="L213" s="618"/>
      <c r="M213" s="618"/>
      <c r="N213" s="618"/>
      <c r="O213" s="618"/>
      <c r="P213" s="618"/>
      <c r="Q213" s="618"/>
      <c r="R213" s="618"/>
      <c r="S213" s="618"/>
      <c r="T213" s="618"/>
      <c r="U213" s="618"/>
      <c r="V213" s="618"/>
      <c r="W213" s="618"/>
      <c r="X213" s="618"/>
      <c r="Y213" s="618"/>
      <c r="Z213" s="618"/>
      <c r="AA213" s="618"/>
      <c r="AB213" s="618"/>
    </row>
    <row r="214" spans="1:28">
      <c r="A214" s="618"/>
      <c r="B214" s="618"/>
      <c r="C214" s="618"/>
      <c r="D214" s="644"/>
      <c r="E214" s="618"/>
      <c r="F214" s="618"/>
      <c r="G214" s="618"/>
      <c r="H214" s="618"/>
      <c r="I214" s="618"/>
      <c r="J214" s="618"/>
      <c r="K214" s="618"/>
      <c r="L214" s="618"/>
      <c r="M214" s="618"/>
      <c r="N214" s="618"/>
      <c r="O214" s="618"/>
      <c r="P214" s="618"/>
      <c r="Q214" s="618"/>
      <c r="R214" s="618"/>
      <c r="S214" s="618"/>
      <c r="T214" s="618"/>
      <c r="U214" s="618"/>
      <c r="V214" s="618"/>
      <c r="W214" s="618"/>
      <c r="X214" s="618"/>
      <c r="Y214" s="618"/>
      <c r="Z214" s="618"/>
      <c r="AA214" s="618"/>
      <c r="AB214" s="618"/>
    </row>
    <row r="215" spans="1:28">
      <c r="A215" s="618"/>
      <c r="B215" s="618"/>
      <c r="C215" s="618"/>
      <c r="D215" s="644"/>
      <c r="E215" s="618"/>
      <c r="F215" s="618"/>
      <c r="G215" s="618"/>
      <c r="H215" s="618"/>
      <c r="I215" s="618"/>
      <c r="J215" s="618"/>
      <c r="K215" s="618"/>
      <c r="L215" s="618"/>
      <c r="M215" s="618"/>
      <c r="N215" s="618"/>
      <c r="O215" s="618"/>
      <c r="P215" s="618"/>
      <c r="Q215" s="618"/>
      <c r="R215" s="618"/>
      <c r="S215" s="618"/>
      <c r="T215" s="618"/>
      <c r="U215" s="618"/>
      <c r="V215" s="618"/>
      <c r="W215" s="618"/>
      <c r="X215" s="618"/>
      <c r="Y215" s="618"/>
      <c r="Z215" s="618"/>
      <c r="AA215" s="618"/>
      <c r="AB215" s="618"/>
    </row>
    <row r="216" spans="1:28">
      <c r="A216" s="618"/>
      <c r="B216" s="618"/>
      <c r="C216" s="618"/>
      <c r="D216" s="644"/>
      <c r="E216" s="618"/>
      <c r="F216" s="618"/>
      <c r="G216" s="618"/>
      <c r="H216" s="618"/>
      <c r="I216" s="618"/>
      <c r="J216" s="618"/>
      <c r="K216" s="618"/>
      <c r="L216" s="618"/>
      <c r="M216" s="618"/>
      <c r="N216" s="618"/>
      <c r="O216" s="618"/>
      <c r="P216" s="618"/>
      <c r="Q216" s="618"/>
      <c r="R216" s="618"/>
      <c r="S216" s="618"/>
      <c r="T216" s="618"/>
      <c r="U216" s="618"/>
      <c r="V216" s="618"/>
      <c r="W216" s="618"/>
      <c r="X216" s="618"/>
      <c r="Y216" s="618"/>
      <c r="Z216" s="618"/>
      <c r="AA216" s="618"/>
      <c r="AB216" s="618"/>
    </row>
    <row r="217" spans="1:28">
      <c r="A217" s="618"/>
      <c r="B217" s="618"/>
      <c r="C217" s="618"/>
      <c r="D217" s="644"/>
      <c r="E217" s="618"/>
      <c r="F217" s="618"/>
      <c r="G217" s="618"/>
      <c r="H217" s="618"/>
      <c r="I217" s="618"/>
      <c r="J217" s="618"/>
      <c r="K217" s="618"/>
      <c r="L217" s="618"/>
      <c r="M217" s="618"/>
      <c r="N217" s="618"/>
      <c r="O217" s="618"/>
      <c r="P217" s="618"/>
      <c r="Q217" s="618"/>
      <c r="R217" s="618"/>
      <c r="S217" s="618"/>
      <c r="T217" s="618"/>
      <c r="U217" s="618"/>
      <c r="V217" s="618"/>
      <c r="W217" s="618"/>
      <c r="X217" s="618"/>
      <c r="Y217" s="618"/>
      <c r="Z217" s="618"/>
      <c r="AA217" s="618"/>
      <c r="AB217" s="618"/>
    </row>
    <row r="218" spans="1:28">
      <c r="A218" s="618"/>
      <c r="B218" s="618"/>
      <c r="C218" s="618"/>
      <c r="D218" s="644"/>
      <c r="E218" s="618"/>
      <c r="F218" s="618"/>
      <c r="G218" s="618"/>
      <c r="H218" s="618"/>
      <c r="I218" s="618"/>
      <c r="J218" s="618"/>
      <c r="K218" s="618"/>
      <c r="L218" s="618"/>
      <c r="M218" s="618"/>
      <c r="N218" s="618"/>
      <c r="O218" s="618"/>
      <c r="P218" s="618"/>
      <c r="Q218" s="618"/>
      <c r="R218" s="618"/>
      <c r="S218" s="618"/>
      <c r="T218" s="618"/>
      <c r="U218" s="618"/>
      <c r="V218" s="618"/>
      <c r="W218" s="618"/>
      <c r="X218" s="618"/>
      <c r="Y218" s="618"/>
      <c r="Z218" s="618"/>
      <c r="AA218" s="618"/>
      <c r="AB218" s="618"/>
    </row>
    <row r="219" spans="1:28">
      <c r="A219" s="618"/>
      <c r="B219" s="618"/>
      <c r="C219" s="618"/>
      <c r="D219" s="644"/>
      <c r="E219" s="618"/>
      <c r="F219" s="618"/>
      <c r="G219" s="618"/>
      <c r="H219" s="618"/>
      <c r="I219" s="618"/>
      <c r="J219" s="618"/>
      <c r="K219" s="618"/>
      <c r="L219" s="618"/>
      <c r="M219" s="618"/>
      <c r="N219" s="618"/>
      <c r="O219" s="618"/>
      <c r="P219" s="618"/>
      <c r="Q219" s="618"/>
      <c r="R219" s="618"/>
      <c r="S219" s="618"/>
      <c r="T219" s="618"/>
      <c r="U219" s="618"/>
      <c r="V219" s="618"/>
      <c r="W219" s="618"/>
      <c r="X219" s="618"/>
      <c r="Y219" s="618"/>
      <c r="Z219" s="618"/>
      <c r="AA219" s="618"/>
      <c r="AB219" s="618"/>
    </row>
    <row r="220" spans="1:28">
      <c r="A220" s="618"/>
      <c r="B220" s="618"/>
      <c r="C220" s="618"/>
      <c r="D220" s="644"/>
      <c r="E220" s="618"/>
      <c r="F220" s="618"/>
      <c r="G220" s="618"/>
      <c r="H220" s="618"/>
      <c r="I220" s="618"/>
      <c r="J220" s="618"/>
      <c r="K220" s="618"/>
      <c r="L220" s="618"/>
      <c r="M220" s="618"/>
      <c r="N220" s="618"/>
      <c r="O220" s="618"/>
      <c r="P220" s="618"/>
      <c r="Q220" s="618"/>
      <c r="R220" s="618"/>
      <c r="S220" s="618"/>
      <c r="T220" s="618"/>
      <c r="U220" s="618"/>
      <c r="V220" s="618"/>
      <c r="W220" s="618"/>
      <c r="X220" s="618"/>
      <c r="Y220" s="618"/>
      <c r="Z220" s="618"/>
      <c r="AA220" s="618"/>
      <c r="AB220" s="618"/>
    </row>
    <row r="221" spans="1:28">
      <c r="A221" s="618"/>
      <c r="B221" s="618"/>
      <c r="C221" s="618"/>
      <c r="D221" s="644"/>
      <c r="E221" s="618"/>
      <c r="F221" s="618"/>
      <c r="G221" s="618"/>
      <c r="H221" s="618"/>
      <c r="I221" s="618"/>
      <c r="J221" s="618"/>
      <c r="K221" s="618"/>
      <c r="L221" s="618"/>
      <c r="M221" s="618"/>
      <c r="N221" s="618"/>
      <c r="O221" s="618"/>
      <c r="P221" s="618"/>
      <c r="Q221" s="618"/>
      <c r="R221" s="618"/>
      <c r="S221" s="618"/>
      <c r="T221" s="618"/>
      <c r="U221" s="618"/>
      <c r="V221" s="618"/>
      <c r="W221" s="618"/>
      <c r="X221" s="618"/>
      <c r="Y221" s="618"/>
      <c r="Z221" s="618"/>
      <c r="AA221" s="618"/>
      <c r="AB221" s="618"/>
    </row>
    <row r="222" spans="1:28">
      <c r="A222" s="618"/>
      <c r="B222" s="618"/>
      <c r="C222" s="618"/>
      <c r="D222" s="644"/>
      <c r="E222" s="618"/>
      <c r="F222" s="618"/>
      <c r="G222" s="618"/>
      <c r="H222" s="618"/>
      <c r="I222" s="618"/>
      <c r="J222" s="618"/>
      <c r="K222" s="618"/>
      <c r="L222" s="618"/>
      <c r="M222" s="618"/>
      <c r="N222" s="618"/>
      <c r="O222" s="618"/>
      <c r="P222" s="618"/>
      <c r="Q222" s="618"/>
      <c r="R222" s="618"/>
      <c r="S222" s="618"/>
      <c r="T222" s="618"/>
      <c r="U222" s="618"/>
      <c r="V222" s="618"/>
      <c r="W222" s="618"/>
      <c r="X222" s="618"/>
      <c r="Y222" s="618"/>
      <c r="Z222" s="618"/>
      <c r="AA222" s="618"/>
      <c r="AB222" s="618"/>
    </row>
    <row r="223" spans="1:28">
      <c r="A223" s="618"/>
      <c r="B223" s="618"/>
      <c r="C223" s="618"/>
      <c r="D223" s="644"/>
      <c r="E223" s="618"/>
      <c r="F223" s="618"/>
      <c r="G223" s="618"/>
      <c r="H223" s="618"/>
      <c r="I223" s="618"/>
      <c r="J223" s="618"/>
      <c r="K223" s="618"/>
      <c r="L223" s="618"/>
      <c r="M223" s="618"/>
      <c r="N223" s="618"/>
      <c r="O223" s="618"/>
      <c r="P223" s="618"/>
      <c r="Q223" s="618"/>
      <c r="R223" s="618"/>
      <c r="S223" s="618"/>
      <c r="T223" s="618"/>
      <c r="U223" s="618"/>
      <c r="V223" s="618"/>
      <c r="W223" s="618"/>
      <c r="X223" s="618"/>
      <c r="Y223" s="618"/>
      <c r="Z223" s="618"/>
      <c r="AA223" s="618"/>
      <c r="AB223" s="618"/>
    </row>
    <row r="224" spans="1:28">
      <c r="A224" s="618"/>
      <c r="B224" s="618"/>
      <c r="C224" s="618"/>
      <c r="D224" s="644"/>
      <c r="E224" s="618"/>
      <c r="F224" s="618"/>
      <c r="G224" s="618"/>
      <c r="H224" s="618"/>
      <c r="I224" s="618"/>
      <c r="J224" s="618"/>
      <c r="K224" s="618"/>
      <c r="L224" s="618"/>
      <c r="M224" s="618"/>
      <c r="N224" s="618"/>
      <c r="O224" s="618"/>
      <c r="P224" s="618"/>
      <c r="Q224" s="618"/>
      <c r="R224" s="618"/>
      <c r="S224" s="618"/>
      <c r="T224" s="618"/>
      <c r="U224" s="618"/>
      <c r="V224" s="618"/>
      <c r="W224" s="618"/>
      <c r="X224" s="618"/>
      <c r="Y224" s="618"/>
      <c r="Z224" s="618"/>
      <c r="AA224" s="618"/>
      <c r="AB224" s="618"/>
    </row>
    <row r="225" spans="1:28">
      <c r="A225" s="618"/>
      <c r="B225" s="618"/>
      <c r="C225" s="618"/>
      <c r="D225" s="644"/>
      <c r="E225" s="618"/>
      <c r="F225" s="618"/>
      <c r="G225" s="618"/>
      <c r="H225" s="618"/>
      <c r="I225" s="618"/>
      <c r="J225" s="618"/>
      <c r="K225" s="618"/>
      <c r="L225" s="618"/>
      <c r="M225" s="618"/>
      <c r="N225" s="618"/>
      <c r="O225" s="618"/>
      <c r="P225" s="618"/>
      <c r="Q225" s="618"/>
      <c r="R225" s="618"/>
      <c r="S225" s="618"/>
      <c r="T225" s="618"/>
      <c r="U225" s="618"/>
      <c r="V225" s="618"/>
      <c r="W225" s="618"/>
      <c r="X225" s="618"/>
      <c r="Y225" s="618"/>
      <c r="Z225" s="618"/>
      <c r="AA225" s="618"/>
      <c r="AB225" s="618"/>
    </row>
    <row r="226" spans="1:28">
      <c r="A226" s="618"/>
      <c r="B226" s="618"/>
      <c r="C226" s="618"/>
      <c r="D226" s="644"/>
      <c r="E226" s="618"/>
      <c r="F226" s="618"/>
      <c r="G226" s="618"/>
      <c r="H226" s="618"/>
      <c r="I226" s="618"/>
      <c r="J226" s="618"/>
      <c r="K226" s="618"/>
      <c r="L226" s="618"/>
      <c r="M226" s="618"/>
      <c r="N226" s="618"/>
      <c r="O226" s="618"/>
      <c r="P226" s="618"/>
      <c r="Q226" s="618"/>
      <c r="R226" s="618"/>
      <c r="S226" s="618"/>
      <c r="T226" s="618"/>
      <c r="U226" s="618"/>
      <c r="V226" s="618"/>
      <c r="W226" s="618"/>
      <c r="X226" s="618"/>
      <c r="Y226" s="618"/>
      <c r="Z226" s="618"/>
      <c r="AA226" s="618"/>
      <c r="AB226" s="618"/>
    </row>
    <row r="227" spans="1:28">
      <c r="A227" s="618"/>
      <c r="B227" s="618"/>
      <c r="C227" s="618"/>
      <c r="D227" s="644"/>
      <c r="E227" s="618"/>
      <c r="F227" s="618"/>
      <c r="G227" s="618"/>
      <c r="H227" s="618"/>
      <c r="I227" s="618"/>
      <c r="J227" s="618"/>
      <c r="K227" s="618"/>
      <c r="L227" s="618"/>
      <c r="M227" s="618"/>
      <c r="N227" s="618"/>
      <c r="O227" s="618"/>
      <c r="P227" s="618"/>
      <c r="Q227" s="618"/>
      <c r="R227" s="618"/>
      <c r="S227" s="618"/>
      <c r="T227" s="618"/>
      <c r="U227" s="618"/>
      <c r="V227" s="618"/>
      <c r="W227" s="618"/>
      <c r="X227" s="618"/>
      <c r="Y227" s="618"/>
      <c r="Z227" s="618"/>
      <c r="AA227" s="618"/>
      <c r="AB227" s="618"/>
    </row>
    <row r="228" spans="1:28">
      <c r="A228" s="618"/>
      <c r="B228" s="618"/>
      <c r="C228" s="618"/>
      <c r="D228" s="644"/>
      <c r="E228" s="618"/>
      <c r="F228" s="618"/>
      <c r="G228" s="618"/>
      <c r="H228" s="618"/>
      <c r="I228" s="618"/>
      <c r="J228" s="618"/>
      <c r="K228" s="618"/>
      <c r="L228" s="618"/>
      <c r="M228" s="618"/>
      <c r="N228" s="618"/>
      <c r="O228" s="618"/>
      <c r="P228" s="618"/>
      <c r="Q228" s="618"/>
      <c r="R228" s="618"/>
      <c r="S228" s="618"/>
      <c r="T228" s="618"/>
      <c r="U228" s="618"/>
      <c r="V228" s="618"/>
      <c r="W228" s="618"/>
      <c r="X228" s="618"/>
      <c r="Y228" s="618"/>
      <c r="Z228" s="618"/>
      <c r="AA228" s="618"/>
      <c r="AB228" s="618"/>
    </row>
    <row r="229" spans="1:28">
      <c r="A229" s="618"/>
      <c r="B229" s="618"/>
      <c r="C229" s="618"/>
      <c r="D229" s="644"/>
      <c r="E229" s="618"/>
      <c r="F229" s="618"/>
      <c r="G229" s="618"/>
      <c r="H229" s="618"/>
      <c r="I229" s="618"/>
      <c r="J229" s="618"/>
      <c r="K229" s="618"/>
      <c r="L229" s="618"/>
      <c r="M229" s="618"/>
      <c r="N229" s="618"/>
      <c r="O229" s="618"/>
      <c r="P229" s="618"/>
      <c r="Q229" s="618"/>
      <c r="R229" s="618"/>
      <c r="S229" s="618"/>
      <c r="T229" s="618"/>
      <c r="U229" s="618"/>
      <c r="V229" s="618"/>
      <c r="W229" s="618"/>
      <c r="X229" s="618"/>
      <c r="Y229" s="618"/>
      <c r="Z229" s="618"/>
      <c r="AA229" s="618"/>
      <c r="AB229" s="618"/>
    </row>
    <row r="230" spans="1:28">
      <c r="A230" s="618"/>
      <c r="B230" s="618"/>
      <c r="C230" s="618"/>
      <c r="D230" s="644"/>
      <c r="E230" s="618"/>
      <c r="F230" s="618"/>
      <c r="G230" s="618"/>
      <c r="H230" s="618"/>
      <c r="I230" s="618"/>
      <c r="J230" s="618"/>
      <c r="K230" s="618"/>
      <c r="L230" s="618"/>
      <c r="M230" s="618"/>
      <c r="N230" s="618"/>
      <c r="O230" s="618"/>
      <c r="P230" s="618"/>
      <c r="Q230" s="618"/>
      <c r="R230" s="618"/>
      <c r="S230" s="618"/>
      <c r="T230" s="618"/>
      <c r="U230" s="618"/>
      <c r="V230" s="618"/>
      <c r="W230" s="618"/>
      <c r="X230" s="618"/>
      <c r="Y230" s="618"/>
      <c r="Z230" s="618"/>
      <c r="AA230" s="618"/>
      <c r="AB230" s="618"/>
    </row>
    <row r="231" spans="1:28">
      <c r="A231" s="618"/>
      <c r="B231" s="618"/>
      <c r="C231" s="618"/>
      <c r="D231" s="644"/>
      <c r="E231" s="618"/>
      <c r="F231" s="618"/>
      <c r="G231" s="618"/>
      <c r="H231" s="618"/>
      <c r="I231" s="618"/>
      <c r="J231" s="618"/>
      <c r="K231" s="618"/>
      <c r="L231" s="618"/>
      <c r="M231" s="618"/>
      <c r="N231" s="618"/>
      <c r="O231" s="618"/>
      <c r="P231" s="618"/>
      <c r="Q231" s="618"/>
      <c r="R231" s="618"/>
      <c r="S231" s="618"/>
      <c r="T231" s="618"/>
      <c r="U231" s="618"/>
      <c r="V231" s="618"/>
      <c r="W231" s="618"/>
      <c r="X231" s="618"/>
      <c r="Y231" s="618"/>
      <c r="Z231" s="618"/>
      <c r="AA231" s="618"/>
      <c r="AB231" s="618"/>
    </row>
    <row r="232" spans="1:28">
      <c r="A232" s="618"/>
      <c r="B232" s="618"/>
      <c r="C232" s="618"/>
      <c r="D232" s="644"/>
      <c r="E232" s="618"/>
      <c r="F232" s="618"/>
      <c r="G232" s="618"/>
      <c r="H232" s="618"/>
      <c r="I232" s="618"/>
      <c r="J232" s="618"/>
      <c r="K232" s="618"/>
      <c r="L232" s="618"/>
      <c r="M232" s="618"/>
      <c r="N232" s="618"/>
      <c r="O232" s="618"/>
      <c r="P232" s="618"/>
      <c r="Q232" s="618"/>
      <c r="R232" s="618"/>
      <c r="S232" s="618"/>
      <c r="T232" s="618"/>
      <c r="U232" s="618"/>
      <c r="V232" s="618"/>
      <c r="W232" s="618"/>
      <c r="X232" s="618"/>
      <c r="Y232" s="618"/>
      <c r="Z232" s="618"/>
      <c r="AA232" s="618"/>
      <c r="AB232" s="618"/>
    </row>
    <row r="233" spans="1:28">
      <c r="A233" s="618"/>
      <c r="B233" s="618"/>
      <c r="C233" s="618"/>
      <c r="D233" s="644"/>
      <c r="E233" s="618"/>
      <c r="F233" s="618"/>
      <c r="G233" s="618"/>
      <c r="H233" s="618"/>
      <c r="I233" s="618"/>
      <c r="J233" s="618"/>
      <c r="K233" s="618"/>
      <c r="L233" s="618"/>
      <c r="M233" s="618"/>
      <c r="N233" s="618"/>
      <c r="O233" s="618"/>
      <c r="P233" s="618"/>
      <c r="Q233" s="618"/>
      <c r="R233" s="618"/>
      <c r="S233" s="618"/>
      <c r="T233" s="618"/>
      <c r="U233" s="618"/>
      <c r="V233" s="618"/>
      <c r="W233" s="618"/>
      <c r="X233" s="618"/>
      <c r="Y233" s="618"/>
      <c r="Z233" s="618"/>
      <c r="AA233" s="618"/>
      <c r="AB233" s="618"/>
    </row>
    <row r="234" spans="1:28">
      <c r="A234" s="618"/>
      <c r="B234" s="618"/>
      <c r="C234" s="618"/>
      <c r="D234" s="644"/>
      <c r="E234" s="618"/>
      <c r="F234" s="618"/>
      <c r="G234" s="618"/>
      <c r="H234" s="618"/>
      <c r="I234" s="618"/>
      <c r="J234" s="618"/>
      <c r="K234" s="618"/>
      <c r="L234" s="618"/>
      <c r="M234" s="618"/>
      <c r="N234" s="618"/>
      <c r="O234" s="618"/>
      <c r="P234" s="618"/>
      <c r="Q234" s="618"/>
      <c r="R234" s="618"/>
      <c r="S234" s="618"/>
      <c r="T234" s="618"/>
      <c r="U234" s="618"/>
      <c r="V234" s="618"/>
      <c r="W234" s="618"/>
      <c r="X234" s="618"/>
      <c r="Y234" s="618"/>
      <c r="Z234" s="618"/>
      <c r="AA234" s="618"/>
      <c r="AB234" s="618"/>
    </row>
    <row r="235" spans="1:28">
      <c r="A235" s="618"/>
      <c r="B235" s="618"/>
      <c r="C235" s="618"/>
      <c r="D235" s="644"/>
      <c r="E235" s="618"/>
      <c r="F235" s="618"/>
      <c r="G235" s="618"/>
      <c r="H235" s="618"/>
      <c r="I235" s="618"/>
      <c r="J235" s="618"/>
      <c r="K235" s="618"/>
      <c r="L235" s="618"/>
      <c r="M235" s="618"/>
      <c r="N235" s="618"/>
      <c r="O235" s="618"/>
      <c r="P235" s="618"/>
      <c r="Q235" s="618"/>
      <c r="R235" s="618"/>
      <c r="S235" s="618"/>
      <c r="T235" s="618"/>
      <c r="U235" s="618"/>
      <c r="V235" s="618"/>
      <c r="W235" s="618"/>
      <c r="X235" s="618"/>
      <c r="Y235" s="618"/>
      <c r="Z235" s="618"/>
      <c r="AA235" s="618"/>
      <c r="AB235" s="618"/>
    </row>
    <row r="236" spans="1:28">
      <c r="A236" s="618"/>
      <c r="B236" s="618"/>
      <c r="C236" s="618"/>
      <c r="D236" s="644"/>
      <c r="E236" s="618"/>
      <c r="F236" s="618"/>
      <c r="G236" s="618"/>
      <c r="H236" s="618"/>
      <c r="I236" s="618"/>
      <c r="J236" s="618"/>
      <c r="K236" s="618"/>
      <c r="L236" s="618"/>
      <c r="M236" s="618"/>
      <c r="N236" s="618"/>
      <c r="O236" s="618"/>
      <c r="P236" s="618"/>
      <c r="Q236" s="618"/>
      <c r="R236" s="618"/>
      <c r="S236" s="618"/>
      <c r="T236" s="618"/>
      <c r="U236" s="618"/>
      <c r="V236" s="618"/>
      <c r="W236" s="618"/>
      <c r="X236" s="618"/>
      <c r="Y236" s="618"/>
      <c r="Z236" s="618"/>
      <c r="AA236" s="618"/>
      <c r="AB236" s="618"/>
    </row>
    <row r="237" spans="1:28">
      <c r="A237" s="618"/>
      <c r="B237" s="618"/>
      <c r="C237" s="618"/>
      <c r="D237" s="644"/>
      <c r="E237" s="618"/>
      <c r="F237" s="618"/>
      <c r="G237" s="618"/>
      <c r="H237" s="618"/>
      <c r="I237" s="618"/>
      <c r="J237" s="618"/>
      <c r="K237" s="618"/>
      <c r="L237" s="618"/>
      <c r="M237" s="618"/>
      <c r="N237" s="618"/>
      <c r="O237" s="618"/>
      <c r="P237" s="618"/>
      <c r="Q237" s="618"/>
      <c r="R237" s="618"/>
      <c r="S237" s="618"/>
      <c r="T237" s="618"/>
      <c r="U237" s="618"/>
      <c r="V237" s="618"/>
      <c r="W237" s="618"/>
      <c r="X237" s="618"/>
      <c r="Y237" s="618"/>
      <c r="Z237" s="618"/>
      <c r="AA237" s="618"/>
      <c r="AB237" s="618"/>
    </row>
    <row r="238" spans="1:28">
      <c r="A238" s="618"/>
      <c r="B238" s="618"/>
      <c r="C238" s="618"/>
      <c r="D238" s="644"/>
      <c r="E238" s="618"/>
      <c r="F238" s="618"/>
      <c r="G238" s="618"/>
      <c r="H238" s="618"/>
      <c r="I238" s="618"/>
      <c r="J238" s="618"/>
      <c r="K238" s="618"/>
      <c r="L238" s="618"/>
      <c r="M238" s="618"/>
      <c r="N238" s="618"/>
      <c r="O238" s="618"/>
      <c r="P238" s="618"/>
      <c r="Q238" s="618"/>
      <c r="R238" s="618"/>
      <c r="S238" s="618"/>
      <c r="T238" s="618"/>
      <c r="U238" s="618"/>
      <c r="V238" s="618"/>
      <c r="W238" s="618"/>
      <c r="X238" s="618"/>
      <c r="Y238" s="618"/>
      <c r="Z238" s="618"/>
      <c r="AA238" s="618"/>
      <c r="AB238" s="618"/>
    </row>
    <row r="239" spans="1:28">
      <c r="A239" s="618"/>
      <c r="B239" s="618"/>
      <c r="C239" s="618"/>
      <c r="D239" s="644"/>
      <c r="E239" s="618"/>
      <c r="F239" s="618"/>
      <c r="G239" s="618"/>
      <c r="H239" s="618"/>
      <c r="I239" s="618"/>
      <c r="J239" s="618"/>
      <c r="K239" s="618"/>
      <c r="L239" s="618"/>
      <c r="M239" s="618"/>
      <c r="N239" s="618"/>
      <c r="O239" s="618"/>
      <c r="P239" s="618"/>
      <c r="Q239" s="618"/>
      <c r="R239" s="618"/>
      <c r="S239" s="618"/>
      <c r="T239" s="618"/>
      <c r="U239" s="618"/>
      <c r="V239" s="618"/>
      <c r="W239" s="618"/>
      <c r="X239" s="618"/>
      <c r="Y239" s="618"/>
      <c r="Z239" s="618"/>
      <c r="AA239" s="618"/>
      <c r="AB239" s="618"/>
    </row>
    <row r="240" spans="1:28">
      <c r="A240" s="618"/>
      <c r="B240" s="618"/>
      <c r="C240" s="618"/>
      <c r="D240" s="644"/>
      <c r="E240" s="618"/>
      <c r="F240" s="618"/>
      <c r="G240" s="618"/>
      <c r="H240" s="618"/>
      <c r="I240" s="618"/>
      <c r="J240" s="618"/>
      <c r="K240" s="618"/>
      <c r="L240" s="618"/>
      <c r="M240" s="618"/>
      <c r="N240" s="618"/>
      <c r="O240" s="618"/>
      <c r="P240" s="618"/>
      <c r="Q240" s="618"/>
      <c r="R240" s="618"/>
      <c r="S240" s="618"/>
      <c r="T240" s="618"/>
      <c r="U240" s="618"/>
      <c r="V240" s="618"/>
      <c r="W240" s="618"/>
      <c r="X240" s="618"/>
      <c r="Y240" s="618"/>
      <c r="Z240" s="618"/>
      <c r="AA240" s="618"/>
      <c r="AB240" s="618"/>
    </row>
    <row r="241" spans="1:28">
      <c r="A241" s="618"/>
      <c r="B241" s="618"/>
      <c r="C241" s="618"/>
      <c r="D241" s="644"/>
      <c r="E241" s="618"/>
      <c r="F241" s="618"/>
      <c r="G241" s="618"/>
      <c r="H241" s="618"/>
      <c r="I241" s="618"/>
      <c r="J241" s="618"/>
      <c r="K241" s="618"/>
      <c r="L241" s="618"/>
      <c r="M241" s="618"/>
      <c r="N241" s="618"/>
      <c r="O241" s="618"/>
      <c r="P241" s="618"/>
      <c r="Q241" s="618"/>
      <c r="R241" s="618"/>
      <c r="S241" s="618"/>
      <c r="T241" s="618"/>
      <c r="U241" s="618"/>
      <c r="V241" s="618"/>
      <c r="W241" s="618"/>
      <c r="X241" s="618"/>
      <c r="Y241" s="618"/>
      <c r="Z241" s="618"/>
      <c r="AA241" s="618"/>
      <c r="AB241" s="618"/>
    </row>
    <row r="242" spans="1:28">
      <c r="A242" s="618"/>
      <c r="B242" s="618"/>
      <c r="C242" s="618"/>
      <c r="D242" s="644"/>
      <c r="E242" s="618"/>
      <c r="F242" s="618"/>
      <c r="G242" s="618"/>
      <c r="H242" s="618"/>
      <c r="I242" s="618"/>
      <c r="J242" s="618"/>
      <c r="K242" s="618"/>
      <c r="L242" s="618"/>
      <c r="M242" s="618"/>
      <c r="N242" s="618"/>
      <c r="O242" s="618"/>
      <c r="P242" s="618"/>
      <c r="Q242" s="618"/>
      <c r="R242" s="618"/>
      <c r="S242" s="618"/>
      <c r="T242" s="618"/>
      <c r="U242" s="618"/>
      <c r="V242" s="618"/>
      <c r="W242" s="618"/>
      <c r="X242" s="618"/>
      <c r="Y242" s="618"/>
      <c r="Z242" s="618"/>
      <c r="AA242" s="618"/>
      <c r="AB242" s="618"/>
    </row>
    <row r="243" spans="1:28">
      <c r="A243" s="618"/>
      <c r="B243" s="618"/>
      <c r="C243" s="618"/>
      <c r="D243" s="644"/>
      <c r="E243" s="618"/>
      <c r="F243" s="618"/>
      <c r="G243" s="618"/>
      <c r="H243" s="618"/>
      <c r="I243" s="618"/>
      <c r="J243" s="618"/>
      <c r="K243" s="618"/>
      <c r="L243" s="618"/>
      <c r="M243" s="618"/>
      <c r="N243" s="618"/>
      <c r="O243" s="618"/>
      <c r="P243" s="618"/>
      <c r="Q243" s="618"/>
      <c r="R243" s="618"/>
      <c r="S243" s="618"/>
      <c r="T243" s="618"/>
      <c r="U243" s="618"/>
      <c r="V243" s="618"/>
      <c r="W243" s="618"/>
      <c r="X243" s="618"/>
      <c r="Y243" s="618"/>
      <c r="Z243" s="618"/>
      <c r="AA243" s="618"/>
      <c r="AB243" s="618"/>
    </row>
    <row r="244" spans="1:28">
      <c r="A244" s="618"/>
      <c r="B244" s="618"/>
      <c r="C244" s="618"/>
      <c r="D244" s="644"/>
      <c r="E244" s="618"/>
      <c r="F244" s="618"/>
      <c r="G244" s="618"/>
      <c r="H244" s="618"/>
      <c r="I244" s="618"/>
      <c r="J244" s="618"/>
      <c r="K244" s="618"/>
      <c r="L244" s="618"/>
      <c r="M244" s="618"/>
      <c r="N244" s="618"/>
      <c r="O244" s="618"/>
      <c r="P244" s="618"/>
      <c r="Q244" s="618"/>
      <c r="R244" s="618"/>
      <c r="S244" s="618"/>
      <c r="T244" s="618"/>
      <c r="U244" s="618"/>
      <c r="V244" s="618"/>
      <c r="W244" s="618"/>
      <c r="X244" s="618"/>
      <c r="Y244" s="618"/>
      <c r="Z244" s="618"/>
      <c r="AA244" s="618"/>
      <c r="AB244" s="618"/>
    </row>
    <row r="245" spans="1:28">
      <c r="A245" s="618"/>
      <c r="B245" s="618"/>
      <c r="C245" s="618"/>
      <c r="D245" s="644"/>
      <c r="E245" s="618"/>
      <c r="F245" s="618"/>
      <c r="G245" s="618"/>
      <c r="H245" s="618"/>
      <c r="I245" s="618"/>
      <c r="J245" s="618"/>
      <c r="K245" s="618"/>
      <c r="L245" s="618"/>
      <c r="M245" s="618"/>
      <c r="N245" s="618"/>
      <c r="O245" s="618"/>
      <c r="P245" s="618"/>
      <c r="Q245" s="618"/>
      <c r="R245" s="618"/>
      <c r="S245" s="618"/>
      <c r="T245" s="618"/>
      <c r="U245" s="618"/>
      <c r="V245" s="618"/>
      <c r="W245" s="618"/>
      <c r="X245" s="618"/>
      <c r="Y245" s="618"/>
      <c r="Z245" s="618"/>
      <c r="AA245" s="618"/>
      <c r="AB245" s="618"/>
    </row>
    <row r="246" spans="1:28">
      <c r="A246" s="618"/>
      <c r="B246" s="618"/>
      <c r="C246" s="618"/>
      <c r="D246" s="644"/>
      <c r="E246" s="618"/>
      <c r="F246" s="618"/>
      <c r="G246" s="618"/>
      <c r="H246" s="618"/>
      <c r="I246" s="618"/>
      <c r="J246" s="618"/>
      <c r="K246" s="618"/>
      <c r="L246" s="618"/>
      <c r="M246" s="618"/>
      <c r="N246" s="618"/>
      <c r="O246" s="618"/>
      <c r="P246" s="618"/>
      <c r="Q246" s="618"/>
      <c r="R246" s="618"/>
      <c r="S246" s="618"/>
      <c r="T246" s="618"/>
      <c r="U246" s="618"/>
      <c r="V246" s="618"/>
      <c r="W246" s="618"/>
      <c r="X246" s="618"/>
      <c r="Y246" s="618"/>
      <c r="Z246" s="618"/>
      <c r="AA246" s="618"/>
      <c r="AB246" s="618"/>
    </row>
    <row r="247" spans="1:28">
      <c r="A247" s="618"/>
      <c r="B247" s="618"/>
      <c r="C247" s="618"/>
      <c r="D247" s="644"/>
      <c r="E247" s="618"/>
      <c r="F247" s="618"/>
      <c r="G247" s="618"/>
      <c r="H247" s="618"/>
      <c r="I247" s="618"/>
      <c r="J247" s="618"/>
      <c r="K247" s="618"/>
      <c r="L247" s="618"/>
      <c r="M247" s="618"/>
      <c r="N247" s="618"/>
      <c r="O247" s="618"/>
      <c r="P247" s="618"/>
      <c r="Q247" s="618"/>
      <c r="R247" s="618"/>
      <c r="S247" s="618"/>
      <c r="T247" s="618"/>
      <c r="U247" s="618"/>
      <c r="V247" s="618"/>
      <c r="W247" s="618"/>
      <c r="X247" s="618"/>
      <c r="Y247" s="618"/>
      <c r="Z247" s="618"/>
      <c r="AA247" s="618"/>
      <c r="AB247" s="618"/>
    </row>
    <row r="248" spans="1:28">
      <c r="A248" s="618"/>
      <c r="B248" s="618"/>
      <c r="C248" s="618"/>
      <c r="D248" s="644"/>
      <c r="E248" s="618"/>
      <c r="F248" s="618"/>
      <c r="G248" s="618"/>
      <c r="H248" s="618"/>
      <c r="I248" s="618"/>
      <c r="J248" s="618"/>
      <c r="K248" s="618"/>
      <c r="L248" s="618"/>
      <c r="M248" s="618"/>
      <c r="N248" s="618"/>
      <c r="O248" s="618"/>
      <c r="P248" s="618"/>
      <c r="Q248" s="618"/>
      <c r="R248" s="618"/>
      <c r="S248" s="618"/>
      <c r="T248" s="618"/>
      <c r="U248" s="618"/>
      <c r="V248" s="618"/>
      <c r="W248" s="618"/>
      <c r="X248" s="618"/>
      <c r="Y248" s="618"/>
      <c r="Z248" s="618"/>
      <c r="AA248" s="618"/>
      <c r="AB248" s="618"/>
    </row>
    <row r="249" spans="1:28">
      <c r="A249" s="618"/>
      <c r="B249" s="618"/>
      <c r="C249" s="618"/>
      <c r="D249" s="644"/>
      <c r="E249" s="618"/>
      <c r="F249" s="618"/>
      <c r="G249" s="618"/>
      <c r="H249" s="618"/>
      <c r="I249" s="618"/>
      <c r="J249" s="618"/>
      <c r="K249" s="618"/>
      <c r="L249" s="618"/>
      <c r="M249" s="618"/>
      <c r="N249" s="618"/>
      <c r="O249" s="618"/>
      <c r="P249" s="618"/>
      <c r="Q249" s="618"/>
      <c r="R249" s="618"/>
      <c r="S249" s="618"/>
      <c r="T249" s="618"/>
      <c r="U249" s="618"/>
      <c r="V249" s="618"/>
      <c r="W249" s="618"/>
      <c r="X249" s="618"/>
      <c r="Y249" s="618"/>
      <c r="Z249" s="618"/>
      <c r="AA249" s="618"/>
      <c r="AB249" s="618"/>
    </row>
    <row r="250" spans="1:28">
      <c r="A250" s="618"/>
      <c r="B250" s="618"/>
      <c r="C250" s="618"/>
      <c r="D250" s="644"/>
      <c r="E250" s="618"/>
      <c r="F250" s="618"/>
      <c r="G250" s="618"/>
      <c r="H250" s="618"/>
      <c r="I250" s="618"/>
      <c r="J250" s="618"/>
      <c r="K250" s="618"/>
      <c r="L250" s="618"/>
      <c r="M250" s="618"/>
      <c r="N250" s="618"/>
      <c r="O250" s="618"/>
      <c r="P250" s="618"/>
      <c r="Q250" s="618"/>
      <c r="R250" s="618"/>
      <c r="S250" s="618"/>
      <c r="T250" s="618"/>
      <c r="U250" s="618"/>
      <c r="V250" s="618"/>
      <c r="W250" s="618"/>
      <c r="X250" s="618"/>
      <c r="Y250" s="618"/>
      <c r="Z250" s="618"/>
      <c r="AA250" s="618"/>
      <c r="AB250" s="618"/>
    </row>
    <row r="251" spans="1:28">
      <c r="A251" s="618"/>
      <c r="B251" s="618"/>
      <c r="C251" s="618"/>
      <c r="D251" s="644"/>
      <c r="E251" s="618"/>
      <c r="F251" s="618"/>
      <c r="G251" s="618"/>
      <c r="H251" s="618"/>
      <c r="I251" s="618"/>
      <c r="J251" s="618"/>
      <c r="K251" s="618"/>
      <c r="L251" s="618"/>
      <c r="M251" s="618"/>
      <c r="N251" s="618"/>
      <c r="O251" s="618"/>
      <c r="P251" s="618"/>
      <c r="Q251" s="618"/>
      <c r="R251" s="618"/>
      <c r="S251" s="618"/>
      <c r="T251" s="618"/>
      <c r="U251" s="618"/>
      <c r="V251" s="618"/>
      <c r="W251" s="618"/>
      <c r="X251" s="618"/>
      <c r="Y251" s="618"/>
      <c r="Z251" s="618"/>
      <c r="AA251" s="618"/>
      <c r="AB251" s="618"/>
    </row>
    <row r="252" spans="1:28">
      <c r="A252" s="618"/>
      <c r="B252" s="618"/>
      <c r="C252" s="618"/>
      <c r="D252" s="644"/>
      <c r="E252" s="618"/>
      <c r="F252" s="618"/>
      <c r="G252" s="618"/>
      <c r="H252" s="618"/>
      <c r="I252" s="618"/>
      <c r="J252" s="618"/>
      <c r="K252" s="618"/>
      <c r="L252" s="618"/>
      <c r="M252" s="618"/>
      <c r="N252" s="618"/>
      <c r="O252" s="618"/>
      <c r="P252" s="618"/>
      <c r="Q252" s="618"/>
      <c r="R252" s="618"/>
      <c r="S252" s="618"/>
      <c r="T252" s="618"/>
      <c r="U252" s="618"/>
      <c r="V252" s="618"/>
      <c r="W252" s="618"/>
      <c r="X252" s="618"/>
      <c r="Y252" s="618"/>
      <c r="Z252" s="618"/>
      <c r="AA252" s="618"/>
      <c r="AB252" s="618"/>
    </row>
    <row r="253" spans="1:28">
      <c r="A253" s="618"/>
      <c r="B253" s="618"/>
      <c r="C253" s="618"/>
      <c r="D253" s="644"/>
      <c r="E253" s="618"/>
      <c r="F253" s="618"/>
      <c r="G253" s="618"/>
      <c r="H253" s="618"/>
      <c r="I253" s="618"/>
      <c r="J253" s="618"/>
      <c r="K253" s="618"/>
      <c r="L253" s="618"/>
      <c r="M253" s="618"/>
      <c r="N253" s="618"/>
      <c r="O253" s="618"/>
      <c r="P253" s="618"/>
      <c r="Q253" s="618"/>
      <c r="R253" s="618"/>
      <c r="S253" s="618"/>
      <c r="T253" s="618"/>
      <c r="U253" s="618"/>
      <c r="V253" s="618"/>
      <c r="W253" s="618"/>
      <c r="X253" s="618"/>
      <c r="Y253" s="618"/>
      <c r="Z253" s="618"/>
      <c r="AA253" s="618"/>
      <c r="AB253" s="618"/>
    </row>
    <row r="254" spans="1:28">
      <c r="A254" s="618"/>
      <c r="B254" s="618"/>
      <c r="C254" s="618"/>
      <c r="D254" s="644"/>
      <c r="E254" s="618"/>
      <c r="F254" s="618"/>
      <c r="G254" s="618"/>
      <c r="H254" s="618"/>
      <c r="I254" s="618"/>
      <c r="J254" s="618"/>
      <c r="K254" s="618"/>
      <c r="L254" s="618"/>
      <c r="M254" s="618"/>
      <c r="N254" s="618"/>
      <c r="O254" s="618"/>
      <c r="P254" s="618"/>
      <c r="Q254" s="618"/>
      <c r="R254" s="618"/>
      <c r="S254" s="618"/>
      <c r="T254" s="618"/>
      <c r="U254" s="618"/>
      <c r="V254" s="618"/>
      <c r="W254" s="618"/>
      <c r="X254" s="618"/>
      <c r="Y254" s="618"/>
      <c r="Z254" s="618"/>
      <c r="AA254" s="618"/>
      <c r="AB254" s="618"/>
    </row>
    <row r="255" spans="1:28">
      <c r="A255" s="618"/>
      <c r="B255" s="618"/>
      <c r="C255" s="618"/>
      <c r="D255" s="644"/>
      <c r="E255" s="618"/>
      <c r="F255" s="618"/>
      <c r="G255" s="618"/>
      <c r="H255" s="618"/>
      <c r="I255" s="618"/>
      <c r="J255" s="618"/>
      <c r="K255" s="618"/>
      <c r="L255" s="618"/>
      <c r="M255" s="618"/>
      <c r="N255" s="618"/>
      <c r="O255" s="618"/>
      <c r="P255" s="618"/>
      <c r="Q255" s="618"/>
      <c r="R255" s="618"/>
      <c r="S255" s="618"/>
      <c r="T255" s="618"/>
      <c r="U255" s="618"/>
      <c r="V255" s="618"/>
      <c r="W255" s="618"/>
      <c r="X255" s="618"/>
      <c r="Y255" s="618"/>
      <c r="Z255" s="618"/>
      <c r="AA255" s="618"/>
      <c r="AB255" s="618"/>
    </row>
    <row r="256" spans="1:28">
      <c r="A256" s="618"/>
      <c r="B256" s="618"/>
      <c r="C256" s="618"/>
      <c r="D256" s="644"/>
      <c r="E256" s="618"/>
      <c r="F256" s="618"/>
      <c r="G256" s="618"/>
      <c r="H256" s="618"/>
      <c r="I256" s="618"/>
      <c r="J256" s="618"/>
      <c r="K256" s="618"/>
      <c r="L256" s="618"/>
      <c r="M256" s="618"/>
      <c r="N256" s="618"/>
      <c r="O256" s="618"/>
      <c r="P256" s="618"/>
      <c r="Q256" s="618"/>
      <c r="R256" s="618"/>
      <c r="S256" s="618"/>
      <c r="T256" s="618"/>
      <c r="U256" s="618"/>
      <c r="V256" s="618"/>
      <c r="W256" s="618"/>
      <c r="X256" s="618"/>
      <c r="Y256" s="618"/>
      <c r="Z256" s="618"/>
      <c r="AA256" s="618"/>
      <c r="AB256" s="618"/>
    </row>
    <row r="257" spans="1:28">
      <c r="A257" s="618"/>
      <c r="B257" s="618"/>
      <c r="C257" s="618"/>
      <c r="D257" s="644"/>
      <c r="E257" s="618"/>
      <c r="F257" s="618"/>
      <c r="G257" s="618"/>
      <c r="H257" s="618"/>
      <c r="I257" s="618"/>
      <c r="J257" s="618"/>
      <c r="K257" s="618"/>
      <c r="L257" s="618"/>
      <c r="M257" s="618"/>
      <c r="N257" s="618"/>
      <c r="O257" s="618"/>
      <c r="P257" s="618"/>
      <c r="Q257" s="618"/>
      <c r="R257" s="618"/>
      <c r="S257" s="618"/>
      <c r="T257" s="618"/>
      <c r="U257" s="618"/>
      <c r="V257" s="618"/>
      <c r="W257" s="618"/>
      <c r="X257" s="618"/>
      <c r="Y257" s="618"/>
      <c r="Z257" s="618"/>
      <c r="AA257" s="618"/>
      <c r="AB257" s="618"/>
    </row>
    <row r="258" spans="1:28">
      <c r="A258" s="618"/>
      <c r="B258" s="618"/>
      <c r="C258" s="618"/>
      <c r="D258" s="644"/>
      <c r="E258" s="618"/>
      <c r="F258" s="618"/>
      <c r="G258" s="618"/>
      <c r="H258" s="618"/>
      <c r="I258" s="618"/>
      <c r="J258" s="618"/>
      <c r="K258" s="618"/>
      <c r="L258" s="618"/>
      <c r="M258" s="618"/>
      <c r="N258" s="618"/>
      <c r="O258" s="618"/>
      <c r="P258" s="618"/>
      <c r="Q258" s="618"/>
      <c r="R258" s="618"/>
      <c r="S258" s="618"/>
      <c r="T258" s="618"/>
      <c r="U258" s="618"/>
      <c r="V258" s="618"/>
      <c r="W258" s="618"/>
      <c r="X258" s="618"/>
      <c r="Y258" s="618"/>
      <c r="Z258" s="618"/>
      <c r="AA258" s="618"/>
      <c r="AB258" s="618"/>
    </row>
    <row r="259" spans="1:28">
      <c r="A259" s="618"/>
      <c r="B259" s="618"/>
      <c r="C259" s="618"/>
      <c r="D259" s="644"/>
      <c r="E259" s="618"/>
      <c r="F259" s="618"/>
      <c r="G259" s="618"/>
      <c r="H259" s="618"/>
      <c r="I259" s="618"/>
      <c r="J259" s="618"/>
      <c r="K259" s="618"/>
      <c r="L259" s="618"/>
      <c r="M259" s="618"/>
      <c r="N259" s="618"/>
      <c r="O259" s="618"/>
      <c r="P259" s="618"/>
      <c r="Q259" s="618"/>
      <c r="R259" s="618"/>
      <c r="S259" s="618"/>
      <c r="T259" s="618"/>
      <c r="U259" s="618"/>
      <c r="V259" s="618"/>
      <c r="W259" s="618"/>
      <c r="X259" s="618"/>
      <c r="Y259" s="618"/>
      <c r="Z259" s="618"/>
      <c r="AA259" s="618"/>
      <c r="AB259" s="618"/>
    </row>
    <row r="260" spans="1:28">
      <c r="A260" s="618"/>
      <c r="B260" s="618"/>
      <c r="C260" s="618"/>
      <c r="D260" s="644"/>
      <c r="E260" s="618"/>
      <c r="F260" s="618"/>
      <c r="G260" s="618"/>
      <c r="H260" s="618"/>
      <c r="I260" s="618"/>
      <c r="J260" s="618"/>
      <c r="K260" s="618"/>
      <c r="L260" s="618"/>
      <c r="M260" s="618"/>
      <c r="N260" s="618"/>
      <c r="O260" s="618"/>
      <c r="P260" s="618"/>
      <c r="Q260" s="618"/>
      <c r="R260" s="618"/>
      <c r="S260" s="618"/>
      <c r="T260" s="618"/>
      <c r="U260" s="618"/>
      <c r="V260" s="618"/>
      <c r="W260" s="618"/>
      <c r="X260" s="618"/>
      <c r="Y260" s="618"/>
      <c r="Z260" s="618"/>
      <c r="AA260" s="618"/>
      <c r="AB260" s="618"/>
    </row>
    <row r="261" spans="1:28">
      <c r="A261" s="618"/>
      <c r="B261" s="618"/>
      <c r="C261" s="618"/>
      <c r="D261" s="644"/>
      <c r="E261" s="618"/>
      <c r="F261" s="618"/>
      <c r="G261" s="618"/>
      <c r="H261" s="618"/>
      <c r="I261" s="618"/>
      <c r="J261" s="618"/>
      <c r="K261" s="618"/>
      <c r="L261" s="618"/>
      <c r="M261" s="618"/>
      <c r="N261" s="618"/>
      <c r="O261" s="618"/>
      <c r="P261" s="618"/>
      <c r="Q261" s="618"/>
      <c r="R261" s="618"/>
      <c r="S261" s="618"/>
      <c r="T261" s="618"/>
      <c r="U261" s="618"/>
      <c r="V261" s="618"/>
      <c r="W261" s="618"/>
      <c r="X261" s="618"/>
      <c r="Y261" s="618"/>
      <c r="Z261" s="618"/>
      <c r="AA261" s="618"/>
      <c r="AB261" s="618"/>
    </row>
    <row r="262" spans="1:28">
      <c r="A262" s="618"/>
      <c r="B262" s="618"/>
      <c r="C262" s="618"/>
      <c r="D262" s="644"/>
      <c r="E262" s="618"/>
      <c r="F262" s="618"/>
      <c r="G262" s="618"/>
      <c r="H262" s="618"/>
      <c r="I262" s="618"/>
      <c r="J262" s="618"/>
      <c r="K262" s="618"/>
      <c r="L262" s="618"/>
      <c r="M262" s="618"/>
      <c r="N262" s="618"/>
      <c r="O262" s="618"/>
      <c r="P262" s="618"/>
      <c r="Q262" s="618"/>
      <c r="R262" s="618"/>
      <c r="S262" s="618"/>
      <c r="T262" s="618"/>
      <c r="U262" s="618"/>
      <c r="V262" s="618"/>
      <c r="W262" s="618"/>
      <c r="X262" s="618"/>
      <c r="Y262" s="618"/>
      <c r="Z262" s="618"/>
      <c r="AA262" s="618"/>
      <c r="AB262" s="618"/>
    </row>
    <row r="263" spans="1:28">
      <c r="A263" s="618"/>
      <c r="B263" s="618"/>
      <c r="C263" s="618"/>
      <c r="D263" s="644"/>
      <c r="E263" s="618"/>
      <c r="F263" s="618"/>
      <c r="G263" s="618"/>
      <c r="H263" s="618"/>
      <c r="I263" s="618"/>
      <c r="J263" s="618"/>
      <c r="K263" s="618"/>
      <c r="L263" s="618"/>
      <c r="M263" s="618"/>
      <c r="N263" s="618"/>
      <c r="O263" s="618"/>
      <c r="P263" s="618"/>
      <c r="Q263" s="618"/>
      <c r="R263" s="618"/>
      <c r="S263" s="618"/>
      <c r="T263" s="618"/>
      <c r="U263" s="618"/>
      <c r="V263" s="618"/>
      <c r="W263" s="618"/>
      <c r="X263" s="618"/>
      <c r="Y263" s="618"/>
      <c r="Z263" s="618"/>
      <c r="AA263" s="618"/>
      <c r="AB263" s="618"/>
    </row>
    <row r="264" spans="1:28">
      <c r="A264" s="618"/>
      <c r="B264" s="618"/>
      <c r="C264" s="618"/>
      <c r="D264" s="644"/>
      <c r="E264" s="618"/>
      <c r="F264" s="618"/>
      <c r="G264" s="618"/>
      <c r="H264" s="618"/>
      <c r="I264" s="618"/>
      <c r="J264" s="618"/>
      <c r="K264" s="618"/>
      <c r="L264" s="618"/>
      <c r="M264" s="618"/>
      <c r="N264" s="618"/>
      <c r="O264" s="618"/>
      <c r="P264" s="618"/>
      <c r="Q264" s="618"/>
      <c r="R264" s="618"/>
      <c r="S264" s="618"/>
      <c r="T264" s="618"/>
      <c r="U264" s="618"/>
      <c r="V264" s="618"/>
      <c r="W264" s="618"/>
      <c r="X264" s="618"/>
      <c r="Y264" s="618"/>
      <c r="Z264" s="618"/>
      <c r="AA264" s="618"/>
      <c r="AB264" s="618"/>
    </row>
    <row r="265" spans="1:28">
      <c r="A265" s="618"/>
      <c r="B265" s="618"/>
      <c r="C265" s="618"/>
      <c r="D265" s="644"/>
      <c r="E265" s="618"/>
      <c r="F265" s="618"/>
      <c r="G265" s="618"/>
      <c r="H265" s="618"/>
      <c r="I265" s="618"/>
      <c r="J265" s="618"/>
      <c r="K265" s="618"/>
      <c r="L265" s="618"/>
      <c r="M265" s="618"/>
      <c r="N265" s="618"/>
      <c r="O265" s="618"/>
      <c r="P265" s="618"/>
      <c r="Q265" s="618"/>
      <c r="R265" s="618"/>
      <c r="S265" s="618"/>
      <c r="T265" s="618"/>
      <c r="U265" s="618"/>
      <c r="V265" s="618"/>
      <c r="W265" s="618"/>
      <c r="X265" s="618"/>
      <c r="Y265" s="618"/>
      <c r="Z265" s="618"/>
      <c r="AA265" s="618"/>
      <c r="AB265" s="618"/>
    </row>
    <row r="266" spans="1:28">
      <c r="A266" s="618"/>
      <c r="B266" s="618"/>
      <c r="C266" s="618"/>
      <c r="D266" s="644"/>
      <c r="E266" s="618"/>
      <c r="F266" s="618"/>
      <c r="G266" s="618"/>
      <c r="H266" s="618"/>
      <c r="I266" s="618"/>
      <c r="J266" s="618"/>
      <c r="K266" s="618"/>
      <c r="L266" s="618"/>
      <c r="M266" s="618"/>
      <c r="N266" s="618"/>
      <c r="O266" s="618"/>
      <c r="P266" s="618"/>
      <c r="Q266" s="618"/>
      <c r="R266" s="618"/>
      <c r="S266" s="618"/>
      <c r="T266" s="618"/>
      <c r="U266" s="618"/>
      <c r="V266" s="618"/>
      <c r="W266" s="618"/>
      <c r="X266" s="618"/>
      <c r="Y266" s="618"/>
      <c r="Z266" s="618"/>
      <c r="AA266" s="618"/>
      <c r="AB266" s="618"/>
    </row>
    <row r="267" spans="1:28">
      <c r="A267" s="618"/>
      <c r="B267" s="618"/>
      <c r="C267" s="618"/>
      <c r="D267" s="644"/>
      <c r="E267" s="618"/>
      <c r="F267" s="618"/>
      <c r="G267" s="618"/>
      <c r="H267" s="618"/>
      <c r="I267" s="618"/>
      <c r="J267" s="618"/>
      <c r="K267" s="618"/>
      <c r="L267" s="618"/>
      <c r="M267" s="618"/>
      <c r="N267" s="618"/>
      <c r="O267" s="618"/>
      <c r="P267" s="618"/>
      <c r="Q267" s="618"/>
      <c r="R267" s="618"/>
      <c r="S267" s="618"/>
      <c r="T267" s="618"/>
      <c r="U267" s="618"/>
      <c r="V267" s="618"/>
      <c r="W267" s="618"/>
      <c r="X267" s="618"/>
      <c r="Y267" s="618"/>
      <c r="Z267" s="618"/>
      <c r="AA267" s="618"/>
      <c r="AB267" s="618"/>
    </row>
    <row r="268" spans="1:28">
      <c r="A268" s="618"/>
      <c r="B268" s="618"/>
      <c r="C268" s="618"/>
      <c r="D268" s="644"/>
      <c r="E268" s="618"/>
      <c r="F268" s="618"/>
      <c r="G268" s="618"/>
      <c r="H268" s="618"/>
      <c r="I268" s="618"/>
      <c r="J268" s="618"/>
      <c r="K268" s="618"/>
      <c r="L268" s="618"/>
      <c r="M268" s="618"/>
      <c r="N268" s="618"/>
      <c r="O268" s="618"/>
      <c r="P268" s="618"/>
      <c r="Q268" s="618"/>
      <c r="R268" s="618"/>
      <c r="S268" s="618"/>
      <c r="T268" s="618"/>
      <c r="U268" s="618"/>
      <c r="V268" s="618"/>
      <c r="W268" s="618"/>
      <c r="X268" s="618"/>
      <c r="Y268" s="618"/>
      <c r="Z268" s="618"/>
      <c r="AA268" s="618"/>
      <c r="AB268" s="618"/>
    </row>
    <row r="269" spans="1:28">
      <c r="A269" s="618"/>
      <c r="B269" s="618"/>
      <c r="C269" s="618"/>
      <c r="D269" s="644"/>
      <c r="E269" s="618"/>
      <c r="F269" s="618"/>
      <c r="G269" s="618"/>
      <c r="H269" s="618"/>
      <c r="I269" s="618"/>
      <c r="J269" s="618"/>
      <c r="K269" s="618"/>
      <c r="L269" s="618"/>
      <c r="M269" s="618"/>
      <c r="N269" s="618"/>
      <c r="O269" s="618"/>
      <c r="P269" s="618"/>
      <c r="Q269" s="618"/>
      <c r="R269" s="618"/>
      <c r="S269" s="618"/>
      <c r="T269" s="618"/>
      <c r="U269" s="618"/>
      <c r="V269" s="618"/>
      <c r="W269" s="618"/>
      <c r="X269" s="618"/>
      <c r="Y269" s="618"/>
      <c r="Z269" s="618"/>
      <c r="AA269" s="618"/>
      <c r="AB269" s="618"/>
    </row>
    <row r="270" spans="1:28">
      <c r="A270" s="618"/>
      <c r="B270" s="618"/>
      <c r="C270" s="618"/>
      <c r="D270" s="644"/>
      <c r="E270" s="618"/>
      <c r="F270" s="618"/>
      <c r="G270" s="618"/>
      <c r="H270" s="618"/>
      <c r="I270" s="618"/>
      <c r="J270" s="618"/>
      <c r="K270" s="618"/>
      <c r="L270" s="618"/>
      <c r="M270" s="618"/>
      <c r="N270" s="618"/>
      <c r="O270" s="618"/>
      <c r="P270" s="618"/>
      <c r="Q270" s="618"/>
      <c r="R270" s="618"/>
      <c r="S270" s="618"/>
      <c r="T270" s="618"/>
      <c r="U270" s="618"/>
      <c r="V270" s="618"/>
      <c r="W270" s="618"/>
      <c r="X270" s="618"/>
      <c r="Y270" s="618"/>
      <c r="Z270" s="618"/>
      <c r="AA270" s="618"/>
      <c r="AB270" s="618"/>
    </row>
    <row r="271" spans="1:28">
      <c r="A271" s="618"/>
      <c r="B271" s="618"/>
      <c r="C271" s="618"/>
      <c r="D271" s="644"/>
      <c r="E271" s="618"/>
      <c r="F271" s="618"/>
      <c r="G271" s="618"/>
      <c r="H271" s="618"/>
      <c r="I271" s="618"/>
      <c r="J271" s="618"/>
      <c r="K271" s="618"/>
      <c r="L271" s="618"/>
      <c r="M271" s="618"/>
      <c r="N271" s="618"/>
      <c r="O271" s="618"/>
      <c r="P271" s="618"/>
      <c r="Q271" s="618"/>
      <c r="R271" s="618"/>
      <c r="S271" s="618"/>
      <c r="T271" s="618"/>
      <c r="U271" s="618"/>
      <c r="V271" s="618"/>
      <c r="W271" s="618"/>
      <c r="X271" s="618"/>
      <c r="Y271" s="618"/>
      <c r="Z271" s="618"/>
      <c r="AA271" s="618"/>
      <c r="AB271" s="618"/>
    </row>
    <row r="272" spans="1:28">
      <c r="A272" s="618"/>
      <c r="B272" s="618"/>
      <c r="C272" s="618"/>
      <c r="D272" s="644"/>
      <c r="E272" s="618"/>
      <c r="F272" s="618"/>
      <c r="G272" s="618"/>
      <c r="H272" s="618"/>
      <c r="I272" s="618"/>
      <c r="J272" s="618"/>
      <c r="K272" s="618"/>
      <c r="L272" s="618"/>
      <c r="M272" s="618"/>
      <c r="N272" s="618"/>
      <c r="O272" s="618"/>
      <c r="P272" s="618"/>
      <c r="Q272" s="618"/>
      <c r="R272" s="618"/>
      <c r="S272" s="618"/>
      <c r="T272" s="618"/>
      <c r="U272" s="618"/>
      <c r="V272" s="618"/>
      <c r="W272" s="618"/>
      <c r="X272" s="618"/>
      <c r="Y272" s="618"/>
      <c r="Z272" s="618"/>
      <c r="AA272" s="618"/>
      <c r="AB272" s="618"/>
    </row>
    <row r="273" spans="1:28">
      <c r="A273" s="618"/>
      <c r="B273" s="618"/>
      <c r="C273" s="618"/>
      <c r="D273" s="644"/>
      <c r="E273" s="618"/>
      <c r="F273" s="618"/>
      <c r="G273" s="618"/>
      <c r="H273" s="618"/>
      <c r="I273" s="618"/>
      <c r="J273" s="618"/>
      <c r="K273" s="618"/>
      <c r="L273" s="618"/>
      <c r="M273" s="618"/>
      <c r="N273" s="618"/>
      <c r="O273" s="618"/>
      <c r="P273" s="618"/>
      <c r="Q273" s="618"/>
      <c r="R273" s="618"/>
      <c r="S273" s="618"/>
      <c r="T273" s="618"/>
      <c r="U273" s="618"/>
      <c r="V273" s="618"/>
      <c r="W273" s="618"/>
      <c r="X273" s="618"/>
      <c r="Y273" s="618"/>
      <c r="Z273" s="618"/>
      <c r="AA273" s="618"/>
      <c r="AB273" s="618"/>
    </row>
    <row r="274" spans="1:28">
      <c r="A274" s="618"/>
      <c r="B274" s="618"/>
      <c r="C274" s="618"/>
      <c r="D274" s="644"/>
      <c r="E274" s="618"/>
      <c r="F274" s="618"/>
      <c r="G274" s="618"/>
      <c r="H274" s="618"/>
      <c r="I274" s="618"/>
      <c r="J274" s="618"/>
      <c r="K274" s="618"/>
      <c r="L274" s="618"/>
      <c r="M274" s="618"/>
      <c r="N274" s="618"/>
      <c r="O274" s="618"/>
      <c r="P274" s="618"/>
      <c r="Q274" s="618"/>
      <c r="R274" s="618"/>
      <c r="S274" s="618"/>
      <c r="T274" s="618"/>
      <c r="U274" s="618"/>
      <c r="V274" s="618"/>
      <c r="W274" s="618"/>
      <c r="X274" s="618"/>
      <c r="Y274" s="618"/>
      <c r="Z274" s="618"/>
      <c r="AA274" s="618"/>
      <c r="AB274" s="618"/>
    </row>
    <row r="275" spans="1:28">
      <c r="A275" s="618"/>
      <c r="B275" s="618"/>
      <c r="C275" s="618"/>
      <c r="D275" s="644"/>
      <c r="E275" s="618"/>
      <c r="F275" s="618"/>
      <c r="G275" s="618"/>
      <c r="H275" s="618"/>
      <c r="I275" s="618"/>
      <c r="J275" s="618"/>
      <c r="K275" s="618"/>
      <c r="L275" s="618"/>
      <c r="M275" s="618"/>
      <c r="N275" s="618"/>
      <c r="O275" s="618"/>
      <c r="P275" s="618"/>
      <c r="Q275" s="618"/>
      <c r="R275" s="618"/>
      <c r="S275" s="618"/>
      <c r="T275" s="618"/>
      <c r="U275" s="618"/>
      <c r="V275" s="618"/>
      <c r="W275" s="618"/>
      <c r="X275" s="618"/>
      <c r="Y275" s="618"/>
      <c r="Z275" s="618"/>
      <c r="AA275" s="618"/>
      <c r="AB275" s="618"/>
    </row>
    <row r="276" spans="1:28">
      <c r="A276" s="618"/>
      <c r="B276" s="618"/>
      <c r="C276" s="618"/>
      <c r="D276" s="644"/>
      <c r="E276" s="618"/>
      <c r="F276" s="618"/>
      <c r="G276" s="618"/>
      <c r="H276" s="618"/>
      <c r="I276" s="618"/>
      <c r="J276" s="618"/>
      <c r="K276" s="618"/>
      <c r="L276" s="618"/>
      <c r="M276" s="618"/>
      <c r="N276" s="618"/>
      <c r="O276" s="618"/>
      <c r="P276" s="618"/>
      <c r="Q276" s="618"/>
      <c r="R276" s="618"/>
      <c r="S276" s="618"/>
      <c r="T276" s="618"/>
      <c r="U276" s="618"/>
      <c r="V276" s="618"/>
      <c r="W276" s="618"/>
      <c r="X276" s="618"/>
      <c r="Y276" s="618"/>
      <c r="Z276" s="618"/>
      <c r="AA276" s="618"/>
      <c r="AB276" s="618"/>
    </row>
    <row r="277" spans="1:28">
      <c r="A277" s="618"/>
      <c r="B277" s="618"/>
      <c r="C277" s="618"/>
      <c r="D277" s="644"/>
      <c r="E277" s="618"/>
      <c r="F277" s="618"/>
      <c r="G277" s="618"/>
      <c r="H277" s="618"/>
      <c r="I277" s="618"/>
      <c r="J277" s="618"/>
      <c r="K277" s="618"/>
      <c r="L277" s="618"/>
      <c r="M277" s="618"/>
      <c r="N277" s="618"/>
      <c r="O277" s="618"/>
      <c r="P277" s="618"/>
      <c r="Q277" s="618"/>
      <c r="R277" s="618"/>
      <c r="S277" s="618"/>
      <c r="T277" s="618"/>
      <c r="U277" s="618"/>
      <c r="V277" s="618"/>
      <c r="W277" s="618"/>
      <c r="X277" s="618"/>
      <c r="Y277" s="618"/>
      <c r="Z277" s="618"/>
      <c r="AA277" s="618"/>
      <c r="AB277" s="618"/>
    </row>
    <row r="278" spans="1:28">
      <c r="A278" s="618"/>
      <c r="B278" s="618"/>
      <c r="C278" s="618"/>
      <c r="D278" s="644"/>
      <c r="E278" s="618"/>
      <c r="F278" s="618"/>
      <c r="G278" s="618"/>
      <c r="H278" s="618"/>
      <c r="I278" s="618"/>
      <c r="J278" s="618"/>
      <c r="K278" s="618"/>
      <c r="L278" s="618"/>
      <c r="M278" s="618"/>
      <c r="N278" s="618"/>
      <c r="O278" s="618"/>
      <c r="P278" s="618"/>
      <c r="Q278" s="618"/>
      <c r="R278" s="618"/>
      <c r="S278" s="618"/>
      <c r="T278" s="618"/>
      <c r="U278" s="618"/>
      <c r="V278" s="618"/>
      <c r="W278" s="618"/>
      <c r="X278" s="618"/>
      <c r="Y278" s="618"/>
      <c r="Z278" s="618"/>
      <c r="AA278" s="618"/>
      <c r="AB278" s="618"/>
    </row>
    <row r="279" spans="1:28">
      <c r="A279" s="618"/>
      <c r="B279" s="618"/>
      <c r="C279" s="618"/>
      <c r="D279" s="644"/>
      <c r="E279" s="618"/>
      <c r="F279" s="618"/>
      <c r="G279" s="618"/>
      <c r="H279" s="618"/>
      <c r="I279" s="618"/>
      <c r="J279" s="618"/>
      <c r="K279" s="618"/>
      <c r="L279" s="618"/>
      <c r="M279" s="618"/>
      <c r="N279" s="618"/>
      <c r="O279" s="618"/>
      <c r="P279" s="618"/>
      <c r="Q279" s="618"/>
      <c r="R279" s="618"/>
      <c r="S279" s="618"/>
      <c r="T279" s="618"/>
      <c r="U279" s="618"/>
      <c r="V279" s="618"/>
      <c r="W279" s="618"/>
      <c r="X279" s="618"/>
      <c r="Y279" s="618"/>
      <c r="Z279" s="618"/>
      <c r="AA279" s="618"/>
      <c r="AB279" s="618"/>
    </row>
    <row r="280" spans="1:28">
      <c r="A280" s="618"/>
      <c r="B280" s="618"/>
      <c r="C280" s="618"/>
      <c r="D280" s="644"/>
      <c r="E280" s="618"/>
      <c r="F280" s="618"/>
      <c r="G280" s="618"/>
      <c r="H280" s="618"/>
      <c r="I280" s="618"/>
      <c r="J280" s="618"/>
      <c r="K280" s="618"/>
      <c r="L280" s="618"/>
      <c r="M280" s="618"/>
      <c r="N280" s="618"/>
      <c r="O280" s="618"/>
      <c r="P280" s="618"/>
      <c r="Q280" s="618"/>
      <c r="R280" s="618"/>
      <c r="S280" s="618"/>
      <c r="T280" s="618"/>
      <c r="U280" s="618"/>
      <c r="V280" s="618"/>
      <c r="W280" s="618"/>
      <c r="X280" s="618"/>
      <c r="Y280" s="618"/>
      <c r="Z280" s="618"/>
      <c r="AA280" s="618"/>
      <c r="AB280" s="618"/>
    </row>
    <row r="281" spans="1:28">
      <c r="A281" s="618"/>
      <c r="B281" s="618"/>
      <c r="C281" s="618"/>
      <c r="D281" s="644"/>
      <c r="E281" s="618"/>
      <c r="F281" s="618"/>
      <c r="G281" s="618"/>
      <c r="H281" s="618"/>
      <c r="I281" s="618"/>
      <c r="J281" s="618"/>
      <c r="K281" s="618"/>
      <c r="L281" s="618"/>
      <c r="M281" s="618"/>
      <c r="N281" s="618"/>
      <c r="O281" s="618"/>
      <c r="P281" s="618"/>
      <c r="Q281" s="618"/>
      <c r="R281" s="618"/>
      <c r="S281" s="618"/>
      <c r="T281" s="618"/>
      <c r="U281" s="618"/>
      <c r="V281" s="618"/>
      <c r="W281" s="618"/>
      <c r="X281" s="618"/>
      <c r="Y281" s="618"/>
      <c r="Z281" s="618"/>
      <c r="AA281" s="618"/>
      <c r="AB281" s="618"/>
    </row>
    <row r="282" spans="1:28">
      <c r="A282" s="618"/>
      <c r="B282" s="618"/>
      <c r="C282" s="618"/>
      <c r="D282" s="644"/>
      <c r="E282" s="618"/>
      <c r="F282" s="618"/>
      <c r="G282" s="618"/>
      <c r="H282" s="618"/>
      <c r="I282" s="618"/>
      <c r="J282" s="618"/>
      <c r="K282" s="618"/>
      <c r="L282" s="618"/>
      <c r="M282" s="618"/>
      <c r="N282" s="618"/>
      <c r="O282" s="618"/>
      <c r="P282" s="618"/>
      <c r="Q282" s="618"/>
      <c r="R282" s="618"/>
      <c r="S282" s="618"/>
      <c r="T282" s="618"/>
      <c r="U282" s="618"/>
      <c r="V282" s="618"/>
      <c r="W282" s="618"/>
      <c r="X282" s="618"/>
      <c r="Y282" s="618"/>
      <c r="Z282" s="618"/>
      <c r="AA282" s="618"/>
      <c r="AB282" s="618"/>
    </row>
    <row r="283" spans="1:28">
      <c r="A283" s="618"/>
      <c r="B283" s="618"/>
      <c r="C283" s="618"/>
      <c r="D283" s="644"/>
      <c r="E283" s="618"/>
      <c r="F283" s="618"/>
      <c r="G283" s="618"/>
      <c r="H283" s="618"/>
      <c r="I283" s="618"/>
      <c r="J283" s="618"/>
      <c r="K283" s="618"/>
      <c r="L283" s="618"/>
      <c r="M283" s="618"/>
      <c r="N283" s="618"/>
      <c r="O283" s="618"/>
      <c r="P283" s="618"/>
      <c r="Q283" s="618"/>
      <c r="R283" s="618"/>
      <c r="S283" s="618"/>
      <c r="T283" s="618"/>
      <c r="U283" s="618"/>
      <c r="V283" s="618"/>
      <c r="W283" s="618"/>
      <c r="X283" s="618"/>
      <c r="Y283" s="618"/>
      <c r="Z283" s="618"/>
      <c r="AA283" s="618"/>
      <c r="AB283" s="618"/>
    </row>
    <row r="284" spans="1:28">
      <c r="A284" s="618"/>
      <c r="B284" s="618"/>
      <c r="C284" s="618"/>
      <c r="D284" s="644"/>
      <c r="E284" s="618"/>
      <c r="F284" s="618"/>
      <c r="G284" s="618"/>
      <c r="H284" s="618"/>
      <c r="I284" s="618"/>
      <c r="J284" s="618"/>
      <c r="K284" s="618"/>
      <c r="L284" s="618"/>
      <c r="M284" s="618"/>
      <c r="N284" s="618"/>
      <c r="O284" s="618"/>
      <c r="P284" s="618"/>
      <c r="Q284" s="618"/>
      <c r="R284" s="618"/>
      <c r="S284" s="618"/>
      <c r="T284" s="618"/>
      <c r="U284" s="618"/>
      <c r="V284" s="618"/>
      <c r="W284" s="618"/>
      <c r="X284" s="618"/>
      <c r="Y284" s="618"/>
      <c r="Z284" s="618"/>
      <c r="AA284" s="618"/>
      <c r="AB284" s="618"/>
    </row>
    <row r="285" spans="1:28">
      <c r="A285" s="618"/>
      <c r="B285" s="618"/>
      <c r="C285" s="618"/>
      <c r="D285" s="644"/>
      <c r="E285" s="618"/>
      <c r="F285" s="618"/>
      <c r="G285" s="618"/>
      <c r="H285" s="618"/>
      <c r="I285" s="618"/>
      <c r="J285" s="618"/>
      <c r="K285" s="618"/>
      <c r="L285" s="618"/>
      <c r="M285" s="618"/>
      <c r="N285" s="618"/>
      <c r="O285" s="618"/>
      <c r="P285" s="618"/>
      <c r="Q285" s="618"/>
      <c r="R285" s="618"/>
      <c r="S285" s="618"/>
      <c r="T285" s="618"/>
      <c r="U285" s="618"/>
      <c r="V285" s="618"/>
      <c r="W285" s="618"/>
      <c r="X285" s="618"/>
      <c r="Y285" s="618"/>
      <c r="Z285" s="618"/>
      <c r="AA285" s="618"/>
      <c r="AB285" s="618"/>
    </row>
    <row r="286" spans="1:28">
      <c r="A286" s="618"/>
      <c r="B286" s="618"/>
      <c r="C286" s="618"/>
      <c r="D286" s="644"/>
      <c r="E286" s="618"/>
      <c r="F286" s="618"/>
      <c r="G286" s="618"/>
      <c r="H286" s="618"/>
      <c r="I286" s="618"/>
      <c r="J286" s="618"/>
      <c r="K286" s="618"/>
      <c r="L286" s="618"/>
      <c r="M286" s="618"/>
      <c r="N286" s="618"/>
      <c r="O286" s="618"/>
      <c r="P286" s="618"/>
      <c r="Q286" s="618"/>
      <c r="R286" s="618"/>
      <c r="S286" s="618"/>
      <c r="T286" s="618"/>
      <c r="U286" s="618"/>
      <c r="V286" s="618"/>
      <c r="W286" s="618"/>
      <c r="X286" s="618"/>
      <c r="Y286" s="618"/>
      <c r="Z286" s="618"/>
      <c r="AA286" s="618"/>
      <c r="AB286" s="618"/>
    </row>
    <row r="287" spans="1:28">
      <c r="A287" s="618"/>
      <c r="B287" s="618"/>
      <c r="C287" s="618"/>
      <c r="D287" s="644"/>
      <c r="E287" s="618"/>
      <c r="F287" s="618"/>
      <c r="G287" s="618"/>
      <c r="H287" s="618"/>
      <c r="I287" s="618"/>
      <c r="J287" s="618"/>
      <c r="K287" s="618"/>
      <c r="L287" s="618"/>
      <c r="M287" s="618"/>
      <c r="N287" s="618"/>
      <c r="O287" s="618"/>
      <c r="P287" s="618"/>
      <c r="Q287" s="618"/>
      <c r="R287" s="618"/>
      <c r="S287" s="618"/>
      <c r="T287" s="618"/>
      <c r="U287" s="618"/>
      <c r="V287" s="618"/>
      <c r="W287" s="618"/>
      <c r="X287" s="618"/>
      <c r="Y287" s="618"/>
      <c r="Z287" s="618"/>
      <c r="AA287" s="618"/>
      <c r="AB287" s="618"/>
    </row>
    <row r="288" spans="1:28">
      <c r="A288" s="618"/>
      <c r="B288" s="618"/>
      <c r="C288" s="618"/>
      <c r="D288" s="644"/>
      <c r="E288" s="618"/>
      <c r="F288" s="618"/>
      <c r="G288" s="618"/>
      <c r="H288" s="618"/>
      <c r="I288" s="618"/>
      <c r="J288" s="618"/>
      <c r="K288" s="618"/>
      <c r="L288" s="618"/>
      <c r="M288" s="618"/>
      <c r="N288" s="618"/>
      <c r="O288" s="618"/>
      <c r="P288" s="618"/>
      <c r="Q288" s="618"/>
      <c r="R288" s="618"/>
      <c r="S288" s="618"/>
      <c r="T288" s="618"/>
      <c r="U288" s="618"/>
      <c r="V288" s="618"/>
      <c r="W288" s="618"/>
      <c r="X288" s="618"/>
      <c r="Y288" s="618"/>
      <c r="Z288" s="618"/>
      <c r="AA288" s="618"/>
      <c r="AB288" s="618"/>
    </row>
    <row r="289" spans="1:28">
      <c r="A289" s="618"/>
      <c r="B289" s="618"/>
      <c r="C289" s="618"/>
      <c r="D289" s="644"/>
      <c r="E289" s="618"/>
      <c r="F289" s="618"/>
      <c r="G289" s="618"/>
      <c r="H289" s="618"/>
      <c r="I289" s="618"/>
      <c r="J289" s="618"/>
      <c r="K289" s="618"/>
      <c r="L289" s="618"/>
      <c r="M289" s="618"/>
      <c r="N289" s="618"/>
      <c r="O289" s="618"/>
      <c r="P289" s="618"/>
      <c r="Q289" s="618"/>
      <c r="R289" s="618"/>
      <c r="S289" s="618"/>
      <c r="T289" s="618"/>
      <c r="U289" s="618"/>
      <c r="V289" s="618"/>
      <c r="W289" s="618"/>
      <c r="X289" s="618"/>
      <c r="Y289" s="618"/>
      <c r="Z289" s="618"/>
      <c r="AA289" s="618"/>
      <c r="AB289" s="618"/>
    </row>
    <row r="290" spans="1:28">
      <c r="A290" s="618"/>
      <c r="B290" s="618"/>
      <c r="C290" s="618"/>
      <c r="D290" s="644"/>
      <c r="E290" s="618"/>
      <c r="F290" s="618"/>
      <c r="G290" s="618"/>
      <c r="H290" s="618"/>
      <c r="I290" s="618"/>
      <c r="J290" s="618"/>
      <c r="K290" s="618"/>
      <c r="L290" s="618"/>
      <c r="M290" s="618"/>
      <c r="N290" s="618"/>
      <c r="O290" s="618"/>
      <c r="P290" s="618"/>
      <c r="Q290" s="618"/>
      <c r="R290" s="618"/>
      <c r="S290" s="618"/>
      <c r="T290" s="618"/>
      <c r="U290" s="618"/>
      <c r="V290" s="618"/>
      <c r="W290" s="618"/>
      <c r="X290" s="618"/>
      <c r="Y290" s="618"/>
      <c r="Z290" s="618"/>
      <c r="AA290" s="618"/>
      <c r="AB290" s="618"/>
    </row>
    <row r="291" spans="1:28">
      <c r="A291" s="618"/>
      <c r="B291" s="618"/>
      <c r="C291" s="618"/>
      <c r="D291" s="644"/>
      <c r="E291" s="618"/>
      <c r="F291" s="618"/>
      <c r="G291" s="618"/>
      <c r="H291" s="618"/>
      <c r="I291" s="618"/>
      <c r="J291" s="618"/>
      <c r="K291" s="618"/>
      <c r="L291" s="618"/>
      <c r="M291" s="618"/>
      <c r="N291" s="618"/>
      <c r="O291" s="618"/>
      <c r="P291" s="618"/>
      <c r="Q291" s="618"/>
      <c r="R291" s="618"/>
      <c r="S291" s="618"/>
      <c r="T291" s="618"/>
      <c r="U291" s="618"/>
      <c r="V291" s="618"/>
      <c r="W291" s="618"/>
      <c r="X291" s="618"/>
      <c r="Y291" s="618"/>
      <c r="Z291" s="618"/>
      <c r="AA291" s="618"/>
      <c r="AB291" s="618"/>
    </row>
    <row r="292" spans="1:28">
      <c r="A292" s="618"/>
      <c r="B292" s="618"/>
      <c r="C292" s="618"/>
      <c r="D292" s="644"/>
      <c r="E292" s="618"/>
      <c r="F292" s="618"/>
      <c r="G292" s="618"/>
      <c r="H292" s="618"/>
      <c r="I292" s="618"/>
      <c r="J292" s="618"/>
      <c r="K292" s="618"/>
      <c r="L292" s="618"/>
      <c r="M292" s="618"/>
      <c r="N292" s="618"/>
      <c r="O292" s="618"/>
      <c r="P292" s="618"/>
      <c r="Q292" s="618"/>
      <c r="R292" s="618"/>
      <c r="S292" s="618"/>
      <c r="T292" s="618"/>
      <c r="U292" s="618"/>
      <c r="V292" s="618"/>
      <c r="W292" s="618"/>
      <c r="X292" s="618"/>
      <c r="Y292" s="618"/>
      <c r="Z292" s="618"/>
      <c r="AA292" s="618"/>
      <c r="AB292" s="618"/>
    </row>
    <row r="293" spans="1:28">
      <c r="A293" s="618"/>
      <c r="B293" s="618"/>
      <c r="C293" s="618"/>
      <c r="D293" s="644"/>
      <c r="E293" s="618"/>
      <c r="F293" s="618"/>
      <c r="G293" s="618"/>
      <c r="H293" s="618"/>
      <c r="I293" s="618"/>
      <c r="J293" s="618"/>
      <c r="K293" s="618"/>
      <c r="L293" s="618"/>
      <c r="M293" s="618"/>
      <c r="N293" s="618"/>
      <c r="O293" s="618"/>
      <c r="P293" s="618"/>
      <c r="Q293" s="618"/>
      <c r="R293" s="618"/>
      <c r="S293" s="618"/>
      <c r="T293" s="618"/>
      <c r="U293" s="618"/>
      <c r="V293" s="618"/>
      <c r="W293" s="618"/>
      <c r="X293" s="618"/>
      <c r="Y293" s="618"/>
      <c r="Z293" s="618"/>
      <c r="AA293" s="618"/>
      <c r="AB293" s="618"/>
    </row>
    <row r="294" spans="1:28">
      <c r="A294" s="618"/>
      <c r="B294" s="618"/>
      <c r="C294" s="618"/>
      <c r="D294" s="644"/>
      <c r="E294" s="618"/>
      <c r="F294" s="618"/>
      <c r="G294" s="618"/>
      <c r="H294" s="618"/>
      <c r="I294" s="618"/>
      <c r="J294" s="618"/>
      <c r="K294" s="618"/>
      <c r="L294" s="618"/>
      <c r="M294" s="618"/>
      <c r="N294" s="618"/>
      <c r="O294" s="618"/>
      <c r="P294" s="618"/>
      <c r="Q294" s="618"/>
      <c r="R294" s="618"/>
      <c r="S294" s="618"/>
      <c r="T294" s="618"/>
      <c r="U294" s="618"/>
      <c r="V294" s="618"/>
      <c r="W294" s="618"/>
      <c r="X294" s="618"/>
      <c r="Y294" s="618"/>
      <c r="Z294" s="618"/>
      <c r="AA294" s="618"/>
      <c r="AB294" s="618"/>
    </row>
    <row r="295" spans="1:28">
      <c r="A295" s="618"/>
      <c r="B295" s="618"/>
      <c r="C295" s="618"/>
      <c r="D295" s="644"/>
      <c r="E295" s="618"/>
      <c r="F295" s="618"/>
      <c r="G295" s="618"/>
      <c r="H295" s="618"/>
      <c r="I295" s="618"/>
      <c r="J295" s="618"/>
      <c r="K295" s="618"/>
      <c r="L295" s="618"/>
      <c r="M295" s="618"/>
      <c r="N295" s="618"/>
      <c r="O295" s="618"/>
      <c r="P295" s="618"/>
      <c r="Q295" s="618"/>
      <c r="R295" s="618"/>
      <c r="S295" s="618"/>
      <c r="T295" s="618"/>
      <c r="U295" s="618"/>
      <c r="V295" s="618"/>
      <c r="W295" s="618"/>
      <c r="X295" s="618"/>
      <c r="Y295" s="618"/>
      <c r="Z295" s="618"/>
      <c r="AA295" s="618"/>
      <c r="AB295" s="618"/>
    </row>
    <row r="296" spans="1:28">
      <c r="A296" s="618"/>
      <c r="B296" s="618"/>
      <c r="C296" s="618"/>
      <c r="D296" s="644"/>
      <c r="E296" s="618"/>
      <c r="F296" s="618"/>
      <c r="G296" s="618"/>
      <c r="H296" s="618"/>
      <c r="I296" s="618"/>
      <c r="J296" s="618"/>
      <c r="K296" s="618"/>
      <c r="L296" s="618"/>
      <c r="M296" s="618"/>
      <c r="N296" s="618"/>
      <c r="O296" s="618"/>
      <c r="P296" s="618"/>
      <c r="Q296" s="618"/>
      <c r="R296" s="618"/>
      <c r="S296" s="618"/>
      <c r="T296" s="618"/>
      <c r="U296" s="618"/>
      <c r="V296" s="618"/>
      <c r="W296" s="618"/>
      <c r="X296" s="618"/>
      <c r="Y296" s="618"/>
      <c r="Z296" s="618"/>
      <c r="AA296" s="618"/>
      <c r="AB296" s="618"/>
    </row>
    <row r="297" spans="1:28">
      <c r="A297" s="618"/>
      <c r="B297" s="618"/>
      <c r="C297" s="618"/>
      <c r="D297" s="644"/>
      <c r="E297" s="618"/>
      <c r="F297" s="618"/>
      <c r="G297" s="618"/>
      <c r="H297" s="618"/>
      <c r="I297" s="618"/>
      <c r="J297" s="618"/>
      <c r="K297" s="618"/>
      <c r="L297" s="618"/>
      <c r="M297" s="618"/>
      <c r="N297" s="618"/>
      <c r="O297" s="618"/>
      <c r="P297" s="618"/>
      <c r="Q297" s="618"/>
      <c r="R297" s="618"/>
      <c r="S297" s="618"/>
      <c r="T297" s="618"/>
      <c r="U297" s="618"/>
      <c r="V297" s="618"/>
      <c r="W297" s="618"/>
      <c r="X297" s="618"/>
      <c r="Y297" s="618"/>
      <c r="Z297" s="618"/>
      <c r="AA297" s="618"/>
      <c r="AB297" s="618"/>
    </row>
    <row r="298" spans="1:28">
      <c r="A298" s="618"/>
      <c r="B298" s="618"/>
      <c r="C298" s="618"/>
      <c r="D298" s="644"/>
      <c r="E298" s="618"/>
      <c r="F298" s="618"/>
      <c r="G298" s="618"/>
      <c r="H298" s="618"/>
      <c r="I298" s="618"/>
      <c r="J298" s="618"/>
      <c r="K298" s="618"/>
      <c r="L298" s="618"/>
      <c r="M298" s="618"/>
      <c r="N298" s="618"/>
      <c r="O298" s="618"/>
      <c r="P298" s="618"/>
      <c r="Q298" s="618"/>
      <c r="R298" s="618"/>
      <c r="S298" s="618"/>
      <c r="T298" s="618"/>
      <c r="U298" s="618"/>
      <c r="V298" s="618"/>
      <c r="W298" s="618"/>
      <c r="X298" s="618"/>
      <c r="Y298" s="618"/>
      <c r="Z298" s="618"/>
      <c r="AA298" s="618"/>
      <c r="AB298" s="618"/>
    </row>
    <row r="299" spans="1:28">
      <c r="A299" s="618"/>
      <c r="B299" s="618"/>
      <c r="C299" s="618"/>
      <c r="D299" s="644"/>
      <c r="E299" s="618"/>
      <c r="F299" s="618"/>
      <c r="G299" s="618"/>
      <c r="H299" s="618"/>
      <c r="I299" s="618"/>
      <c r="J299" s="618"/>
      <c r="K299" s="618"/>
      <c r="L299" s="618"/>
      <c r="M299" s="618"/>
      <c r="N299" s="618"/>
      <c r="O299" s="618"/>
      <c r="P299" s="618"/>
      <c r="Q299" s="618"/>
      <c r="R299" s="618"/>
      <c r="S299" s="618"/>
      <c r="T299" s="618"/>
      <c r="U299" s="618"/>
      <c r="V299" s="618"/>
      <c r="W299" s="618"/>
      <c r="X299" s="618"/>
      <c r="Y299" s="618"/>
      <c r="Z299" s="618"/>
      <c r="AA299" s="618"/>
      <c r="AB299" s="618"/>
    </row>
    <row r="300" spans="1:28">
      <c r="A300" s="618"/>
      <c r="B300" s="618"/>
      <c r="C300" s="618"/>
      <c r="D300" s="644"/>
      <c r="E300" s="618"/>
      <c r="F300" s="618"/>
      <c r="G300" s="618"/>
      <c r="H300" s="618"/>
      <c r="I300" s="618"/>
      <c r="J300" s="618"/>
      <c r="K300" s="618"/>
      <c r="L300" s="618"/>
      <c r="M300" s="618"/>
      <c r="N300" s="618"/>
      <c r="O300" s="618"/>
      <c r="P300" s="618"/>
      <c r="Q300" s="618"/>
      <c r="R300" s="618"/>
      <c r="S300" s="618"/>
      <c r="T300" s="618"/>
      <c r="U300" s="618"/>
      <c r="V300" s="618"/>
      <c r="W300" s="618"/>
      <c r="X300" s="618"/>
      <c r="Y300" s="618"/>
      <c r="Z300" s="618"/>
      <c r="AA300" s="618"/>
      <c r="AB300" s="618"/>
    </row>
    <row r="301" spans="1:28">
      <c r="A301" s="618"/>
      <c r="B301" s="618"/>
      <c r="C301" s="618"/>
      <c r="D301" s="644"/>
      <c r="E301" s="618"/>
      <c r="F301" s="618"/>
      <c r="G301" s="618"/>
      <c r="H301" s="618"/>
      <c r="I301" s="618"/>
      <c r="J301" s="618"/>
      <c r="K301" s="618"/>
      <c r="L301" s="618"/>
      <c r="M301" s="618"/>
      <c r="N301" s="618"/>
      <c r="O301" s="618"/>
      <c r="P301" s="618"/>
      <c r="Q301" s="618"/>
      <c r="R301" s="618"/>
      <c r="S301" s="618"/>
      <c r="T301" s="618"/>
      <c r="U301" s="618"/>
      <c r="V301" s="618"/>
      <c r="W301" s="618"/>
      <c r="X301" s="618"/>
      <c r="Y301" s="618"/>
      <c r="Z301" s="618"/>
      <c r="AA301" s="618"/>
      <c r="AB301" s="618"/>
    </row>
    <row r="302" spans="1:28">
      <c r="A302" s="618"/>
      <c r="B302" s="618"/>
      <c r="C302" s="618"/>
      <c r="D302" s="644"/>
      <c r="E302" s="618"/>
      <c r="F302" s="618"/>
      <c r="G302" s="618"/>
      <c r="H302" s="618"/>
      <c r="I302" s="618"/>
      <c r="J302" s="618"/>
      <c r="K302" s="618"/>
      <c r="L302" s="618"/>
      <c r="M302" s="618"/>
      <c r="N302" s="618"/>
      <c r="O302" s="618"/>
      <c r="P302" s="618"/>
      <c r="Q302" s="618"/>
      <c r="R302" s="618"/>
      <c r="S302" s="618"/>
      <c r="T302" s="618"/>
      <c r="U302" s="618"/>
      <c r="V302" s="618"/>
      <c r="W302" s="618"/>
      <c r="X302" s="618"/>
      <c r="Y302" s="618"/>
      <c r="Z302" s="618"/>
      <c r="AA302" s="618"/>
      <c r="AB302" s="618"/>
    </row>
    <row r="303" spans="1:28">
      <c r="A303" s="618"/>
      <c r="B303" s="618"/>
      <c r="C303" s="618"/>
      <c r="D303" s="644"/>
      <c r="E303" s="618"/>
      <c r="F303" s="618"/>
      <c r="G303" s="618"/>
      <c r="H303" s="618"/>
      <c r="I303" s="618"/>
      <c r="J303" s="618"/>
      <c r="K303" s="618"/>
      <c r="L303" s="618"/>
      <c r="M303" s="618"/>
      <c r="N303" s="618"/>
      <c r="O303" s="618"/>
      <c r="P303" s="618"/>
      <c r="Q303" s="618"/>
      <c r="R303" s="618"/>
      <c r="S303" s="618"/>
      <c r="T303" s="618"/>
      <c r="U303" s="618"/>
      <c r="V303" s="618"/>
      <c r="W303" s="618"/>
      <c r="X303" s="618"/>
      <c r="Y303" s="618"/>
      <c r="Z303" s="618"/>
      <c r="AA303" s="618"/>
      <c r="AB303" s="618"/>
    </row>
    <row r="304" spans="1:28">
      <c r="A304" s="618"/>
      <c r="B304" s="618"/>
      <c r="C304" s="618"/>
      <c r="D304" s="644"/>
      <c r="E304" s="618"/>
      <c r="F304" s="618"/>
      <c r="G304" s="618"/>
      <c r="H304" s="618"/>
      <c r="I304" s="618"/>
      <c r="J304" s="618"/>
      <c r="K304" s="618"/>
      <c r="L304" s="618"/>
      <c r="M304" s="618"/>
      <c r="N304" s="618"/>
      <c r="O304" s="618"/>
      <c r="P304" s="618"/>
      <c r="Q304" s="618"/>
      <c r="R304" s="618"/>
      <c r="S304" s="618"/>
      <c r="T304" s="618"/>
      <c r="U304" s="618"/>
      <c r="V304" s="618"/>
      <c r="W304" s="618"/>
      <c r="X304" s="618"/>
      <c r="Y304" s="618"/>
      <c r="Z304" s="618"/>
      <c r="AA304" s="618"/>
      <c r="AB304" s="618"/>
    </row>
    <row r="305" spans="1:28">
      <c r="A305" s="618"/>
      <c r="B305" s="618"/>
      <c r="C305" s="618"/>
      <c r="D305" s="644"/>
      <c r="E305" s="618"/>
      <c r="F305" s="618"/>
      <c r="G305" s="618"/>
      <c r="H305" s="618"/>
      <c r="I305" s="618"/>
      <c r="J305" s="618"/>
      <c r="K305" s="618"/>
      <c r="L305" s="618"/>
      <c r="M305" s="618"/>
      <c r="N305" s="618"/>
      <c r="O305" s="618"/>
      <c r="P305" s="618"/>
      <c r="Q305" s="618"/>
      <c r="R305" s="618"/>
      <c r="S305" s="618"/>
      <c r="T305" s="618"/>
      <c r="U305" s="618"/>
      <c r="V305" s="618"/>
      <c r="W305" s="618"/>
      <c r="X305" s="618"/>
      <c r="Y305" s="618"/>
      <c r="Z305" s="618"/>
      <c r="AA305" s="618"/>
      <c r="AB305" s="618"/>
    </row>
    <row r="306" spans="1:28">
      <c r="A306" s="618"/>
      <c r="B306" s="618"/>
      <c r="C306" s="618"/>
      <c r="D306" s="644"/>
      <c r="E306" s="618"/>
      <c r="F306" s="618"/>
      <c r="G306" s="618"/>
      <c r="H306" s="618"/>
      <c r="I306" s="618"/>
      <c r="J306" s="618"/>
      <c r="K306" s="618"/>
      <c r="L306" s="618"/>
      <c r="M306" s="618"/>
      <c r="N306" s="618"/>
      <c r="O306" s="618"/>
      <c r="P306" s="618"/>
      <c r="Q306" s="618"/>
      <c r="R306" s="618"/>
      <c r="S306" s="618"/>
      <c r="T306" s="618"/>
      <c r="U306" s="618"/>
      <c r="V306" s="618"/>
      <c r="W306" s="618"/>
      <c r="X306" s="618"/>
      <c r="Y306" s="618"/>
      <c r="Z306" s="618"/>
      <c r="AA306" s="618"/>
      <c r="AB306" s="618"/>
    </row>
    <row r="307" spans="1:28">
      <c r="A307" s="618"/>
      <c r="B307" s="618"/>
      <c r="C307" s="618"/>
      <c r="D307" s="644"/>
      <c r="E307" s="618"/>
      <c r="F307" s="618"/>
      <c r="G307" s="618"/>
      <c r="H307" s="618"/>
      <c r="I307" s="618"/>
      <c r="J307" s="618"/>
      <c r="K307" s="618"/>
      <c r="L307" s="618"/>
      <c r="M307" s="618"/>
      <c r="N307" s="618"/>
      <c r="O307" s="618"/>
      <c r="P307" s="618"/>
      <c r="Q307" s="618"/>
      <c r="R307" s="618"/>
      <c r="S307" s="618"/>
      <c r="T307" s="618"/>
      <c r="U307" s="618"/>
      <c r="V307" s="618"/>
      <c r="W307" s="618"/>
      <c r="X307" s="618"/>
      <c r="Y307" s="618"/>
      <c r="Z307" s="618"/>
      <c r="AA307" s="618"/>
      <c r="AB307" s="618"/>
    </row>
    <row r="308" spans="1:28">
      <c r="A308" s="618"/>
      <c r="B308" s="618"/>
      <c r="C308" s="618"/>
      <c r="D308" s="644"/>
      <c r="E308" s="618"/>
      <c r="F308" s="618"/>
      <c r="G308" s="618"/>
      <c r="H308" s="618"/>
      <c r="I308" s="618"/>
      <c r="J308" s="618"/>
      <c r="K308" s="618"/>
      <c r="L308" s="618"/>
      <c r="M308" s="618"/>
      <c r="N308" s="618"/>
      <c r="O308" s="618"/>
      <c r="P308" s="618"/>
      <c r="Q308" s="618"/>
      <c r="R308" s="618"/>
      <c r="S308" s="618"/>
      <c r="T308" s="618"/>
      <c r="U308" s="618"/>
      <c r="V308" s="618"/>
      <c r="W308" s="618"/>
      <c r="X308" s="618"/>
      <c r="Y308" s="618"/>
      <c r="Z308" s="618"/>
      <c r="AA308" s="618"/>
      <c r="AB308" s="618"/>
    </row>
    <row r="309" spans="1:28">
      <c r="A309" s="618"/>
      <c r="B309" s="618"/>
      <c r="C309" s="618"/>
      <c r="D309" s="644"/>
      <c r="E309" s="618"/>
      <c r="F309" s="618"/>
      <c r="G309" s="618"/>
      <c r="H309" s="618"/>
      <c r="I309" s="618"/>
      <c r="J309" s="618"/>
      <c r="K309" s="618"/>
      <c r="L309" s="618"/>
      <c r="M309" s="618"/>
      <c r="N309" s="618"/>
      <c r="O309" s="618"/>
      <c r="P309" s="618"/>
      <c r="Q309" s="618"/>
      <c r="R309" s="618"/>
      <c r="S309" s="618"/>
      <c r="T309" s="618"/>
      <c r="U309" s="618"/>
      <c r="V309" s="618"/>
      <c r="W309" s="618"/>
      <c r="X309" s="618"/>
      <c r="Y309" s="618"/>
      <c r="Z309" s="618"/>
      <c r="AA309" s="618"/>
      <c r="AB309" s="618"/>
    </row>
    <row r="310" spans="1:28">
      <c r="A310" s="618"/>
      <c r="B310" s="618"/>
      <c r="C310" s="618"/>
      <c r="D310" s="644"/>
      <c r="E310" s="618"/>
      <c r="F310" s="618"/>
      <c r="G310" s="618"/>
      <c r="H310" s="618"/>
      <c r="I310" s="618"/>
      <c r="J310" s="618"/>
      <c r="K310" s="618"/>
      <c r="L310" s="618"/>
      <c r="M310" s="618"/>
      <c r="N310" s="618"/>
      <c r="O310" s="618"/>
      <c r="P310" s="618"/>
      <c r="Q310" s="618"/>
      <c r="R310" s="618"/>
      <c r="S310" s="618"/>
      <c r="T310" s="618"/>
      <c r="U310" s="618"/>
      <c r="V310" s="618"/>
      <c r="W310" s="618"/>
      <c r="X310" s="618"/>
      <c r="Y310" s="618"/>
      <c r="Z310" s="618"/>
      <c r="AA310" s="618"/>
      <c r="AB310" s="618"/>
    </row>
    <row r="311" spans="1:28">
      <c r="A311" s="618"/>
      <c r="B311" s="618"/>
      <c r="C311" s="618"/>
      <c r="D311" s="644"/>
      <c r="E311" s="618"/>
      <c r="F311" s="618"/>
      <c r="G311" s="618"/>
      <c r="H311" s="618"/>
      <c r="I311" s="618"/>
      <c r="J311" s="618"/>
      <c r="K311" s="618"/>
      <c r="L311" s="618"/>
      <c r="M311" s="618"/>
      <c r="N311" s="618"/>
      <c r="O311" s="618"/>
      <c r="P311" s="618"/>
      <c r="Q311" s="618"/>
      <c r="R311" s="618"/>
      <c r="S311" s="618"/>
      <c r="T311" s="618"/>
      <c r="U311" s="618"/>
      <c r="V311" s="618"/>
      <c r="W311" s="618"/>
      <c r="X311" s="618"/>
      <c r="Y311" s="618"/>
      <c r="Z311" s="618"/>
      <c r="AA311" s="618"/>
      <c r="AB311" s="618"/>
    </row>
    <row r="312" spans="1:28">
      <c r="A312" s="618"/>
      <c r="B312" s="618"/>
      <c r="C312" s="618"/>
      <c r="D312" s="644"/>
      <c r="E312" s="618"/>
      <c r="F312" s="618"/>
      <c r="G312" s="618"/>
      <c r="H312" s="618"/>
      <c r="I312" s="618"/>
      <c r="J312" s="618"/>
      <c r="K312" s="618"/>
      <c r="L312" s="618"/>
      <c r="M312" s="618"/>
      <c r="N312" s="618"/>
      <c r="O312" s="618"/>
      <c r="P312" s="618"/>
      <c r="Q312" s="618"/>
      <c r="R312" s="618"/>
      <c r="S312" s="618"/>
      <c r="T312" s="618"/>
      <c r="U312" s="618"/>
      <c r="V312" s="618"/>
      <c r="W312" s="618"/>
      <c r="X312" s="618"/>
      <c r="Y312" s="618"/>
      <c r="Z312" s="618"/>
      <c r="AA312" s="618"/>
      <c r="AB312" s="618"/>
    </row>
    <row r="313" spans="1:28">
      <c r="A313" s="618"/>
      <c r="B313" s="618"/>
      <c r="C313" s="618"/>
      <c r="D313" s="644"/>
      <c r="E313" s="618"/>
      <c r="F313" s="618"/>
      <c r="G313" s="618"/>
      <c r="H313" s="618"/>
      <c r="I313" s="618"/>
      <c r="J313" s="618"/>
      <c r="K313" s="618"/>
      <c r="L313" s="618"/>
      <c r="M313" s="618"/>
      <c r="N313" s="618"/>
      <c r="O313" s="618"/>
      <c r="P313" s="618"/>
      <c r="Q313" s="618"/>
      <c r="R313" s="618"/>
      <c r="S313" s="618"/>
      <c r="T313" s="618"/>
      <c r="U313" s="618"/>
      <c r="V313" s="618"/>
      <c r="W313" s="618"/>
      <c r="X313" s="618"/>
      <c r="Y313" s="618"/>
      <c r="Z313" s="618"/>
      <c r="AA313" s="618"/>
      <c r="AB313" s="618"/>
    </row>
    <row r="314" spans="1:28">
      <c r="A314" s="618"/>
      <c r="B314" s="618"/>
      <c r="C314" s="618"/>
      <c r="D314" s="644"/>
      <c r="E314" s="618"/>
      <c r="F314" s="618"/>
      <c r="G314" s="618"/>
      <c r="H314" s="618"/>
      <c r="I314" s="618"/>
      <c r="J314" s="618"/>
      <c r="K314" s="618"/>
      <c r="L314" s="618"/>
      <c r="M314" s="618"/>
      <c r="N314" s="618"/>
      <c r="O314" s="618"/>
      <c r="P314" s="618"/>
      <c r="Q314" s="618"/>
      <c r="R314" s="618"/>
      <c r="S314" s="618"/>
      <c r="T314" s="618"/>
      <c r="U314" s="618"/>
      <c r="V314" s="618"/>
      <c r="W314" s="618"/>
      <c r="X314" s="618"/>
      <c r="Y314" s="618"/>
      <c r="Z314" s="618"/>
      <c r="AA314" s="618"/>
      <c r="AB314" s="618"/>
    </row>
    <row r="315" spans="1:28">
      <c r="A315" s="618"/>
      <c r="B315" s="618"/>
      <c r="C315" s="618"/>
      <c r="D315" s="644"/>
      <c r="E315" s="618"/>
      <c r="F315" s="618"/>
      <c r="G315" s="618"/>
      <c r="H315" s="618"/>
      <c r="I315" s="618"/>
      <c r="J315" s="618"/>
      <c r="K315" s="618"/>
      <c r="L315" s="618"/>
      <c r="M315" s="618"/>
      <c r="N315" s="618"/>
      <c r="O315" s="618"/>
      <c r="P315" s="618"/>
      <c r="Q315" s="618"/>
      <c r="R315" s="618"/>
      <c r="S315" s="618"/>
      <c r="T315" s="618"/>
      <c r="U315" s="618"/>
      <c r="V315" s="618"/>
      <c r="W315" s="618"/>
      <c r="X315" s="618"/>
      <c r="Y315" s="618"/>
      <c r="Z315" s="618"/>
      <c r="AA315" s="618"/>
      <c r="AB315" s="618"/>
    </row>
    <row r="316" spans="1:28">
      <c r="A316" s="618"/>
      <c r="B316" s="618"/>
      <c r="C316" s="618"/>
      <c r="D316" s="644"/>
      <c r="E316" s="618"/>
      <c r="F316" s="618"/>
      <c r="G316" s="618"/>
      <c r="H316" s="618"/>
      <c r="I316" s="618"/>
      <c r="J316" s="618"/>
      <c r="K316" s="618"/>
      <c r="L316" s="618"/>
      <c r="M316" s="618"/>
      <c r="N316" s="618"/>
      <c r="O316" s="618"/>
      <c r="P316" s="618"/>
      <c r="Q316" s="618"/>
      <c r="R316" s="618"/>
      <c r="S316" s="618"/>
      <c r="T316" s="618"/>
      <c r="U316" s="618"/>
      <c r="V316" s="618"/>
      <c r="W316" s="618"/>
      <c r="X316" s="618"/>
      <c r="Y316" s="618"/>
      <c r="Z316" s="618"/>
      <c r="AA316" s="618"/>
      <c r="AB316" s="618"/>
    </row>
    <row r="317" spans="1:28">
      <c r="A317" s="618"/>
      <c r="B317" s="618"/>
      <c r="C317" s="618"/>
      <c r="D317" s="644"/>
      <c r="E317" s="618"/>
      <c r="F317" s="618"/>
      <c r="G317" s="618"/>
      <c r="H317" s="618"/>
      <c r="I317" s="618"/>
      <c r="J317" s="618"/>
      <c r="K317" s="618"/>
      <c r="L317" s="618"/>
      <c r="M317" s="618"/>
      <c r="N317" s="618"/>
      <c r="O317" s="618"/>
      <c r="P317" s="618"/>
      <c r="Q317" s="618"/>
      <c r="R317" s="618"/>
      <c r="S317" s="618"/>
      <c r="T317" s="618"/>
      <c r="U317" s="618"/>
      <c r="V317" s="618"/>
      <c r="W317" s="618"/>
      <c r="X317" s="618"/>
      <c r="Y317" s="618"/>
      <c r="Z317" s="618"/>
      <c r="AA317" s="618"/>
      <c r="AB317" s="618"/>
    </row>
    <row r="318" spans="1:28">
      <c r="A318" s="618"/>
      <c r="B318" s="618"/>
      <c r="C318" s="618"/>
      <c r="D318" s="644"/>
      <c r="E318" s="618"/>
      <c r="F318" s="618"/>
      <c r="G318" s="618"/>
      <c r="H318" s="618"/>
      <c r="I318" s="618"/>
      <c r="J318" s="618"/>
      <c r="K318" s="618"/>
      <c r="L318" s="618"/>
      <c r="M318" s="618"/>
      <c r="N318" s="618"/>
      <c r="O318" s="618"/>
      <c r="P318" s="618"/>
      <c r="Q318" s="618"/>
      <c r="R318" s="618"/>
      <c r="S318" s="618"/>
      <c r="T318" s="618"/>
      <c r="U318" s="618"/>
      <c r="V318" s="618"/>
      <c r="W318" s="618"/>
      <c r="X318" s="618"/>
      <c r="Y318" s="618"/>
      <c r="Z318" s="618"/>
      <c r="AA318" s="618"/>
      <c r="AB318" s="618"/>
    </row>
    <row r="319" spans="1:28">
      <c r="A319" s="618"/>
      <c r="B319" s="618"/>
      <c r="C319" s="618"/>
      <c r="D319" s="644"/>
      <c r="E319" s="618"/>
      <c r="F319" s="618"/>
      <c r="G319" s="618"/>
      <c r="H319" s="618"/>
      <c r="I319" s="618"/>
      <c r="J319" s="618"/>
      <c r="K319" s="618"/>
      <c r="L319" s="618"/>
      <c r="M319" s="618"/>
      <c r="N319" s="618"/>
      <c r="O319" s="618"/>
      <c r="P319" s="618"/>
      <c r="Q319" s="618"/>
      <c r="R319" s="618"/>
      <c r="S319" s="618"/>
      <c r="T319" s="618"/>
      <c r="U319" s="618"/>
      <c r="V319" s="618"/>
      <c r="W319" s="618"/>
      <c r="X319" s="618"/>
      <c r="Y319" s="618"/>
      <c r="Z319" s="618"/>
      <c r="AA319" s="618"/>
      <c r="AB319" s="618"/>
    </row>
    <row r="320" spans="1:28">
      <c r="A320" s="618"/>
      <c r="B320" s="618"/>
      <c r="C320" s="618"/>
      <c r="D320" s="644"/>
      <c r="E320" s="618"/>
      <c r="F320" s="618"/>
      <c r="G320" s="618"/>
      <c r="H320" s="618"/>
      <c r="I320" s="618"/>
      <c r="J320" s="618"/>
      <c r="K320" s="618"/>
      <c r="L320" s="618"/>
      <c r="M320" s="618"/>
      <c r="N320" s="618"/>
      <c r="O320" s="618"/>
      <c r="P320" s="618"/>
      <c r="Q320" s="618"/>
      <c r="R320" s="618"/>
      <c r="S320" s="618"/>
      <c r="T320" s="618"/>
      <c r="U320" s="618"/>
      <c r="V320" s="618"/>
      <c r="W320" s="618"/>
      <c r="X320" s="618"/>
      <c r="Y320" s="618"/>
      <c r="Z320" s="618"/>
      <c r="AA320" s="618"/>
      <c r="AB320" s="618"/>
    </row>
    <row r="321" spans="1:28">
      <c r="A321" s="618"/>
      <c r="B321" s="618"/>
      <c r="C321" s="618"/>
      <c r="D321" s="644"/>
      <c r="E321" s="618"/>
      <c r="F321" s="618"/>
      <c r="G321" s="618"/>
      <c r="H321" s="618"/>
      <c r="I321" s="618"/>
      <c r="J321" s="618"/>
      <c r="K321" s="618"/>
      <c r="L321" s="618"/>
      <c r="M321" s="618"/>
      <c r="N321" s="618"/>
      <c r="O321" s="618"/>
      <c r="P321" s="618"/>
      <c r="Q321" s="618"/>
      <c r="R321" s="618"/>
      <c r="S321" s="618"/>
      <c r="T321" s="618"/>
      <c r="U321" s="618"/>
      <c r="V321" s="618"/>
      <c r="W321" s="618"/>
      <c r="X321" s="618"/>
      <c r="Y321" s="618"/>
      <c r="Z321" s="618"/>
      <c r="AA321" s="618"/>
      <c r="AB321" s="618"/>
    </row>
    <row r="322" spans="1:28">
      <c r="A322" s="618"/>
      <c r="B322" s="618"/>
      <c r="C322" s="618"/>
      <c r="D322" s="644"/>
      <c r="E322" s="618"/>
      <c r="F322" s="618"/>
      <c r="G322" s="618"/>
      <c r="H322" s="618"/>
      <c r="I322" s="618"/>
      <c r="J322" s="618"/>
      <c r="K322" s="618"/>
      <c r="L322" s="618"/>
      <c r="M322" s="618"/>
      <c r="N322" s="618"/>
      <c r="O322" s="618"/>
      <c r="P322" s="618"/>
      <c r="Q322" s="618"/>
      <c r="R322" s="618"/>
      <c r="S322" s="618"/>
      <c r="T322" s="618"/>
      <c r="U322" s="618"/>
      <c r="V322" s="618"/>
      <c r="W322" s="618"/>
      <c r="X322" s="618"/>
      <c r="Y322" s="618"/>
      <c r="Z322" s="618"/>
      <c r="AA322" s="618"/>
      <c r="AB322" s="618"/>
    </row>
    <row r="323" spans="1:28">
      <c r="A323" s="618"/>
      <c r="B323" s="618"/>
      <c r="C323" s="618"/>
      <c r="D323" s="644"/>
      <c r="E323" s="618"/>
      <c r="F323" s="618"/>
      <c r="G323" s="618"/>
      <c r="H323" s="618"/>
      <c r="I323" s="618"/>
      <c r="J323" s="618"/>
      <c r="K323" s="618"/>
      <c r="L323" s="618"/>
      <c r="M323" s="618"/>
      <c r="N323" s="618"/>
      <c r="O323" s="618"/>
      <c r="P323" s="618"/>
      <c r="Q323" s="618"/>
      <c r="R323" s="618"/>
      <c r="S323" s="618"/>
      <c r="T323" s="618"/>
      <c r="U323" s="618"/>
      <c r="V323" s="618"/>
      <c r="W323" s="618"/>
      <c r="X323" s="618"/>
      <c r="Y323" s="618"/>
      <c r="Z323" s="618"/>
      <c r="AA323" s="618"/>
      <c r="AB323" s="618"/>
    </row>
    <row r="324" spans="1:28">
      <c r="A324" s="618"/>
      <c r="B324" s="618"/>
      <c r="C324" s="618"/>
      <c r="D324" s="644"/>
      <c r="E324" s="618"/>
      <c r="F324" s="618"/>
      <c r="G324" s="618"/>
      <c r="H324" s="618"/>
      <c r="I324" s="618"/>
      <c r="J324" s="618"/>
      <c r="K324" s="618"/>
      <c r="L324" s="618"/>
      <c r="M324" s="618"/>
      <c r="N324" s="618"/>
      <c r="O324" s="618"/>
      <c r="P324" s="618"/>
      <c r="Q324" s="618"/>
      <c r="R324" s="618"/>
      <c r="S324" s="618"/>
      <c r="T324" s="618"/>
      <c r="U324" s="618"/>
      <c r="V324" s="618"/>
      <c r="W324" s="618"/>
      <c r="X324" s="618"/>
      <c r="Y324" s="618"/>
      <c r="Z324" s="618"/>
      <c r="AA324" s="618"/>
      <c r="AB324" s="618"/>
    </row>
    <row r="325" spans="1:28">
      <c r="A325" s="618"/>
      <c r="B325" s="618"/>
      <c r="C325" s="618"/>
      <c r="D325" s="644"/>
      <c r="E325" s="618"/>
      <c r="F325" s="618"/>
      <c r="G325" s="618"/>
      <c r="H325" s="618"/>
      <c r="I325" s="618"/>
      <c r="J325" s="618"/>
      <c r="K325" s="618"/>
      <c r="L325" s="618"/>
      <c r="M325" s="618"/>
      <c r="N325" s="618"/>
      <c r="O325" s="618"/>
      <c r="P325" s="618"/>
      <c r="Q325" s="618"/>
      <c r="R325" s="618"/>
      <c r="S325" s="618"/>
      <c r="T325" s="618"/>
      <c r="U325" s="618"/>
      <c r="V325" s="618"/>
      <c r="W325" s="618"/>
      <c r="X325" s="618"/>
      <c r="Y325" s="618"/>
      <c r="Z325" s="618"/>
      <c r="AA325" s="618"/>
      <c r="AB325" s="618"/>
    </row>
    <row r="326" spans="1:28">
      <c r="A326" s="618"/>
      <c r="B326" s="618"/>
      <c r="C326" s="618"/>
      <c r="D326" s="644"/>
      <c r="E326" s="618"/>
      <c r="F326" s="618"/>
      <c r="G326" s="618"/>
      <c r="H326" s="618"/>
      <c r="I326" s="618"/>
      <c r="J326" s="618"/>
      <c r="K326" s="618"/>
      <c r="L326" s="618"/>
      <c r="M326" s="618"/>
      <c r="N326" s="618"/>
      <c r="O326" s="618"/>
      <c r="P326" s="618"/>
      <c r="Q326" s="618"/>
      <c r="R326" s="618"/>
      <c r="S326" s="618"/>
      <c r="T326" s="618"/>
      <c r="U326" s="618"/>
      <c r="V326" s="618"/>
      <c r="W326" s="618"/>
      <c r="X326" s="618"/>
      <c r="Y326" s="618"/>
      <c r="Z326" s="618"/>
      <c r="AA326" s="618"/>
      <c r="AB326" s="618"/>
    </row>
    <row r="327" spans="1:28">
      <c r="A327" s="618"/>
      <c r="B327" s="618"/>
      <c r="C327" s="618"/>
      <c r="D327" s="644"/>
      <c r="E327" s="618"/>
      <c r="F327" s="618"/>
      <c r="G327" s="618"/>
      <c r="H327" s="618"/>
      <c r="I327" s="618"/>
      <c r="J327" s="618"/>
      <c r="K327" s="618"/>
      <c r="L327" s="618"/>
      <c r="M327" s="618"/>
      <c r="N327" s="618"/>
      <c r="O327" s="618"/>
      <c r="P327" s="618"/>
      <c r="Q327" s="618"/>
      <c r="R327" s="618"/>
      <c r="S327" s="618"/>
      <c r="T327" s="618"/>
      <c r="U327" s="618"/>
      <c r="V327" s="618"/>
      <c r="W327" s="618"/>
      <c r="X327" s="618"/>
      <c r="Y327" s="618"/>
      <c r="Z327" s="618"/>
      <c r="AA327" s="618"/>
      <c r="AB327" s="618"/>
    </row>
    <row r="328" spans="1:28">
      <c r="A328" s="618"/>
      <c r="B328" s="618"/>
      <c r="C328" s="618"/>
      <c r="D328" s="644"/>
      <c r="E328" s="618"/>
      <c r="F328" s="618"/>
      <c r="G328" s="618"/>
      <c r="H328" s="618"/>
      <c r="I328" s="618"/>
      <c r="J328" s="618"/>
      <c r="K328" s="618"/>
      <c r="L328" s="618"/>
      <c r="M328" s="618"/>
      <c r="N328" s="618"/>
      <c r="O328" s="618"/>
      <c r="P328" s="618"/>
      <c r="Q328" s="618"/>
      <c r="R328" s="618"/>
      <c r="S328" s="618"/>
      <c r="T328" s="618"/>
      <c r="U328" s="618"/>
      <c r="V328" s="618"/>
      <c r="W328" s="618"/>
      <c r="X328" s="618"/>
      <c r="Y328" s="618"/>
      <c r="Z328" s="618"/>
      <c r="AA328" s="618"/>
      <c r="AB328" s="618"/>
    </row>
    <row r="329" spans="1:28">
      <c r="A329" s="618"/>
      <c r="B329" s="618"/>
      <c r="C329" s="618"/>
      <c r="D329" s="644"/>
      <c r="E329" s="618"/>
      <c r="F329" s="618"/>
      <c r="G329" s="618"/>
      <c r="H329" s="618"/>
      <c r="I329" s="618"/>
      <c r="J329" s="618"/>
      <c r="K329" s="618"/>
      <c r="L329" s="618"/>
      <c r="M329" s="618"/>
      <c r="N329" s="618"/>
      <c r="O329" s="618"/>
      <c r="P329" s="618"/>
      <c r="Q329" s="618"/>
      <c r="R329" s="618"/>
      <c r="S329" s="618"/>
      <c r="T329" s="618"/>
      <c r="U329" s="618"/>
      <c r="V329" s="618"/>
      <c r="W329" s="618"/>
      <c r="X329" s="618"/>
      <c r="Y329" s="618"/>
      <c r="Z329" s="618"/>
      <c r="AA329" s="618"/>
      <c r="AB329" s="618"/>
    </row>
    <row r="330" spans="1:28">
      <c r="A330" s="618"/>
      <c r="B330" s="618"/>
      <c r="C330" s="618"/>
      <c r="D330" s="644"/>
      <c r="E330" s="618"/>
      <c r="F330" s="618"/>
      <c r="G330" s="618"/>
      <c r="H330" s="618"/>
      <c r="I330" s="618"/>
      <c r="J330" s="618"/>
      <c r="K330" s="618"/>
      <c r="L330" s="618"/>
      <c r="M330" s="618"/>
      <c r="N330" s="618"/>
      <c r="O330" s="618"/>
      <c r="P330" s="618"/>
      <c r="Q330" s="618"/>
      <c r="R330" s="618"/>
      <c r="S330" s="618"/>
      <c r="T330" s="618"/>
      <c r="U330" s="618"/>
      <c r="V330" s="618"/>
      <c r="W330" s="618"/>
      <c r="X330" s="618"/>
      <c r="Y330" s="618"/>
      <c r="Z330" s="618"/>
      <c r="AA330" s="618"/>
      <c r="AB330" s="618"/>
    </row>
    <row r="331" spans="1:28">
      <c r="A331" s="618"/>
      <c r="B331" s="618"/>
      <c r="C331" s="618"/>
      <c r="D331" s="644"/>
      <c r="E331" s="618"/>
      <c r="F331" s="618"/>
      <c r="G331" s="618"/>
      <c r="H331" s="618"/>
      <c r="I331" s="618"/>
      <c r="J331" s="618"/>
      <c r="K331" s="618"/>
      <c r="L331" s="618"/>
      <c r="M331" s="618"/>
      <c r="N331" s="618"/>
      <c r="O331" s="618"/>
      <c r="P331" s="618"/>
      <c r="Q331" s="618"/>
      <c r="R331" s="618"/>
      <c r="S331" s="618"/>
      <c r="T331" s="618"/>
      <c r="U331" s="618"/>
      <c r="V331" s="618"/>
      <c r="W331" s="618"/>
      <c r="X331" s="618"/>
      <c r="Y331" s="618"/>
      <c r="Z331" s="618"/>
      <c r="AA331" s="618"/>
      <c r="AB331" s="618"/>
    </row>
    <row r="332" spans="1:28">
      <c r="A332" s="618"/>
      <c r="B332" s="618"/>
      <c r="C332" s="618"/>
      <c r="D332" s="644"/>
      <c r="E332" s="618"/>
      <c r="F332" s="618"/>
      <c r="G332" s="618"/>
      <c r="H332" s="618"/>
      <c r="I332" s="618"/>
      <c r="J332" s="618"/>
      <c r="K332" s="618"/>
      <c r="L332" s="618"/>
      <c r="M332" s="618"/>
      <c r="N332" s="618"/>
      <c r="O332" s="618"/>
      <c r="P332" s="618"/>
      <c r="Q332" s="618"/>
      <c r="R332" s="618"/>
      <c r="S332" s="618"/>
      <c r="T332" s="618"/>
      <c r="U332" s="618"/>
      <c r="V332" s="618"/>
      <c r="W332" s="618"/>
      <c r="X332" s="618"/>
      <c r="Y332" s="618"/>
      <c r="Z332" s="618"/>
      <c r="AA332" s="618"/>
      <c r="AB332" s="618"/>
    </row>
    <row r="333" spans="1:28">
      <c r="A333" s="618"/>
      <c r="B333" s="618"/>
      <c r="C333" s="618"/>
      <c r="D333" s="644"/>
      <c r="E333" s="618"/>
      <c r="F333" s="618"/>
      <c r="G333" s="618"/>
      <c r="H333" s="618"/>
      <c r="I333" s="618"/>
      <c r="J333" s="618"/>
      <c r="K333" s="618"/>
      <c r="L333" s="618"/>
      <c r="M333" s="618"/>
      <c r="N333" s="618"/>
      <c r="O333" s="618"/>
      <c r="P333" s="618"/>
      <c r="Q333" s="618"/>
      <c r="R333" s="618"/>
      <c r="S333" s="618"/>
      <c r="T333" s="618"/>
      <c r="U333" s="618"/>
      <c r="V333" s="618"/>
      <c r="W333" s="618"/>
      <c r="X333" s="618"/>
      <c r="Y333" s="618"/>
      <c r="Z333" s="618"/>
      <c r="AA333" s="618"/>
      <c r="AB333" s="618"/>
    </row>
    <row r="334" spans="1:28">
      <c r="A334" s="618"/>
      <c r="B334" s="618"/>
      <c r="C334" s="618"/>
      <c r="D334" s="644"/>
      <c r="E334" s="618"/>
      <c r="F334" s="618"/>
      <c r="G334" s="618"/>
      <c r="H334" s="618"/>
      <c r="I334" s="618"/>
      <c r="J334" s="618"/>
      <c r="K334" s="618"/>
      <c r="L334" s="618"/>
      <c r="M334" s="618"/>
      <c r="N334" s="618"/>
      <c r="O334" s="618"/>
      <c r="P334" s="618"/>
      <c r="Q334" s="618"/>
      <c r="R334" s="618"/>
      <c r="S334" s="618"/>
      <c r="T334" s="618"/>
      <c r="U334" s="618"/>
      <c r="V334" s="618"/>
      <c r="W334" s="618"/>
      <c r="X334" s="618"/>
      <c r="Y334" s="618"/>
      <c r="Z334" s="618"/>
      <c r="AA334" s="618"/>
      <c r="AB334" s="618"/>
    </row>
    <row r="335" spans="1:28">
      <c r="A335" s="618"/>
      <c r="B335" s="618"/>
      <c r="C335" s="618"/>
      <c r="D335" s="644"/>
      <c r="E335" s="618"/>
      <c r="F335" s="618"/>
      <c r="G335" s="618"/>
      <c r="H335" s="618"/>
      <c r="I335" s="618"/>
      <c r="J335" s="618"/>
      <c r="K335" s="618"/>
      <c r="L335" s="618"/>
      <c r="M335" s="618"/>
      <c r="N335" s="618"/>
      <c r="O335" s="618"/>
      <c r="P335" s="618"/>
      <c r="Q335" s="618"/>
      <c r="R335" s="618"/>
      <c r="S335" s="618"/>
      <c r="T335" s="618"/>
      <c r="U335" s="618"/>
      <c r="V335" s="618"/>
      <c r="W335" s="618"/>
      <c r="X335" s="618"/>
      <c r="Y335" s="618"/>
      <c r="Z335" s="618"/>
      <c r="AA335" s="618"/>
      <c r="AB335" s="618"/>
    </row>
    <row r="336" spans="1:28">
      <c r="A336" s="618"/>
      <c r="B336" s="618"/>
      <c r="C336" s="618"/>
      <c r="D336" s="644"/>
      <c r="E336" s="618"/>
      <c r="F336" s="618"/>
      <c r="G336" s="618"/>
      <c r="H336" s="618"/>
      <c r="I336" s="618"/>
      <c r="J336" s="618"/>
      <c r="K336" s="618"/>
      <c r="L336" s="618"/>
      <c r="M336" s="618"/>
      <c r="N336" s="618"/>
      <c r="O336" s="618"/>
      <c r="P336" s="618"/>
      <c r="Q336" s="618"/>
      <c r="R336" s="618"/>
      <c r="S336" s="618"/>
      <c r="T336" s="618"/>
      <c r="U336" s="618"/>
      <c r="V336" s="618"/>
      <c r="W336" s="618"/>
      <c r="X336" s="618"/>
      <c r="Y336" s="618"/>
      <c r="Z336" s="618"/>
      <c r="AA336" s="618"/>
      <c r="AB336" s="618"/>
    </row>
    <row r="337" spans="1:28">
      <c r="A337" s="618"/>
      <c r="B337" s="618"/>
      <c r="C337" s="618"/>
      <c r="D337" s="644"/>
      <c r="E337" s="618"/>
      <c r="F337" s="618"/>
      <c r="G337" s="618"/>
      <c r="H337" s="618"/>
      <c r="I337" s="618"/>
      <c r="J337" s="618"/>
      <c r="K337" s="618"/>
      <c r="L337" s="618"/>
      <c r="M337" s="618"/>
      <c r="N337" s="618"/>
      <c r="O337" s="618"/>
      <c r="P337" s="618"/>
      <c r="Q337" s="618"/>
      <c r="R337" s="618"/>
      <c r="S337" s="618"/>
      <c r="T337" s="618"/>
      <c r="U337" s="618"/>
      <c r="V337" s="618"/>
      <c r="W337" s="618"/>
      <c r="X337" s="618"/>
      <c r="Y337" s="618"/>
      <c r="Z337" s="618"/>
      <c r="AA337" s="618"/>
      <c r="AB337" s="618"/>
    </row>
    <row r="338" spans="1:28">
      <c r="A338" s="618"/>
      <c r="B338" s="618"/>
      <c r="C338" s="618"/>
      <c r="D338" s="644"/>
      <c r="E338" s="618"/>
      <c r="F338" s="618"/>
      <c r="G338" s="618"/>
      <c r="H338" s="618"/>
      <c r="I338" s="618"/>
      <c r="J338" s="618"/>
      <c r="K338" s="618"/>
      <c r="L338" s="618"/>
      <c r="M338" s="618"/>
      <c r="N338" s="618"/>
      <c r="O338" s="618"/>
      <c r="P338" s="618"/>
      <c r="Q338" s="618"/>
      <c r="R338" s="618"/>
      <c r="S338" s="618"/>
      <c r="T338" s="618"/>
      <c r="U338" s="618"/>
      <c r="V338" s="618"/>
      <c r="W338" s="618"/>
      <c r="X338" s="618"/>
      <c r="Y338" s="618"/>
      <c r="Z338" s="618"/>
      <c r="AA338" s="618"/>
      <c r="AB338" s="618"/>
    </row>
    <row r="339" spans="1:28">
      <c r="A339" s="618"/>
      <c r="B339" s="618"/>
      <c r="C339" s="618"/>
      <c r="D339" s="644"/>
      <c r="E339" s="618"/>
      <c r="F339" s="618"/>
      <c r="G339" s="618"/>
      <c r="H339" s="618"/>
      <c r="I339" s="618"/>
      <c r="J339" s="618"/>
      <c r="K339" s="618"/>
      <c r="L339" s="618"/>
      <c r="M339" s="618"/>
      <c r="N339" s="618"/>
      <c r="O339" s="618"/>
      <c r="P339" s="618"/>
      <c r="Q339" s="618"/>
      <c r="R339" s="618"/>
      <c r="S339" s="618"/>
      <c r="T339" s="618"/>
      <c r="U339" s="618"/>
      <c r="V339" s="618"/>
      <c r="W339" s="618"/>
      <c r="X339" s="618"/>
      <c r="Y339" s="618"/>
      <c r="Z339" s="618"/>
      <c r="AA339" s="618"/>
      <c r="AB339" s="618"/>
    </row>
    <row r="340" spans="1:28">
      <c r="A340" s="618"/>
      <c r="B340" s="618"/>
      <c r="C340" s="618"/>
      <c r="D340" s="644"/>
      <c r="E340" s="618"/>
      <c r="F340" s="618"/>
      <c r="G340" s="618"/>
      <c r="H340" s="618"/>
      <c r="I340" s="618"/>
      <c r="J340" s="618"/>
      <c r="K340" s="618"/>
      <c r="L340" s="618"/>
      <c r="M340" s="618"/>
      <c r="N340" s="618"/>
      <c r="O340" s="618"/>
      <c r="P340" s="618"/>
      <c r="Q340" s="618"/>
      <c r="R340" s="618"/>
      <c r="S340" s="618"/>
      <c r="T340" s="618"/>
      <c r="U340" s="618"/>
      <c r="V340" s="618"/>
      <c r="W340" s="618"/>
      <c r="X340" s="618"/>
      <c r="Y340" s="618"/>
      <c r="Z340" s="618"/>
      <c r="AA340" s="618"/>
      <c r="AB340" s="618"/>
    </row>
    <row r="341" spans="1:28">
      <c r="A341" s="618"/>
      <c r="B341" s="618"/>
      <c r="C341" s="618"/>
      <c r="D341" s="644"/>
      <c r="E341" s="618"/>
      <c r="F341" s="618"/>
      <c r="G341" s="618"/>
      <c r="H341" s="618"/>
      <c r="I341" s="618"/>
      <c r="J341" s="618"/>
      <c r="K341" s="618"/>
      <c r="L341" s="618"/>
      <c r="M341" s="618"/>
      <c r="N341" s="618"/>
      <c r="O341" s="618"/>
      <c r="P341" s="618"/>
      <c r="Q341" s="618"/>
      <c r="R341" s="618"/>
      <c r="S341" s="618"/>
      <c r="T341" s="618"/>
      <c r="U341" s="618"/>
      <c r="V341" s="618"/>
      <c r="W341" s="618"/>
      <c r="X341" s="618"/>
      <c r="Y341" s="618"/>
      <c r="Z341" s="618"/>
      <c r="AA341" s="618"/>
      <c r="AB341" s="618"/>
    </row>
    <row r="342" spans="1:28">
      <c r="A342" s="618"/>
      <c r="B342" s="618"/>
      <c r="C342" s="618"/>
      <c r="D342" s="644"/>
      <c r="E342" s="618"/>
      <c r="F342" s="618"/>
      <c r="G342" s="618"/>
      <c r="H342" s="618"/>
      <c r="I342" s="618"/>
      <c r="J342" s="618"/>
      <c r="K342" s="618"/>
      <c r="L342" s="618"/>
      <c r="M342" s="618"/>
      <c r="N342" s="618"/>
      <c r="O342" s="618"/>
      <c r="P342" s="618"/>
      <c r="Q342" s="618"/>
      <c r="R342" s="618"/>
      <c r="S342" s="618"/>
      <c r="T342" s="618"/>
      <c r="U342" s="618"/>
      <c r="V342" s="618"/>
      <c r="W342" s="618"/>
      <c r="X342" s="618"/>
      <c r="Y342" s="618"/>
      <c r="Z342" s="618"/>
      <c r="AA342" s="618"/>
      <c r="AB342" s="618"/>
    </row>
    <row r="343" spans="1:28">
      <c r="A343" s="618"/>
      <c r="B343" s="618"/>
      <c r="C343" s="618"/>
      <c r="D343" s="644"/>
      <c r="E343" s="618"/>
      <c r="F343" s="618"/>
      <c r="G343" s="618"/>
      <c r="H343" s="618"/>
      <c r="I343" s="618"/>
      <c r="J343" s="618"/>
      <c r="K343" s="618"/>
      <c r="L343" s="618"/>
      <c r="M343" s="618"/>
      <c r="N343" s="618"/>
      <c r="O343" s="618"/>
      <c r="P343" s="618"/>
      <c r="Q343" s="618"/>
      <c r="R343" s="618"/>
      <c r="S343" s="618"/>
      <c r="T343" s="618"/>
      <c r="U343" s="618"/>
      <c r="V343" s="618"/>
      <c r="W343" s="618"/>
      <c r="X343" s="618"/>
      <c r="Y343" s="618"/>
      <c r="Z343" s="618"/>
      <c r="AA343" s="618"/>
      <c r="AB343" s="618"/>
    </row>
    <row r="344" spans="1:28">
      <c r="A344" s="618"/>
      <c r="B344" s="618"/>
      <c r="C344" s="618"/>
      <c r="D344" s="644"/>
      <c r="E344" s="618"/>
      <c r="F344" s="618"/>
      <c r="G344" s="618"/>
      <c r="H344" s="618"/>
      <c r="I344" s="618"/>
      <c r="J344" s="618"/>
      <c r="K344" s="618"/>
      <c r="L344" s="618"/>
      <c r="M344" s="618"/>
      <c r="N344" s="618"/>
      <c r="O344" s="618"/>
      <c r="P344" s="618"/>
      <c r="Q344" s="618"/>
      <c r="R344" s="618"/>
      <c r="S344" s="618"/>
      <c r="T344" s="618"/>
      <c r="U344" s="618"/>
      <c r="V344" s="618"/>
      <c r="W344" s="618"/>
      <c r="X344" s="618"/>
      <c r="Y344" s="618"/>
      <c r="Z344" s="618"/>
      <c r="AA344" s="618"/>
      <c r="AB344" s="618"/>
    </row>
    <row r="345" spans="1:28">
      <c r="A345" s="618"/>
      <c r="B345" s="618"/>
      <c r="C345" s="618"/>
      <c r="D345" s="644"/>
      <c r="E345" s="618"/>
      <c r="F345" s="618"/>
      <c r="G345" s="618"/>
      <c r="H345" s="618"/>
      <c r="I345" s="618"/>
      <c r="J345" s="618"/>
      <c r="K345" s="618"/>
      <c r="L345" s="618"/>
      <c r="M345" s="618"/>
      <c r="N345" s="618"/>
      <c r="O345" s="618"/>
      <c r="P345" s="618"/>
      <c r="Q345" s="618"/>
      <c r="R345" s="618"/>
      <c r="S345" s="618"/>
      <c r="T345" s="618"/>
      <c r="U345" s="618"/>
      <c r="V345" s="618"/>
      <c r="W345" s="618"/>
      <c r="X345" s="618"/>
      <c r="Y345" s="618"/>
      <c r="Z345" s="618"/>
      <c r="AA345" s="618"/>
      <c r="AB345" s="618"/>
    </row>
    <row r="346" spans="1:28">
      <c r="A346" s="618"/>
      <c r="B346" s="618"/>
      <c r="C346" s="618"/>
      <c r="D346" s="644"/>
      <c r="E346" s="618"/>
      <c r="F346" s="618"/>
      <c r="G346" s="618"/>
      <c r="H346" s="618"/>
      <c r="I346" s="618"/>
      <c r="J346" s="618"/>
      <c r="K346" s="618"/>
      <c r="L346" s="618"/>
      <c r="M346" s="618"/>
      <c r="N346" s="618"/>
      <c r="O346" s="618"/>
      <c r="P346" s="618"/>
      <c r="Q346" s="618"/>
      <c r="R346" s="618"/>
      <c r="S346" s="618"/>
      <c r="T346" s="618"/>
      <c r="U346" s="618"/>
      <c r="V346" s="618"/>
      <c r="W346" s="618"/>
      <c r="X346" s="618"/>
      <c r="Y346" s="618"/>
      <c r="Z346" s="618"/>
      <c r="AA346" s="618"/>
      <c r="AB346" s="618"/>
    </row>
    <row r="347" spans="1:28">
      <c r="A347" s="618"/>
      <c r="B347" s="618"/>
      <c r="C347" s="618"/>
      <c r="D347" s="644"/>
      <c r="E347" s="618"/>
      <c r="F347" s="618"/>
      <c r="G347" s="618"/>
      <c r="H347" s="618"/>
      <c r="I347" s="618"/>
      <c r="J347" s="618"/>
      <c r="K347" s="618"/>
      <c r="L347" s="618"/>
      <c r="M347" s="618"/>
      <c r="N347" s="618"/>
      <c r="O347" s="618"/>
      <c r="P347" s="618"/>
      <c r="Q347" s="618"/>
      <c r="R347" s="618"/>
      <c r="S347" s="618"/>
      <c r="T347" s="618"/>
      <c r="U347" s="618"/>
      <c r="V347" s="618"/>
      <c r="W347" s="618"/>
      <c r="X347" s="618"/>
      <c r="Y347" s="618"/>
      <c r="Z347" s="618"/>
      <c r="AA347" s="618"/>
      <c r="AB347" s="618"/>
    </row>
    <row r="348" spans="1:28">
      <c r="A348" s="618"/>
      <c r="B348" s="618"/>
      <c r="C348" s="618"/>
      <c r="D348" s="644"/>
      <c r="E348" s="618"/>
      <c r="F348" s="618"/>
      <c r="G348" s="618"/>
      <c r="H348" s="618"/>
      <c r="I348" s="618"/>
      <c r="J348" s="618"/>
      <c r="K348" s="618"/>
      <c r="L348" s="618"/>
      <c r="M348" s="618"/>
      <c r="N348" s="618"/>
      <c r="O348" s="618"/>
      <c r="P348" s="618"/>
      <c r="Q348" s="618"/>
      <c r="R348" s="618"/>
      <c r="S348" s="618"/>
      <c r="T348" s="618"/>
      <c r="U348" s="618"/>
      <c r="V348" s="618"/>
      <c r="W348" s="618"/>
      <c r="X348" s="618"/>
      <c r="Y348" s="618"/>
      <c r="Z348" s="618"/>
      <c r="AA348" s="618"/>
      <c r="AB348" s="618"/>
    </row>
    <row r="349" spans="1:28">
      <c r="A349" s="618"/>
      <c r="B349" s="618"/>
      <c r="C349" s="618"/>
      <c r="D349" s="644"/>
      <c r="E349" s="618"/>
      <c r="F349" s="618"/>
      <c r="G349" s="618"/>
      <c r="H349" s="618"/>
      <c r="I349" s="618"/>
      <c r="J349" s="618"/>
      <c r="K349" s="618"/>
      <c r="L349" s="618"/>
      <c r="M349" s="618"/>
      <c r="N349" s="618"/>
      <c r="O349" s="618"/>
      <c r="P349" s="618"/>
      <c r="Q349" s="618"/>
      <c r="R349" s="618"/>
      <c r="S349" s="618"/>
      <c r="T349" s="618"/>
      <c r="U349" s="618"/>
      <c r="V349" s="618"/>
      <c r="W349" s="618"/>
      <c r="X349" s="618"/>
      <c r="Y349" s="618"/>
      <c r="Z349" s="618"/>
      <c r="AA349" s="618"/>
      <c r="AB349" s="618"/>
    </row>
    <row r="350" spans="1:28">
      <c r="A350" s="618"/>
      <c r="B350" s="618"/>
      <c r="C350" s="618"/>
      <c r="D350" s="644"/>
      <c r="E350" s="618"/>
      <c r="F350" s="618"/>
      <c r="G350" s="618"/>
      <c r="H350" s="618"/>
      <c r="I350" s="618"/>
      <c r="J350" s="618"/>
      <c r="K350" s="618"/>
      <c r="L350" s="618"/>
      <c r="M350" s="618"/>
      <c r="N350" s="618"/>
      <c r="O350" s="618"/>
      <c r="P350" s="618"/>
      <c r="Q350" s="618"/>
      <c r="R350" s="618"/>
      <c r="S350" s="618"/>
      <c r="T350" s="618"/>
      <c r="U350" s="618"/>
      <c r="V350" s="618"/>
      <c r="W350" s="618"/>
      <c r="X350" s="618"/>
      <c r="Y350" s="618"/>
      <c r="Z350" s="618"/>
      <c r="AA350" s="618"/>
      <c r="AB350" s="618"/>
    </row>
    <row r="351" spans="1:28">
      <c r="A351" s="618"/>
      <c r="B351" s="618"/>
      <c r="C351" s="618"/>
      <c r="D351" s="644"/>
      <c r="E351" s="618"/>
      <c r="F351" s="618"/>
      <c r="G351" s="618"/>
      <c r="H351" s="618"/>
      <c r="I351" s="618"/>
      <c r="J351" s="618"/>
      <c r="K351" s="618"/>
      <c r="L351" s="618"/>
      <c r="M351" s="618"/>
      <c r="N351" s="618"/>
      <c r="O351" s="618"/>
      <c r="P351" s="618"/>
      <c r="Q351" s="618"/>
      <c r="R351" s="618"/>
      <c r="S351" s="618"/>
      <c r="T351" s="618"/>
      <c r="U351" s="618"/>
      <c r="V351" s="618"/>
      <c r="W351" s="618"/>
      <c r="X351" s="618"/>
      <c r="Y351" s="618"/>
      <c r="Z351" s="618"/>
      <c r="AA351" s="618"/>
      <c r="AB351" s="618"/>
    </row>
    <row r="352" spans="1:28">
      <c r="A352" s="618"/>
      <c r="B352" s="618"/>
      <c r="C352" s="618"/>
      <c r="D352" s="644"/>
      <c r="E352" s="618"/>
      <c r="F352" s="618"/>
      <c r="G352" s="618"/>
      <c r="H352" s="618"/>
      <c r="I352" s="618"/>
      <c r="J352" s="618"/>
      <c r="K352" s="618"/>
      <c r="L352" s="618"/>
      <c r="M352" s="618"/>
      <c r="N352" s="618"/>
      <c r="O352" s="618"/>
      <c r="P352" s="618"/>
      <c r="Q352" s="618"/>
      <c r="R352" s="618"/>
      <c r="S352" s="618"/>
      <c r="T352" s="618"/>
      <c r="U352" s="618"/>
      <c r="V352" s="618"/>
      <c r="W352" s="618"/>
      <c r="X352" s="618"/>
      <c r="Y352" s="618"/>
      <c r="Z352" s="618"/>
      <c r="AA352" s="618"/>
      <c r="AB352" s="618"/>
    </row>
    <row r="353" spans="1:28">
      <c r="A353" s="618"/>
      <c r="B353" s="618"/>
      <c r="C353" s="618"/>
      <c r="D353" s="644"/>
      <c r="E353" s="618"/>
      <c r="F353" s="618"/>
      <c r="G353" s="618"/>
      <c r="H353" s="618"/>
      <c r="I353" s="618"/>
      <c r="J353" s="618"/>
      <c r="K353" s="618"/>
      <c r="L353" s="618"/>
      <c r="M353" s="618"/>
      <c r="N353" s="618"/>
      <c r="O353" s="618"/>
      <c r="P353" s="618"/>
      <c r="Q353" s="618"/>
      <c r="R353" s="618"/>
      <c r="S353" s="618"/>
      <c r="T353" s="618"/>
      <c r="U353" s="618"/>
      <c r="V353" s="618"/>
      <c r="W353" s="618"/>
      <c r="X353" s="618"/>
      <c r="Y353" s="618"/>
      <c r="Z353" s="618"/>
      <c r="AA353" s="618"/>
      <c r="AB353" s="618"/>
    </row>
    <row r="354" spans="1:28">
      <c r="A354" s="618"/>
      <c r="B354" s="618"/>
      <c r="C354" s="618"/>
      <c r="D354" s="644"/>
      <c r="E354" s="618"/>
      <c r="F354" s="618"/>
      <c r="G354" s="618"/>
      <c r="H354" s="618"/>
      <c r="I354" s="618"/>
      <c r="J354" s="618"/>
      <c r="K354" s="618"/>
      <c r="L354" s="618"/>
      <c r="M354" s="618"/>
      <c r="N354" s="618"/>
      <c r="O354" s="618"/>
      <c r="P354" s="618"/>
      <c r="Q354" s="618"/>
      <c r="R354" s="618"/>
      <c r="S354" s="618"/>
      <c r="T354" s="618"/>
      <c r="U354" s="618"/>
      <c r="V354" s="618"/>
      <c r="W354" s="618"/>
      <c r="X354" s="618"/>
      <c r="Y354" s="618"/>
      <c r="Z354" s="618"/>
      <c r="AA354" s="618"/>
      <c r="AB354" s="618"/>
    </row>
    <row r="355" spans="1:28">
      <c r="A355" s="618"/>
      <c r="B355" s="618"/>
      <c r="C355" s="618"/>
      <c r="D355" s="644"/>
      <c r="E355" s="618"/>
      <c r="F355" s="618"/>
      <c r="G355" s="618"/>
      <c r="H355" s="618"/>
      <c r="I355" s="618"/>
      <c r="J355" s="618"/>
      <c r="K355" s="618"/>
      <c r="L355" s="618"/>
      <c r="M355" s="618"/>
      <c r="N355" s="618"/>
      <c r="O355" s="618"/>
      <c r="P355" s="618"/>
      <c r="Q355" s="618"/>
      <c r="R355" s="618"/>
      <c r="S355" s="618"/>
      <c r="T355" s="618"/>
      <c r="U355" s="618"/>
      <c r="V355" s="618"/>
      <c r="W355" s="618"/>
      <c r="X355" s="618"/>
      <c r="Y355" s="618"/>
      <c r="Z355" s="618"/>
      <c r="AA355" s="618"/>
      <c r="AB355" s="618"/>
    </row>
    <row r="356" spans="1:28">
      <c r="A356" s="618"/>
      <c r="B356" s="618"/>
      <c r="C356" s="618"/>
      <c r="D356" s="644"/>
      <c r="E356" s="618"/>
      <c r="F356" s="618"/>
      <c r="G356" s="618"/>
      <c r="H356" s="618"/>
      <c r="I356" s="618"/>
      <c r="J356" s="618"/>
      <c r="K356" s="618"/>
      <c r="L356" s="618"/>
      <c r="M356" s="618"/>
      <c r="N356" s="618"/>
      <c r="O356" s="618"/>
      <c r="P356" s="618"/>
      <c r="Q356" s="618"/>
      <c r="R356" s="618"/>
      <c r="S356" s="618"/>
      <c r="T356" s="618"/>
      <c r="U356" s="618"/>
      <c r="V356" s="618"/>
      <c r="W356" s="618"/>
      <c r="X356" s="618"/>
      <c r="Y356" s="618"/>
      <c r="Z356" s="618"/>
      <c r="AA356" s="618"/>
      <c r="AB356" s="618"/>
    </row>
    <row r="357" spans="1:28">
      <c r="A357" s="618"/>
      <c r="B357" s="618"/>
      <c r="C357" s="618"/>
      <c r="D357" s="644"/>
      <c r="E357" s="618"/>
      <c r="F357" s="618"/>
      <c r="G357" s="618"/>
      <c r="H357" s="618"/>
      <c r="I357" s="618"/>
      <c r="J357" s="618"/>
      <c r="K357" s="618"/>
      <c r="L357" s="618"/>
      <c r="M357" s="618"/>
      <c r="N357" s="618"/>
      <c r="O357" s="618"/>
      <c r="P357" s="618"/>
      <c r="Q357" s="618"/>
      <c r="R357" s="618"/>
      <c r="S357" s="618"/>
      <c r="T357" s="618"/>
      <c r="U357" s="618"/>
      <c r="V357" s="618"/>
      <c r="W357" s="618"/>
      <c r="X357" s="618"/>
      <c r="Y357" s="618"/>
      <c r="Z357" s="618"/>
      <c r="AA357" s="618"/>
      <c r="AB357" s="618"/>
    </row>
    <row r="358" spans="1:28">
      <c r="A358" s="618"/>
      <c r="B358" s="618"/>
      <c r="C358" s="618"/>
      <c r="D358" s="644"/>
      <c r="E358" s="618"/>
      <c r="F358" s="618"/>
      <c r="G358" s="618"/>
      <c r="H358" s="618"/>
      <c r="I358" s="618"/>
      <c r="J358" s="618"/>
      <c r="K358" s="618"/>
      <c r="L358" s="618"/>
      <c r="M358" s="618"/>
      <c r="N358" s="618"/>
      <c r="O358" s="618"/>
      <c r="P358" s="618"/>
      <c r="Q358" s="618"/>
      <c r="R358" s="618"/>
      <c r="S358" s="618"/>
      <c r="T358" s="618"/>
      <c r="U358" s="618"/>
      <c r="V358" s="618"/>
      <c r="W358" s="618"/>
      <c r="X358" s="618"/>
      <c r="Y358" s="618"/>
      <c r="Z358" s="618"/>
      <c r="AA358" s="618"/>
      <c r="AB358" s="618"/>
    </row>
    <row r="359" spans="1:28">
      <c r="A359" s="618"/>
      <c r="B359" s="618"/>
      <c r="C359" s="618"/>
      <c r="D359" s="644"/>
      <c r="E359" s="618"/>
      <c r="F359" s="618"/>
      <c r="G359" s="618"/>
      <c r="H359" s="618"/>
      <c r="I359" s="618"/>
      <c r="J359" s="618"/>
      <c r="K359" s="618"/>
      <c r="L359" s="618"/>
      <c r="M359" s="618"/>
      <c r="N359" s="618"/>
      <c r="O359" s="618"/>
      <c r="P359" s="618"/>
      <c r="Q359" s="618"/>
      <c r="R359" s="618"/>
      <c r="S359" s="618"/>
      <c r="T359" s="618"/>
      <c r="U359" s="618"/>
      <c r="V359" s="618"/>
      <c r="W359" s="618"/>
      <c r="X359" s="618"/>
      <c r="Y359" s="618"/>
      <c r="Z359" s="618"/>
      <c r="AA359" s="618"/>
      <c r="AB359" s="618"/>
    </row>
    <row r="360" spans="1:28">
      <c r="A360" s="618"/>
      <c r="B360" s="618"/>
      <c r="C360" s="618"/>
      <c r="D360" s="644"/>
      <c r="E360" s="618"/>
      <c r="F360" s="618"/>
      <c r="G360" s="618"/>
      <c r="H360" s="618"/>
      <c r="I360" s="618"/>
      <c r="J360" s="618"/>
      <c r="K360" s="618"/>
      <c r="L360" s="618"/>
      <c r="M360" s="618"/>
      <c r="N360" s="618"/>
      <c r="O360" s="618"/>
      <c r="P360" s="618"/>
      <c r="Q360" s="618"/>
      <c r="R360" s="618"/>
      <c r="S360" s="618"/>
      <c r="T360" s="618"/>
      <c r="U360" s="618"/>
      <c r="V360" s="618"/>
      <c r="W360" s="618"/>
      <c r="X360" s="618"/>
      <c r="Y360" s="618"/>
      <c r="Z360" s="618"/>
      <c r="AA360" s="618"/>
      <c r="AB360" s="618"/>
    </row>
    <row r="361" spans="1:28">
      <c r="A361" s="618"/>
      <c r="B361" s="618"/>
      <c r="C361" s="618"/>
      <c r="D361" s="644"/>
      <c r="E361" s="618"/>
      <c r="F361" s="618"/>
      <c r="G361" s="618"/>
      <c r="H361" s="618"/>
      <c r="I361" s="618"/>
      <c r="J361" s="618"/>
      <c r="K361" s="618"/>
      <c r="L361" s="618"/>
      <c r="M361" s="618"/>
      <c r="N361" s="618"/>
      <c r="O361" s="618"/>
      <c r="P361" s="618"/>
      <c r="Q361" s="618"/>
      <c r="R361" s="618"/>
      <c r="S361" s="618"/>
      <c r="T361" s="618"/>
      <c r="U361" s="618"/>
      <c r="V361" s="618"/>
      <c r="W361" s="618"/>
      <c r="X361" s="618"/>
      <c r="Y361" s="618"/>
      <c r="Z361" s="618"/>
      <c r="AA361" s="618"/>
      <c r="AB361" s="618"/>
    </row>
    <row r="362" spans="1:28">
      <c r="A362" s="618"/>
      <c r="B362" s="618"/>
      <c r="C362" s="618"/>
      <c r="D362" s="644"/>
      <c r="E362" s="618"/>
      <c r="F362" s="618"/>
      <c r="G362" s="618"/>
      <c r="H362" s="618"/>
      <c r="I362" s="618"/>
      <c r="J362" s="618"/>
      <c r="K362" s="618"/>
      <c r="L362" s="618"/>
      <c r="M362" s="618"/>
      <c r="N362" s="618"/>
      <c r="O362" s="618"/>
      <c r="P362" s="618"/>
      <c r="Q362" s="618"/>
      <c r="R362" s="618"/>
      <c r="S362" s="618"/>
      <c r="T362" s="618"/>
      <c r="U362" s="618"/>
      <c r="V362" s="618"/>
      <c r="W362" s="618"/>
      <c r="X362" s="618"/>
      <c r="Y362" s="618"/>
      <c r="Z362" s="618"/>
      <c r="AA362" s="618"/>
      <c r="AB362" s="618"/>
    </row>
    <row r="363" spans="1:28">
      <c r="A363" s="618"/>
      <c r="B363" s="618"/>
      <c r="C363" s="618"/>
      <c r="D363" s="644"/>
      <c r="E363" s="618"/>
      <c r="F363" s="618"/>
      <c r="G363" s="618"/>
      <c r="H363" s="618"/>
      <c r="I363" s="618"/>
      <c r="J363" s="618"/>
      <c r="K363" s="618"/>
      <c r="L363" s="618"/>
      <c r="M363" s="618"/>
      <c r="N363" s="618"/>
      <c r="O363" s="618"/>
      <c r="P363" s="618"/>
      <c r="Q363" s="618"/>
      <c r="R363" s="618"/>
      <c r="S363" s="618"/>
      <c r="T363" s="618"/>
      <c r="U363" s="618"/>
      <c r="V363" s="618"/>
      <c r="W363" s="618"/>
      <c r="X363" s="618"/>
      <c r="Y363" s="618"/>
      <c r="Z363" s="618"/>
      <c r="AA363" s="618"/>
      <c r="AB363" s="618"/>
    </row>
    <row r="364" spans="1:28">
      <c r="A364" s="618"/>
      <c r="B364" s="618"/>
      <c r="C364" s="618"/>
      <c r="D364" s="644"/>
      <c r="E364" s="618"/>
      <c r="F364" s="618"/>
      <c r="G364" s="618"/>
      <c r="H364" s="618"/>
      <c r="I364" s="618"/>
      <c r="J364" s="618"/>
      <c r="K364" s="618"/>
      <c r="L364" s="618"/>
      <c r="M364" s="618"/>
      <c r="N364" s="618"/>
      <c r="O364" s="618"/>
      <c r="P364" s="618"/>
      <c r="Q364" s="618"/>
      <c r="R364" s="618"/>
      <c r="S364" s="618"/>
      <c r="T364" s="618"/>
      <c r="U364" s="618"/>
      <c r="V364" s="618"/>
      <c r="W364" s="618"/>
      <c r="X364" s="618"/>
      <c r="Y364" s="618"/>
      <c r="Z364" s="618"/>
      <c r="AA364" s="618"/>
      <c r="AB364" s="618"/>
    </row>
    <row r="365" spans="1:28">
      <c r="A365" s="618"/>
      <c r="B365" s="618"/>
      <c r="C365" s="618"/>
      <c r="D365" s="644"/>
      <c r="E365" s="618"/>
      <c r="F365" s="618"/>
      <c r="G365" s="618"/>
      <c r="H365" s="618"/>
      <c r="I365" s="618"/>
      <c r="J365" s="618"/>
      <c r="K365" s="618"/>
      <c r="L365" s="618"/>
      <c r="M365" s="618"/>
      <c r="N365" s="618"/>
      <c r="O365" s="618"/>
      <c r="P365" s="618"/>
      <c r="Q365" s="618"/>
      <c r="R365" s="618"/>
      <c r="S365" s="618"/>
      <c r="T365" s="618"/>
      <c r="U365" s="618"/>
      <c r="V365" s="618"/>
      <c r="W365" s="618"/>
      <c r="X365" s="618"/>
      <c r="Y365" s="618"/>
      <c r="Z365" s="618"/>
      <c r="AA365" s="618"/>
      <c r="AB365" s="618"/>
    </row>
    <row r="366" spans="1:28">
      <c r="A366" s="618"/>
      <c r="B366" s="618"/>
      <c r="C366" s="618"/>
      <c r="D366" s="644"/>
      <c r="E366" s="618"/>
      <c r="F366" s="618"/>
      <c r="G366" s="618"/>
      <c r="H366" s="618"/>
      <c r="I366" s="618"/>
      <c r="J366" s="618"/>
      <c r="K366" s="618"/>
      <c r="L366" s="618"/>
      <c r="M366" s="618"/>
      <c r="N366" s="618"/>
      <c r="O366" s="618"/>
      <c r="P366" s="618"/>
      <c r="Q366" s="618"/>
      <c r="R366" s="618"/>
      <c r="S366" s="618"/>
      <c r="T366" s="618"/>
      <c r="U366" s="618"/>
      <c r="V366" s="618"/>
      <c r="W366" s="618"/>
      <c r="X366" s="618"/>
      <c r="Y366" s="618"/>
      <c r="Z366" s="618"/>
      <c r="AA366" s="618"/>
      <c r="AB366" s="618"/>
    </row>
    <row r="367" spans="1:28">
      <c r="A367" s="618"/>
      <c r="B367" s="618"/>
      <c r="C367" s="618"/>
      <c r="D367" s="644"/>
      <c r="E367" s="618"/>
      <c r="F367" s="618"/>
      <c r="G367" s="618"/>
      <c r="H367" s="618"/>
      <c r="I367" s="618"/>
      <c r="J367" s="618"/>
      <c r="K367" s="618"/>
      <c r="L367" s="618"/>
      <c r="M367" s="618"/>
      <c r="N367" s="618"/>
      <c r="O367" s="618"/>
      <c r="P367" s="618"/>
      <c r="Q367" s="618"/>
      <c r="R367" s="618"/>
      <c r="S367" s="618"/>
      <c r="T367" s="618"/>
      <c r="U367" s="618"/>
      <c r="V367" s="618"/>
      <c r="W367" s="618"/>
      <c r="X367" s="618"/>
      <c r="Y367" s="618"/>
      <c r="Z367" s="618"/>
      <c r="AA367" s="618"/>
      <c r="AB367" s="618"/>
    </row>
    <row r="368" spans="1:28">
      <c r="A368" s="618"/>
      <c r="B368" s="618"/>
      <c r="C368" s="618"/>
      <c r="D368" s="644"/>
      <c r="E368" s="618"/>
      <c r="F368" s="618"/>
      <c r="G368" s="618"/>
      <c r="H368" s="618"/>
      <c r="I368" s="618"/>
      <c r="J368" s="618"/>
      <c r="K368" s="618"/>
      <c r="L368" s="618"/>
      <c r="M368" s="618"/>
      <c r="N368" s="618"/>
      <c r="O368" s="618"/>
      <c r="P368" s="618"/>
      <c r="Q368" s="618"/>
      <c r="R368" s="618"/>
      <c r="S368" s="618"/>
      <c r="T368" s="618"/>
      <c r="U368" s="618"/>
      <c r="V368" s="618"/>
      <c r="W368" s="618"/>
      <c r="X368" s="618"/>
      <c r="Y368" s="618"/>
      <c r="Z368" s="618"/>
      <c r="AA368" s="618"/>
      <c r="AB368" s="618"/>
    </row>
    <row r="369" spans="1:28">
      <c r="A369" s="618"/>
      <c r="B369" s="618"/>
      <c r="C369" s="618"/>
      <c r="D369" s="644"/>
      <c r="E369" s="618"/>
      <c r="F369" s="618"/>
      <c r="G369" s="618"/>
      <c r="H369" s="618"/>
      <c r="I369" s="618"/>
      <c r="J369" s="618"/>
      <c r="K369" s="618"/>
      <c r="L369" s="618"/>
      <c r="M369" s="618"/>
      <c r="N369" s="618"/>
      <c r="O369" s="618"/>
      <c r="P369" s="618"/>
      <c r="Q369" s="618"/>
      <c r="R369" s="618"/>
      <c r="S369" s="618"/>
      <c r="T369" s="618"/>
      <c r="U369" s="618"/>
      <c r="V369" s="618"/>
      <c r="W369" s="618"/>
      <c r="X369" s="618"/>
      <c r="Y369" s="618"/>
      <c r="Z369" s="618"/>
      <c r="AA369" s="618"/>
      <c r="AB369" s="618"/>
    </row>
    <row r="370" spans="1:28">
      <c r="A370" s="618"/>
      <c r="B370" s="618"/>
      <c r="C370" s="618"/>
      <c r="D370" s="644"/>
      <c r="E370" s="618"/>
      <c r="F370" s="618"/>
      <c r="G370" s="618"/>
      <c r="H370" s="618"/>
      <c r="I370" s="618"/>
      <c r="J370" s="618"/>
      <c r="K370" s="618"/>
      <c r="L370" s="618"/>
      <c r="M370" s="618"/>
      <c r="N370" s="618"/>
      <c r="O370" s="618"/>
      <c r="P370" s="618"/>
      <c r="Q370" s="618"/>
      <c r="R370" s="618"/>
      <c r="S370" s="618"/>
      <c r="T370" s="618"/>
      <c r="U370" s="618"/>
      <c r="V370" s="618"/>
      <c r="W370" s="618"/>
      <c r="X370" s="618"/>
      <c r="Y370" s="618"/>
      <c r="Z370" s="618"/>
      <c r="AA370" s="618"/>
      <c r="AB370" s="618"/>
    </row>
    <row r="371" spans="1:28">
      <c r="A371" s="618"/>
      <c r="B371" s="618"/>
      <c r="C371" s="618"/>
      <c r="D371" s="644"/>
      <c r="E371" s="618"/>
      <c r="F371" s="618"/>
      <c r="G371" s="618"/>
      <c r="H371" s="618"/>
      <c r="I371" s="618"/>
      <c r="J371" s="618"/>
      <c r="K371" s="618"/>
      <c r="L371" s="618"/>
      <c r="M371" s="618"/>
      <c r="N371" s="618"/>
      <c r="O371" s="618"/>
      <c r="P371" s="618"/>
      <c r="Q371" s="618"/>
      <c r="R371" s="618"/>
      <c r="S371" s="618"/>
      <c r="T371" s="618"/>
      <c r="U371" s="618"/>
      <c r="V371" s="618"/>
      <c r="W371" s="618"/>
      <c r="X371" s="618"/>
      <c r="Y371" s="618"/>
      <c r="Z371" s="618"/>
      <c r="AA371" s="618"/>
      <c r="AB371" s="618"/>
    </row>
    <row r="372" spans="1:28">
      <c r="A372" s="618"/>
      <c r="B372" s="618"/>
      <c r="C372" s="618"/>
      <c r="D372" s="644"/>
      <c r="E372" s="618"/>
      <c r="F372" s="618"/>
      <c r="G372" s="618"/>
      <c r="H372" s="618"/>
      <c r="I372" s="618"/>
      <c r="J372" s="618"/>
      <c r="K372" s="618"/>
      <c r="L372" s="618"/>
      <c r="M372" s="618"/>
      <c r="N372" s="618"/>
      <c r="O372" s="618"/>
      <c r="P372" s="618"/>
      <c r="Q372" s="618"/>
      <c r="R372" s="618"/>
      <c r="S372" s="618"/>
      <c r="T372" s="618"/>
      <c r="U372" s="618"/>
      <c r="V372" s="618"/>
      <c r="W372" s="618"/>
      <c r="X372" s="618"/>
      <c r="Y372" s="618"/>
      <c r="Z372" s="618"/>
      <c r="AA372" s="618"/>
      <c r="AB372" s="618"/>
    </row>
    <row r="373" spans="1:28">
      <c r="A373" s="618"/>
      <c r="B373" s="618"/>
      <c r="C373" s="618"/>
      <c r="D373" s="644"/>
      <c r="E373" s="618"/>
      <c r="F373" s="618"/>
      <c r="G373" s="618"/>
      <c r="H373" s="618"/>
      <c r="I373" s="618"/>
      <c r="J373" s="618"/>
      <c r="K373" s="618"/>
      <c r="L373" s="618"/>
      <c r="M373" s="618"/>
      <c r="N373" s="618"/>
      <c r="O373" s="618"/>
      <c r="P373" s="618"/>
      <c r="Q373" s="618"/>
      <c r="R373" s="618"/>
      <c r="S373" s="618"/>
      <c r="T373" s="618"/>
      <c r="U373" s="618"/>
      <c r="V373" s="618"/>
      <c r="W373" s="618"/>
      <c r="X373" s="618"/>
      <c r="Y373" s="618"/>
      <c r="Z373" s="618"/>
      <c r="AA373" s="618"/>
      <c r="AB373" s="618"/>
    </row>
    <row r="374" spans="1:28">
      <c r="A374" s="618"/>
      <c r="B374" s="618"/>
      <c r="C374" s="618"/>
      <c r="D374" s="644"/>
      <c r="E374" s="618"/>
      <c r="F374" s="618"/>
      <c r="G374" s="618"/>
      <c r="H374" s="618"/>
      <c r="I374" s="618"/>
      <c r="J374" s="618"/>
      <c r="K374" s="618"/>
      <c r="L374" s="618"/>
      <c r="M374" s="618"/>
      <c r="N374" s="618"/>
      <c r="O374" s="618"/>
      <c r="P374" s="618"/>
      <c r="Q374" s="618"/>
      <c r="R374" s="618"/>
      <c r="S374" s="618"/>
      <c r="T374" s="618"/>
      <c r="U374" s="618"/>
      <c r="V374" s="618"/>
      <c r="W374" s="618"/>
      <c r="X374" s="618"/>
      <c r="Y374" s="618"/>
      <c r="Z374" s="618"/>
      <c r="AA374" s="618"/>
      <c r="AB374" s="618"/>
    </row>
    <row r="375" spans="1:28">
      <c r="A375" s="618"/>
      <c r="B375" s="618"/>
      <c r="C375" s="618"/>
      <c r="D375" s="644"/>
      <c r="E375" s="618"/>
      <c r="F375" s="618"/>
      <c r="G375" s="618"/>
      <c r="H375" s="618"/>
      <c r="I375" s="618"/>
      <c r="J375" s="618"/>
      <c r="K375" s="618"/>
      <c r="L375" s="618"/>
      <c r="M375" s="618"/>
      <c r="N375" s="618"/>
      <c r="O375" s="618"/>
      <c r="P375" s="618"/>
      <c r="Q375" s="618"/>
      <c r="R375" s="618"/>
      <c r="S375" s="618"/>
      <c r="T375" s="618"/>
      <c r="U375" s="618"/>
      <c r="V375" s="618"/>
      <c r="W375" s="618"/>
      <c r="X375" s="618"/>
      <c r="Y375" s="618"/>
      <c r="Z375" s="618"/>
      <c r="AA375" s="618"/>
      <c r="AB375" s="618"/>
    </row>
    <row r="376" spans="1:28">
      <c r="A376" s="618"/>
      <c r="B376" s="618"/>
      <c r="C376" s="618"/>
      <c r="D376" s="644"/>
      <c r="E376" s="618"/>
      <c r="F376" s="618"/>
      <c r="G376" s="618"/>
      <c r="H376" s="618"/>
      <c r="I376" s="618"/>
      <c r="J376" s="618"/>
      <c r="K376" s="618"/>
      <c r="L376" s="618"/>
      <c r="M376" s="618"/>
      <c r="N376" s="618"/>
      <c r="O376" s="618"/>
      <c r="P376" s="618"/>
      <c r="Q376" s="618"/>
      <c r="R376" s="618"/>
      <c r="S376" s="618"/>
      <c r="T376" s="618"/>
      <c r="U376" s="618"/>
      <c r="V376" s="618"/>
      <c r="W376" s="618"/>
      <c r="X376" s="618"/>
      <c r="Y376" s="618"/>
      <c r="Z376" s="618"/>
      <c r="AA376" s="618"/>
      <c r="AB376" s="618"/>
    </row>
    <row r="377" spans="1:28">
      <c r="A377" s="618"/>
      <c r="B377" s="618"/>
      <c r="C377" s="618"/>
      <c r="D377" s="644"/>
      <c r="E377" s="618"/>
      <c r="F377" s="618"/>
      <c r="G377" s="618"/>
      <c r="H377" s="618"/>
      <c r="I377" s="618"/>
      <c r="J377" s="618"/>
      <c r="K377" s="618"/>
      <c r="L377" s="618"/>
      <c r="M377" s="618"/>
      <c r="N377" s="618"/>
      <c r="O377" s="618"/>
      <c r="P377" s="618"/>
      <c r="Q377" s="618"/>
      <c r="R377" s="618"/>
      <c r="S377" s="618"/>
      <c r="T377" s="618"/>
      <c r="U377" s="618"/>
      <c r="V377" s="618"/>
      <c r="W377" s="618"/>
      <c r="X377" s="618"/>
      <c r="Y377" s="618"/>
      <c r="Z377" s="618"/>
      <c r="AA377" s="618"/>
      <c r="AB377" s="618"/>
    </row>
    <row r="378" spans="1:28">
      <c r="A378" s="618"/>
      <c r="B378" s="618"/>
      <c r="C378" s="618"/>
      <c r="D378" s="644"/>
      <c r="E378" s="618"/>
      <c r="F378" s="618"/>
      <c r="G378" s="618"/>
      <c r="H378" s="618"/>
      <c r="I378" s="618"/>
      <c r="J378" s="618"/>
      <c r="K378" s="618"/>
      <c r="L378" s="618"/>
      <c r="M378" s="618"/>
      <c r="N378" s="618"/>
      <c r="O378" s="618"/>
      <c r="P378" s="618"/>
      <c r="Q378" s="618"/>
      <c r="R378" s="618"/>
      <c r="S378" s="618"/>
      <c r="T378" s="618"/>
      <c r="U378" s="618"/>
      <c r="V378" s="618"/>
      <c r="W378" s="618"/>
      <c r="X378" s="618"/>
      <c r="Y378" s="618"/>
      <c r="Z378" s="618"/>
      <c r="AA378" s="618"/>
      <c r="AB378" s="618"/>
    </row>
    <row r="379" spans="1:28">
      <c r="A379" s="618"/>
      <c r="B379" s="618"/>
      <c r="C379" s="618"/>
      <c r="D379" s="644"/>
      <c r="E379" s="618"/>
      <c r="F379" s="618"/>
      <c r="G379" s="618"/>
      <c r="H379" s="618"/>
      <c r="I379" s="618"/>
      <c r="J379" s="618"/>
      <c r="K379" s="618"/>
      <c r="L379" s="618"/>
      <c r="M379" s="618"/>
      <c r="N379" s="618"/>
      <c r="O379" s="618"/>
      <c r="P379" s="618"/>
      <c r="Q379" s="618"/>
      <c r="R379" s="618"/>
      <c r="S379" s="618"/>
      <c r="T379" s="618"/>
      <c r="U379" s="618"/>
      <c r="V379" s="618"/>
      <c r="W379" s="618"/>
      <c r="X379" s="618"/>
      <c r="Y379" s="618"/>
      <c r="Z379" s="618"/>
      <c r="AA379" s="618"/>
      <c r="AB379" s="618"/>
    </row>
    <row r="380" spans="1:28">
      <c r="A380" s="618"/>
      <c r="B380" s="618"/>
      <c r="C380" s="618"/>
      <c r="D380" s="644"/>
      <c r="E380" s="618"/>
      <c r="F380" s="618"/>
      <c r="G380" s="618"/>
      <c r="H380" s="618"/>
      <c r="I380" s="618"/>
      <c r="J380" s="618"/>
      <c r="K380" s="618"/>
      <c r="L380" s="618"/>
      <c r="M380" s="618"/>
      <c r="N380" s="618"/>
      <c r="O380" s="618"/>
      <c r="P380" s="618"/>
      <c r="Q380" s="618"/>
      <c r="R380" s="618"/>
      <c r="S380" s="618"/>
      <c r="T380" s="618"/>
      <c r="U380" s="618"/>
      <c r="V380" s="618"/>
      <c r="W380" s="618"/>
      <c r="X380" s="618"/>
      <c r="Y380" s="618"/>
      <c r="Z380" s="618"/>
      <c r="AA380" s="618"/>
      <c r="AB380" s="618"/>
    </row>
    <row r="381" spans="1:28">
      <c r="A381" s="618"/>
      <c r="B381" s="618"/>
      <c r="C381" s="618"/>
      <c r="D381" s="644"/>
      <c r="E381" s="618"/>
      <c r="F381" s="618"/>
      <c r="G381" s="618"/>
      <c r="H381" s="618"/>
      <c r="I381" s="618"/>
      <c r="J381" s="618"/>
      <c r="K381" s="618"/>
      <c r="L381" s="618"/>
      <c r="M381" s="618"/>
      <c r="N381" s="618"/>
      <c r="O381" s="618"/>
      <c r="P381" s="618"/>
      <c r="Q381" s="618"/>
      <c r="R381" s="618"/>
      <c r="S381" s="618"/>
      <c r="T381" s="618"/>
      <c r="U381" s="618"/>
      <c r="V381" s="618"/>
      <c r="W381" s="618"/>
      <c r="X381" s="618"/>
      <c r="Y381" s="618"/>
      <c r="Z381" s="618"/>
      <c r="AA381" s="618"/>
      <c r="AB381" s="618"/>
    </row>
    <row r="382" spans="1:28">
      <c r="A382" s="618"/>
      <c r="B382" s="618"/>
      <c r="C382" s="618"/>
      <c r="D382" s="644"/>
      <c r="E382" s="618"/>
      <c r="F382" s="618"/>
      <c r="G382" s="618"/>
      <c r="H382" s="618"/>
      <c r="I382" s="618"/>
      <c r="J382" s="618"/>
      <c r="K382" s="618"/>
      <c r="L382" s="618"/>
      <c r="M382" s="618"/>
      <c r="N382" s="618"/>
      <c r="O382" s="618"/>
      <c r="P382" s="618"/>
      <c r="Q382" s="618"/>
      <c r="R382" s="618"/>
      <c r="S382" s="618"/>
      <c r="T382" s="618"/>
      <c r="U382" s="618"/>
      <c r="V382" s="618"/>
      <c r="W382" s="618"/>
      <c r="X382" s="618"/>
      <c r="Y382" s="618"/>
      <c r="Z382" s="618"/>
      <c r="AA382" s="618"/>
      <c r="AB382" s="618"/>
    </row>
    <row r="383" spans="1:28">
      <c r="A383" s="618"/>
      <c r="B383" s="618"/>
      <c r="C383" s="618"/>
      <c r="D383" s="644"/>
      <c r="E383" s="618"/>
      <c r="F383" s="618"/>
      <c r="G383" s="618"/>
      <c r="H383" s="618"/>
      <c r="I383" s="618"/>
      <c r="J383" s="618"/>
      <c r="K383" s="618"/>
      <c r="L383" s="618"/>
      <c r="M383" s="618"/>
      <c r="N383" s="618"/>
      <c r="O383" s="618"/>
      <c r="P383" s="618"/>
      <c r="Q383" s="618"/>
      <c r="R383" s="618"/>
      <c r="S383" s="618"/>
      <c r="T383" s="618"/>
      <c r="U383" s="618"/>
      <c r="V383" s="618"/>
      <c r="W383" s="618"/>
      <c r="X383" s="618"/>
      <c r="Y383" s="618"/>
      <c r="Z383" s="618"/>
      <c r="AA383" s="618"/>
      <c r="AB383" s="618"/>
    </row>
    <row r="384" spans="1:28">
      <c r="A384" s="618"/>
      <c r="B384" s="618"/>
      <c r="C384" s="618"/>
      <c r="D384" s="644"/>
      <c r="E384" s="618"/>
      <c r="F384" s="618"/>
      <c r="G384" s="618"/>
      <c r="H384" s="618"/>
      <c r="I384" s="618"/>
      <c r="J384" s="618"/>
      <c r="K384" s="618"/>
      <c r="L384" s="618"/>
      <c r="M384" s="618"/>
      <c r="N384" s="618"/>
      <c r="O384" s="618"/>
      <c r="P384" s="618"/>
      <c r="Q384" s="618"/>
      <c r="R384" s="618"/>
      <c r="S384" s="618"/>
      <c r="T384" s="618"/>
      <c r="U384" s="618"/>
      <c r="V384" s="618"/>
      <c r="W384" s="618"/>
      <c r="X384" s="618"/>
      <c r="Y384" s="618"/>
      <c r="Z384" s="618"/>
      <c r="AA384" s="618"/>
      <c r="AB384" s="618"/>
    </row>
    <row r="385" spans="1:28">
      <c r="A385" s="618"/>
      <c r="B385" s="618"/>
      <c r="C385" s="618"/>
      <c r="D385" s="644"/>
      <c r="E385" s="618"/>
      <c r="F385" s="618"/>
      <c r="G385" s="618"/>
      <c r="H385" s="618"/>
      <c r="I385" s="618"/>
      <c r="J385" s="618"/>
      <c r="K385" s="618"/>
      <c r="L385" s="618"/>
      <c r="M385" s="618"/>
      <c r="N385" s="618"/>
      <c r="O385" s="618"/>
      <c r="P385" s="618"/>
      <c r="Q385" s="618"/>
      <c r="R385" s="618"/>
      <c r="S385" s="618"/>
      <c r="T385" s="618"/>
      <c r="U385" s="618"/>
      <c r="V385" s="618"/>
      <c r="W385" s="618"/>
      <c r="X385" s="618"/>
      <c r="Y385" s="618"/>
      <c r="Z385" s="618"/>
      <c r="AA385" s="618"/>
      <c r="AB385" s="618"/>
    </row>
    <row r="386" spans="1:28">
      <c r="A386" s="618"/>
      <c r="B386" s="618"/>
      <c r="C386" s="618"/>
      <c r="D386" s="644"/>
      <c r="E386" s="618"/>
      <c r="F386" s="618"/>
      <c r="G386" s="618"/>
      <c r="H386" s="618"/>
      <c r="I386" s="618"/>
      <c r="J386" s="618"/>
      <c r="K386" s="618"/>
      <c r="L386" s="618"/>
      <c r="M386" s="618"/>
      <c r="N386" s="618"/>
      <c r="O386" s="618"/>
      <c r="P386" s="618"/>
      <c r="Q386" s="618"/>
      <c r="R386" s="618"/>
      <c r="S386" s="618"/>
      <c r="T386" s="618"/>
      <c r="U386" s="618"/>
      <c r="V386" s="618"/>
      <c r="W386" s="618"/>
      <c r="X386" s="618"/>
      <c r="Y386" s="618"/>
      <c r="Z386" s="618"/>
      <c r="AA386" s="618"/>
      <c r="AB386" s="618"/>
    </row>
    <row r="387" spans="1:28">
      <c r="A387" s="618"/>
      <c r="B387" s="618"/>
      <c r="C387" s="618"/>
      <c r="D387" s="644"/>
      <c r="E387" s="618"/>
      <c r="F387" s="618"/>
      <c r="G387" s="618"/>
      <c r="H387" s="618"/>
      <c r="I387" s="618"/>
      <c r="J387" s="618"/>
      <c r="K387" s="618"/>
      <c r="L387" s="618"/>
      <c r="M387" s="618"/>
      <c r="N387" s="618"/>
      <c r="O387" s="618"/>
      <c r="P387" s="618"/>
      <c r="Q387" s="618"/>
      <c r="R387" s="618"/>
      <c r="S387" s="618"/>
      <c r="T387" s="618"/>
      <c r="U387" s="618"/>
      <c r="V387" s="618"/>
      <c r="W387" s="618"/>
      <c r="X387" s="618"/>
      <c r="Y387" s="618"/>
      <c r="Z387" s="618"/>
      <c r="AA387" s="618"/>
      <c r="AB387" s="618"/>
    </row>
    <row r="388" spans="1:28">
      <c r="A388" s="618"/>
      <c r="B388" s="618"/>
      <c r="C388" s="618"/>
      <c r="D388" s="644"/>
      <c r="E388" s="618"/>
      <c r="F388" s="618"/>
      <c r="G388" s="618"/>
      <c r="H388" s="618"/>
      <c r="I388" s="618"/>
      <c r="J388" s="618"/>
      <c r="K388" s="618"/>
      <c r="L388" s="618"/>
      <c r="M388" s="618"/>
      <c r="N388" s="618"/>
      <c r="O388" s="618"/>
      <c r="P388" s="618"/>
      <c r="Q388" s="618"/>
      <c r="R388" s="618"/>
      <c r="S388" s="618"/>
      <c r="T388" s="618"/>
      <c r="U388" s="618"/>
      <c r="V388" s="618"/>
      <c r="W388" s="618"/>
      <c r="X388" s="618"/>
      <c r="Y388" s="618"/>
      <c r="Z388" s="618"/>
      <c r="AA388" s="618"/>
      <c r="AB388" s="618"/>
    </row>
    <row r="389" spans="1:28">
      <c r="A389" s="618"/>
      <c r="B389" s="618"/>
      <c r="C389" s="618"/>
      <c r="D389" s="644"/>
      <c r="E389" s="618"/>
      <c r="F389" s="618"/>
      <c r="G389" s="618"/>
      <c r="H389" s="618"/>
      <c r="I389" s="618"/>
      <c r="J389" s="618"/>
      <c r="K389" s="618"/>
      <c r="L389" s="618"/>
      <c r="M389" s="618"/>
      <c r="N389" s="618"/>
      <c r="O389" s="618"/>
      <c r="P389" s="618"/>
      <c r="Q389" s="618"/>
      <c r="R389" s="618"/>
      <c r="S389" s="618"/>
      <c r="T389" s="618"/>
      <c r="U389" s="618"/>
      <c r="V389" s="618"/>
      <c r="W389" s="618"/>
      <c r="X389" s="618"/>
      <c r="Y389" s="618"/>
      <c r="Z389" s="618"/>
      <c r="AA389" s="618"/>
      <c r="AB389" s="618"/>
    </row>
    <row r="390" spans="1:28">
      <c r="A390" s="618"/>
      <c r="B390" s="618"/>
      <c r="C390" s="618"/>
      <c r="D390" s="644"/>
      <c r="E390" s="618"/>
      <c r="F390" s="618"/>
      <c r="G390" s="618"/>
      <c r="H390" s="618"/>
      <c r="I390" s="618"/>
      <c r="J390" s="618"/>
      <c r="K390" s="618"/>
      <c r="L390" s="618"/>
      <c r="M390" s="618"/>
      <c r="N390" s="618"/>
      <c r="O390" s="618"/>
      <c r="P390" s="618"/>
      <c r="Q390" s="618"/>
      <c r="R390" s="618"/>
      <c r="S390" s="618"/>
      <c r="T390" s="618"/>
      <c r="U390" s="618"/>
      <c r="V390" s="618"/>
      <c r="W390" s="618"/>
      <c r="X390" s="618"/>
      <c r="Y390" s="618"/>
      <c r="Z390" s="618"/>
      <c r="AA390" s="618"/>
      <c r="AB390" s="618"/>
    </row>
    <row r="391" spans="1:28">
      <c r="A391" s="618"/>
      <c r="B391" s="618"/>
      <c r="C391" s="618"/>
      <c r="D391" s="644"/>
      <c r="E391" s="618"/>
      <c r="F391" s="618"/>
      <c r="G391" s="618"/>
      <c r="H391" s="618"/>
      <c r="I391" s="618"/>
      <c r="J391" s="618"/>
      <c r="K391" s="618"/>
      <c r="L391" s="618"/>
      <c r="M391" s="618"/>
      <c r="N391" s="618"/>
      <c r="O391" s="618"/>
      <c r="P391" s="618"/>
      <c r="Q391" s="618"/>
      <c r="R391" s="618"/>
      <c r="S391" s="618"/>
      <c r="T391" s="618"/>
      <c r="U391" s="618"/>
      <c r="V391" s="618"/>
      <c r="W391" s="618"/>
      <c r="X391" s="618"/>
      <c r="Y391" s="618"/>
      <c r="Z391" s="618"/>
      <c r="AA391" s="618"/>
      <c r="AB391" s="618"/>
    </row>
    <row r="392" spans="1:28">
      <c r="A392" s="618"/>
      <c r="B392" s="618"/>
      <c r="C392" s="618"/>
      <c r="D392" s="644"/>
      <c r="E392" s="618"/>
      <c r="F392" s="618"/>
      <c r="G392" s="618"/>
      <c r="H392" s="618"/>
      <c r="I392" s="618"/>
      <c r="J392" s="618"/>
      <c r="K392" s="618"/>
      <c r="L392" s="618"/>
      <c r="M392" s="618"/>
      <c r="N392" s="618"/>
      <c r="O392" s="618"/>
      <c r="P392" s="618"/>
      <c r="Q392" s="618"/>
      <c r="R392" s="618"/>
      <c r="S392" s="618"/>
      <c r="T392" s="618"/>
      <c r="U392" s="618"/>
      <c r="V392" s="618"/>
      <c r="W392" s="618"/>
      <c r="X392" s="618"/>
      <c r="Y392" s="618"/>
      <c r="Z392" s="618"/>
      <c r="AA392" s="618"/>
      <c r="AB392" s="618"/>
    </row>
    <row r="393" spans="1:28">
      <c r="A393" s="618"/>
      <c r="B393" s="618"/>
      <c r="C393" s="618"/>
      <c r="D393" s="644"/>
      <c r="E393" s="618"/>
      <c r="F393" s="618"/>
      <c r="G393" s="618"/>
      <c r="H393" s="618"/>
      <c r="I393" s="618"/>
      <c r="J393" s="618"/>
      <c r="K393" s="618"/>
      <c r="L393" s="618"/>
      <c r="M393" s="618"/>
      <c r="N393" s="618"/>
      <c r="O393" s="618"/>
      <c r="P393" s="618"/>
      <c r="Q393" s="618"/>
      <c r="R393" s="618"/>
      <c r="S393" s="618"/>
      <c r="T393" s="618"/>
      <c r="U393" s="618"/>
      <c r="V393" s="618"/>
      <c r="W393" s="618"/>
      <c r="X393" s="618"/>
      <c r="Y393" s="618"/>
      <c r="Z393" s="618"/>
      <c r="AA393" s="618"/>
      <c r="AB393" s="618"/>
    </row>
    <row r="394" spans="1:28">
      <c r="A394" s="618"/>
      <c r="B394" s="618"/>
      <c r="C394" s="618"/>
      <c r="D394" s="644"/>
      <c r="E394" s="618"/>
      <c r="F394" s="618"/>
      <c r="G394" s="618"/>
      <c r="H394" s="618"/>
      <c r="I394" s="618"/>
      <c r="J394" s="618"/>
      <c r="K394" s="618"/>
      <c r="L394" s="618"/>
      <c r="M394" s="618"/>
      <c r="N394" s="618"/>
      <c r="O394" s="618"/>
      <c r="P394" s="618"/>
      <c r="Q394" s="618"/>
      <c r="R394" s="618"/>
      <c r="S394" s="618"/>
      <c r="T394" s="618"/>
      <c r="U394" s="618"/>
      <c r="V394" s="618"/>
      <c r="W394" s="618"/>
      <c r="X394" s="618"/>
      <c r="Y394" s="618"/>
      <c r="Z394" s="618"/>
      <c r="AA394" s="618"/>
      <c r="AB394" s="618"/>
    </row>
    <row r="395" spans="1:28">
      <c r="A395" s="618"/>
      <c r="B395" s="618"/>
      <c r="C395" s="618"/>
      <c r="D395" s="644"/>
      <c r="E395" s="618"/>
      <c r="F395" s="618"/>
      <c r="G395" s="618"/>
      <c r="H395" s="618"/>
      <c r="I395" s="618"/>
      <c r="J395" s="618"/>
      <c r="K395" s="618"/>
      <c r="L395" s="618"/>
      <c r="M395" s="618"/>
      <c r="N395" s="618"/>
      <c r="O395" s="618"/>
      <c r="P395" s="618"/>
      <c r="Q395" s="618"/>
      <c r="R395" s="618"/>
      <c r="S395" s="618"/>
      <c r="T395" s="618"/>
      <c r="U395" s="618"/>
      <c r="V395" s="618"/>
      <c r="W395" s="618"/>
      <c r="X395" s="618"/>
      <c r="Y395" s="618"/>
      <c r="Z395" s="618"/>
      <c r="AA395" s="618"/>
      <c r="AB395" s="618"/>
    </row>
    <row r="396" spans="1:28">
      <c r="A396" s="618"/>
      <c r="B396" s="618"/>
      <c r="C396" s="618"/>
      <c r="D396" s="644"/>
      <c r="E396" s="618"/>
      <c r="F396" s="618"/>
      <c r="G396" s="618"/>
      <c r="H396" s="618"/>
      <c r="I396" s="618"/>
      <c r="J396" s="618"/>
      <c r="K396" s="618"/>
      <c r="L396" s="618"/>
      <c r="M396" s="618"/>
      <c r="N396" s="618"/>
      <c r="O396" s="618"/>
      <c r="P396" s="618"/>
      <c r="Q396" s="618"/>
      <c r="R396" s="618"/>
      <c r="S396" s="618"/>
      <c r="T396" s="618"/>
      <c r="U396" s="618"/>
      <c r="V396" s="618"/>
      <c r="W396" s="618"/>
      <c r="X396" s="618"/>
      <c r="Y396" s="618"/>
      <c r="Z396" s="618"/>
      <c r="AA396" s="618"/>
      <c r="AB396" s="618"/>
    </row>
    <row r="397" spans="1:28">
      <c r="A397" s="618"/>
      <c r="B397" s="618"/>
      <c r="C397" s="618"/>
      <c r="D397" s="644"/>
      <c r="E397" s="618"/>
      <c r="F397" s="618"/>
      <c r="G397" s="618"/>
      <c r="H397" s="618"/>
      <c r="I397" s="618"/>
      <c r="J397" s="618"/>
      <c r="K397" s="618"/>
      <c r="L397" s="618"/>
      <c r="M397" s="618"/>
      <c r="N397" s="618"/>
      <c r="O397" s="618"/>
      <c r="P397" s="618"/>
      <c r="Q397" s="618"/>
      <c r="R397" s="618"/>
      <c r="S397" s="618"/>
      <c r="T397" s="618"/>
      <c r="U397" s="618"/>
      <c r="V397" s="618"/>
      <c r="W397" s="618"/>
      <c r="X397" s="618"/>
      <c r="Y397" s="618"/>
      <c r="Z397" s="618"/>
      <c r="AA397" s="618"/>
      <c r="AB397" s="618"/>
    </row>
    <row r="398" spans="1:28">
      <c r="A398" s="618"/>
      <c r="B398" s="618"/>
      <c r="C398" s="618"/>
      <c r="D398" s="644"/>
      <c r="E398" s="618"/>
      <c r="F398" s="618"/>
      <c r="G398" s="618"/>
      <c r="H398" s="618"/>
      <c r="I398" s="618"/>
      <c r="J398" s="618"/>
      <c r="K398" s="618"/>
      <c r="L398" s="618"/>
      <c r="M398" s="618"/>
      <c r="N398" s="618"/>
      <c r="O398" s="618"/>
      <c r="P398" s="618"/>
      <c r="Q398" s="618"/>
      <c r="R398" s="618"/>
      <c r="S398" s="618"/>
      <c r="T398" s="618"/>
      <c r="U398" s="618"/>
      <c r="V398" s="618"/>
      <c r="W398" s="618"/>
      <c r="X398" s="618"/>
      <c r="Y398" s="618"/>
      <c r="Z398" s="618"/>
      <c r="AA398" s="618"/>
      <c r="AB398" s="618"/>
    </row>
    <row r="399" spans="1:28">
      <c r="A399" s="618"/>
      <c r="B399" s="618"/>
      <c r="C399" s="618"/>
      <c r="D399" s="644"/>
      <c r="E399" s="618"/>
      <c r="F399" s="618"/>
      <c r="G399" s="618"/>
      <c r="H399" s="618"/>
      <c r="I399" s="618"/>
      <c r="J399" s="618"/>
      <c r="K399" s="618"/>
      <c r="L399" s="618"/>
      <c r="M399" s="618"/>
      <c r="N399" s="618"/>
      <c r="O399" s="618"/>
      <c r="P399" s="618"/>
      <c r="Q399" s="618"/>
      <c r="R399" s="618"/>
      <c r="S399" s="618"/>
      <c r="T399" s="618"/>
      <c r="U399" s="618"/>
      <c r="V399" s="618"/>
      <c r="W399" s="618"/>
      <c r="X399" s="618"/>
      <c r="Y399" s="618"/>
      <c r="Z399" s="618"/>
      <c r="AA399" s="618"/>
      <c r="AB399" s="618"/>
    </row>
    <row r="400" spans="1:28">
      <c r="A400" s="618"/>
      <c r="B400" s="618"/>
      <c r="C400" s="618"/>
      <c r="D400" s="644"/>
      <c r="E400" s="618"/>
      <c r="F400" s="618"/>
      <c r="G400" s="618"/>
      <c r="H400" s="618"/>
      <c r="I400" s="618"/>
      <c r="J400" s="618"/>
      <c r="K400" s="618"/>
      <c r="L400" s="618"/>
      <c r="M400" s="618"/>
      <c r="N400" s="618"/>
      <c r="O400" s="618"/>
      <c r="P400" s="618"/>
      <c r="Q400" s="618"/>
      <c r="R400" s="618"/>
      <c r="S400" s="618"/>
      <c r="T400" s="618"/>
      <c r="U400" s="618"/>
      <c r="V400" s="618"/>
      <c r="W400" s="618"/>
      <c r="X400" s="618"/>
      <c r="Y400" s="618"/>
      <c r="Z400" s="618"/>
      <c r="AA400" s="618"/>
      <c r="AB400" s="618"/>
    </row>
    <row r="401" spans="1:28">
      <c r="A401" s="618"/>
      <c r="B401" s="618"/>
      <c r="C401" s="618"/>
      <c r="D401" s="644"/>
      <c r="E401" s="618"/>
      <c r="F401" s="618"/>
      <c r="G401" s="618"/>
      <c r="H401" s="618"/>
      <c r="I401" s="618"/>
      <c r="J401" s="618"/>
      <c r="K401" s="618"/>
      <c r="L401" s="618"/>
      <c r="M401" s="618"/>
      <c r="N401" s="618"/>
      <c r="O401" s="618"/>
      <c r="P401" s="618"/>
      <c r="Q401" s="618"/>
      <c r="R401" s="618"/>
      <c r="S401" s="618"/>
      <c r="T401" s="618"/>
      <c r="U401" s="618"/>
      <c r="V401" s="618"/>
      <c r="W401" s="618"/>
      <c r="X401" s="618"/>
      <c r="Y401" s="618"/>
      <c r="Z401" s="618"/>
      <c r="AA401" s="618"/>
      <c r="AB401" s="618"/>
    </row>
    <row r="402" spans="1:28">
      <c r="A402" s="618"/>
      <c r="B402" s="618"/>
      <c r="C402" s="618"/>
      <c r="D402" s="644"/>
      <c r="E402" s="618"/>
      <c r="F402" s="618"/>
      <c r="G402" s="618"/>
      <c r="H402" s="618"/>
      <c r="I402" s="618"/>
      <c r="J402" s="618"/>
      <c r="K402" s="618"/>
      <c r="L402" s="618"/>
      <c r="M402" s="618"/>
      <c r="N402" s="618"/>
      <c r="O402" s="618"/>
      <c r="P402" s="618"/>
      <c r="Q402" s="618"/>
      <c r="R402" s="618"/>
      <c r="S402" s="618"/>
      <c r="T402" s="618"/>
      <c r="U402" s="618"/>
      <c r="V402" s="618"/>
      <c r="W402" s="618"/>
      <c r="X402" s="618"/>
      <c r="Y402" s="618"/>
      <c r="Z402" s="618"/>
      <c r="AA402" s="618"/>
      <c r="AB402" s="618"/>
    </row>
    <row r="403" spans="1:28">
      <c r="A403" s="618"/>
      <c r="B403" s="618"/>
      <c r="C403" s="618"/>
      <c r="D403" s="644"/>
      <c r="E403" s="618"/>
      <c r="F403" s="618"/>
      <c r="G403" s="618"/>
      <c r="H403" s="618"/>
      <c r="I403" s="618"/>
      <c r="J403" s="618"/>
      <c r="K403" s="618"/>
      <c r="L403" s="618"/>
      <c r="M403" s="618"/>
      <c r="N403" s="618"/>
      <c r="O403" s="618"/>
      <c r="P403" s="618"/>
      <c r="Q403" s="618"/>
      <c r="R403" s="618"/>
      <c r="S403" s="618"/>
      <c r="T403" s="618"/>
      <c r="U403" s="618"/>
      <c r="V403" s="618"/>
      <c r="W403" s="618"/>
      <c r="X403" s="618"/>
      <c r="Y403" s="618"/>
      <c r="Z403" s="618"/>
      <c r="AA403" s="618"/>
      <c r="AB403" s="618"/>
    </row>
    <row r="404" spans="1:28">
      <c r="A404" s="618"/>
      <c r="B404" s="618"/>
      <c r="C404" s="618"/>
      <c r="D404" s="644"/>
      <c r="E404" s="618"/>
      <c r="F404" s="618"/>
      <c r="G404" s="618"/>
      <c r="H404" s="618"/>
      <c r="I404" s="618"/>
      <c r="J404" s="618"/>
      <c r="K404" s="618"/>
      <c r="L404" s="618"/>
      <c r="M404" s="618"/>
      <c r="N404" s="618"/>
      <c r="O404" s="618"/>
      <c r="P404" s="618"/>
      <c r="Q404" s="618"/>
      <c r="R404" s="618"/>
      <c r="S404" s="618"/>
      <c r="T404" s="618"/>
      <c r="U404" s="618"/>
      <c r="V404" s="618"/>
      <c r="W404" s="618"/>
      <c r="X404" s="618"/>
      <c r="Y404" s="618"/>
      <c r="Z404" s="618"/>
      <c r="AA404" s="618"/>
      <c r="AB404" s="618"/>
    </row>
    <row r="405" spans="1:28">
      <c r="A405" s="618"/>
      <c r="B405" s="618"/>
      <c r="C405" s="618"/>
      <c r="D405" s="644"/>
      <c r="E405" s="618"/>
      <c r="F405" s="618"/>
      <c r="G405" s="618"/>
      <c r="H405" s="618"/>
      <c r="I405" s="618"/>
      <c r="J405" s="618"/>
      <c r="K405" s="618"/>
      <c r="L405" s="618"/>
      <c r="M405" s="618"/>
      <c r="N405" s="618"/>
      <c r="O405" s="618"/>
      <c r="P405" s="618"/>
      <c r="Q405" s="618"/>
      <c r="R405" s="618"/>
      <c r="S405" s="618"/>
      <c r="T405" s="618"/>
      <c r="U405" s="618"/>
      <c r="V405" s="618"/>
      <c r="W405" s="618"/>
      <c r="X405" s="618"/>
      <c r="Y405" s="618"/>
      <c r="Z405" s="618"/>
      <c r="AA405" s="618"/>
      <c r="AB405" s="618"/>
    </row>
    <row r="406" spans="1:28">
      <c r="A406" s="618"/>
      <c r="B406" s="618"/>
      <c r="C406" s="618"/>
      <c r="D406" s="644"/>
      <c r="E406" s="618"/>
      <c r="F406" s="618"/>
      <c r="G406" s="618"/>
      <c r="H406" s="618"/>
      <c r="I406" s="618"/>
      <c r="J406" s="618"/>
      <c r="K406" s="618"/>
      <c r="L406" s="618"/>
      <c r="M406" s="618"/>
      <c r="N406" s="618"/>
      <c r="O406" s="618"/>
      <c r="P406" s="618"/>
      <c r="Q406" s="618"/>
      <c r="R406" s="618"/>
      <c r="S406" s="618"/>
      <c r="T406" s="618"/>
      <c r="U406" s="618"/>
      <c r="V406" s="618"/>
      <c r="W406" s="618"/>
      <c r="X406" s="618"/>
      <c r="Y406" s="618"/>
      <c r="Z406" s="618"/>
      <c r="AA406" s="618"/>
      <c r="AB406" s="618"/>
    </row>
    <row r="407" spans="1:28">
      <c r="A407" s="618"/>
      <c r="B407" s="618"/>
      <c r="C407" s="618"/>
      <c r="D407" s="644"/>
      <c r="E407" s="618"/>
      <c r="F407" s="618"/>
      <c r="G407" s="618"/>
      <c r="H407" s="618"/>
      <c r="I407" s="618"/>
      <c r="J407" s="618"/>
      <c r="K407" s="618"/>
      <c r="L407" s="618"/>
      <c r="M407" s="618"/>
      <c r="N407" s="618"/>
      <c r="O407" s="618"/>
      <c r="P407" s="618"/>
      <c r="Q407" s="618"/>
      <c r="R407" s="618"/>
      <c r="S407" s="618"/>
      <c r="T407" s="618"/>
      <c r="U407" s="618"/>
      <c r="V407" s="618"/>
      <c r="W407" s="618"/>
      <c r="X407" s="618"/>
      <c r="Y407" s="618"/>
      <c r="Z407" s="618"/>
      <c r="AA407" s="618"/>
      <c r="AB407" s="618"/>
    </row>
    <row r="408" spans="1:28">
      <c r="A408" s="618"/>
      <c r="B408" s="618"/>
      <c r="C408" s="618"/>
      <c r="D408" s="644"/>
      <c r="E408" s="618"/>
      <c r="F408" s="618"/>
      <c r="G408" s="618"/>
      <c r="H408" s="618"/>
      <c r="I408" s="618"/>
      <c r="J408" s="618"/>
      <c r="K408" s="618"/>
      <c r="L408" s="618"/>
      <c r="M408" s="618"/>
      <c r="N408" s="618"/>
      <c r="O408" s="618"/>
      <c r="P408" s="618"/>
      <c r="Q408" s="618"/>
      <c r="R408" s="618"/>
      <c r="S408" s="618"/>
      <c r="T408" s="618"/>
      <c r="U408" s="618"/>
      <c r="V408" s="618"/>
      <c r="W408" s="618"/>
      <c r="X408" s="618"/>
      <c r="Y408" s="618"/>
      <c r="Z408" s="618"/>
      <c r="AA408" s="618"/>
      <c r="AB408" s="618"/>
    </row>
    <row r="409" spans="1:28">
      <c r="A409" s="618"/>
      <c r="B409" s="618"/>
      <c r="C409" s="618"/>
      <c r="D409" s="644"/>
      <c r="E409" s="618"/>
      <c r="F409" s="618"/>
      <c r="G409" s="618"/>
      <c r="H409" s="618"/>
      <c r="I409" s="618"/>
      <c r="J409" s="618"/>
      <c r="K409" s="618"/>
      <c r="L409" s="618"/>
      <c r="M409" s="618"/>
      <c r="N409" s="618"/>
      <c r="O409" s="618"/>
      <c r="P409" s="618"/>
      <c r="Q409" s="618"/>
      <c r="R409" s="618"/>
      <c r="S409" s="618"/>
      <c r="T409" s="618"/>
      <c r="U409" s="618"/>
      <c r="V409" s="618"/>
      <c r="W409" s="618"/>
      <c r="X409" s="618"/>
      <c r="Y409" s="618"/>
      <c r="Z409" s="618"/>
      <c r="AA409" s="618"/>
      <c r="AB409" s="618"/>
    </row>
    <row r="410" spans="1:28">
      <c r="A410" s="618"/>
      <c r="B410" s="618"/>
      <c r="C410" s="618"/>
      <c r="D410" s="644"/>
      <c r="E410" s="618"/>
      <c r="F410" s="618"/>
      <c r="G410" s="618"/>
      <c r="H410" s="618"/>
      <c r="I410" s="618"/>
      <c r="J410" s="618"/>
      <c r="K410" s="618"/>
      <c r="L410" s="618"/>
      <c r="M410" s="618"/>
      <c r="N410" s="618"/>
      <c r="O410" s="618"/>
      <c r="P410" s="618"/>
      <c r="Q410" s="618"/>
      <c r="R410" s="618"/>
      <c r="S410" s="618"/>
      <c r="T410" s="618"/>
      <c r="U410" s="618"/>
      <c r="V410" s="618"/>
      <c r="W410" s="618"/>
      <c r="X410" s="618"/>
      <c r="Y410" s="618"/>
      <c r="Z410" s="618"/>
      <c r="AA410" s="618"/>
      <c r="AB410" s="618"/>
    </row>
    <row r="411" spans="1:28">
      <c r="A411" s="618"/>
      <c r="B411" s="618"/>
      <c r="C411" s="618"/>
      <c r="D411" s="644"/>
      <c r="E411" s="618"/>
      <c r="F411" s="618"/>
      <c r="G411" s="618"/>
      <c r="H411" s="618"/>
      <c r="I411" s="618"/>
      <c r="J411" s="618"/>
      <c r="K411" s="618"/>
      <c r="L411" s="618"/>
      <c r="M411" s="618"/>
      <c r="N411" s="618"/>
      <c r="O411" s="618"/>
      <c r="P411" s="618"/>
      <c r="Q411" s="618"/>
      <c r="R411" s="618"/>
      <c r="S411" s="618"/>
      <c r="T411" s="618"/>
      <c r="U411" s="618"/>
      <c r="V411" s="618"/>
      <c r="W411" s="618"/>
      <c r="X411" s="618"/>
      <c r="Y411" s="618"/>
      <c r="Z411" s="618"/>
      <c r="AA411" s="618"/>
      <c r="AB411" s="618"/>
    </row>
    <row r="412" spans="1:28">
      <c r="A412" s="618"/>
      <c r="B412" s="618"/>
      <c r="C412" s="618"/>
      <c r="D412" s="644"/>
      <c r="E412" s="618"/>
      <c r="F412" s="618"/>
      <c r="G412" s="618"/>
      <c r="H412" s="618"/>
      <c r="I412" s="618"/>
      <c r="J412" s="618"/>
      <c r="K412" s="618"/>
      <c r="L412" s="618"/>
      <c r="M412" s="618"/>
      <c r="N412" s="618"/>
      <c r="O412" s="618"/>
      <c r="P412" s="618"/>
      <c r="Q412" s="618"/>
      <c r="R412" s="618"/>
      <c r="S412" s="618"/>
      <c r="T412" s="618"/>
      <c r="U412" s="618"/>
      <c r="V412" s="618"/>
      <c r="W412" s="618"/>
      <c r="X412" s="618"/>
      <c r="Y412" s="618"/>
      <c r="Z412" s="618"/>
      <c r="AA412" s="618"/>
      <c r="AB412" s="618"/>
    </row>
    <row r="413" spans="1:28">
      <c r="A413" s="618"/>
      <c r="B413" s="618"/>
      <c r="C413" s="618"/>
      <c r="D413" s="644"/>
      <c r="E413" s="618"/>
      <c r="F413" s="618"/>
      <c r="G413" s="618"/>
      <c r="H413" s="618"/>
      <c r="I413" s="618"/>
      <c r="J413" s="618"/>
      <c r="K413" s="618"/>
      <c r="L413" s="618"/>
      <c r="M413" s="618"/>
      <c r="N413" s="618"/>
      <c r="O413" s="618"/>
      <c r="P413" s="618"/>
      <c r="Q413" s="618"/>
      <c r="R413" s="618"/>
      <c r="S413" s="618"/>
      <c r="T413" s="618"/>
      <c r="U413" s="618"/>
      <c r="V413" s="618"/>
      <c r="W413" s="618"/>
      <c r="X413" s="618"/>
      <c r="Y413" s="618"/>
      <c r="Z413" s="618"/>
      <c r="AA413" s="618"/>
      <c r="AB413" s="618"/>
    </row>
    <row r="414" spans="1:28">
      <c r="A414" s="618"/>
      <c r="B414" s="618"/>
      <c r="C414" s="618"/>
      <c r="D414" s="644"/>
      <c r="E414" s="618"/>
      <c r="F414" s="618"/>
      <c r="G414" s="618"/>
      <c r="H414" s="618"/>
      <c r="I414" s="618"/>
      <c r="J414" s="618"/>
      <c r="K414" s="618"/>
      <c r="L414" s="618"/>
      <c r="M414" s="618"/>
      <c r="N414" s="618"/>
      <c r="O414" s="618"/>
      <c r="P414" s="618"/>
      <c r="Q414" s="618"/>
      <c r="R414" s="618"/>
      <c r="S414" s="618"/>
      <c r="T414" s="618"/>
      <c r="U414" s="618"/>
      <c r="V414" s="618"/>
      <c r="W414" s="618"/>
      <c r="X414" s="618"/>
      <c r="Y414" s="618"/>
      <c r="Z414" s="618"/>
      <c r="AA414" s="618"/>
      <c r="AB414" s="618"/>
    </row>
    <row r="415" spans="1:28">
      <c r="A415" s="618"/>
      <c r="B415" s="618"/>
      <c r="C415" s="618"/>
      <c r="D415" s="644"/>
      <c r="E415" s="618"/>
      <c r="F415" s="618"/>
      <c r="G415" s="618"/>
      <c r="H415" s="618"/>
      <c r="I415" s="618"/>
      <c r="J415" s="618"/>
      <c r="K415" s="618"/>
      <c r="L415" s="618"/>
      <c r="M415" s="618"/>
      <c r="N415" s="618"/>
      <c r="O415" s="618"/>
      <c r="P415" s="618"/>
      <c r="Q415" s="618"/>
      <c r="R415" s="618"/>
      <c r="S415" s="618"/>
      <c r="T415" s="618"/>
      <c r="U415" s="618"/>
      <c r="V415" s="618"/>
      <c r="W415" s="618"/>
      <c r="X415" s="618"/>
      <c r="Y415" s="618"/>
      <c r="Z415" s="618"/>
      <c r="AA415" s="618"/>
      <c r="AB415" s="618"/>
    </row>
    <row r="416" spans="1:28">
      <c r="A416" s="618"/>
      <c r="B416" s="618"/>
      <c r="C416" s="618"/>
      <c r="D416" s="644"/>
      <c r="E416" s="618"/>
      <c r="F416" s="618"/>
      <c r="G416" s="618"/>
      <c r="H416" s="618"/>
      <c r="I416" s="618"/>
      <c r="J416" s="618"/>
      <c r="K416" s="618"/>
      <c r="L416" s="618"/>
      <c r="M416" s="618"/>
      <c r="N416" s="618"/>
      <c r="O416" s="618"/>
      <c r="P416" s="618"/>
      <c r="Q416" s="618"/>
      <c r="R416" s="618"/>
      <c r="S416" s="618"/>
      <c r="T416" s="618"/>
      <c r="U416" s="618"/>
      <c r="V416" s="618"/>
      <c r="W416" s="618"/>
      <c r="X416" s="618"/>
      <c r="Y416" s="618"/>
      <c r="Z416" s="618"/>
      <c r="AA416" s="618"/>
      <c r="AB416" s="618"/>
    </row>
    <row r="417" spans="1:28">
      <c r="A417" s="618"/>
      <c r="B417" s="618"/>
      <c r="C417" s="618"/>
      <c r="D417" s="644"/>
      <c r="E417" s="618"/>
      <c r="F417" s="618"/>
      <c r="G417" s="618"/>
      <c r="H417" s="618"/>
      <c r="I417" s="618"/>
      <c r="J417" s="618"/>
      <c r="K417" s="618"/>
      <c r="L417" s="618"/>
      <c r="M417" s="618"/>
      <c r="N417" s="618"/>
      <c r="O417" s="618"/>
      <c r="P417" s="618"/>
      <c r="Q417" s="618"/>
      <c r="R417" s="618"/>
      <c r="S417" s="618"/>
      <c r="T417" s="618"/>
      <c r="U417" s="618"/>
      <c r="V417" s="618"/>
      <c r="W417" s="618"/>
      <c r="X417" s="618"/>
      <c r="Y417" s="618"/>
      <c r="Z417" s="618"/>
      <c r="AA417" s="618"/>
      <c r="AB417" s="618"/>
    </row>
    <row r="418" spans="1:28">
      <c r="A418" s="618"/>
      <c r="B418" s="618"/>
      <c r="C418" s="618"/>
      <c r="D418" s="644"/>
      <c r="E418" s="618"/>
      <c r="F418" s="618"/>
      <c r="G418" s="618"/>
      <c r="H418" s="618"/>
      <c r="I418" s="618"/>
      <c r="J418" s="618"/>
      <c r="K418" s="618"/>
      <c r="L418" s="618"/>
      <c r="M418" s="618"/>
      <c r="N418" s="618"/>
      <c r="O418" s="618"/>
      <c r="P418" s="618"/>
      <c r="Q418" s="618"/>
      <c r="R418" s="618"/>
      <c r="S418" s="618"/>
      <c r="T418" s="618"/>
      <c r="U418" s="618"/>
      <c r="V418" s="618"/>
      <c r="W418" s="618"/>
      <c r="X418" s="618"/>
      <c r="Y418" s="618"/>
      <c r="Z418" s="618"/>
      <c r="AA418" s="618"/>
      <c r="AB418" s="618"/>
    </row>
    <row r="419" spans="1:28">
      <c r="A419" s="618"/>
      <c r="B419" s="618"/>
      <c r="C419" s="618"/>
      <c r="D419" s="644"/>
      <c r="E419" s="618"/>
      <c r="F419" s="618"/>
      <c r="G419" s="618"/>
      <c r="H419" s="618"/>
      <c r="I419" s="618"/>
      <c r="J419" s="618"/>
      <c r="K419" s="618"/>
      <c r="L419" s="618"/>
      <c r="M419" s="618"/>
      <c r="N419" s="618"/>
      <c r="O419" s="618"/>
      <c r="P419" s="618"/>
      <c r="Q419" s="618"/>
      <c r="R419" s="618"/>
      <c r="S419" s="618"/>
      <c r="T419" s="618"/>
      <c r="U419" s="618"/>
      <c r="V419" s="618"/>
      <c r="W419" s="618"/>
      <c r="X419" s="618"/>
      <c r="Y419" s="618"/>
      <c r="Z419" s="618"/>
      <c r="AA419" s="618"/>
      <c r="AB419" s="618"/>
    </row>
    <row r="420" spans="1:28">
      <c r="A420" s="618"/>
      <c r="B420" s="618"/>
      <c r="C420" s="618"/>
      <c r="D420" s="644"/>
      <c r="E420" s="618"/>
      <c r="F420" s="618"/>
      <c r="G420" s="618"/>
      <c r="H420" s="618"/>
      <c r="I420" s="618"/>
      <c r="J420" s="618"/>
      <c r="K420" s="618"/>
      <c r="L420" s="618"/>
      <c r="M420" s="618"/>
      <c r="N420" s="618"/>
      <c r="O420" s="618"/>
      <c r="P420" s="618"/>
      <c r="Q420" s="618"/>
      <c r="R420" s="618"/>
      <c r="S420" s="618"/>
      <c r="T420" s="618"/>
      <c r="U420" s="618"/>
      <c r="V420" s="618"/>
      <c r="W420" s="618"/>
      <c r="X420" s="618"/>
      <c r="Y420" s="618"/>
      <c r="Z420" s="618"/>
      <c r="AA420" s="618"/>
      <c r="AB420" s="618"/>
    </row>
    <row r="421" spans="1:28">
      <c r="A421" s="618"/>
      <c r="B421" s="618"/>
      <c r="C421" s="618"/>
      <c r="D421" s="644"/>
      <c r="E421" s="618"/>
      <c r="F421" s="618"/>
      <c r="G421" s="618"/>
      <c r="H421" s="618"/>
      <c r="I421" s="618"/>
      <c r="J421" s="618"/>
      <c r="K421" s="618"/>
      <c r="L421" s="618"/>
      <c r="M421" s="618"/>
      <c r="N421" s="618"/>
      <c r="O421" s="618"/>
      <c r="P421" s="618"/>
      <c r="Q421" s="618"/>
      <c r="R421" s="618"/>
      <c r="S421" s="618"/>
      <c r="T421" s="618"/>
      <c r="U421" s="618"/>
      <c r="V421" s="618"/>
      <c r="W421" s="618"/>
      <c r="X421" s="618"/>
      <c r="Y421" s="618"/>
      <c r="Z421" s="618"/>
      <c r="AA421" s="618"/>
      <c r="AB421" s="618"/>
    </row>
    <row r="422" spans="1:28">
      <c r="A422" s="618"/>
      <c r="B422" s="618"/>
      <c r="C422" s="618"/>
      <c r="D422" s="644"/>
      <c r="E422" s="618"/>
      <c r="F422" s="618"/>
      <c r="G422" s="618"/>
      <c r="H422" s="618"/>
      <c r="I422" s="618"/>
      <c r="J422" s="618"/>
      <c r="K422" s="618"/>
      <c r="L422" s="618"/>
      <c r="M422" s="618"/>
      <c r="N422" s="618"/>
      <c r="O422" s="618"/>
      <c r="P422" s="618"/>
      <c r="Q422" s="618"/>
      <c r="R422" s="618"/>
      <c r="S422" s="618"/>
      <c r="T422" s="618"/>
      <c r="U422" s="618"/>
      <c r="V422" s="618"/>
      <c r="W422" s="618"/>
      <c r="X422" s="618"/>
      <c r="Y422" s="618"/>
      <c r="Z422" s="618"/>
      <c r="AA422" s="618"/>
      <c r="AB422" s="618"/>
    </row>
    <row r="423" spans="1:28">
      <c r="A423" s="618"/>
      <c r="B423" s="618"/>
      <c r="C423" s="618"/>
      <c r="D423" s="644"/>
      <c r="E423" s="618"/>
      <c r="F423" s="618"/>
      <c r="G423" s="618"/>
      <c r="H423" s="618"/>
      <c r="I423" s="618"/>
      <c r="J423" s="618"/>
      <c r="K423" s="618"/>
      <c r="L423" s="618"/>
      <c r="M423" s="618"/>
      <c r="N423" s="618"/>
      <c r="O423" s="618"/>
      <c r="P423" s="618"/>
      <c r="Q423" s="618"/>
      <c r="R423" s="618"/>
      <c r="S423" s="618"/>
      <c r="T423" s="618"/>
      <c r="U423" s="618"/>
      <c r="V423" s="618"/>
      <c r="W423" s="618"/>
      <c r="X423" s="618"/>
      <c r="Y423" s="618"/>
      <c r="Z423" s="618"/>
      <c r="AA423" s="618"/>
      <c r="AB423" s="618"/>
    </row>
    <row r="424" spans="1:28">
      <c r="A424" s="618"/>
      <c r="B424" s="618"/>
      <c r="C424" s="618"/>
      <c r="D424" s="644"/>
      <c r="E424" s="618"/>
      <c r="F424" s="618"/>
      <c r="G424" s="618"/>
      <c r="H424" s="618"/>
      <c r="I424" s="618"/>
      <c r="J424" s="618"/>
      <c r="K424" s="618"/>
      <c r="L424" s="618"/>
      <c r="M424" s="618"/>
      <c r="N424" s="618"/>
      <c r="O424" s="618"/>
      <c r="P424" s="618"/>
      <c r="Q424" s="618"/>
      <c r="R424" s="618"/>
      <c r="S424" s="618"/>
      <c r="T424" s="618"/>
      <c r="U424" s="618"/>
      <c r="V424" s="618"/>
      <c r="W424" s="618"/>
      <c r="X424" s="618"/>
      <c r="Y424" s="618"/>
      <c r="Z424" s="618"/>
      <c r="AA424" s="618"/>
      <c r="AB424" s="618"/>
    </row>
    <row r="425" spans="1:28">
      <c r="A425" s="618"/>
      <c r="B425" s="618"/>
      <c r="C425" s="618"/>
      <c r="D425" s="644"/>
      <c r="E425" s="618"/>
      <c r="F425" s="618"/>
      <c r="G425" s="618"/>
      <c r="H425" s="618"/>
      <c r="I425" s="618"/>
      <c r="J425" s="618"/>
      <c r="K425" s="618"/>
      <c r="L425" s="618"/>
      <c r="M425" s="618"/>
      <c r="N425" s="618"/>
      <c r="O425" s="618"/>
      <c r="P425" s="618"/>
      <c r="Q425" s="618"/>
      <c r="R425" s="618"/>
      <c r="S425" s="618"/>
      <c r="T425" s="618"/>
      <c r="U425" s="618"/>
      <c r="V425" s="618"/>
      <c r="W425" s="618"/>
      <c r="X425" s="618"/>
      <c r="Y425" s="618"/>
      <c r="Z425" s="618"/>
      <c r="AA425" s="618"/>
      <c r="AB425" s="618"/>
    </row>
    <row r="426" spans="1:28">
      <c r="A426" s="618"/>
      <c r="B426" s="618"/>
      <c r="C426" s="618"/>
      <c r="D426" s="644"/>
      <c r="E426" s="618"/>
      <c r="F426" s="618"/>
      <c r="G426" s="618"/>
      <c r="H426" s="618"/>
      <c r="I426" s="618"/>
      <c r="J426" s="618"/>
      <c r="K426" s="618"/>
      <c r="L426" s="618"/>
      <c r="M426" s="618"/>
      <c r="N426" s="618"/>
      <c r="O426" s="618"/>
      <c r="P426" s="618"/>
      <c r="Q426" s="618"/>
      <c r="R426" s="618"/>
      <c r="S426" s="618"/>
      <c r="T426" s="618"/>
      <c r="U426" s="618"/>
      <c r="V426" s="618"/>
      <c r="W426" s="618"/>
      <c r="X426" s="618"/>
      <c r="Y426" s="618"/>
      <c r="Z426" s="618"/>
      <c r="AA426" s="618"/>
      <c r="AB426" s="618"/>
    </row>
    <row r="427" spans="1:28">
      <c r="A427" s="618"/>
      <c r="B427" s="618"/>
      <c r="C427" s="618"/>
      <c r="D427" s="644"/>
      <c r="E427" s="618"/>
      <c r="F427" s="618"/>
      <c r="G427" s="618"/>
      <c r="H427" s="618"/>
      <c r="I427" s="618"/>
      <c r="J427" s="618"/>
      <c r="K427" s="618"/>
      <c r="L427" s="618"/>
      <c r="M427" s="618"/>
      <c r="N427" s="618"/>
      <c r="O427" s="618"/>
      <c r="P427" s="618"/>
      <c r="Q427" s="618"/>
      <c r="R427" s="618"/>
      <c r="S427" s="618"/>
      <c r="T427" s="618"/>
      <c r="U427" s="618"/>
      <c r="V427" s="618"/>
      <c r="W427" s="618"/>
      <c r="X427" s="618"/>
      <c r="Y427" s="618"/>
      <c r="Z427" s="618"/>
      <c r="AA427" s="618"/>
      <c r="AB427" s="618"/>
    </row>
    <row r="428" spans="1:28">
      <c r="A428" s="618"/>
      <c r="B428" s="618"/>
      <c r="C428" s="618"/>
      <c r="D428" s="644"/>
      <c r="E428" s="618"/>
      <c r="F428" s="618"/>
      <c r="G428" s="618"/>
      <c r="H428" s="618"/>
      <c r="I428" s="618"/>
      <c r="J428" s="618"/>
      <c r="K428" s="618"/>
      <c r="L428" s="618"/>
      <c r="M428" s="618"/>
      <c r="N428" s="618"/>
      <c r="O428" s="618"/>
      <c r="P428" s="618"/>
      <c r="Q428" s="618"/>
      <c r="R428" s="618"/>
      <c r="S428" s="618"/>
      <c r="T428" s="618"/>
      <c r="U428" s="618"/>
      <c r="V428" s="618"/>
      <c r="W428" s="618"/>
      <c r="X428" s="618"/>
      <c r="Y428" s="618"/>
      <c r="Z428" s="618"/>
      <c r="AA428" s="618"/>
      <c r="AB428" s="618"/>
    </row>
    <row r="429" spans="1:28">
      <c r="A429" s="618"/>
      <c r="B429" s="618"/>
      <c r="C429" s="618"/>
      <c r="D429" s="644"/>
      <c r="E429" s="618"/>
      <c r="F429" s="618"/>
      <c r="G429" s="618"/>
      <c r="H429" s="618"/>
      <c r="I429" s="618"/>
      <c r="J429" s="618"/>
      <c r="K429" s="618"/>
      <c r="L429" s="618"/>
      <c r="M429" s="618"/>
      <c r="N429" s="618"/>
      <c r="O429" s="618"/>
      <c r="P429" s="618"/>
      <c r="Q429" s="618"/>
      <c r="R429" s="618"/>
      <c r="S429" s="618"/>
      <c r="T429" s="618"/>
      <c r="U429" s="618"/>
      <c r="V429" s="618"/>
      <c r="W429" s="618"/>
      <c r="X429" s="618"/>
      <c r="Y429" s="618"/>
      <c r="Z429" s="618"/>
      <c r="AA429" s="618"/>
      <c r="AB429" s="618"/>
    </row>
    <row r="430" spans="1:28">
      <c r="A430" s="618"/>
      <c r="B430" s="618"/>
      <c r="C430" s="618"/>
      <c r="D430" s="644"/>
      <c r="E430" s="618"/>
      <c r="F430" s="618"/>
      <c r="G430" s="618"/>
      <c r="H430" s="618"/>
      <c r="I430" s="618"/>
      <c r="J430" s="618"/>
      <c r="K430" s="618"/>
      <c r="L430" s="618"/>
      <c r="M430" s="618"/>
      <c r="N430" s="618"/>
      <c r="O430" s="618"/>
      <c r="P430" s="618"/>
      <c r="Q430" s="618"/>
      <c r="R430" s="618"/>
      <c r="S430" s="618"/>
      <c r="T430" s="618"/>
      <c r="U430" s="618"/>
      <c r="V430" s="618"/>
      <c r="W430" s="618"/>
      <c r="X430" s="618"/>
      <c r="Y430" s="618"/>
      <c r="Z430" s="618"/>
      <c r="AA430" s="618"/>
      <c r="AB430" s="618"/>
    </row>
    <row r="431" spans="1:28">
      <c r="A431" s="618"/>
      <c r="B431" s="618"/>
      <c r="C431" s="618"/>
      <c r="D431" s="644"/>
      <c r="E431" s="618"/>
      <c r="F431" s="618"/>
      <c r="G431" s="618"/>
      <c r="H431" s="618"/>
      <c r="I431" s="618"/>
      <c r="J431" s="618"/>
      <c r="K431" s="618"/>
      <c r="L431" s="618"/>
      <c r="M431" s="618"/>
      <c r="N431" s="618"/>
      <c r="O431" s="618"/>
      <c r="P431" s="618"/>
      <c r="Q431" s="618"/>
      <c r="R431" s="618"/>
      <c r="S431" s="618"/>
      <c r="T431" s="618"/>
      <c r="U431" s="618"/>
      <c r="V431" s="618"/>
      <c r="W431" s="618"/>
      <c r="X431" s="618"/>
      <c r="Y431" s="618"/>
      <c r="Z431" s="618"/>
      <c r="AA431" s="618"/>
      <c r="AB431" s="618"/>
    </row>
    <row r="432" spans="1:28">
      <c r="A432" s="618"/>
      <c r="B432" s="618"/>
      <c r="C432" s="618"/>
      <c r="D432" s="644"/>
      <c r="E432" s="618"/>
      <c r="F432" s="618"/>
      <c r="G432" s="618"/>
      <c r="H432" s="618"/>
      <c r="I432" s="618"/>
      <c r="J432" s="618"/>
      <c r="K432" s="618"/>
      <c r="L432" s="618"/>
      <c r="M432" s="618"/>
      <c r="N432" s="618"/>
      <c r="O432" s="618"/>
      <c r="P432" s="618"/>
      <c r="Q432" s="618"/>
      <c r="R432" s="618"/>
      <c r="S432" s="618"/>
      <c r="T432" s="618"/>
      <c r="U432" s="618"/>
      <c r="V432" s="618"/>
      <c r="W432" s="618"/>
      <c r="X432" s="618"/>
      <c r="Y432" s="618"/>
      <c r="Z432" s="618"/>
      <c r="AA432" s="618"/>
      <c r="AB432" s="618"/>
    </row>
    <row r="433" spans="1:28">
      <c r="A433" s="618"/>
      <c r="B433" s="618"/>
      <c r="C433" s="618"/>
      <c r="D433" s="644"/>
      <c r="E433" s="618"/>
      <c r="F433" s="618"/>
      <c r="G433" s="618"/>
      <c r="H433" s="618"/>
      <c r="I433" s="618"/>
      <c r="J433" s="618"/>
      <c r="K433" s="618"/>
      <c r="L433" s="618"/>
      <c r="M433" s="618"/>
      <c r="N433" s="618"/>
      <c r="O433" s="618"/>
      <c r="P433" s="618"/>
      <c r="Q433" s="618"/>
      <c r="R433" s="618"/>
      <c r="S433" s="618"/>
      <c r="T433" s="618"/>
      <c r="U433" s="618"/>
      <c r="V433" s="618"/>
      <c r="W433" s="618"/>
      <c r="X433" s="618"/>
      <c r="Y433" s="618"/>
      <c r="Z433" s="618"/>
      <c r="AA433" s="618"/>
      <c r="AB433" s="618"/>
    </row>
    <row r="434" spans="1:28">
      <c r="A434" s="618"/>
      <c r="B434" s="618"/>
      <c r="C434" s="618"/>
      <c r="D434" s="644"/>
      <c r="E434" s="618"/>
      <c r="F434" s="618"/>
      <c r="G434" s="618"/>
      <c r="H434" s="618"/>
      <c r="I434" s="618"/>
      <c r="J434" s="618"/>
      <c r="K434" s="618"/>
      <c r="L434" s="618"/>
      <c r="M434" s="618"/>
      <c r="N434" s="618"/>
      <c r="O434" s="618"/>
      <c r="P434" s="618"/>
      <c r="Q434" s="618"/>
      <c r="R434" s="618"/>
      <c r="S434" s="618"/>
      <c r="T434" s="618"/>
      <c r="U434" s="618"/>
      <c r="V434" s="618"/>
      <c r="W434" s="618"/>
      <c r="X434" s="618"/>
      <c r="Y434" s="618"/>
      <c r="Z434" s="618"/>
      <c r="AA434" s="618"/>
      <c r="AB434" s="618"/>
    </row>
    <row r="435" spans="1:28">
      <c r="A435" s="618"/>
      <c r="B435" s="618"/>
      <c r="C435" s="618"/>
      <c r="D435" s="644"/>
      <c r="E435" s="618"/>
      <c r="F435" s="618"/>
      <c r="G435" s="618"/>
      <c r="H435" s="618"/>
      <c r="I435" s="618"/>
      <c r="J435" s="618"/>
      <c r="K435" s="618"/>
      <c r="L435" s="618"/>
      <c r="M435" s="618"/>
      <c r="N435" s="618"/>
      <c r="O435" s="618"/>
      <c r="P435" s="618"/>
      <c r="Q435" s="618"/>
      <c r="R435" s="618"/>
      <c r="S435" s="618"/>
      <c r="T435" s="618"/>
      <c r="U435" s="618"/>
      <c r="V435" s="618"/>
      <c r="W435" s="618"/>
      <c r="X435" s="618"/>
      <c r="Y435" s="618"/>
      <c r="Z435" s="618"/>
      <c r="AA435" s="618"/>
      <c r="AB435" s="618"/>
    </row>
    <row r="436" spans="1:28">
      <c r="A436" s="618"/>
      <c r="B436" s="618"/>
      <c r="C436" s="618"/>
      <c r="D436" s="644"/>
      <c r="E436" s="618"/>
      <c r="F436" s="618"/>
      <c r="G436" s="618"/>
      <c r="H436" s="618"/>
      <c r="I436" s="618"/>
      <c r="J436" s="618"/>
      <c r="K436" s="618"/>
      <c r="L436" s="618"/>
      <c r="M436" s="618"/>
      <c r="N436" s="618"/>
      <c r="O436" s="618"/>
      <c r="P436" s="618"/>
      <c r="Q436" s="618"/>
      <c r="R436" s="618"/>
      <c r="S436" s="618"/>
      <c r="T436" s="618"/>
      <c r="U436" s="618"/>
      <c r="V436" s="618"/>
      <c r="W436" s="618"/>
      <c r="X436" s="618"/>
      <c r="Y436" s="618"/>
      <c r="Z436" s="618"/>
      <c r="AA436" s="618"/>
      <c r="AB436" s="618"/>
    </row>
    <row r="437" spans="1:28">
      <c r="A437" s="618"/>
      <c r="B437" s="618"/>
      <c r="C437" s="618"/>
      <c r="D437" s="644"/>
      <c r="E437" s="618"/>
      <c r="F437" s="618"/>
      <c r="G437" s="618"/>
      <c r="H437" s="618"/>
      <c r="I437" s="618"/>
      <c r="J437" s="618"/>
      <c r="K437" s="618"/>
      <c r="L437" s="618"/>
      <c r="M437" s="618"/>
      <c r="N437" s="618"/>
      <c r="O437" s="618"/>
      <c r="P437" s="618"/>
      <c r="Q437" s="618"/>
      <c r="R437" s="618"/>
      <c r="S437" s="618"/>
      <c r="T437" s="618"/>
      <c r="U437" s="618"/>
      <c r="V437" s="618"/>
      <c r="W437" s="618"/>
      <c r="X437" s="618"/>
      <c r="Y437" s="618"/>
      <c r="Z437" s="618"/>
      <c r="AA437" s="618"/>
      <c r="AB437" s="618"/>
    </row>
    <row r="438" spans="1:28">
      <c r="A438" s="618"/>
      <c r="B438" s="618"/>
      <c r="C438" s="618"/>
      <c r="D438" s="644"/>
      <c r="E438" s="618"/>
      <c r="F438" s="618"/>
      <c r="G438" s="618"/>
      <c r="H438" s="618"/>
      <c r="I438" s="618"/>
      <c r="J438" s="618"/>
      <c r="K438" s="618"/>
      <c r="L438" s="618"/>
      <c r="M438" s="618"/>
      <c r="N438" s="618"/>
      <c r="O438" s="618"/>
      <c r="P438" s="618"/>
      <c r="Q438" s="618"/>
      <c r="R438" s="618"/>
      <c r="S438" s="618"/>
      <c r="T438" s="618"/>
      <c r="U438" s="618"/>
      <c r="V438" s="618"/>
      <c r="W438" s="618"/>
      <c r="X438" s="618"/>
      <c r="Y438" s="618"/>
      <c r="Z438" s="618"/>
      <c r="AA438" s="618"/>
      <c r="AB438" s="618"/>
    </row>
    <row r="439" spans="1:28">
      <c r="A439" s="618"/>
      <c r="B439" s="618"/>
      <c r="C439" s="618"/>
      <c r="D439" s="644"/>
      <c r="E439" s="618"/>
      <c r="F439" s="618"/>
      <c r="G439" s="618"/>
      <c r="H439" s="618"/>
      <c r="I439" s="618"/>
      <c r="J439" s="618"/>
      <c r="K439" s="618"/>
      <c r="L439" s="618"/>
      <c r="M439" s="618"/>
      <c r="N439" s="618"/>
      <c r="O439" s="618"/>
      <c r="P439" s="618"/>
      <c r="Q439" s="618"/>
      <c r="R439" s="618"/>
      <c r="S439" s="618"/>
      <c r="T439" s="618"/>
      <c r="U439" s="618"/>
      <c r="V439" s="618"/>
      <c r="W439" s="618"/>
      <c r="X439" s="618"/>
      <c r="Y439" s="618"/>
      <c r="Z439" s="618"/>
      <c r="AA439" s="618"/>
      <c r="AB439" s="618"/>
    </row>
    <row r="440" spans="1:28">
      <c r="A440" s="618"/>
      <c r="B440" s="618"/>
      <c r="C440" s="618"/>
      <c r="D440" s="644"/>
      <c r="E440" s="618"/>
      <c r="F440" s="618"/>
      <c r="G440" s="618"/>
      <c r="H440" s="618"/>
      <c r="I440" s="618"/>
      <c r="J440" s="618"/>
      <c r="K440" s="618"/>
      <c r="L440" s="618"/>
      <c r="M440" s="618"/>
      <c r="N440" s="618"/>
      <c r="O440" s="618"/>
      <c r="P440" s="618"/>
      <c r="Q440" s="618"/>
      <c r="R440" s="618"/>
      <c r="S440" s="618"/>
      <c r="T440" s="618"/>
      <c r="U440" s="618"/>
      <c r="V440" s="618"/>
      <c r="W440" s="618"/>
      <c r="X440" s="618"/>
      <c r="Y440" s="618"/>
      <c r="Z440" s="618"/>
      <c r="AA440" s="618"/>
      <c r="AB440" s="618"/>
    </row>
    <row r="441" spans="1:28">
      <c r="A441" s="618"/>
      <c r="B441" s="618"/>
      <c r="C441" s="618"/>
      <c r="D441" s="644"/>
      <c r="E441" s="618"/>
      <c r="F441" s="618"/>
      <c r="G441" s="618"/>
      <c r="H441" s="618"/>
      <c r="I441" s="618"/>
      <c r="J441" s="618"/>
      <c r="K441" s="618"/>
      <c r="L441" s="618"/>
      <c r="M441" s="618"/>
      <c r="N441" s="618"/>
      <c r="O441" s="618"/>
      <c r="P441" s="618"/>
      <c r="Q441" s="618"/>
      <c r="R441" s="618"/>
      <c r="S441" s="618"/>
      <c r="T441" s="618"/>
      <c r="U441" s="618"/>
      <c r="V441" s="618"/>
      <c r="W441" s="618"/>
      <c r="X441" s="618"/>
      <c r="Y441" s="618"/>
      <c r="Z441" s="618"/>
      <c r="AA441" s="618"/>
      <c r="AB441" s="618"/>
    </row>
    <row r="442" spans="1:28">
      <c r="A442" s="618"/>
      <c r="B442" s="618"/>
      <c r="C442" s="618"/>
      <c r="D442" s="644"/>
      <c r="E442" s="618"/>
      <c r="F442" s="618"/>
      <c r="G442" s="618"/>
      <c r="H442" s="618"/>
      <c r="I442" s="618"/>
      <c r="J442" s="618"/>
      <c r="K442" s="618"/>
      <c r="L442" s="618"/>
      <c r="M442" s="618"/>
      <c r="N442" s="618"/>
      <c r="O442" s="618"/>
      <c r="P442" s="618"/>
      <c r="Q442" s="618"/>
      <c r="R442" s="618"/>
      <c r="S442" s="618"/>
      <c r="T442" s="618"/>
      <c r="U442" s="618"/>
      <c r="V442" s="618"/>
      <c r="W442" s="618"/>
      <c r="X442" s="618"/>
      <c r="Y442" s="618"/>
      <c r="Z442" s="618"/>
      <c r="AA442" s="618"/>
      <c r="AB442" s="618"/>
    </row>
    <row r="443" spans="1:28">
      <c r="A443" s="618"/>
      <c r="B443" s="618"/>
      <c r="C443" s="618"/>
      <c r="D443" s="644"/>
      <c r="E443" s="618"/>
      <c r="F443" s="618"/>
      <c r="G443" s="618"/>
      <c r="H443" s="618"/>
      <c r="I443" s="618"/>
      <c r="J443" s="618"/>
      <c r="K443" s="618"/>
      <c r="L443" s="618"/>
      <c r="M443" s="618"/>
      <c r="N443" s="618"/>
      <c r="O443" s="618"/>
      <c r="P443" s="618"/>
      <c r="Q443" s="618"/>
      <c r="R443" s="618"/>
      <c r="S443" s="618"/>
      <c r="T443" s="618"/>
      <c r="U443" s="618"/>
      <c r="V443" s="618"/>
      <c r="W443" s="618"/>
      <c r="X443" s="618"/>
      <c r="Y443" s="618"/>
      <c r="Z443" s="618"/>
      <c r="AA443" s="618"/>
      <c r="AB443" s="618"/>
    </row>
    <row r="444" spans="1:28">
      <c r="A444" s="618"/>
      <c r="B444" s="618"/>
      <c r="C444" s="618"/>
      <c r="D444" s="644"/>
      <c r="E444" s="618"/>
      <c r="F444" s="618"/>
      <c r="G444" s="618"/>
      <c r="H444" s="618"/>
      <c r="I444" s="618"/>
      <c r="J444" s="618"/>
      <c r="K444" s="618"/>
      <c r="L444" s="618"/>
      <c r="M444" s="618"/>
      <c r="N444" s="618"/>
      <c r="O444" s="618"/>
      <c r="P444" s="618"/>
      <c r="Q444" s="618"/>
      <c r="R444" s="618"/>
      <c r="S444" s="618"/>
      <c r="T444" s="618"/>
      <c r="U444" s="618"/>
      <c r="V444" s="618"/>
      <c r="W444" s="618"/>
      <c r="X444" s="618"/>
      <c r="Y444" s="618"/>
      <c r="Z444" s="618"/>
      <c r="AA444" s="618"/>
      <c r="AB444" s="618"/>
    </row>
    <row r="445" spans="1:28">
      <c r="A445" s="618"/>
      <c r="B445" s="618"/>
      <c r="C445" s="618"/>
      <c r="D445" s="644"/>
      <c r="E445" s="618"/>
      <c r="F445" s="618"/>
      <c r="G445" s="618"/>
      <c r="H445" s="618"/>
      <c r="I445" s="618"/>
      <c r="J445" s="618"/>
      <c r="K445" s="618"/>
      <c r="L445" s="618"/>
      <c r="M445" s="618"/>
      <c r="N445" s="618"/>
      <c r="O445" s="618"/>
      <c r="P445" s="618"/>
      <c r="Q445" s="618"/>
      <c r="R445" s="618"/>
      <c r="S445" s="618"/>
      <c r="T445" s="618"/>
      <c r="U445" s="618"/>
      <c r="V445" s="618"/>
      <c r="W445" s="618"/>
      <c r="X445" s="618"/>
      <c r="Y445" s="618"/>
      <c r="Z445" s="618"/>
      <c r="AA445" s="618"/>
      <c r="AB445" s="618"/>
    </row>
    <row r="446" spans="1:28">
      <c r="A446" s="618"/>
      <c r="B446" s="618"/>
      <c r="C446" s="618"/>
      <c r="D446" s="644"/>
      <c r="E446" s="618"/>
      <c r="F446" s="618"/>
      <c r="G446" s="618"/>
      <c r="H446" s="618"/>
      <c r="I446" s="618"/>
      <c r="J446" s="618"/>
      <c r="K446" s="618"/>
      <c r="L446" s="618"/>
      <c r="M446" s="618"/>
      <c r="N446" s="618"/>
      <c r="O446" s="618"/>
      <c r="P446" s="618"/>
      <c r="Q446" s="618"/>
      <c r="R446" s="618"/>
      <c r="S446" s="618"/>
      <c r="T446" s="618"/>
      <c r="U446" s="618"/>
      <c r="V446" s="618"/>
      <c r="W446" s="618"/>
      <c r="X446" s="618"/>
      <c r="Y446" s="618"/>
      <c r="Z446" s="618"/>
      <c r="AA446" s="618"/>
      <c r="AB446" s="618"/>
    </row>
    <row r="447" spans="1:28">
      <c r="A447" s="618"/>
      <c r="B447" s="618"/>
      <c r="C447" s="618"/>
      <c r="D447" s="644"/>
      <c r="E447" s="618"/>
      <c r="F447" s="618"/>
      <c r="G447" s="618"/>
      <c r="H447" s="618"/>
      <c r="I447" s="618"/>
      <c r="J447" s="618"/>
      <c r="K447" s="618"/>
      <c r="L447" s="618"/>
      <c r="M447" s="618"/>
      <c r="N447" s="618"/>
      <c r="O447" s="618"/>
      <c r="P447" s="618"/>
      <c r="Q447" s="618"/>
      <c r="R447" s="618"/>
      <c r="S447" s="618"/>
      <c r="T447" s="618"/>
      <c r="U447" s="618"/>
      <c r="V447" s="618"/>
      <c r="W447" s="618"/>
      <c r="X447" s="618"/>
      <c r="Y447" s="618"/>
      <c r="Z447" s="618"/>
      <c r="AA447" s="618"/>
      <c r="AB447" s="618"/>
    </row>
    <row r="448" spans="1:28">
      <c r="A448" s="618"/>
      <c r="B448" s="618"/>
      <c r="C448" s="618"/>
      <c r="D448" s="644"/>
      <c r="E448" s="618"/>
      <c r="F448" s="618"/>
      <c r="G448" s="618"/>
      <c r="H448" s="618"/>
      <c r="I448" s="618"/>
      <c r="J448" s="618"/>
      <c r="K448" s="618"/>
      <c r="L448" s="618"/>
      <c r="M448" s="618"/>
      <c r="N448" s="618"/>
      <c r="O448" s="618"/>
      <c r="P448" s="618"/>
      <c r="Q448" s="618"/>
      <c r="R448" s="618"/>
      <c r="S448" s="618"/>
      <c r="T448" s="618"/>
      <c r="U448" s="618"/>
      <c r="V448" s="618"/>
      <c r="W448" s="618"/>
      <c r="X448" s="618"/>
      <c r="Y448" s="618"/>
      <c r="Z448" s="618"/>
      <c r="AA448" s="618"/>
      <c r="AB448" s="618"/>
    </row>
    <row r="449" spans="1:28">
      <c r="A449" s="618"/>
      <c r="B449" s="618"/>
      <c r="C449" s="618"/>
      <c r="D449" s="644"/>
      <c r="E449" s="618"/>
      <c r="F449" s="618"/>
      <c r="G449" s="618"/>
      <c r="H449" s="618"/>
      <c r="I449" s="618"/>
      <c r="J449" s="618"/>
      <c r="K449" s="618"/>
      <c r="L449" s="618"/>
      <c r="M449" s="618"/>
      <c r="N449" s="618"/>
      <c r="O449" s="618"/>
      <c r="P449" s="618"/>
      <c r="Q449" s="618"/>
      <c r="R449" s="618"/>
      <c r="S449" s="618"/>
      <c r="T449" s="618"/>
      <c r="U449" s="618"/>
      <c r="V449" s="618"/>
      <c r="W449" s="618"/>
      <c r="X449" s="618"/>
      <c r="Y449" s="618"/>
      <c r="Z449" s="618"/>
      <c r="AA449" s="618"/>
      <c r="AB449" s="618"/>
    </row>
    <row r="450" spans="1:28">
      <c r="A450" s="618"/>
      <c r="B450" s="618"/>
      <c r="C450" s="618"/>
      <c r="D450" s="644"/>
      <c r="E450" s="618"/>
      <c r="F450" s="618"/>
      <c r="G450" s="618"/>
      <c r="H450" s="618"/>
      <c r="I450" s="618"/>
      <c r="J450" s="618"/>
      <c r="K450" s="618"/>
      <c r="L450" s="618"/>
      <c r="M450" s="618"/>
      <c r="N450" s="618"/>
      <c r="O450" s="618"/>
      <c r="P450" s="618"/>
      <c r="Q450" s="618"/>
      <c r="R450" s="618"/>
      <c r="S450" s="618"/>
      <c r="T450" s="618"/>
      <c r="U450" s="618"/>
      <c r="V450" s="618"/>
      <c r="W450" s="618"/>
      <c r="X450" s="618"/>
      <c r="Y450" s="618"/>
      <c r="Z450" s="618"/>
      <c r="AA450" s="618"/>
      <c r="AB450" s="618"/>
    </row>
    <row r="451" spans="1:28">
      <c r="A451" s="618"/>
      <c r="B451" s="618"/>
      <c r="C451" s="618"/>
      <c r="D451" s="644"/>
      <c r="E451" s="618"/>
      <c r="F451" s="618"/>
      <c r="G451" s="618"/>
      <c r="H451" s="618"/>
      <c r="I451" s="618"/>
      <c r="J451" s="618"/>
      <c r="K451" s="618"/>
      <c r="L451" s="618"/>
      <c r="M451" s="618"/>
      <c r="N451" s="618"/>
      <c r="O451" s="618"/>
      <c r="P451" s="618"/>
      <c r="Q451" s="618"/>
      <c r="R451" s="618"/>
      <c r="S451" s="618"/>
      <c r="T451" s="618"/>
      <c r="U451" s="618"/>
      <c r="V451" s="618"/>
      <c r="W451" s="618"/>
      <c r="X451" s="618"/>
      <c r="Y451" s="618"/>
      <c r="Z451" s="618"/>
      <c r="AA451" s="618"/>
      <c r="AB451" s="618"/>
    </row>
    <row r="452" spans="1:28">
      <c r="A452" s="618"/>
      <c r="B452" s="618"/>
      <c r="C452" s="618"/>
      <c r="D452" s="644"/>
      <c r="E452" s="618"/>
      <c r="F452" s="618"/>
      <c r="G452" s="618"/>
      <c r="H452" s="618"/>
      <c r="I452" s="618"/>
      <c r="J452" s="618"/>
      <c r="K452" s="618"/>
      <c r="L452" s="618"/>
      <c r="M452" s="618"/>
      <c r="N452" s="618"/>
      <c r="O452" s="618"/>
      <c r="P452" s="618"/>
      <c r="Q452" s="618"/>
      <c r="R452" s="618"/>
      <c r="S452" s="618"/>
      <c r="T452" s="618"/>
      <c r="U452" s="618"/>
      <c r="V452" s="618"/>
      <c r="W452" s="618"/>
      <c r="X452" s="618"/>
      <c r="Y452" s="618"/>
      <c r="Z452" s="618"/>
      <c r="AA452" s="618"/>
      <c r="AB452" s="618"/>
    </row>
    <row r="453" spans="1:28">
      <c r="A453" s="618"/>
      <c r="B453" s="618"/>
      <c r="C453" s="618"/>
      <c r="D453" s="644"/>
      <c r="E453" s="618"/>
      <c r="F453" s="618"/>
      <c r="G453" s="618"/>
      <c r="H453" s="618"/>
      <c r="I453" s="618"/>
      <c r="J453" s="618"/>
      <c r="K453" s="618"/>
      <c r="L453" s="618"/>
      <c r="M453" s="618"/>
      <c r="N453" s="618"/>
      <c r="O453" s="618"/>
      <c r="P453" s="618"/>
      <c r="Q453" s="618"/>
      <c r="R453" s="618"/>
      <c r="S453" s="618"/>
      <c r="T453" s="618"/>
      <c r="U453" s="618"/>
      <c r="V453" s="618"/>
      <c r="W453" s="618"/>
      <c r="X453" s="618"/>
      <c r="Y453" s="618"/>
      <c r="Z453" s="618"/>
      <c r="AA453" s="618"/>
      <c r="AB453" s="618"/>
    </row>
    <row r="454" spans="1:28">
      <c r="A454" s="618"/>
      <c r="B454" s="618"/>
      <c r="C454" s="618"/>
      <c r="D454" s="644"/>
      <c r="E454" s="618"/>
      <c r="F454" s="618"/>
      <c r="G454" s="618"/>
      <c r="H454" s="618"/>
      <c r="I454" s="618"/>
      <c r="J454" s="618"/>
      <c r="K454" s="618"/>
      <c r="L454" s="618"/>
      <c r="M454" s="618"/>
      <c r="N454" s="618"/>
      <c r="O454" s="618"/>
      <c r="P454" s="618"/>
      <c r="Q454" s="618"/>
      <c r="R454" s="618"/>
      <c r="S454" s="618"/>
      <c r="T454" s="618"/>
      <c r="U454" s="618"/>
      <c r="V454" s="618"/>
      <c r="W454" s="618"/>
      <c r="X454" s="618"/>
      <c r="Y454" s="618"/>
      <c r="Z454" s="618"/>
      <c r="AA454" s="618"/>
      <c r="AB454" s="618"/>
    </row>
    <row r="455" spans="1:28">
      <c r="A455" s="618"/>
      <c r="B455" s="618"/>
      <c r="C455" s="618"/>
      <c r="D455" s="644"/>
      <c r="E455" s="618"/>
      <c r="F455" s="618"/>
      <c r="G455" s="618"/>
      <c r="H455" s="618"/>
      <c r="I455" s="618"/>
      <c r="J455" s="618"/>
      <c r="K455" s="618"/>
      <c r="L455" s="618"/>
      <c r="M455" s="618"/>
      <c r="N455" s="618"/>
      <c r="O455" s="618"/>
      <c r="P455" s="618"/>
      <c r="Q455" s="618"/>
      <c r="R455" s="618"/>
      <c r="S455" s="618"/>
      <c r="T455" s="618"/>
      <c r="U455" s="618"/>
      <c r="V455" s="618"/>
      <c r="W455" s="618"/>
      <c r="X455" s="618"/>
      <c r="Y455" s="618"/>
      <c r="Z455" s="618"/>
      <c r="AA455" s="618"/>
      <c r="AB455" s="618"/>
    </row>
    <row r="456" spans="1:28">
      <c r="A456" s="618"/>
      <c r="B456" s="618"/>
      <c r="C456" s="618"/>
      <c r="D456" s="644"/>
      <c r="E456" s="618"/>
      <c r="F456" s="618"/>
      <c r="G456" s="618"/>
      <c r="H456" s="618"/>
      <c r="I456" s="618"/>
      <c r="J456" s="618"/>
      <c r="K456" s="618"/>
      <c r="L456" s="618"/>
      <c r="M456" s="618"/>
      <c r="N456" s="618"/>
      <c r="O456" s="618"/>
      <c r="P456" s="618"/>
      <c r="Q456" s="618"/>
      <c r="R456" s="618"/>
      <c r="S456" s="618"/>
      <c r="T456" s="618"/>
      <c r="U456" s="618"/>
      <c r="V456" s="618"/>
      <c r="W456" s="618"/>
      <c r="X456" s="618"/>
      <c r="Y456" s="618"/>
      <c r="Z456" s="618"/>
      <c r="AA456" s="618"/>
      <c r="AB456" s="618"/>
    </row>
    <row r="457" spans="1:28">
      <c r="A457" s="618"/>
      <c r="B457" s="618"/>
      <c r="C457" s="618"/>
      <c r="D457" s="644"/>
      <c r="E457" s="618"/>
      <c r="F457" s="618"/>
      <c r="G457" s="618"/>
      <c r="H457" s="618"/>
      <c r="I457" s="618"/>
      <c r="J457" s="618"/>
      <c r="K457" s="618"/>
      <c r="L457" s="618"/>
      <c r="M457" s="618"/>
      <c r="N457" s="618"/>
      <c r="O457" s="618"/>
      <c r="P457" s="618"/>
      <c r="Q457" s="618"/>
      <c r="R457" s="618"/>
      <c r="S457" s="618"/>
      <c r="T457" s="618"/>
      <c r="U457" s="618"/>
      <c r="V457" s="618"/>
      <c r="W457" s="618"/>
      <c r="X457" s="618"/>
      <c r="Y457" s="618"/>
      <c r="Z457" s="618"/>
      <c r="AA457" s="618"/>
      <c r="AB457" s="618"/>
    </row>
    <row r="458" spans="1:28">
      <c r="A458" s="618"/>
      <c r="B458" s="618"/>
      <c r="C458" s="618"/>
      <c r="D458" s="644"/>
      <c r="E458" s="618"/>
      <c r="F458" s="618"/>
      <c r="G458" s="618"/>
      <c r="H458" s="618"/>
      <c r="I458" s="618"/>
      <c r="J458" s="618"/>
      <c r="K458" s="618"/>
      <c r="L458" s="618"/>
      <c r="M458" s="618"/>
      <c r="N458" s="618"/>
      <c r="O458" s="618"/>
      <c r="P458" s="618"/>
      <c r="Q458" s="618"/>
      <c r="R458" s="618"/>
      <c r="S458" s="618"/>
      <c r="T458" s="618"/>
      <c r="U458" s="618"/>
      <c r="V458" s="618"/>
      <c r="W458" s="618"/>
      <c r="X458" s="618"/>
      <c r="Y458" s="618"/>
      <c r="Z458" s="618"/>
      <c r="AA458" s="618"/>
      <c r="AB458" s="618"/>
    </row>
    <row r="459" spans="1:28">
      <c r="A459" s="618"/>
      <c r="B459" s="618"/>
      <c r="C459" s="618"/>
      <c r="D459" s="644"/>
      <c r="E459" s="618"/>
      <c r="F459" s="618"/>
      <c r="G459" s="618"/>
      <c r="H459" s="618"/>
      <c r="I459" s="618"/>
      <c r="J459" s="618"/>
      <c r="K459" s="618"/>
      <c r="L459" s="618"/>
      <c r="M459" s="618"/>
      <c r="N459" s="618"/>
      <c r="O459" s="618"/>
      <c r="P459" s="618"/>
      <c r="Q459" s="618"/>
      <c r="R459" s="618"/>
      <c r="S459" s="618"/>
      <c r="T459" s="618"/>
      <c r="U459" s="618"/>
      <c r="V459" s="618"/>
      <c r="W459" s="618"/>
      <c r="X459" s="618"/>
      <c r="Y459" s="618"/>
      <c r="Z459" s="618"/>
      <c r="AA459" s="618"/>
      <c r="AB459" s="618"/>
    </row>
    <row r="460" spans="1:28">
      <c r="A460" s="618"/>
      <c r="B460" s="618"/>
      <c r="C460" s="618"/>
      <c r="D460" s="644"/>
      <c r="E460" s="618"/>
      <c r="F460" s="618"/>
      <c r="G460" s="618"/>
      <c r="H460" s="618"/>
      <c r="I460" s="618"/>
      <c r="J460" s="618"/>
      <c r="K460" s="618"/>
      <c r="L460" s="618"/>
      <c r="M460" s="618"/>
      <c r="N460" s="618"/>
      <c r="O460" s="618"/>
      <c r="P460" s="618"/>
      <c r="Q460" s="618"/>
      <c r="R460" s="618"/>
      <c r="S460" s="618"/>
      <c r="T460" s="618"/>
      <c r="U460" s="618"/>
      <c r="V460" s="618"/>
      <c r="W460" s="618"/>
      <c r="X460" s="618"/>
      <c r="Y460" s="618"/>
      <c r="Z460" s="618"/>
      <c r="AA460" s="618"/>
      <c r="AB460" s="618"/>
    </row>
    <row r="461" spans="1:28">
      <c r="A461" s="618"/>
      <c r="B461" s="618"/>
      <c r="C461" s="618"/>
      <c r="D461" s="644"/>
      <c r="E461" s="618"/>
      <c r="F461" s="618"/>
      <c r="G461" s="618"/>
      <c r="H461" s="618"/>
      <c r="I461" s="618"/>
      <c r="J461" s="618"/>
      <c r="K461" s="618"/>
      <c r="L461" s="618"/>
      <c r="M461" s="618"/>
      <c r="N461" s="618"/>
      <c r="O461" s="618"/>
      <c r="P461" s="618"/>
      <c r="Q461" s="618"/>
      <c r="R461" s="618"/>
      <c r="S461" s="618"/>
      <c r="T461" s="618"/>
      <c r="U461" s="618"/>
      <c r="V461" s="618"/>
      <c r="W461" s="618"/>
      <c r="X461" s="618"/>
      <c r="Y461" s="618"/>
      <c r="Z461" s="618"/>
      <c r="AA461" s="618"/>
      <c r="AB461" s="618"/>
    </row>
    <row r="462" spans="1:28">
      <c r="A462" s="618"/>
      <c r="B462" s="618"/>
      <c r="C462" s="618"/>
      <c r="D462" s="644"/>
      <c r="E462" s="618"/>
      <c r="F462" s="618"/>
      <c r="G462" s="618"/>
      <c r="H462" s="618"/>
      <c r="I462" s="618"/>
      <c r="J462" s="618"/>
      <c r="K462" s="618"/>
      <c r="L462" s="618"/>
      <c r="M462" s="618"/>
      <c r="N462" s="618"/>
      <c r="O462" s="618"/>
      <c r="P462" s="618"/>
      <c r="Q462" s="618"/>
      <c r="R462" s="618"/>
      <c r="S462" s="618"/>
      <c r="T462" s="618"/>
      <c r="U462" s="618"/>
      <c r="V462" s="618"/>
      <c r="W462" s="618"/>
      <c r="X462" s="618"/>
      <c r="Y462" s="618"/>
      <c r="Z462" s="618"/>
      <c r="AA462" s="618"/>
      <c r="AB462" s="618"/>
    </row>
    <row r="463" spans="1:28">
      <c r="A463" s="618"/>
      <c r="B463" s="618"/>
      <c r="C463" s="618"/>
      <c r="D463" s="644"/>
      <c r="E463" s="618"/>
      <c r="F463" s="618"/>
      <c r="G463" s="618"/>
      <c r="H463" s="618"/>
      <c r="I463" s="618"/>
      <c r="J463" s="618"/>
      <c r="K463" s="618"/>
      <c r="L463" s="618"/>
      <c r="M463" s="618"/>
      <c r="N463" s="618"/>
      <c r="O463" s="618"/>
      <c r="P463" s="618"/>
      <c r="Q463" s="618"/>
      <c r="R463" s="618"/>
      <c r="S463" s="618"/>
      <c r="T463" s="618"/>
      <c r="U463" s="618"/>
      <c r="V463" s="618"/>
      <c r="W463" s="618"/>
      <c r="X463" s="618"/>
      <c r="Y463" s="618"/>
      <c r="Z463" s="618"/>
      <c r="AA463" s="618"/>
      <c r="AB463" s="618"/>
    </row>
    <row r="464" spans="1:28">
      <c r="A464" s="618"/>
      <c r="B464" s="618"/>
      <c r="C464" s="618"/>
      <c r="D464" s="644"/>
      <c r="E464" s="618"/>
      <c r="F464" s="618"/>
      <c r="G464" s="618"/>
      <c r="H464" s="618"/>
      <c r="I464" s="618"/>
      <c r="J464" s="618"/>
      <c r="K464" s="618"/>
      <c r="L464" s="618"/>
      <c r="M464" s="618"/>
      <c r="N464" s="618"/>
      <c r="O464" s="618"/>
      <c r="P464" s="618"/>
      <c r="Q464" s="618"/>
      <c r="R464" s="618"/>
      <c r="S464" s="618"/>
      <c r="T464" s="618"/>
      <c r="U464" s="618"/>
      <c r="V464" s="618"/>
      <c r="W464" s="618"/>
      <c r="X464" s="618"/>
      <c r="Y464" s="618"/>
      <c r="Z464" s="618"/>
      <c r="AA464" s="618"/>
      <c r="AB464" s="618"/>
    </row>
    <row r="465" spans="1:28">
      <c r="A465" s="618"/>
      <c r="B465" s="618"/>
      <c r="C465" s="618"/>
      <c r="D465" s="644"/>
      <c r="E465" s="618"/>
      <c r="F465" s="618"/>
      <c r="G465" s="618"/>
      <c r="H465" s="618"/>
      <c r="I465" s="618"/>
      <c r="J465" s="618"/>
      <c r="K465" s="618"/>
      <c r="L465" s="618"/>
      <c r="M465" s="618"/>
      <c r="N465" s="618"/>
      <c r="O465" s="618"/>
      <c r="P465" s="618"/>
      <c r="Q465" s="618"/>
      <c r="R465" s="618"/>
      <c r="S465" s="618"/>
      <c r="T465" s="618"/>
      <c r="U465" s="618"/>
      <c r="V465" s="618"/>
      <c r="W465" s="618"/>
      <c r="X465" s="618"/>
      <c r="Y465" s="618"/>
      <c r="Z465" s="618"/>
      <c r="AA465" s="618"/>
      <c r="AB465" s="618"/>
    </row>
    <row r="466" spans="1:28">
      <c r="A466" s="618"/>
      <c r="B466" s="618"/>
      <c r="C466" s="618"/>
      <c r="D466" s="644"/>
      <c r="E466" s="618"/>
      <c r="F466" s="618"/>
      <c r="G466" s="618"/>
      <c r="H466" s="618"/>
      <c r="I466" s="618"/>
      <c r="J466" s="618"/>
      <c r="K466" s="618"/>
      <c r="L466" s="618"/>
      <c r="M466" s="618"/>
      <c r="N466" s="618"/>
      <c r="O466" s="618"/>
      <c r="P466" s="618"/>
      <c r="Q466" s="618"/>
      <c r="R466" s="618"/>
      <c r="S466" s="618"/>
      <c r="T466" s="618"/>
      <c r="U466" s="618"/>
      <c r="V466" s="618"/>
      <c r="W466" s="618"/>
      <c r="X466" s="618"/>
      <c r="Y466" s="618"/>
      <c r="Z466" s="618"/>
      <c r="AA466" s="618"/>
      <c r="AB466" s="618"/>
    </row>
    <row r="467" spans="1:28">
      <c r="A467" s="618"/>
      <c r="B467" s="618"/>
      <c r="C467" s="618"/>
      <c r="D467" s="644"/>
      <c r="E467" s="618"/>
      <c r="F467" s="618"/>
      <c r="G467" s="618"/>
      <c r="H467" s="618"/>
      <c r="I467" s="618"/>
      <c r="J467" s="618"/>
      <c r="K467" s="618"/>
      <c r="L467" s="618"/>
      <c r="M467" s="618"/>
      <c r="N467" s="618"/>
      <c r="O467" s="618"/>
      <c r="P467" s="618"/>
      <c r="Q467" s="618"/>
      <c r="R467" s="618"/>
      <c r="S467" s="618"/>
      <c r="T467" s="618"/>
      <c r="U467" s="618"/>
      <c r="V467" s="618"/>
      <c r="W467" s="618"/>
      <c r="X467" s="618"/>
      <c r="Y467" s="618"/>
      <c r="Z467" s="618"/>
      <c r="AA467" s="618"/>
      <c r="AB467" s="618"/>
    </row>
    <row r="468" spans="1:28">
      <c r="A468" s="618"/>
      <c r="B468" s="618"/>
      <c r="C468" s="618"/>
      <c r="D468" s="644"/>
      <c r="E468" s="618"/>
      <c r="F468" s="618"/>
      <c r="G468" s="618"/>
      <c r="H468" s="618"/>
      <c r="I468" s="618"/>
      <c r="J468" s="618"/>
      <c r="K468" s="618"/>
      <c r="L468" s="618"/>
      <c r="M468" s="618"/>
      <c r="N468" s="618"/>
      <c r="O468" s="618"/>
      <c r="P468" s="618"/>
      <c r="Q468" s="618"/>
      <c r="R468" s="618"/>
      <c r="S468" s="618"/>
      <c r="T468" s="618"/>
      <c r="U468" s="618"/>
      <c r="V468" s="618"/>
      <c r="W468" s="618"/>
      <c r="X468" s="618"/>
      <c r="Y468" s="618"/>
      <c r="Z468" s="618"/>
      <c r="AA468" s="618"/>
      <c r="AB468" s="618"/>
    </row>
    <row r="469" spans="1:28">
      <c r="A469" s="618"/>
      <c r="B469" s="618"/>
      <c r="C469" s="618"/>
      <c r="D469" s="644"/>
      <c r="E469" s="618"/>
      <c r="F469" s="618"/>
      <c r="G469" s="618"/>
      <c r="H469" s="618"/>
      <c r="I469" s="618"/>
      <c r="J469" s="618"/>
      <c r="K469" s="618"/>
      <c r="L469" s="618"/>
      <c r="M469" s="618"/>
      <c r="N469" s="618"/>
      <c r="O469" s="618"/>
      <c r="P469" s="618"/>
      <c r="Q469" s="618"/>
      <c r="R469" s="618"/>
      <c r="S469" s="618"/>
      <c r="T469" s="618"/>
      <c r="U469" s="618"/>
      <c r="V469" s="618"/>
      <c r="W469" s="618"/>
      <c r="X469" s="618"/>
      <c r="Y469" s="618"/>
      <c r="Z469" s="618"/>
      <c r="AA469" s="618"/>
      <c r="AB469" s="618"/>
    </row>
    <row r="470" spans="1:28">
      <c r="A470" s="618"/>
      <c r="B470" s="618"/>
      <c r="C470" s="618"/>
      <c r="D470" s="644"/>
      <c r="E470" s="618"/>
      <c r="F470" s="618"/>
      <c r="G470" s="618"/>
      <c r="H470" s="618"/>
      <c r="I470" s="618"/>
      <c r="J470" s="618"/>
      <c r="K470" s="618"/>
      <c r="L470" s="618"/>
      <c r="M470" s="618"/>
      <c r="N470" s="618"/>
      <c r="O470" s="618"/>
      <c r="P470" s="618"/>
      <c r="Q470" s="618"/>
      <c r="R470" s="618"/>
      <c r="S470" s="618"/>
      <c r="T470" s="618"/>
      <c r="U470" s="618"/>
      <c r="V470" s="618"/>
      <c r="W470" s="618"/>
      <c r="X470" s="618"/>
      <c r="Y470" s="618"/>
      <c r="Z470" s="618"/>
      <c r="AA470" s="618"/>
      <c r="AB470" s="618"/>
    </row>
    <row r="471" spans="1:28">
      <c r="A471" s="618"/>
      <c r="B471" s="618"/>
      <c r="C471" s="618"/>
      <c r="D471" s="644"/>
      <c r="E471" s="618"/>
      <c r="F471" s="618"/>
      <c r="G471" s="618"/>
      <c r="H471" s="618"/>
      <c r="I471" s="618"/>
      <c r="J471" s="618"/>
      <c r="K471" s="618"/>
      <c r="L471" s="618"/>
      <c r="M471" s="618"/>
      <c r="N471" s="618"/>
      <c r="O471" s="618"/>
      <c r="P471" s="618"/>
      <c r="Q471" s="618"/>
      <c r="R471" s="618"/>
      <c r="S471" s="618"/>
      <c r="T471" s="618"/>
      <c r="U471" s="618"/>
      <c r="V471" s="618"/>
      <c r="W471" s="618"/>
      <c r="X471" s="618"/>
      <c r="Y471" s="618"/>
      <c r="Z471" s="618"/>
      <c r="AA471" s="618"/>
      <c r="AB471" s="618"/>
    </row>
    <row r="472" spans="1:28">
      <c r="A472" s="618"/>
      <c r="B472" s="618"/>
      <c r="C472" s="618"/>
      <c r="D472" s="644"/>
      <c r="E472" s="618"/>
      <c r="F472" s="618"/>
      <c r="G472" s="618"/>
      <c r="H472" s="618"/>
      <c r="I472" s="618"/>
      <c r="J472" s="618"/>
      <c r="K472" s="618"/>
      <c r="L472" s="618"/>
      <c r="M472" s="618"/>
      <c r="N472" s="618"/>
      <c r="O472" s="618"/>
      <c r="P472" s="618"/>
      <c r="Q472" s="618"/>
      <c r="R472" s="618"/>
      <c r="S472" s="618"/>
      <c r="T472" s="618"/>
      <c r="U472" s="618"/>
      <c r="V472" s="618"/>
      <c r="W472" s="618"/>
      <c r="X472" s="618"/>
      <c r="Y472" s="618"/>
      <c r="Z472" s="618"/>
      <c r="AA472" s="618"/>
      <c r="AB472" s="618"/>
    </row>
    <row r="473" spans="1:28">
      <c r="A473" s="618"/>
      <c r="B473" s="618"/>
      <c r="C473" s="618"/>
      <c r="D473" s="644"/>
      <c r="E473" s="618"/>
      <c r="F473" s="618"/>
      <c r="G473" s="618"/>
      <c r="H473" s="618"/>
      <c r="I473" s="618"/>
      <c r="J473" s="618"/>
      <c r="K473" s="618"/>
      <c r="L473" s="618"/>
      <c r="M473" s="618"/>
      <c r="N473" s="618"/>
      <c r="O473" s="618"/>
      <c r="P473" s="618"/>
      <c r="Q473" s="618"/>
      <c r="R473" s="618"/>
      <c r="S473" s="618"/>
      <c r="T473" s="618"/>
      <c r="U473" s="618"/>
      <c r="V473" s="618"/>
      <c r="W473" s="618"/>
      <c r="X473" s="618"/>
      <c r="Y473" s="618"/>
      <c r="Z473" s="618"/>
      <c r="AA473" s="618"/>
      <c r="AB473" s="618"/>
    </row>
    <row r="474" spans="1:28">
      <c r="A474" s="618"/>
      <c r="B474" s="618"/>
      <c r="C474" s="618"/>
      <c r="D474" s="644"/>
      <c r="E474" s="618"/>
      <c r="F474" s="618"/>
      <c r="G474" s="618"/>
      <c r="H474" s="618"/>
      <c r="I474" s="618"/>
      <c r="J474" s="618"/>
      <c r="K474" s="618"/>
      <c r="L474" s="618"/>
      <c r="M474" s="618"/>
      <c r="N474" s="618"/>
      <c r="O474" s="618"/>
      <c r="P474" s="618"/>
      <c r="Q474" s="618"/>
      <c r="R474" s="618"/>
      <c r="S474" s="618"/>
      <c r="T474" s="618"/>
      <c r="U474" s="618"/>
      <c r="V474" s="618"/>
      <c r="W474" s="618"/>
      <c r="X474" s="618"/>
      <c r="Y474" s="618"/>
      <c r="Z474" s="618"/>
      <c r="AA474" s="618"/>
      <c r="AB474" s="618"/>
    </row>
    <row r="475" spans="1:28">
      <c r="A475" s="618"/>
      <c r="B475" s="618"/>
      <c r="C475" s="618"/>
      <c r="D475" s="644"/>
      <c r="E475" s="618"/>
      <c r="F475" s="618"/>
      <c r="G475" s="618"/>
      <c r="H475" s="618"/>
      <c r="I475" s="618"/>
      <c r="J475" s="618"/>
      <c r="K475" s="618"/>
      <c r="L475" s="618"/>
      <c r="M475" s="618"/>
      <c r="N475" s="618"/>
      <c r="O475" s="618"/>
      <c r="P475" s="618"/>
      <c r="Q475" s="618"/>
      <c r="R475" s="618"/>
      <c r="S475" s="618"/>
      <c r="T475" s="618"/>
      <c r="U475" s="618"/>
      <c r="V475" s="618"/>
      <c r="W475" s="618"/>
      <c r="X475" s="618"/>
      <c r="Y475" s="618"/>
      <c r="Z475" s="618"/>
      <c r="AA475" s="618"/>
      <c r="AB475" s="618"/>
    </row>
    <row r="476" spans="1:28">
      <c r="A476" s="618"/>
      <c r="B476" s="618"/>
      <c r="C476" s="618"/>
      <c r="D476" s="644"/>
      <c r="E476" s="618"/>
      <c r="F476" s="618"/>
      <c r="G476" s="618"/>
      <c r="H476" s="618"/>
      <c r="I476" s="618"/>
      <c r="J476" s="618"/>
      <c r="K476" s="618"/>
      <c r="L476" s="618"/>
      <c r="M476" s="618"/>
      <c r="N476" s="618"/>
      <c r="O476" s="618"/>
      <c r="P476" s="618"/>
      <c r="Q476" s="618"/>
      <c r="R476" s="618"/>
      <c r="S476" s="618"/>
      <c r="T476" s="618"/>
      <c r="U476" s="618"/>
      <c r="V476" s="618"/>
      <c r="W476" s="618"/>
      <c r="X476" s="618"/>
      <c r="Y476" s="618"/>
      <c r="Z476" s="618"/>
      <c r="AA476" s="618"/>
      <c r="AB476" s="618"/>
    </row>
    <row r="477" spans="1:28">
      <c r="A477" s="618"/>
      <c r="B477" s="618"/>
      <c r="C477" s="618"/>
      <c r="D477" s="644"/>
      <c r="E477" s="618"/>
      <c r="F477" s="618"/>
      <c r="G477" s="618"/>
      <c r="H477" s="618"/>
      <c r="I477" s="618"/>
      <c r="J477" s="618"/>
      <c r="K477" s="618"/>
      <c r="L477" s="618"/>
      <c r="M477" s="618"/>
      <c r="N477" s="618"/>
      <c r="O477" s="618"/>
      <c r="P477" s="618"/>
      <c r="Q477" s="618"/>
      <c r="R477" s="618"/>
      <c r="S477" s="618"/>
      <c r="T477" s="618"/>
      <c r="U477" s="618"/>
      <c r="V477" s="618"/>
      <c r="W477" s="618"/>
      <c r="X477" s="618"/>
      <c r="Y477" s="618"/>
      <c r="Z477" s="618"/>
      <c r="AA477" s="618"/>
      <c r="AB477" s="618"/>
    </row>
    <row r="478" spans="1:28">
      <c r="A478" s="618"/>
      <c r="B478" s="618"/>
      <c r="C478" s="618"/>
      <c r="D478" s="644"/>
      <c r="E478" s="618"/>
      <c r="F478" s="618"/>
      <c r="G478" s="618"/>
      <c r="H478" s="618"/>
      <c r="I478" s="618"/>
      <c r="J478" s="618"/>
      <c r="K478" s="618"/>
      <c r="L478" s="618"/>
      <c r="M478" s="618"/>
      <c r="N478" s="618"/>
      <c r="O478" s="618"/>
      <c r="P478" s="618"/>
      <c r="Q478" s="618"/>
      <c r="R478" s="618"/>
      <c r="S478" s="618"/>
      <c r="T478" s="618"/>
      <c r="U478" s="618"/>
      <c r="V478" s="618"/>
      <c r="W478" s="618"/>
      <c r="X478" s="618"/>
      <c r="Y478" s="618"/>
      <c r="Z478" s="618"/>
      <c r="AA478" s="618"/>
      <c r="AB478" s="618"/>
    </row>
    <row r="479" spans="1:28">
      <c r="A479" s="618"/>
      <c r="B479" s="618"/>
      <c r="C479" s="618"/>
      <c r="D479" s="644"/>
      <c r="E479" s="618"/>
      <c r="F479" s="618"/>
      <c r="G479" s="618"/>
      <c r="H479" s="618"/>
      <c r="I479" s="618"/>
      <c r="J479" s="618"/>
      <c r="K479" s="618"/>
      <c r="L479" s="618"/>
      <c r="M479" s="618"/>
      <c r="N479" s="618"/>
      <c r="O479" s="618"/>
      <c r="P479" s="618"/>
      <c r="Q479" s="618"/>
      <c r="R479" s="618"/>
      <c r="S479" s="618"/>
      <c r="T479" s="618"/>
      <c r="U479" s="618"/>
      <c r="V479" s="618"/>
      <c r="W479" s="618"/>
      <c r="X479" s="618"/>
      <c r="Y479" s="618"/>
      <c r="Z479" s="618"/>
      <c r="AA479" s="618"/>
      <c r="AB479" s="618"/>
    </row>
    <row r="480" spans="1:28">
      <c r="A480" s="618"/>
      <c r="B480" s="618"/>
      <c r="C480" s="618"/>
      <c r="D480" s="644"/>
      <c r="E480" s="618"/>
      <c r="F480" s="618"/>
      <c r="G480" s="618"/>
      <c r="H480" s="618"/>
      <c r="I480" s="618"/>
      <c r="J480" s="618"/>
      <c r="K480" s="618"/>
      <c r="L480" s="618"/>
      <c r="M480" s="618"/>
      <c r="N480" s="618"/>
      <c r="O480" s="618"/>
      <c r="P480" s="618"/>
      <c r="Q480" s="618"/>
      <c r="R480" s="618"/>
      <c r="S480" s="618"/>
      <c r="T480" s="618"/>
      <c r="U480" s="618"/>
      <c r="V480" s="618"/>
      <c r="W480" s="618"/>
      <c r="X480" s="618"/>
      <c r="Y480" s="618"/>
      <c r="Z480" s="618"/>
      <c r="AA480" s="618"/>
      <c r="AB480" s="618"/>
    </row>
    <row r="481" spans="1:28">
      <c r="A481" s="618"/>
      <c r="B481" s="618"/>
      <c r="C481" s="618"/>
      <c r="D481" s="644"/>
      <c r="E481" s="618"/>
      <c r="F481" s="618"/>
      <c r="G481" s="618"/>
      <c r="H481" s="618"/>
      <c r="I481" s="618"/>
      <c r="J481" s="618"/>
      <c r="K481" s="618"/>
      <c r="L481" s="618"/>
      <c r="M481" s="618"/>
      <c r="N481" s="618"/>
      <c r="O481" s="618"/>
      <c r="P481" s="618"/>
      <c r="Q481" s="618"/>
      <c r="R481" s="618"/>
      <c r="S481" s="618"/>
      <c r="T481" s="618"/>
      <c r="U481" s="618"/>
      <c r="V481" s="618"/>
      <c r="W481" s="618"/>
      <c r="X481" s="618"/>
      <c r="Y481" s="618"/>
      <c r="Z481" s="618"/>
      <c r="AA481" s="618"/>
      <c r="AB481" s="618"/>
    </row>
    <row r="482" spans="1:28">
      <c r="A482" s="618"/>
      <c r="B482" s="618"/>
      <c r="C482" s="618"/>
      <c r="D482" s="644"/>
      <c r="E482" s="618"/>
      <c r="F482" s="618"/>
      <c r="G482" s="618"/>
      <c r="H482" s="618"/>
      <c r="I482" s="618"/>
      <c r="J482" s="618"/>
      <c r="K482" s="618"/>
      <c r="L482" s="618"/>
      <c r="M482" s="618"/>
      <c r="N482" s="618"/>
      <c r="O482" s="618"/>
      <c r="P482" s="618"/>
      <c r="Q482" s="618"/>
      <c r="R482" s="618"/>
      <c r="S482" s="618"/>
      <c r="T482" s="618"/>
      <c r="U482" s="618"/>
      <c r="V482" s="618"/>
      <c r="W482" s="618"/>
      <c r="X482" s="618"/>
      <c r="Y482" s="618"/>
      <c r="Z482" s="618"/>
      <c r="AA482" s="618"/>
      <c r="AB482" s="618"/>
    </row>
    <row r="483" spans="1:28">
      <c r="A483" s="618"/>
      <c r="B483" s="618"/>
      <c r="C483" s="618"/>
      <c r="D483" s="644"/>
      <c r="E483" s="618"/>
      <c r="F483" s="618"/>
      <c r="G483" s="618"/>
      <c r="H483" s="618"/>
      <c r="I483" s="618"/>
      <c r="J483" s="618"/>
      <c r="K483" s="618"/>
      <c r="L483" s="618"/>
      <c r="M483" s="618"/>
      <c r="N483" s="618"/>
      <c r="O483" s="618"/>
      <c r="P483" s="618"/>
      <c r="Q483" s="618"/>
      <c r="R483" s="618"/>
      <c r="S483" s="618"/>
      <c r="T483" s="618"/>
      <c r="U483" s="618"/>
      <c r="V483" s="618"/>
      <c r="W483" s="618"/>
      <c r="X483" s="618"/>
      <c r="Y483" s="618"/>
      <c r="Z483" s="618"/>
      <c r="AA483" s="618"/>
      <c r="AB483" s="618"/>
    </row>
    <row r="484" spans="1:28">
      <c r="A484" s="618"/>
      <c r="B484" s="618"/>
      <c r="C484" s="618"/>
      <c r="D484" s="644"/>
      <c r="E484" s="618"/>
      <c r="F484" s="618"/>
      <c r="G484" s="618"/>
      <c r="H484" s="618"/>
      <c r="I484" s="618"/>
      <c r="J484" s="618"/>
      <c r="K484" s="618"/>
      <c r="L484" s="618"/>
      <c r="M484" s="618"/>
      <c r="N484" s="618"/>
      <c r="O484" s="618"/>
      <c r="P484" s="618"/>
      <c r="Q484" s="618"/>
      <c r="R484" s="618"/>
      <c r="S484" s="618"/>
      <c r="T484" s="618"/>
      <c r="U484" s="618"/>
      <c r="V484" s="618"/>
      <c r="W484" s="618"/>
      <c r="X484" s="618"/>
      <c r="Y484" s="618"/>
      <c r="Z484" s="618"/>
      <c r="AA484" s="618"/>
      <c r="AB484" s="618"/>
    </row>
    <row r="485" spans="1:28">
      <c r="A485" s="618"/>
      <c r="B485" s="618"/>
      <c r="C485" s="618"/>
      <c r="D485" s="644"/>
      <c r="E485" s="618"/>
      <c r="F485" s="618"/>
      <c r="G485" s="618"/>
      <c r="H485" s="618"/>
      <c r="I485" s="618"/>
      <c r="J485" s="618"/>
      <c r="K485" s="618"/>
      <c r="L485" s="618"/>
      <c r="M485" s="618"/>
      <c r="N485" s="618"/>
      <c r="O485" s="618"/>
      <c r="P485" s="618"/>
      <c r="Q485" s="618"/>
      <c r="R485" s="618"/>
      <c r="S485" s="618"/>
      <c r="T485" s="618"/>
      <c r="U485" s="618"/>
      <c r="V485" s="618"/>
      <c r="W485" s="618"/>
      <c r="X485" s="618"/>
      <c r="Y485" s="618"/>
      <c r="Z485" s="618"/>
      <c r="AA485" s="618"/>
      <c r="AB485" s="618"/>
    </row>
    <row r="486" spans="1:28">
      <c r="A486" s="618"/>
      <c r="B486" s="618"/>
      <c r="C486" s="618"/>
      <c r="D486" s="644"/>
      <c r="E486" s="618"/>
      <c r="F486" s="618"/>
      <c r="G486" s="618"/>
      <c r="H486" s="618"/>
      <c r="I486" s="618"/>
      <c r="J486" s="618"/>
      <c r="K486" s="618"/>
      <c r="L486" s="618"/>
      <c r="M486" s="618"/>
      <c r="N486" s="618"/>
      <c r="O486" s="618"/>
      <c r="P486" s="618"/>
      <c r="Q486" s="618"/>
      <c r="R486" s="618"/>
      <c r="S486" s="618"/>
      <c r="T486" s="618"/>
      <c r="U486" s="618"/>
      <c r="V486" s="618"/>
      <c r="W486" s="618"/>
      <c r="X486" s="618"/>
      <c r="Y486" s="618"/>
      <c r="Z486" s="618"/>
      <c r="AA486" s="618"/>
      <c r="AB486" s="618"/>
    </row>
    <row r="487" spans="1:28">
      <c r="A487" s="618"/>
      <c r="B487" s="618"/>
      <c r="C487" s="618"/>
      <c r="D487" s="644"/>
      <c r="E487" s="618"/>
      <c r="F487" s="618"/>
      <c r="G487" s="618"/>
      <c r="H487" s="618"/>
      <c r="I487" s="618"/>
      <c r="J487" s="618"/>
      <c r="K487" s="618"/>
      <c r="L487" s="618"/>
      <c r="M487" s="618"/>
      <c r="N487" s="618"/>
      <c r="O487" s="618"/>
      <c r="P487" s="618"/>
      <c r="Q487" s="618"/>
      <c r="R487" s="618"/>
      <c r="S487" s="618"/>
      <c r="T487" s="618"/>
      <c r="U487" s="618"/>
      <c r="V487" s="618"/>
      <c r="W487" s="618"/>
      <c r="X487" s="618"/>
      <c r="Y487" s="618"/>
      <c r="Z487" s="618"/>
      <c r="AA487" s="618"/>
      <c r="AB487" s="618"/>
    </row>
    <row r="488" spans="1:28">
      <c r="A488" s="618"/>
      <c r="B488" s="618"/>
      <c r="C488" s="618"/>
      <c r="D488" s="644"/>
      <c r="E488" s="618"/>
      <c r="F488" s="618"/>
      <c r="G488" s="618"/>
      <c r="H488" s="618"/>
      <c r="I488" s="618"/>
      <c r="J488" s="618"/>
      <c r="K488" s="618"/>
      <c r="L488" s="618"/>
      <c r="M488" s="618"/>
      <c r="N488" s="618"/>
      <c r="O488" s="618"/>
      <c r="P488" s="618"/>
      <c r="Q488" s="618"/>
      <c r="R488" s="618"/>
      <c r="S488" s="618"/>
      <c r="T488" s="618"/>
      <c r="U488" s="618"/>
      <c r="V488" s="618"/>
      <c r="W488" s="618"/>
      <c r="X488" s="618"/>
      <c r="Y488" s="618"/>
      <c r="Z488" s="618"/>
      <c r="AA488" s="618"/>
      <c r="AB488" s="618"/>
    </row>
    <row r="489" spans="1:28">
      <c r="A489" s="618"/>
      <c r="B489" s="618"/>
      <c r="C489" s="618"/>
      <c r="D489" s="644"/>
      <c r="E489" s="618"/>
      <c r="F489" s="618"/>
      <c r="G489" s="618"/>
      <c r="H489" s="618"/>
      <c r="I489" s="618"/>
      <c r="J489" s="618"/>
      <c r="K489" s="618"/>
      <c r="L489" s="618"/>
      <c r="M489" s="618"/>
      <c r="N489" s="618"/>
      <c r="O489" s="618"/>
      <c r="P489" s="618"/>
      <c r="Q489" s="618"/>
      <c r="R489" s="618"/>
      <c r="S489" s="618"/>
      <c r="T489" s="618"/>
      <c r="U489" s="618"/>
      <c r="V489" s="618"/>
      <c r="W489" s="618"/>
      <c r="X489" s="618"/>
      <c r="Y489" s="618"/>
      <c r="Z489" s="618"/>
      <c r="AA489" s="618"/>
      <c r="AB489" s="618"/>
    </row>
    <row r="490" spans="1:28">
      <c r="A490" s="618"/>
      <c r="B490" s="618"/>
      <c r="C490" s="618"/>
      <c r="D490" s="644"/>
      <c r="E490" s="618"/>
      <c r="F490" s="618"/>
      <c r="G490" s="618"/>
      <c r="H490" s="618"/>
      <c r="I490" s="618"/>
      <c r="J490" s="618"/>
      <c r="K490" s="618"/>
      <c r="L490" s="618"/>
      <c r="M490" s="618"/>
      <c r="N490" s="618"/>
      <c r="O490" s="618"/>
      <c r="P490" s="618"/>
      <c r="Q490" s="618"/>
      <c r="R490" s="618"/>
      <c r="S490" s="618"/>
      <c r="T490" s="618"/>
      <c r="U490" s="618"/>
      <c r="V490" s="618"/>
      <c r="W490" s="618"/>
      <c r="X490" s="618"/>
      <c r="Y490" s="618"/>
      <c r="Z490" s="618"/>
      <c r="AA490" s="618"/>
      <c r="AB490" s="618"/>
    </row>
    <row r="491" spans="1:28">
      <c r="A491" s="618"/>
      <c r="B491" s="618"/>
      <c r="C491" s="618"/>
      <c r="D491" s="644"/>
      <c r="E491" s="618"/>
      <c r="F491" s="618"/>
      <c r="G491" s="618"/>
      <c r="H491" s="618"/>
      <c r="I491" s="618"/>
      <c r="J491" s="618"/>
      <c r="K491" s="618"/>
      <c r="L491" s="618"/>
      <c r="M491" s="618"/>
      <c r="N491" s="618"/>
      <c r="O491" s="618"/>
      <c r="P491" s="618"/>
      <c r="Q491" s="618"/>
      <c r="R491" s="618"/>
      <c r="S491" s="618"/>
      <c r="T491" s="618"/>
      <c r="U491" s="618"/>
      <c r="V491" s="618"/>
      <c r="W491" s="618"/>
      <c r="X491" s="618"/>
      <c r="Y491" s="618"/>
      <c r="Z491" s="618"/>
      <c r="AA491" s="618"/>
      <c r="AB491" s="618"/>
    </row>
    <row r="492" spans="1:28">
      <c r="A492" s="618"/>
      <c r="B492" s="618"/>
      <c r="C492" s="618"/>
      <c r="D492" s="644"/>
      <c r="E492" s="618"/>
      <c r="F492" s="618"/>
      <c r="G492" s="618"/>
      <c r="H492" s="618"/>
      <c r="I492" s="618"/>
      <c r="J492" s="618"/>
      <c r="K492" s="618"/>
      <c r="L492" s="618"/>
      <c r="M492" s="618"/>
      <c r="N492" s="618"/>
      <c r="O492" s="618"/>
      <c r="P492" s="618"/>
      <c r="Q492" s="618"/>
      <c r="R492" s="618"/>
      <c r="S492" s="618"/>
      <c r="T492" s="618"/>
      <c r="U492" s="618"/>
      <c r="V492" s="618"/>
      <c r="W492" s="618"/>
      <c r="X492" s="618"/>
      <c r="Y492" s="618"/>
      <c r="Z492" s="618"/>
      <c r="AA492" s="618"/>
      <c r="AB492" s="618"/>
    </row>
    <row r="493" spans="1:28">
      <c r="A493" s="618"/>
      <c r="B493" s="618"/>
      <c r="C493" s="618"/>
      <c r="D493" s="644"/>
      <c r="E493" s="618"/>
      <c r="F493" s="618"/>
      <c r="G493" s="618"/>
      <c r="H493" s="618"/>
      <c r="I493" s="618"/>
      <c r="J493" s="618"/>
      <c r="K493" s="618"/>
      <c r="L493" s="618"/>
      <c r="M493" s="618"/>
      <c r="N493" s="618"/>
      <c r="O493" s="618"/>
      <c r="P493" s="618"/>
      <c r="Q493" s="618"/>
      <c r="R493" s="618"/>
      <c r="S493" s="618"/>
      <c r="T493" s="618"/>
      <c r="U493" s="618"/>
      <c r="V493" s="618"/>
      <c r="W493" s="618"/>
      <c r="X493" s="618"/>
      <c r="Y493" s="618"/>
      <c r="Z493" s="618"/>
      <c r="AA493" s="618"/>
      <c r="AB493" s="618"/>
    </row>
    <row r="494" spans="1:28">
      <c r="A494" s="618"/>
      <c r="B494" s="618"/>
      <c r="C494" s="618"/>
      <c r="D494" s="644"/>
      <c r="E494" s="618"/>
      <c r="F494" s="618"/>
      <c r="G494" s="618"/>
      <c r="H494" s="618"/>
      <c r="I494" s="618"/>
      <c r="J494" s="618"/>
      <c r="K494" s="618"/>
      <c r="L494" s="618"/>
      <c r="M494" s="618"/>
      <c r="N494" s="618"/>
      <c r="O494" s="618"/>
      <c r="P494" s="618"/>
      <c r="Q494" s="618"/>
      <c r="R494" s="618"/>
      <c r="S494" s="618"/>
      <c r="T494" s="618"/>
      <c r="U494" s="618"/>
      <c r="V494" s="618"/>
      <c r="W494" s="618"/>
      <c r="X494" s="618"/>
      <c r="Y494" s="618"/>
      <c r="Z494" s="618"/>
      <c r="AA494" s="618"/>
      <c r="AB494" s="618"/>
    </row>
    <row r="495" spans="1:28">
      <c r="A495" s="618"/>
      <c r="B495" s="618"/>
      <c r="C495" s="618"/>
      <c r="D495" s="644"/>
      <c r="E495" s="618"/>
      <c r="F495" s="618"/>
      <c r="G495" s="618"/>
      <c r="H495" s="618"/>
      <c r="I495" s="618"/>
      <c r="J495" s="618"/>
      <c r="K495" s="618"/>
      <c r="L495" s="618"/>
      <c r="M495" s="618"/>
      <c r="N495" s="618"/>
      <c r="O495" s="618"/>
      <c r="P495" s="618"/>
      <c r="Q495" s="618"/>
      <c r="R495" s="618"/>
      <c r="S495" s="618"/>
      <c r="T495" s="618"/>
      <c r="U495" s="618"/>
      <c r="V495" s="618"/>
      <c r="W495" s="618"/>
      <c r="X495" s="618"/>
      <c r="Y495" s="618"/>
      <c r="Z495" s="618"/>
      <c r="AA495" s="618"/>
      <c r="AB495" s="618"/>
    </row>
    <row r="496" spans="1:28">
      <c r="A496" s="618"/>
      <c r="B496" s="618"/>
      <c r="C496" s="618"/>
      <c r="D496" s="644"/>
      <c r="E496" s="618"/>
      <c r="F496" s="618"/>
      <c r="G496" s="618"/>
      <c r="H496" s="618"/>
      <c r="I496" s="618"/>
      <c r="J496" s="618"/>
      <c r="K496" s="618"/>
      <c r="L496" s="618"/>
      <c r="M496" s="618"/>
      <c r="N496" s="618"/>
      <c r="O496" s="618"/>
      <c r="P496" s="618"/>
      <c r="Q496" s="618"/>
      <c r="R496" s="618"/>
      <c r="S496" s="618"/>
      <c r="T496" s="618"/>
      <c r="U496" s="618"/>
      <c r="V496" s="618"/>
      <c r="W496" s="618"/>
      <c r="X496" s="618"/>
      <c r="Y496" s="618"/>
      <c r="Z496" s="618"/>
      <c r="AA496" s="618"/>
      <c r="AB496" s="618"/>
    </row>
    <row r="497" spans="1:28">
      <c r="A497" s="618"/>
      <c r="B497" s="618"/>
      <c r="C497" s="618"/>
      <c r="D497" s="644"/>
      <c r="E497" s="618"/>
      <c r="F497" s="618"/>
      <c r="G497" s="618"/>
      <c r="H497" s="618"/>
      <c r="I497" s="618"/>
      <c r="J497" s="618"/>
      <c r="K497" s="618"/>
      <c r="L497" s="618"/>
      <c r="M497" s="618"/>
      <c r="N497" s="618"/>
      <c r="O497" s="618"/>
      <c r="P497" s="618"/>
      <c r="Q497" s="618"/>
      <c r="R497" s="618"/>
      <c r="S497" s="618"/>
      <c r="T497" s="618"/>
      <c r="U497" s="618"/>
      <c r="V497" s="618"/>
      <c r="W497" s="618"/>
      <c r="X497" s="618"/>
      <c r="Y497" s="618"/>
      <c r="Z497" s="618"/>
      <c r="AA497" s="618"/>
      <c r="AB497" s="618"/>
    </row>
    <row r="498" spans="1:28">
      <c r="A498" s="618"/>
      <c r="B498" s="618"/>
      <c r="C498" s="618"/>
      <c r="D498" s="644"/>
      <c r="E498" s="618"/>
      <c r="F498" s="618"/>
      <c r="G498" s="618"/>
      <c r="H498" s="618"/>
      <c r="I498" s="618"/>
      <c r="J498" s="618"/>
      <c r="K498" s="618"/>
      <c r="L498" s="618"/>
      <c r="M498" s="618"/>
      <c r="N498" s="618"/>
      <c r="O498" s="618"/>
      <c r="P498" s="618"/>
      <c r="Q498" s="618"/>
      <c r="R498" s="618"/>
      <c r="S498" s="618"/>
      <c r="T498" s="618"/>
      <c r="U498" s="618"/>
      <c r="V498" s="618"/>
      <c r="W498" s="618"/>
      <c r="X498" s="618"/>
      <c r="Y498" s="618"/>
      <c r="Z498" s="618"/>
      <c r="AA498" s="618"/>
      <c r="AB498" s="618"/>
    </row>
    <row r="499" spans="1:28">
      <c r="A499" s="618"/>
      <c r="B499" s="618"/>
      <c r="C499" s="618"/>
      <c r="D499" s="644"/>
      <c r="E499" s="618"/>
      <c r="F499" s="618"/>
      <c r="G499" s="618"/>
      <c r="H499" s="618"/>
      <c r="I499" s="618"/>
      <c r="J499" s="618"/>
      <c r="K499" s="618"/>
      <c r="L499" s="618"/>
      <c r="M499" s="618"/>
      <c r="N499" s="618"/>
      <c r="O499" s="618"/>
      <c r="P499" s="618"/>
      <c r="Q499" s="618"/>
      <c r="R499" s="618"/>
      <c r="S499" s="618"/>
      <c r="T499" s="618"/>
      <c r="U499" s="618"/>
      <c r="V499" s="618"/>
      <c r="W499" s="618"/>
      <c r="X499" s="618"/>
      <c r="Y499" s="618"/>
      <c r="Z499" s="618"/>
      <c r="AA499" s="618"/>
      <c r="AB499" s="618"/>
    </row>
    <row r="500" spans="1:28">
      <c r="A500" s="618"/>
      <c r="B500" s="618"/>
      <c r="C500" s="618"/>
      <c r="D500" s="644"/>
      <c r="E500" s="618"/>
      <c r="F500" s="618"/>
      <c r="G500" s="618"/>
      <c r="H500" s="618"/>
      <c r="I500" s="618"/>
      <c r="J500" s="618"/>
      <c r="K500" s="618"/>
      <c r="L500" s="618"/>
      <c r="M500" s="618"/>
      <c r="N500" s="618"/>
      <c r="O500" s="618"/>
      <c r="P500" s="618"/>
      <c r="Q500" s="618"/>
      <c r="R500" s="618"/>
      <c r="S500" s="618"/>
      <c r="T500" s="618"/>
      <c r="U500" s="618"/>
      <c r="V500" s="618"/>
      <c r="W500" s="618"/>
      <c r="X500" s="618"/>
      <c r="Y500" s="618"/>
      <c r="Z500" s="618"/>
      <c r="AA500" s="618"/>
      <c r="AB500" s="618"/>
    </row>
    <row r="501" spans="1:28">
      <c r="A501" s="618"/>
      <c r="B501" s="618"/>
      <c r="C501" s="618"/>
      <c r="D501" s="644"/>
      <c r="E501" s="618"/>
      <c r="F501" s="618"/>
      <c r="G501" s="618"/>
      <c r="H501" s="618"/>
      <c r="I501" s="618"/>
      <c r="J501" s="618"/>
      <c r="K501" s="618"/>
      <c r="L501" s="618"/>
      <c r="M501" s="618"/>
      <c r="N501" s="618"/>
      <c r="O501" s="618"/>
      <c r="P501" s="618"/>
      <c r="Q501" s="618"/>
      <c r="R501" s="618"/>
      <c r="S501" s="618"/>
      <c r="T501" s="618"/>
      <c r="U501" s="618"/>
      <c r="V501" s="618"/>
      <c r="W501" s="618"/>
      <c r="X501" s="618"/>
      <c r="Y501" s="618"/>
      <c r="Z501" s="618"/>
      <c r="AA501" s="618"/>
      <c r="AB501" s="618"/>
    </row>
    <row r="502" spans="1:28">
      <c r="A502" s="618"/>
      <c r="B502" s="618"/>
      <c r="C502" s="618"/>
      <c r="D502" s="644"/>
      <c r="E502" s="618"/>
      <c r="F502" s="618"/>
      <c r="G502" s="618"/>
      <c r="H502" s="618"/>
      <c r="I502" s="618"/>
      <c r="J502" s="618"/>
      <c r="K502" s="618"/>
      <c r="L502" s="618"/>
      <c r="M502" s="618"/>
      <c r="N502" s="618"/>
      <c r="O502" s="618"/>
      <c r="P502" s="618"/>
      <c r="Q502" s="618"/>
      <c r="R502" s="618"/>
      <c r="S502" s="618"/>
      <c r="T502" s="618"/>
      <c r="U502" s="618"/>
      <c r="V502" s="618"/>
      <c r="W502" s="618"/>
      <c r="X502" s="618"/>
      <c r="Y502" s="618"/>
      <c r="Z502" s="618"/>
      <c r="AA502" s="618"/>
      <c r="AB502" s="618"/>
    </row>
    <row r="503" spans="1:28">
      <c r="A503" s="618"/>
      <c r="B503" s="618"/>
      <c r="C503" s="618"/>
      <c r="D503" s="644"/>
      <c r="E503" s="618"/>
      <c r="F503" s="618"/>
      <c r="G503" s="618"/>
      <c r="H503" s="618"/>
      <c r="I503" s="618"/>
      <c r="J503" s="618"/>
      <c r="K503" s="618"/>
      <c r="L503" s="618"/>
      <c r="M503" s="618"/>
      <c r="N503" s="618"/>
      <c r="O503" s="618"/>
      <c r="P503" s="618"/>
      <c r="Q503" s="618"/>
      <c r="R503" s="618"/>
      <c r="S503" s="618"/>
      <c r="T503" s="618"/>
      <c r="U503" s="618"/>
      <c r="V503" s="618"/>
      <c r="W503" s="618"/>
      <c r="X503" s="618"/>
      <c r="Y503" s="618"/>
      <c r="Z503" s="618"/>
      <c r="AA503" s="618"/>
      <c r="AB503" s="618"/>
    </row>
    <row r="504" spans="1:28">
      <c r="A504" s="618"/>
      <c r="B504" s="618"/>
      <c r="C504" s="618"/>
      <c r="D504" s="644"/>
      <c r="E504" s="618"/>
      <c r="F504" s="618"/>
      <c r="G504" s="618"/>
      <c r="H504" s="618"/>
      <c r="I504" s="618"/>
      <c r="J504" s="618"/>
      <c r="K504" s="618"/>
      <c r="L504" s="618"/>
      <c r="M504" s="618"/>
      <c r="N504" s="618"/>
      <c r="O504" s="618"/>
      <c r="P504" s="618"/>
      <c r="Q504" s="618"/>
      <c r="R504" s="618"/>
      <c r="S504" s="618"/>
      <c r="T504" s="618"/>
      <c r="U504" s="618"/>
      <c r="V504" s="618"/>
      <c r="W504" s="618"/>
      <c r="X504" s="618"/>
      <c r="Y504" s="618"/>
      <c r="Z504" s="618"/>
      <c r="AA504" s="618"/>
      <c r="AB504" s="618"/>
    </row>
    <row r="505" spans="1:28">
      <c r="A505" s="618"/>
      <c r="B505" s="618"/>
      <c r="C505" s="618"/>
      <c r="D505" s="644"/>
      <c r="E505" s="618"/>
      <c r="F505" s="618"/>
      <c r="G505" s="618"/>
      <c r="H505" s="618"/>
      <c r="I505" s="618"/>
      <c r="J505" s="618"/>
      <c r="K505" s="618"/>
      <c r="L505" s="618"/>
      <c r="M505" s="618"/>
      <c r="N505" s="618"/>
      <c r="O505" s="618"/>
      <c r="P505" s="618"/>
      <c r="Q505" s="618"/>
      <c r="R505" s="618"/>
      <c r="S505" s="618"/>
      <c r="T505" s="618"/>
      <c r="U505" s="618"/>
      <c r="V505" s="618"/>
      <c r="W505" s="618"/>
      <c r="X505" s="618"/>
      <c r="Y505" s="618"/>
      <c r="Z505" s="618"/>
      <c r="AA505" s="618"/>
      <c r="AB505" s="618"/>
    </row>
    <row r="506" spans="1:28">
      <c r="A506" s="618"/>
      <c r="B506" s="618"/>
      <c r="C506" s="618"/>
      <c r="D506" s="644"/>
      <c r="E506" s="618"/>
      <c r="F506" s="618"/>
      <c r="G506" s="618"/>
      <c r="H506" s="618"/>
      <c r="I506" s="618"/>
      <c r="J506" s="618"/>
      <c r="K506" s="618"/>
      <c r="L506" s="618"/>
      <c r="M506" s="618"/>
      <c r="N506" s="618"/>
      <c r="O506" s="618"/>
      <c r="P506" s="618"/>
      <c r="Q506" s="618"/>
      <c r="R506" s="618"/>
      <c r="S506" s="618"/>
      <c r="T506" s="618"/>
      <c r="U506" s="618"/>
      <c r="V506" s="618"/>
      <c r="W506" s="618"/>
      <c r="X506" s="618"/>
      <c r="Y506" s="618"/>
      <c r="Z506" s="618"/>
      <c r="AA506" s="618"/>
      <c r="AB506" s="618"/>
    </row>
    <row r="507" spans="1:28">
      <c r="A507" s="618"/>
      <c r="B507" s="618"/>
      <c r="C507" s="618"/>
      <c r="D507" s="644"/>
      <c r="E507" s="618"/>
      <c r="F507" s="618"/>
      <c r="G507" s="618"/>
      <c r="H507" s="618"/>
      <c r="I507" s="618"/>
      <c r="J507" s="618"/>
      <c r="K507" s="618"/>
      <c r="L507" s="618"/>
      <c r="M507" s="618"/>
      <c r="N507" s="618"/>
      <c r="O507" s="618"/>
      <c r="P507" s="618"/>
      <c r="Q507" s="618"/>
      <c r="R507" s="618"/>
      <c r="S507" s="618"/>
      <c r="T507" s="618"/>
      <c r="U507" s="618"/>
      <c r="V507" s="618"/>
      <c r="W507" s="618"/>
      <c r="X507" s="618"/>
      <c r="Y507" s="618"/>
      <c r="Z507" s="618"/>
      <c r="AA507" s="618"/>
      <c r="AB507" s="618"/>
    </row>
    <row r="508" spans="1:28">
      <c r="A508" s="618"/>
      <c r="B508" s="618"/>
      <c r="C508" s="618"/>
      <c r="D508" s="644"/>
      <c r="E508" s="618"/>
      <c r="F508" s="618"/>
      <c r="G508" s="618"/>
      <c r="H508" s="618"/>
      <c r="I508" s="618"/>
      <c r="J508" s="618"/>
      <c r="K508" s="618"/>
      <c r="L508" s="618"/>
      <c r="M508" s="618"/>
      <c r="N508" s="618"/>
      <c r="O508" s="618"/>
      <c r="P508" s="618"/>
      <c r="Q508" s="618"/>
      <c r="R508" s="618"/>
      <c r="S508" s="618"/>
      <c r="T508" s="618"/>
      <c r="U508" s="618"/>
      <c r="V508" s="618"/>
      <c r="W508" s="618"/>
      <c r="X508" s="618"/>
      <c r="Y508" s="618"/>
      <c r="Z508" s="618"/>
      <c r="AA508" s="618"/>
      <c r="AB508" s="618"/>
    </row>
    <row r="509" spans="1:28">
      <c r="A509" s="618"/>
      <c r="B509" s="618"/>
      <c r="C509" s="618"/>
      <c r="D509" s="644"/>
      <c r="E509" s="618"/>
      <c r="F509" s="618"/>
      <c r="G509" s="618"/>
      <c r="H509" s="618"/>
      <c r="I509" s="618"/>
      <c r="J509" s="618"/>
      <c r="K509" s="618"/>
      <c r="L509" s="618"/>
      <c r="M509" s="618"/>
      <c r="N509" s="618"/>
      <c r="O509" s="618"/>
      <c r="P509" s="618"/>
      <c r="Q509" s="618"/>
      <c r="R509" s="618"/>
      <c r="S509" s="618"/>
      <c r="T509" s="618"/>
      <c r="U509" s="618"/>
      <c r="V509" s="618"/>
      <c r="W509" s="618"/>
      <c r="X509" s="618"/>
      <c r="Y509" s="618"/>
      <c r="Z509" s="618"/>
      <c r="AA509" s="618"/>
      <c r="AB509" s="618"/>
    </row>
    <row r="510" spans="1:28">
      <c r="A510" s="618"/>
      <c r="B510" s="618"/>
      <c r="C510" s="618"/>
      <c r="D510" s="644"/>
      <c r="E510" s="618"/>
      <c r="F510" s="618"/>
      <c r="G510" s="618"/>
      <c r="H510" s="618"/>
      <c r="I510" s="618"/>
      <c r="J510" s="618"/>
      <c r="K510" s="618"/>
      <c r="L510" s="618"/>
      <c r="M510" s="618"/>
      <c r="N510" s="618"/>
      <c r="O510" s="618"/>
      <c r="P510" s="618"/>
      <c r="Q510" s="618"/>
      <c r="R510" s="618"/>
      <c r="S510" s="618"/>
      <c r="T510" s="618"/>
      <c r="U510" s="618"/>
      <c r="V510" s="618"/>
      <c r="W510" s="618"/>
      <c r="X510" s="618"/>
      <c r="Y510" s="618"/>
      <c r="Z510" s="618"/>
      <c r="AA510" s="618"/>
      <c r="AB510" s="618"/>
    </row>
    <row r="511" spans="1:28">
      <c r="A511" s="618"/>
      <c r="B511" s="618"/>
      <c r="C511" s="618"/>
      <c r="D511" s="644"/>
      <c r="E511" s="618"/>
      <c r="F511" s="618"/>
      <c r="G511" s="618"/>
      <c r="H511" s="618"/>
      <c r="I511" s="618"/>
      <c r="J511" s="618"/>
      <c r="K511" s="618"/>
      <c r="L511" s="618"/>
      <c r="M511" s="618"/>
      <c r="N511" s="618"/>
      <c r="O511" s="618"/>
      <c r="P511" s="618"/>
      <c r="Q511" s="618"/>
      <c r="R511" s="618"/>
      <c r="S511" s="618"/>
      <c r="T511" s="618"/>
      <c r="U511" s="618"/>
      <c r="V511" s="618"/>
      <c r="W511" s="618"/>
      <c r="X511" s="618"/>
      <c r="Y511" s="618"/>
      <c r="Z511" s="618"/>
      <c r="AA511" s="618"/>
      <c r="AB511" s="618"/>
    </row>
    <row r="512" spans="1:28">
      <c r="A512" s="618"/>
      <c r="B512" s="618"/>
      <c r="C512" s="618"/>
      <c r="D512" s="644"/>
      <c r="E512" s="618"/>
      <c r="F512" s="618"/>
      <c r="G512" s="618"/>
      <c r="H512" s="618"/>
      <c r="I512" s="618"/>
      <c r="J512" s="618"/>
      <c r="K512" s="618"/>
      <c r="L512" s="618"/>
      <c r="M512" s="618"/>
      <c r="N512" s="618"/>
      <c r="O512" s="618"/>
      <c r="P512" s="618"/>
      <c r="Q512" s="618"/>
      <c r="R512" s="618"/>
      <c r="S512" s="618"/>
      <c r="T512" s="618"/>
      <c r="U512" s="618"/>
      <c r="V512" s="618"/>
      <c r="W512" s="618"/>
      <c r="X512" s="618"/>
      <c r="Y512" s="618"/>
      <c r="Z512" s="618"/>
      <c r="AA512" s="618"/>
      <c r="AB512" s="618"/>
    </row>
    <row r="513" spans="1:28">
      <c r="A513" s="618"/>
      <c r="B513" s="618"/>
      <c r="C513" s="618"/>
      <c r="D513" s="644"/>
      <c r="E513" s="618"/>
      <c r="F513" s="618"/>
      <c r="G513" s="618"/>
      <c r="H513" s="618"/>
      <c r="I513" s="618"/>
      <c r="J513" s="618"/>
      <c r="K513" s="618"/>
      <c r="L513" s="618"/>
      <c r="M513" s="618"/>
      <c r="N513" s="618"/>
      <c r="O513" s="618"/>
      <c r="P513" s="618"/>
      <c r="Q513" s="618"/>
      <c r="R513" s="618"/>
      <c r="S513" s="618"/>
      <c r="T513" s="618"/>
      <c r="U513" s="618"/>
      <c r="V513" s="618"/>
      <c r="W513" s="618"/>
      <c r="X513" s="618"/>
      <c r="Y513" s="618"/>
      <c r="Z513" s="618"/>
      <c r="AA513" s="618"/>
      <c r="AB513" s="618"/>
    </row>
    <row r="514" spans="1:28">
      <c r="A514" s="618"/>
      <c r="B514" s="618"/>
      <c r="C514" s="618"/>
      <c r="D514" s="644"/>
      <c r="E514" s="618"/>
      <c r="F514" s="618"/>
      <c r="G514" s="618"/>
      <c r="H514" s="618"/>
      <c r="I514" s="618"/>
      <c r="J514" s="618"/>
      <c r="K514" s="618"/>
      <c r="L514" s="618"/>
      <c r="M514" s="618"/>
      <c r="N514" s="618"/>
      <c r="O514" s="618"/>
      <c r="P514" s="618"/>
      <c r="Q514" s="618"/>
      <c r="R514" s="618"/>
      <c r="S514" s="618"/>
      <c r="T514" s="618"/>
      <c r="U514" s="618"/>
      <c r="V514" s="618"/>
      <c r="W514" s="618"/>
      <c r="X514" s="618"/>
      <c r="Y514" s="618"/>
      <c r="Z514" s="618"/>
      <c r="AA514" s="618"/>
      <c r="AB514" s="618"/>
    </row>
    <row r="515" spans="1:28">
      <c r="A515" s="618"/>
      <c r="B515" s="618"/>
      <c r="C515" s="618"/>
      <c r="D515" s="644"/>
      <c r="E515" s="618"/>
      <c r="F515" s="618"/>
      <c r="G515" s="618"/>
      <c r="H515" s="618"/>
      <c r="I515" s="618"/>
      <c r="J515" s="618"/>
      <c r="K515" s="618"/>
      <c r="L515" s="618"/>
      <c r="M515" s="618"/>
      <c r="N515" s="618"/>
      <c r="O515" s="618"/>
      <c r="P515" s="618"/>
      <c r="Q515" s="618"/>
      <c r="R515" s="618"/>
      <c r="S515" s="618"/>
      <c r="T515" s="618"/>
      <c r="U515" s="618"/>
      <c r="V515" s="618"/>
      <c r="W515" s="618"/>
      <c r="X515" s="618"/>
      <c r="Y515" s="618"/>
      <c r="Z515" s="618"/>
      <c r="AA515" s="618"/>
      <c r="AB515" s="618"/>
    </row>
    <row r="516" spans="1:28">
      <c r="A516" s="618"/>
      <c r="B516" s="618"/>
      <c r="C516" s="618"/>
      <c r="D516" s="644"/>
      <c r="E516" s="618"/>
      <c r="F516" s="618"/>
      <c r="G516" s="618"/>
      <c r="H516" s="618"/>
      <c r="I516" s="618"/>
      <c r="J516" s="618"/>
      <c r="K516" s="618"/>
      <c r="L516" s="618"/>
      <c r="M516" s="618"/>
      <c r="N516" s="618"/>
      <c r="O516" s="618"/>
      <c r="P516" s="618"/>
      <c r="Q516" s="618"/>
      <c r="R516" s="618"/>
      <c r="S516" s="618"/>
      <c r="T516" s="618"/>
      <c r="U516" s="618"/>
      <c r="V516" s="618"/>
      <c r="W516" s="618"/>
      <c r="X516" s="618"/>
      <c r="Y516" s="618"/>
      <c r="Z516" s="618"/>
      <c r="AA516" s="618"/>
      <c r="AB516" s="618"/>
    </row>
    <row r="517" spans="1:28">
      <c r="A517" s="618"/>
      <c r="B517" s="618"/>
      <c r="C517" s="618"/>
      <c r="D517" s="644"/>
      <c r="E517" s="618"/>
      <c r="F517" s="618"/>
      <c r="G517" s="618"/>
      <c r="H517" s="618"/>
      <c r="I517" s="618"/>
      <c r="J517" s="618"/>
      <c r="K517" s="618"/>
      <c r="L517" s="618"/>
      <c r="M517" s="618"/>
      <c r="N517" s="618"/>
      <c r="O517" s="618"/>
      <c r="P517" s="618"/>
      <c r="Q517" s="618"/>
      <c r="R517" s="618"/>
      <c r="S517" s="618"/>
      <c r="T517" s="618"/>
      <c r="U517" s="618"/>
      <c r="V517" s="618"/>
      <c r="W517" s="618"/>
      <c r="X517" s="618"/>
      <c r="Y517" s="618"/>
      <c r="Z517" s="618"/>
      <c r="AA517" s="618"/>
      <c r="AB517" s="618"/>
    </row>
    <row r="518" spans="1:28">
      <c r="A518" s="618"/>
      <c r="B518" s="618"/>
      <c r="C518" s="618"/>
      <c r="D518" s="644"/>
      <c r="E518" s="618"/>
      <c r="F518" s="618"/>
      <c r="G518" s="618"/>
      <c r="H518" s="618"/>
      <c r="I518" s="618"/>
      <c r="J518" s="618"/>
      <c r="K518" s="618"/>
      <c r="L518" s="618"/>
      <c r="M518" s="618"/>
      <c r="N518" s="618"/>
      <c r="O518" s="618"/>
      <c r="P518" s="618"/>
      <c r="Q518" s="618"/>
      <c r="R518" s="618"/>
      <c r="S518" s="618"/>
      <c r="T518" s="618"/>
      <c r="U518" s="618"/>
      <c r="V518" s="618"/>
      <c r="W518" s="618"/>
      <c r="X518" s="618"/>
      <c r="Y518" s="618"/>
      <c r="Z518" s="618"/>
      <c r="AA518" s="618"/>
      <c r="AB518" s="618"/>
    </row>
    <row r="519" spans="1:28">
      <c r="A519" s="618"/>
      <c r="B519" s="618"/>
      <c r="C519" s="618"/>
      <c r="D519" s="644"/>
      <c r="E519" s="618"/>
      <c r="F519" s="618"/>
      <c r="G519" s="618"/>
      <c r="H519" s="618"/>
      <c r="I519" s="618"/>
      <c r="J519" s="618"/>
      <c r="K519" s="618"/>
      <c r="L519" s="618"/>
      <c r="M519" s="618"/>
      <c r="N519" s="618"/>
      <c r="O519" s="618"/>
      <c r="P519" s="618"/>
      <c r="Q519" s="618"/>
      <c r="R519" s="618"/>
      <c r="S519" s="618"/>
      <c r="T519" s="618"/>
      <c r="U519" s="618"/>
      <c r="V519" s="618"/>
      <c r="W519" s="618"/>
      <c r="X519" s="618"/>
      <c r="Y519" s="618"/>
      <c r="Z519" s="618"/>
      <c r="AA519" s="618"/>
      <c r="AB519" s="618"/>
    </row>
    <row r="520" spans="1:28">
      <c r="A520" s="618"/>
      <c r="B520" s="618"/>
      <c r="C520" s="618"/>
      <c r="D520" s="644"/>
      <c r="E520" s="618"/>
      <c r="F520" s="618"/>
      <c r="G520" s="618"/>
      <c r="H520" s="618"/>
      <c r="I520" s="618"/>
      <c r="J520" s="618"/>
      <c r="K520" s="618"/>
      <c r="L520" s="618"/>
      <c r="M520" s="618"/>
      <c r="N520" s="618"/>
      <c r="O520" s="618"/>
      <c r="P520" s="618"/>
      <c r="Q520" s="618"/>
      <c r="R520" s="618"/>
      <c r="S520" s="618"/>
      <c r="T520" s="618"/>
      <c r="U520" s="618"/>
      <c r="V520" s="618"/>
      <c r="W520" s="618"/>
      <c r="X520" s="618"/>
      <c r="Y520" s="618"/>
      <c r="Z520" s="618"/>
      <c r="AA520" s="618"/>
      <c r="AB520" s="618"/>
    </row>
    <row r="521" spans="1:28">
      <c r="A521" s="618"/>
      <c r="B521" s="618"/>
      <c r="C521" s="618"/>
      <c r="D521" s="644"/>
      <c r="E521" s="618"/>
      <c r="F521" s="618"/>
      <c r="G521" s="618"/>
      <c r="H521" s="618"/>
      <c r="I521" s="618"/>
      <c r="J521" s="618"/>
      <c r="K521" s="618"/>
      <c r="L521" s="618"/>
      <c r="M521" s="618"/>
      <c r="N521" s="618"/>
      <c r="O521" s="618"/>
      <c r="P521" s="618"/>
      <c r="Q521" s="618"/>
      <c r="R521" s="618"/>
      <c r="S521" s="618"/>
      <c r="T521" s="618"/>
      <c r="U521" s="618"/>
      <c r="V521" s="618"/>
      <c r="W521" s="618"/>
      <c r="X521" s="618"/>
      <c r="Y521" s="618"/>
      <c r="Z521" s="618"/>
      <c r="AA521" s="618"/>
      <c r="AB521" s="618"/>
    </row>
    <row r="522" spans="1:28">
      <c r="A522" s="618"/>
      <c r="B522" s="618"/>
      <c r="C522" s="618"/>
      <c r="D522" s="644"/>
      <c r="E522" s="618"/>
      <c r="F522" s="618"/>
      <c r="G522" s="618"/>
      <c r="H522" s="618"/>
      <c r="I522" s="618"/>
      <c r="J522" s="618"/>
      <c r="K522" s="618"/>
      <c r="L522" s="618"/>
      <c r="M522" s="618"/>
      <c r="N522" s="618"/>
      <c r="O522" s="618"/>
      <c r="P522" s="618"/>
      <c r="Q522" s="618"/>
      <c r="R522" s="618"/>
      <c r="S522" s="618"/>
      <c r="T522" s="618"/>
      <c r="U522" s="618"/>
      <c r="V522" s="618"/>
      <c r="W522" s="618"/>
      <c r="X522" s="618"/>
      <c r="Y522" s="618"/>
      <c r="Z522" s="618"/>
      <c r="AA522" s="618"/>
      <c r="AB522" s="618"/>
    </row>
    <row r="523" spans="1:28">
      <c r="A523" s="618"/>
      <c r="B523" s="618"/>
      <c r="C523" s="618"/>
      <c r="D523" s="644"/>
      <c r="E523" s="618"/>
      <c r="F523" s="618"/>
      <c r="G523" s="618"/>
      <c r="H523" s="618"/>
      <c r="I523" s="618"/>
      <c r="J523" s="618"/>
      <c r="K523" s="618"/>
      <c r="L523" s="618"/>
      <c r="M523" s="618"/>
      <c r="N523" s="618"/>
      <c r="O523" s="618"/>
      <c r="P523" s="618"/>
      <c r="Q523" s="618"/>
      <c r="R523" s="618"/>
      <c r="S523" s="618"/>
      <c r="T523" s="618"/>
      <c r="U523" s="618"/>
      <c r="V523" s="618"/>
      <c r="W523" s="618"/>
      <c r="X523" s="618"/>
      <c r="Y523" s="618"/>
      <c r="Z523" s="618"/>
      <c r="AA523" s="618"/>
      <c r="AB523" s="618"/>
    </row>
    <row r="524" spans="1:28">
      <c r="A524" s="618"/>
      <c r="B524" s="618"/>
      <c r="C524" s="618"/>
      <c r="D524" s="644"/>
      <c r="E524" s="618"/>
      <c r="F524" s="618"/>
      <c r="G524" s="618"/>
      <c r="H524" s="618"/>
      <c r="I524" s="618"/>
      <c r="J524" s="618"/>
      <c r="K524" s="618"/>
      <c r="L524" s="618"/>
      <c r="M524" s="618"/>
      <c r="N524" s="618"/>
      <c r="O524" s="618"/>
      <c r="P524" s="618"/>
      <c r="Q524" s="618"/>
      <c r="R524" s="618"/>
      <c r="S524" s="618"/>
      <c r="T524" s="618"/>
      <c r="U524" s="618"/>
      <c r="V524" s="618"/>
      <c r="W524" s="618"/>
      <c r="X524" s="618"/>
      <c r="Y524" s="618"/>
      <c r="Z524" s="618"/>
      <c r="AA524" s="618"/>
      <c r="AB524" s="618"/>
    </row>
    <row r="525" spans="1:28">
      <c r="A525" s="618"/>
      <c r="B525" s="618"/>
      <c r="C525" s="618"/>
      <c r="D525" s="644"/>
      <c r="E525" s="618"/>
      <c r="F525" s="618"/>
      <c r="G525" s="618"/>
      <c r="H525" s="618"/>
      <c r="I525" s="618"/>
      <c r="J525" s="618"/>
      <c r="K525" s="618"/>
      <c r="L525" s="618"/>
      <c r="M525" s="618"/>
      <c r="N525" s="618"/>
      <c r="O525" s="618"/>
      <c r="P525" s="618"/>
      <c r="Q525" s="618"/>
      <c r="R525" s="618"/>
      <c r="S525" s="618"/>
      <c r="T525" s="618"/>
      <c r="U525" s="618"/>
      <c r="V525" s="618"/>
      <c r="W525" s="618"/>
      <c r="X525" s="618"/>
      <c r="Y525" s="618"/>
      <c r="Z525" s="618"/>
      <c r="AA525" s="618"/>
      <c r="AB525" s="618"/>
    </row>
    <row r="526" spans="1:28">
      <c r="A526" s="618"/>
      <c r="B526" s="618"/>
      <c r="C526" s="618"/>
      <c r="D526" s="644"/>
      <c r="E526" s="618"/>
      <c r="F526" s="618"/>
      <c r="G526" s="618"/>
      <c r="H526" s="618"/>
      <c r="I526" s="618"/>
      <c r="J526" s="618"/>
      <c r="K526" s="618"/>
      <c r="L526" s="618"/>
      <c r="M526" s="618"/>
      <c r="N526" s="618"/>
      <c r="O526" s="618"/>
      <c r="P526" s="618"/>
      <c r="Q526" s="618"/>
      <c r="R526" s="618"/>
      <c r="S526" s="618"/>
      <c r="T526" s="618"/>
      <c r="U526" s="618"/>
      <c r="V526" s="618"/>
      <c r="W526" s="618"/>
      <c r="X526" s="618"/>
      <c r="Y526" s="618"/>
      <c r="Z526" s="618"/>
      <c r="AA526" s="618"/>
      <c r="AB526" s="618"/>
    </row>
    <row r="527" spans="1:28">
      <c r="A527" s="618"/>
      <c r="B527" s="618"/>
      <c r="C527" s="618"/>
      <c r="D527" s="644"/>
      <c r="E527" s="618"/>
      <c r="F527" s="618"/>
      <c r="G527" s="618"/>
      <c r="H527" s="618"/>
      <c r="I527" s="618"/>
      <c r="J527" s="618"/>
      <c r="K527" s="618"/>
      <c r="L527" s="618"/>
      <c r="M527" s="618"/>
      <c r="N527" s="618"/>
      <c r="O527" s="618"/>
      <c r="P527" s="618"/>
      <c r="Q527" s="618"/>
      <c r="R527" s="618"/>
      <c r="S527" s="618"/>
      <c r="T527" s="618"/>
      <c r="U527" s="618"/>
      <c r="V527" s="618"/>
      <c r="W527" s="618"/>
      <c r="X527" s="618"/>
      <c r="Y527" s="618"/>
      <c r="Z527" s="618"/>
      <c r="AA527" s="618"/>
      <c r="AB527" s="618"/>
    </row>
    <row r="528" spans="1:28">
      <c r="A528" s="618"/>
      <c r="B528" s="618"/>
      <c r="C528" s="618"/>
      <c r="D528" s="644"/>
      <c r="E528" s="618"/>
      <c r="F528" s="618"/>
      <c r="G528" s="618"/>
      <c r="H528" s="618"/>
      <c r="I528" s="618"/>
      <c r="J528" s="618"/>
      <c r="K528" s="618"/>
      <c r="L528" s="618"/>
      <c r="M528" s="618"/>
      <c r="N528" s="618"/>
      <c r="O528" s="618"/>
      <c r="P528" s="618"/>
      <c r="Q528" s="618"/>
      <c r="R528" s="618"/>
      <c r="S528" s="618"/>
      <c r="T528" s="618"/>
      <c r="U528" s="618"/>
      <c r="V528" s="618"/>
      <c r="W528" s="618"/>
      <c r="X528" s="618"/>
      <c r="Y528" s="618"/>
      <c r="Z528" s="618"/>
      <c r="AA528" s="618"/>
      <c r="AB528" s="618"/>
    </row>
    <row r="529" spans="1:28">
      <c r="A529" s="618"/>
      <c r="B529" s="618"/>
      <c r="C529" s="618"/>
      <c r="D529" s="644"/>
      <c r="E529" s="618"/>
      <c r="F529" s="618"/>
      <c r="G529" s="618"/>
      <c r="H529" s="618"/>
      <c r="I529" s="618"/>
      <c r="J529" s="618"/>
      <c r="K529" s="618"/>
      <c r="L529" s="618"/>
      <c r="M529" s="618"/>
      <c r="N529" s="618"/>
      <c r="O529" s="618"/>
      <c r="P529" s="618"/>
      <c r="Q529" s="618"/>
      <c r="R529" s="618"/>
      <c r="S529" s="618"/>
      <c r="T529" s="618"/>
      <c r="U529" s="618"/>
      <c r="V529" s="618"/>
      <c r="W529" s="618"/>
      <c r="X529" s="618"/>
      <c r="Y529" s="618"/>
      <c r="Z529" s="618"/>
      <c r="AA529" s="618"/>
      <c r="AB529" s="618"/>
    </row>
    <row r="530" spans="1:28">
      <c r="A530" s="618"/>
      <c r="B530" s="618"/>
      <c r="C530" s="618"/>
      <c r="D530" s="644"/>
      <c r="E530" s="618"/>
      <c r="F530" s="618"/>
      <c r="G530" s="618"/>
      <c r="H530" s="618"/>
      <c r="I530" s="618"/>
      <c r="J530" s="618"/>
      <c r="K530" s="618"/>
      <c r="L530" s="618"/>
      <c r="M530" s="618"/>
      <c r="N530" s="618"/>
      <c r="O530" s="618"/>
      <c r="P530" s="618"/>
      <c r="Q530" s="618"/>
      <c r="R530" s="618"/>
      <c r="S530" s="618"/>
      <c r="T530" s="618"/>
      <c r="U530" s="618"/>
      <c r="V530" s="618"/>
      <c r="W530" s="618"/>
      <c r="X530" s="618"/>
      <c r="Y530" s="618"/>
      <c r="Z530" s="618"/>
      <c r="AA530" s="618"/>
      <c r="AB530" s="618"/>
    </row>
    <row r="531" spans="1:28">
      <c r="A531" s="618"/>
      <c r="B531" s="618"/>
      <c r="C531" s="618"/>
      <c r="D531" s="644"/>
      <c r="E531" s="618"/>
      <c r="F531" s="618"/>
      <c r="G531" s="618"/>
      <c r="H531" s="618"/>
      <c r="I531" s="618"/>
      <c r="J531" s="618"/>
      <c r="K531" s="618"/>
      <c r="L531" s="618"/>
      <c r="M531" s="618"/>
      <c r="N531" s="618"/>
      <c r="O531" s="618"/>
      <c r="P531" s="618"/>
      <c r="Q531" s="618"/>
      <c r="R531" s="618"/>
      <c r="S531" s="618"/>
      <c r="T531" s="618"/>
      <c r="U531" s="618"/>
      <c r="V531" s="618"/>
      <c r="W531" s="618"/>
      <c r="X531" s="618"/>
      <c r="Y531" s="618"/>
      <c r="Z531" s="618"/>
      <c r="AA531" s="618"/>
      <c r="AB531" s="618"/>
    </row>
    <row r="532" spans="1:28">
      <c r="A532" s="618"/>
      <c r="B532" s="618"/>
      <c r="C532" s="618"/>
      <c r="D532" s="644"/>
      <c r="E532" s="618"/>
      <c r="F532" s="618"/>
      <c r="G532" s="618"/>
      <c r="H532" s="618"/>
      <c r="I532" s="618"/>
      <c r="J532" s="618"/>
      <c r="K532" s="618"/>
      <c r="L532" s="618"/>
      <c r="M532" s="618"/>
      <c r="N532" s="618"/>
      <c r="O532" s="618"/>
      <c r="P532" s="618"/>
      <c r="Q532" s="618"/>
      <c r="R532" s="618"/>
      <c r="S532" s="618"/>
      <c r="T532" s="618"/>
      <c r="U532" s="618"/>
      <c r="V532" s="618"/>
      <c r="W532" s="618"/>
      <c r="X532" s="618"/>
      <c r="Y532" s="618"/>
      <c r="Z532" s="618"/>
      <c r="AA532" s="618"/>
      <c r="AB532" s="618"/>
    </row>
    <row r="533" spans="1:28">
      <c r="A533" s="618"/>
      <c r="B533" s="618"/>
      <c r="C533" s="618"/>
      <c r="D533" s="644"/>
      <c r="E533" s="618"/>
      <c r="F533" s="618"/>
      <c r="G533" s="618"/>
      <c r="H533" s="618"/>
      <c r="I533" s="618"/>
      <c r="J533" s="618"/>
      <c r="K533" s="618"/>
      <c r="L533" s="618"/>
      <c r="M533" s="618"/>
      <c r="N533" s="618"/>
      <c r="O533" s="618"/>
      <c r="P533" s="618"/>
      <c r="Q533" s="618"/>
      <c r="R533" s="618"/>
      <c r="S533" s="618"/>
      <c r="T533" s="618"/>
      <c r="U533" s="618"/>
      <c r="V533" s="618"/>
      <c r="W533" s="618"/>
      <c r="X533" s="618"/>
      <c r="Y533" s="618"/>
      <c r="Z533" s="618"/>
      <c r="AA533" s="618"/>
      <c r="AB533" s="618"/>
    </row>
    <row r="534" spans="1:28">
      <c r="A534" s="618"/>
      <c r="B534" s="618"/>
      <c r="C534" s="618"/>
      <c r="D534" s="644"/>
      <c r="E534" s="618"/>
      <c r="F534" s="618"/>
      <c r="G534" s="618"/>
      <c r="H534" s="618"/>
      <c r="I534" s="618"/>
      <c r="J534" s="618"/>
      <c r="K534" s="618"/>
      <c r="L534" s="618"/>
      <c r="M534" s="618"/>
      <c r="N534" s="618"/>
      <c r="O534" s="618"/>
      <c r="P534" s="618"/>
      <c r="Q534" s="618"/>
      <c r="R534" s="618"/>
      <c r="S534" s="618"/>
      <c r="T534" s="618"/>
      <c r="U534" s="618"/>
      <c r="V534" s="618"/>
      <c r="W534" s="618"/>
      <c r="X534" s="618"/>
      <c r="Y534" s="618"/>
      <c r="Z534" s="618"/>
      <c r="AA534" s="618"/>
      <c r="AB534" s="618"/>
    </row>
    <row r="535" spans="1:28">
      <c r="A535" s="618"/>
      <c r="B535" s="618"/>
      <c r="C535" s="618"/>
      <c r="D535" s="644"/>
      <c r="E535" s="618"/>
      <c r="F535" s="618"/>
      <c r="G535" s="618"/>
      <c r="H535" s="618"/>
      <c r="I535" s="618"/>
      <c r="J535" s="618"/>
      <c r="K535" s="618"/>
      <c r="L535" s="618"/>
      <c r="M535" s="618"/>
      <c r="N535" s="618"/>
      <c r="O535" s="618"/>
      <c r="P535" s="618"/>
      <c r="Q535" s="618"/>
      <c r="R535" s="618"/>
      <c r="S535" s="618"/>
      <c r="T535" s="618"/>
      <c r="U535" s="618"/>
      <c r="V535" s="618"/>
      <c r="W535" s="618"/>
      <c r="X535" s="618"/>
      <c r="Y535" s="618"/>
      <c r="Z535" s="618"/>
      <c r="AA535" s="618"/>
      <c r="AB535" s="618"/>
    </row>
    <row r="536" spans="1:28">
      <c r="A536" s="618"/>
      <c r="B536" s="618"/>
      <c r="C536" s="618"/>
      <c r="D536" s="644"/>
      <c r="E536" s="618"/>
      <c r="F536" s="618"/>
      <c r="G536" s="618"/>
      <c r="H536" s="618"/>
      <c r="I536" s="618"/>
      <c r="J536" s="618"/>
      <c r="K536" s="618"/>
      <c r="L536" s="618"/>
      <c r="M536" s="618"/>
      <c r="N536" s="618"/>
      <c r="O536" s="618"/>
      <c r="P536" s="618"/>
      <c r="Q536" s="618"/>
      <c r="R536" s="618"/>
      <c r="S536" s="618"/>
      <c r="T536" s="618"/>
      <c r="U536" s="618"/>
      <c r="V536" s="618"/>
      <c r="W536" s="618"/>
      <c r="X536" s="618"/>
      <c r="Y536" s="618"/>
      <c r="Z536" s="618"/>
      <c r="AA536" s="618"/>
      <c r="AB536" s="618"/>
    </row>
    <row r="537" spans="1:28">
      <c r="A537" s="618"/>
      <c r="B537" s="618"/>
      <c r="C537" s="618"/>
      <c r="D537" s="644"/>
      <c r="E537" s="618"/>
      <c r="F537" s="618"/>
      <c r="G537" s="618"/>
      <c r="H537" s="618"/>
      <c r="I537" s="618"/>
      <c r="J537" s="618"/>
      <c r="K537" s="618"/>
      <c r="L537" s="618"/>
      <c r="M537" s="618"/>
      <c r="N537" s="618"/>
      <c r="O537" s="618"/>
      <c r="P537" s="618"/>
      <c r="Q537" s="618"/>
      <c r="R537" s="618"/>
      <c r="S537" s="618"/>
      <c r="T537" s="618"/>
      <c r="U537" s="618"/>
      <c r="V537" s="618"/>
      <c r="W537" s="618"/>
      <c r="X537" s="618"/>
      <c r="Y537" s="618"/>
      <c r="Z537" s="618"/>
      <c r="AA537" s="618"/>
      <c r="AB537" s="618"/>
    </row>
    <row r="538" spans="1:28">
      <c r="A538" s="618"/>
      <c r="B538" s="618"/>
      <c r="C538" s="618"/>
      <c r="D538" s="644"/>
      <c r="E538" s="618"/>
      <c r="F538" s="618"/>
      <c r="G538" s="618"/>
      <c r="H538" s="618"/>
      <c r="I538" s="618"/>
      <c r="J538" s="618"/>
      <c r="K538" s="618"/>
      <c r="L538" s="618"/>
      <c r="M538" s="618"/>
      <c r="N538" s="618"/>
      <c r="O538" s="618"/>
      <c r="P538" s="618"/>
      <c r="Q538" s="618"/>
      <c r="R538" s="618"/>
      <c r="S538" s="618"/>
      <c r="T538" s="618"/>
      <c r="U538" s="618"/>
      <c r="V538" s="618"/>
      <c r="W538" s="618"/>
      <c r="X538" s="618"/>
      <c r="Y538" s="618"/>
      <c r="Z538" s="618"/>
      <c r="AA538" s="618"/>
      <c r="AB538" s="618"/>
    </row>
    <row r="539" spans="1:28">
      <c r="A539" s="618"/>
      <c r="B539" s="618"/>
      <c r="C539" s="618"/>
      <c r="D539" s="644"/>
      <c r="E539" s="618"/>
      <c r="F539" s="618"/>
      <c r="G539" s="618"/>
      <c r="H539" s="618"/>
      <c r="I539" s="618"/>
      <c r="J539" s="618"/>
      <c r="K539" s="618"/>
      <c r="L539" s="618"/>
      <c r="M539" s="618"/>
      <c r="N539" s="618"/>
      <c r="O539" s="618"/>
      <c r="P539" s="618"/>
      <c r="Q539" s="618"/>
      <c r="R539" s="618"/>
      <c r="S539" s="618"/>
      <c r="T539" s="618"/>
      <c r="U539" s="618"/>
      <c r="V539" s="618"/>
      <c r="W539" s="618"/>
      <c r="X539" s="618"/>
      <c r="Y539" s="618"/>
      <c r="Z539" s="618"/>
      <c r="AA539" s="618"/>
      <c r="AB539" s="618"/>
    </row>
    <row r="540" spans="1:28">
      <c r="A540" s="618"/>
      <c r="B540" s="618"/>
      <c r="C540" s="618"/>
      <c r="D540" s="644"/>
      <c r="E540" s="618"/>
      <c r="F540" s="618"/>
      <c r="G540" s="618"/>
      <c r="H540" s="618"/>
      <c r="I540" s="618"/>
      <c r="J540" s="618"/>
      <c r="K540" s="618"/>
      <c r="L540" s="618"/>
      <c r="M540" s="618"/>
      <c r="N540" s="618"/>
      <c r="O540" s="618"/>
      <c r="P540" s="618"/>
      <c r="Q540" s="618"/>
      <c r="R540" s="618"/>
      <c r="S540" s="618"/>
      <c r="T540" s="618"/>
      <c r="U540" s="618"/>
      <c r="V540" s="618"/>
      <c r="W540" s="618"/>
      <c r="X540" s="618"/>
      <c r="Y540" s="618"/>
      <c r="Z540" s="618"/>
      <c r="AA540" s="618"/>
      <c r="AB540" s="618"/>
    </row>
    <row r="541" spans="1:28">
      <c r="A541" s="618"/>
      <c r="B541" s="618"/>
      <c r="C541" s="618"/>
      <c r="D541" s="644"/>
      <c r="E541" s="618"/>
      <c r="F541" s="618"/>
      <c r="G541" s="618"/>
      <c r="H541" s="618"/>
      <c r="I541" s="618"/>
      <c r="J541" s="618"/>
      <c r="K541" s="618"/>
      <c r="L541" s="618"/>
      <c r="M541" s="618"/>
      <c r="N541" s="618"/>
      <c r="O541" s="618"/>
      <c r="P541" s="618"/>
      <c r="Q541" s="618"/>
      <c r="R541" s="618"/>
      <c r="S541" s="618"/>
      <c r="T541" s="618"/>
      <c r="U541" s="618"/>
      <c r="V541" s="618"/>
      <c r="W541" s="618"/>
      <c r="X541" s="618"/>
      <c r="Y541" s="618"/>
      <c r="Z541" s="618"/>
      <c r="AA541" s="618"/>
      <c r="AB541" s="618"/>
    </row>
    <row r="542" spans="1:28">
      <c r="A542" s="618"/>
      <c r="B542" s="618"/>
      <c r="C542" s="618"/>
      <c r="D542" s="644"/>
      <c r="E542" s="618"/>
      <c r="F542" s="618"/>
      <c r="G542" s="618"/>
      <c r="H542" s="618"/>
      <c r="I542" s="618"/>
      <c r="J542" s="618"/>
      <c r="K542" s="618"/>
      <c r="L542" s="618"/>
      <c r="M542" s="618"/>
      <c r="N542" s="618"/>
      <c r="O542" s="618"/>
      <c r="P542" s="618"/>
      <c r="Q542" s="618"/>
      <c r="R542" s="618"/>
      <c r="S542" s="618"/>
      <c r="T542" s="618"/>
      <c r="U542" s="618"/>
      <c r="V542" s="618"/>
      <c r="W542" s="618"/>
      <c r="X542" s="618"/>
      <c r="Y542" s="618"/>
      <c r="Z542" s="618"/>
      <c r="AA542" s="618"/>
      <c r="AB542" s="618"/>
    </row>
    <row r="543" spans="1:28">
      <c r="A543" s="618"/>
      <c r="B543" s="618"/>
      <c r="C543" s="618"/>
      <c r="D543" s="644"/>
      <c r="E543" s="618"/>
      <c r="F543" s="618"/>
      <c r="G543" s="618"/>
      <c r="H543" s="618"/>
      <c r="I543" s="618"/>
      <c r="J543" s="618"/>
      <c r="K543" s="618"/>
      <c r="L543" s="618"/>
      <c r="M543" s="618"/>
      <c r="N543" s="618"/>
      <c r="O543" s="618"/>
      <c r="P543" s="618"/>
      <c r="Q543" s="618"/>
      <c r="R543" s="618"/>
      <c r="S543" s="618"/>
      <c r="T543" s="618"/>
      <c r="U543" s="618"/>
      <c r="V543" s="618"/>
      <c r="W543" s="618"/>
      <c r="X543" s="618"/>
      <c r="Y543" s="618"/>
      <c r="Z543" s="618"/>
      <c r="AA543" s="618"/>
      <c r="AB543" s="618"/>
    </row>
    <row r="544" spans="1:28">
      <c r="A544" s="618"/>
      <c r="B544" s="618"/>
      <c r="C544" s="618"/>
      <c r="D544" s="644"/>
      <c r="E544" s="618"/>
      <c r="F544" s="618"/>
      <c r="G544" s="618"/>
      <c r="H544" s="618"/>
      <c r="I544" s="618"/>
      <c r="J544" s="618"/>
      <c r="K544" s="618"/>
      <c r="L544" s="618"/>
      <c r="M544" s="618"/>
      <c r="N544" s="618"/>
      <c r="O544" s="618"/>
      <c r="P544" s="618"/>
      <c r="Q544" s="618"/>
      <c r="R544" s="618"/>
      <c r="S544" s="618"/>
      <c r="T544" s="618"/>
      <c r="U544" s="618"/>
      <c r="V544" s="618"/>
      <c r="W544" s="618"/>
      <c r="X544" s="618"/>
      <c r="Y544" s="618"/>
      <c r="Z544" s="618"/>
      <c r="AA544" s="618"/>
      <c r="AB544" s="618"/>
    </row>
    <row r="545" spans="1:28">
      <c r="A545" s="618"/>
      <c r="B545" s="618"/>
      <c r="C545" s="618"/>
      <c r="D545" s="644"/>
      <c r="E545" s="618"/>
      <c r="F545" s="618"/>
      <c r="G545" s="618"/>
      <c r="H545" s="618"/>
      <c r="I545" s="618"/>
      <c r="J545" s="618"/>
      <c r="K545" s="618"/>
      <c r="L545" s="618"/>
      <c r="M545" s="618"/>
      <c r="N545" s="618"/>
      <c r="O545" s="618"/>
      <c r="P545" s="618"/>
      <c r="Q545" s="618"/>
      <c r="R545" s="618"/>
      <c r="S545" s="618"/>
      <c r="T545" s="618"/>
      <c r="U545" s="618"/>
      <c r="V545" s="618"/>
      <c r="W545" s="618"/>
      <c r="X545" s="618"/>
      <c r="Y545" s="618"/>
      <c r="Z545" s="618"/>
      <c r="AA545" s="618"/>
      <c r="AB545" s="618"/>
    </row>
    <row r="546" spans="1:28">
      <c r="A546" s="618"/>
      <c r="B546" s="618"/>
      <c r="C546" s="618"/>
      <c r="D546" s="644"/>
      <c r="E546" s="618"/>
      <c r="F546" s="618"/>
      <c r="G546" s="618"/>
      <c r="H546" s="618"/>
      <c r="I546" s="618"/>
      <c r="J546" s="618"/>
      <c r="K546" s="618"/>
      <c r="L546" s="618"/>
      <c r="M546" s="618"/>
      <c r="N546" s="618"/>
      <c r="O546" s="618"/>
      <c r="P546" s="618"/>
      <c r="Q546" s="618"/>
      <c r="R546" s="618"/>
      <c r="S546" s="618"/>
      <c r="T546" s="618"/>
      <c r="U546" s="618"/>
      <c r="V546" s="618"/>
      <c r="W546" s="618"/>
      <c r="X546" s="618"/>
      <c r="Y546" s="618"/>
      <c r="Z546" s="618"/>
      <c r="AA546" s="618"/>
      <c r="AB546" s="618"/>
    </row>
    <row r="547" spans="1:28">
      <c r="A547" s="618"/>
      <c r="B547" s="618"/>
      <c r="C547" s="618"/>
      <c r="D547" s="644"/>
      <c r="E547" s="618"/>
      <c r="F547" s="618"/>
      <c r="G547" s="618"/>
      <c r="H547" s="618"/>
      <c r="I547" s="618"/>
      <c r="J547" s="618"/>
      <c r="K547" s="618"/>
      <c r="L547" s="618"/>
      <c r="M547" s="618"/>
      <c r="N547" s="618"/>
      <c r="O547" s="618"/>
      <c r="P547" s="618"/>
      <c r="Q547" s="618"/>
      <c r="R547" s="618"/>
      <c r="S547" s="618"/>
      <c r="T547" s="618"/>
      <c r="U547" s="618"/>
      <c r="V547" s="618"/>
      <c r="W547" s="618"/>
      <c r="X547" s="618"/>
      <c r="Y547" s="618"/>
      <c r="Z547" s="618"/>
      <c r="AA547" s="618"/>
      <c r="AB547" s="618"/>
    </row>
    <row r="548" spans="1:28">
      <c r="A548" s="618"/>
      <c r="B548" s="618"/>
      <c r="C548" s="618"/>
      <c r="D548" s="644"/>
      <c r="E548" s="618"/>
      <c r="F548" s="618"/>
      <c r="G548" s="618"/>
      <c r="H548" s="618"/>
      <c r="I548" s="618"/>
      <c r="J548" s="618"/>
      <c r="K548" s="618"/>
      <c r="L548" s="618"/>
      <c r="M548" s="618"/>
      <c r="N548" s="618"/>
      <c r="O548" s="618"/>
      <c r="P548" s="618"/>
      <c r="Q548" s="618"/>
      <c r="R548" s="618"/>
      <c r="S548" s="618"/>
      <c r="T548" s="618"/>
      <c r="U548" s="618"/>
      <c r="V548" s="618"/>
      <c r="W548" s="618"/>
      <c r="X548" s="618"/>
      <c r="Y548" s="618"/>
      <c r="Z548" s="618"/>
      <c r="AA548" s="618"/>
      <c r="AB548" s="618"/>
    </row>
    <row r="549" spans="1:28">
      <c r="A549" s="618"/>
      <c r="B549" s="618"/>
      <c r="C549" s="618"/>
      <c r="D549" s="644"/>
      <c r="E549" s="618"/>
      <c r="F549" s="618"/>
      <c r="G549" s="618"/>
      <c r="H549" s="618"/>
      <c r="I549" s="618"/>
      <c r="J549" s="618"/>
      <c r="K549" s="618"/>
      <c r="L549" s="618"/>
      <c r="M549" s="618"/>
      <c r="N549" s="618"/>
      <c r="O549" s="618"/>
      <c r="P549" s="618"/>
      <c r="Q549" s="618"/>
      <c r="R549" s="618"/>
      <c r="S549" s="618"/>
      <c r="T549" s="618"/>
      <c r="U549" s="618"/>
      <c r="V549" s="618"/>
      <c r="W549" s="618"/>
      <c r="X549" s="618"/>
      <c r="Y549" s="618"/>
      <c r="Z549" s="618"/>
      <c r="AA549" s="618"/>
      <c r="AB549" s="618"/>
    </row>
    <row r="550" spans="1:28">
      <c r="A550" s="618"/>
      <c r="B550" s="618"/>
      <c r="C550" s="618"/>
      <c r="D550" s="644"/>
      <c r="E550" s="618"/>
      <c r="F550" s="618"/>
      <c r="G550" s="618"/>
      <c r="H550" s="618"/>
      <c r="I550" s="618"/>
      <c r="J550" s="618"/>
      <c r="K550" s="618"/>
      <c r="L550" s="618"/>
      <c r="M550" s="618"/>
      <c r="N550" s="618"/>
      <c r="O550" s="618"/>
      <c r="P550" s="618"/>
      <c r="Q550" s="618"/>
      <c r="R550" s="618"/>
      <c r="S550" s="618"/>
      <c r="T550" s="618"/>
      <c r="U550" s="618"/>
      <c r="V550" s="618"/>
      <c r="W550" s="618"/>
      <c r="X550" s="618"/>
      <c r="Y550" s="618"/>
      <c r="Z550" s="618"/>
      <c r="AA550" s="618"/>
      <c r="AB550" s="618"/>
    </row>
    <row r="551" spans="1:28">
      <c r="A551" s="618"/>
      <c r="B551" s="618"/>
      <c r="C551" s="618"/>
      <c r="D551" s="644"/>
      <c r="E551" s="618"/>
      <c r="F551" s="618"/>
      <c r="G551" s="618"/>
      <c r="H551" s="618"/>
      <c r="I551" s="618"/>
      <c r="J551" s="618"/>
      <c r="K551" s="618"/>
      <c r="L551" s="618"/>
      <c r="M551" s="618"/>
      <c r="N551" s="618"/>
      <c r="O551" s="618"/>
      <c r="P551" s="618"/>
      <c r="Q551" s="618"/>
      <c r="R551" s="618"/>
      <c r="S551" s="618"/>
      <c r="T551" s="618"/>
      <c r="U551" s="618"/>
      <c r="V551" s="618"/>
      <c r="W551" s="618"/>
      <c r="X551" s="618"/>
      <c r="Y551" s="618"/>
      <c r="Z551" s="618"/>
      <c r="AA551" s="618"/>
      <c r="AB551" s="618"/>
    </row>
    <row r="552" spans="1:28">
      <c r="A552" s="618"/>
      <c r="B552" s="618"/>
      <c r="C552" s="618"/>
      <c r="D552" s="644"/>
      <c r="E552" s="618"/>
      <c r="F552" s="618"/>
      <c r="G552" s="618"/>
      <c r="H552" s="618"/>
      <c r="I552" s="618"/>
      <c r="J552" s="618"/>
      <c r="K552" s="618"/>
      <c r="L552" s="618"/>
      <c r="M552" s="618"/>
      <c r="N552" s="618"/>
      <c r="O552" s="618"/>
      <c r="P552" s="618"/>
      <c r="Q552" s="618"/>
      <c r="R552" s="618"/>
      <c r="S552" s="618"/>
      <c r="T552" s="618"/>
      <c r="U552" s="618"/>
      <c r="V552" s="618"/>
      <c r="W552" s="618"/>
      <c r="X552" s="618"/>
      <c r="Y552" s="618"/>
      <c r="Z552" s="618"/>
      <c r="AA552" s="618"/>
      <c r="AB552" s="618"/>
    </row>
    <row r="553" spans="1:28">
      <c r="A553" s="618"/>
      <c r="B553" s="618"/>
      <c r="C553" s="618"/>
      <c r="D553" s="644"/>
      <c r="E553" s="618"/>
      <c r="F553" s="618"/>
      <c r="G553" s="618"/>
      <c r="H553" s="618"/>
      <c r="I553" s="618"/>
      <c r="J553" s="618"/>
      <c r="K553" s="618"/>
      <c r="L553" s="618"/>
      <c r="M553" s="618"/>
      <c r="N553" s="618"/>
      <c r="O553" s="618"/>
      <c r="P553" s="618"/>
      <c r="Q553" s="618"/>
      <c r="R553" s="618"/>
      <c r="S553" s="618"/>
      <c r="T553" s="618"/>
      <c r="U553" s="618"/>
      <c r="V553" s="618"/>
      <c r="W553" s="618"/>
      <c r="X553" s="618"/>
      <c r="Y553" s="618"/>
      <c r="Z553" s="618"/>
      <c r="AA553" s="618"/>
      <c r="AB553" s="618"/>
    </row>
    <row r="554" spans="1:28">
      <c r="A554" s="618"/>
      <c r="B554" s="618"/>
      <c r="C554" s="618"/>
      <c r="D554" s="644"/>
      <c r="E554" s="618"/>
      <c r="F554" s="618"/>
      <c r="G554" s="618"/>
      <c r="H554" s="618"/>
      <c r="I554" s="618"/>
      <c r="J554" s="618"/>
      <c r="K554" s="618"/>
      <c r="L554" s="618"/>
      <c r="M554" s="618"/>
      <c r="N554" s="618"/>
      <c r="O554" s="618"/>
      <c r="P554" s="618"/>
      <c r="Q554" s="618"/>
      <c r="R554" s="618"/>
      <c r="S554" s="618"/>
      <c r="T554" s="618"/>
      <c r="U554" s="618"/>
      <c r="V554" s="618"/>
      <c r="W554" s="618"/>
      <c r="X554" s="618"/>
      <c r="Y554" s="618"/>
      <c r="Z554" s="618"/>
      <c r="AA554" s="618"/>
      <c r="AB554" s="618"/>
    </row>
    <row r="555" spans="1:28">
      <c r="A555" s="618"/>
      <c r="B555" s="618"/>
      <c r="C555" s="618"/>
      <c r="D555" s="644"/>
      <c r="E555" s="618"/>
      <c r="F555" s="618"/>
      <c r="G555" s="618"/>
      <c r="H555" s="618"/>
      <c r="I555" s="618"/>
      <c r="J555" s="618"/>
      <c r="K555" s="618"/>
      <c r="L555" s="618"/>
      <c r="M555" s="618"/>
      <c r="N555" s="618"/>
      <c r="O555" s="618"/>
      <c r="P555" s="618"/>
      <c r="Q555" s="618"/>
      <c r="R555" s="618"/>
      <c r="S555" s="618"/>
      <c r="T555" s="618"/>
      <c r="U555" s="618"/>
      <c r="V555" s="618"/>
      <c r="W555" s="618"/>
      <c r="X555" s="618"/>
      <c r="Y555" s="618"/>
      <c r="Z555" s="618"/>
      <c r="AA555" s="618"/>
      <c r="AB555" s="618"/>
    </row>
    <row r="556" spans="1:28">
      <c r="A556" s="618"/>
      <c r="B556" s="618"/>
      <c r="C556" s="618"/>
      <c r="D556" s="644"/>
      <c r="E556" s="618"/>
      <c r="F556" s="618"/>
      <c r="G556" s="618"/>
      <c r="H556" s="618"/>
      <c r="I556" s="618"/>
      <c r="J556" s="618"/>
      <c r="K556" s="618"/>
      <c r="L556" s="618"/>
      <c r="M556" s="618"/>
      <c r="N556" s="618"/>
      <c r="O556" s="618"/>
      <c r="P556" s="618"/>
      <c r="Q556" s="618"/>
      <c r="R556" s="618"/>
      <c r="S556" s="618"/>
      <c r="T556" s="618"/>
      <c r="U556" s="618"/>
      <c r="V556" s="618"/>
      <c r="W556" s="618"/>
      <c r="X556" s="618"/>
      <c r="Y556" s="618"/>
      <c r="Z556" s="618"/>
      <c r="AA556" s="618"/>
      <c r="AB556" s="618"/>
    </row>
    <row r="557" spans="1:28">
      <c r="A557" s="618"/>
      <c r="B557" s="618"/>
      <c r="C557" s="618"/>
      <c r="D557" s="644"/>
      <c r="E557" s="618"/>
      <c r="F557" s="618"/>
      <c r="G557" s="618"/>
      <c r="H557" s="618"/>
      <c r="I557" s="618"/>
      <c r="J557" s="618"/>
      <c r="K557" s="618"/>
      <c r="L557" s="618"/>
      <c r="M557" s="618"/>
      <c r="N557" s="618"/>
      <c r="O557" s="618"/>
      <c r="P557" s="618"/>
      <c r="Q557" s="618"/>
      <c r="R557" s="618"/>
      <c r="S557" s="618"/>
      <c r="T557" s="618"/>
      <c r="U557" s="618"/>
      <c r="V557" s="618"/>
      <c r="W557" s="618"/>
      <c r="X557" s="618"/>
      <c r="Y557" s="618"/>
      <c r="Z557" s="618"/>
      <c r="AA557" s="618"/>
      <c r="AB557" s="618"/>
    </row>
    <row r="558" spans="1:28">
      <c r="A558" s="618"/>
      <c r="B558" s="618"/>
      <c r="C558" s="618"/>
      <c r="D558" s="644"/>
      <c r="E558" s="618"/>
      <c r="F558" s="618"/>
      <c r="G558" s="618"/>
      <c r="H558" s="618"/>
      <c r="I558" s="618"/>
      <c r="J558" s="618"/>
      <c r="K558" s="618"/>
      <c r="L558" s="618"/>
      <c r="M558" s="618"/>
      <c r="N558" s="618"/>
      <c r="O558" s="618"/>
      <c r="P558" s="618"/>
      <c r="Q558" s="618"/>
      <c r="R558" s="618"/>
      <c r="S558" s="618"/>
      <c r="T558" s="618"/>
      <c r="U558" s="618"/>
      <c r="V558" s="618"/>
      <c r="W558" s="618"/>
      <c r="X558" s="618"/>
      <c r="Y558" s="618"/>
      <c r="Z558" s="618"/>
      <c r="AA558" s="618"/>
      <c r="AB558" s="618"/>
    </row>
    <row r="559" spans="1:28">
      <c r="A559" s="618"/>
      <c r="B559" s="618"/>
      <c r="C559" s="618"/>
      <c r="D559" s="644"/>
      <c r="E559" s="618"/>
      <c r="F559" s="618"/>
      <c r="G559" s="618"/>
      <c r="H559" s="618"/>
      <c r="I559" s="618"/>
      <c r="J559" s="618"/>
      <c r="K559" s="618"/>
      <c r="L559" s="618"/>
      <c r="M559" s="618"/>
      <c r="N559" s="618"/>
      <c r="O559" s="618"/>
      <c r="P559" s="618"/>
      <c r="Q559" s="618"/>
      <c r="R559" s="618"/>
      <c r="S559" s="618"/>
      <c r="T559" s="618"/>
      <c r="U559" s="618"/>
      <c r="V559" s="618"/>
      <c r="W559" s="618"/>
      <c r="X559" s="618"/>
      <c r="Y559" s="618"/>
      <c r="Z559" s="618"/>
      <c r="AA559" s="618"/>
      <c r="AB559" s="618"/>
    </row>
    <row r="560" spans="1:28">
      <c r="A560" s="618"/>
      <c r="B560" s="618"/>
      <c r="C560" s="618"/>
      <c r="D560" s="644"/>
      <c r="E560" s="618"/>
      <c r="F560" s="618"/>
      <c r="G560" s="618"/>
      <c r="H560" s="618"/>
      <c r="I560" s="618"/>
      <c r="J560" s="618"/>
      <c r="K560" s="618"/>
      <c r="L560" s="618"/>
      <c r="M560" s="618"/>
      <c r="N560" s="618"/>
      <c r="O560" s="618"/>
      <c r="P560" s="618"/>
      <c r="Q560" s="618"/>
      <c r="R560" s="618"/>
      <c r="S560" s="618"/>
      <c r="T560" s="618"/>
      <c r="U560" s="618"/>
      <c r="V560" s="618"/>
      <c r="W560" s="618"/>
      <c r="X560" s="618"/>
      <c r="Y560" s="618"/>
      <c r="Z560" s="618"/>
      <c r="AA560" s="618"/>
      <c r="AB560" s="618"/>
    </row>
    <row r="561" spans="1:28">
      <c r="A561" s="618"/>
      <c r="B561" s="618"/>
      <c r="C561" s="618"/>
      <c r="D561" s="644"/>
      <c r="E561" s="618"/>
      <c r="F561" s="618"/>
      <c r="G561" s="618"/>
      <c r="H561" s="618"/>
      <c r="I561" s="618"/>
      <c r="J561" s="618"/>
      <c r="K561" s="618"/>
      <c r="L561" s="618"/>
      <c r="M561" s="618"/>
      <c r="N561" s="618"/>
      <c r="O561" s="618"/>
      <c r="P561" s="618"/>
      <c r="Q561" s="618"/>
      <c r="R561" s="618"/>
      <c r="S561" s="618"/>
      <c r="T561" s="618"/>
      <c r="U561" s="618"/>
      <c r="V561" s="618"/>
      <c r="W561" s="618"/>
      <c r="X561" s="618"/>
      <c r="Y561" s="618"/>
      <c r="Z561" s="618"/>
      <c r="AA561" s="618"/>
      <c r="AB561" s="618"/>
    </row>
    <row r="562" spans="1:28">
      <c r="A562" s="618"/>
      <c r="B562" s="618"/>
      <c r="C562" s="618"/>
      <c r="D562" s="644"/>
      <c r="E562" s="618"/>
      <c r="F562" s="618"/>
      <c r="G562" s="618"/>
      <c r="H562" s="618"/>
      <c r="I562" s="618"/>
      <c r="J562" s="618"/>
      <c r="K562" s="618"/>
      <c r="L562" s="618"/>
      <c r="M562" s="618"/>
      <c r="N562" s="618"/>
      <c r="O562" s="618"/>
      <c r="P562" s="618"/>
      <c r="Q562" s="618"/>
      <c r="R562" s="618"/>
      <c r="S562" s="618"/>
      <c r="T562" s="618"/>
      <c r="U562" s="618"/>
      <c r="V562" s="618"/>
      <c r="W562" s="618"/>
      <c r="X562" s="618"/>
      <c r="Y562" s="618"/>
      <c r="Z562" s="618"/>
      <c r="AA562" s="618"/>
      <c r="AB562" s="618"/>
    </row>
    <row r="563" spans="1:28">
      <c r="A563" s="618"/>
      <c r="B563" s="618"/>
      <c r="C563" s="618"/>
      <c r="D563" s="644"/>
      <c r="E563" s="618"/>
      <c r="F563" s="618"/>
      <c r="G563" s="618"/>
      <c r="H563" s="618"/>
      <c r="I563" s="618"/>
      <c r="J563" s="618"/>
      <c r="K563" s="618"/>
      <c r="L563" s="618"/>
      <c r="M563" s="618"/>
      <c r="N563" s="618"/>
      <c r="O563" s="618"/>
      <c r="P563" s="618"/>
      <c r="Q563" s="618"/>
      <c r="R563" s="618"/>
      <c r="S563" s="618"/>
      <c r="T563" s="618"/>
      <c r="U563" s="618"/>
      <c r="V563" s="618"/>
      <c r="W563" s="618"/>
      <c r="X563" s="618"/>
      <c r="Y563" s="618"/>
      <c r="Z563" s="618"/>
      <c r="AA563" s="618"/>
      <c r="AB563" s="618"/>
    </row>
    <row r="564" spans="1:28">
      <c r="A564" s="618"/>
      <c r="B564" s="618"/>
      <c r="C564" s="618"/>
      <c r="D564" s="644"/>
      <c r="E564" s="618"/>
      <c r="F564" s="618"/>
      <c r="G564" s="618"/>
      <c r="H564" s="618"/>
      <c r="I564" s="618"/>
      <c r="J564" s="618"/>
      <c r="K564" s="618"/>
      <c r="L564" s="618"/>
      <c r="M564" s="618"/>
      <c r="N564" s="618"/>
      <c r="O564" s="618"/>
      <c r="P564" s="618"/>
      <c r="Q564" s="618"/>
      <c r="R564" s="618"/>
      <c r="S564" s="618"/>
      <c r="T564" s="618"/>
      <c r="U564" s="618"/>
      <c r="V564" s="618"/>
      <c r="W564" s="618"/>
      <c r="X564" s="618"/>
      <c r="Y564" s="618"/>
      <c r="Z564" s="618"/>
      <c r="AA564" s="618"/>
      <c r="AB564" s="618"/>
    </row>
    <row r="565" spans="1:28">
      <c r="A565" s="618"/>
      <c r="B565" s="618"/>
      <c r="C565" s="618"/>
      <c r="D565" s="644"/>
      <c r="E565" s="618"/>
      <c r="F565" s="618"/>
      <c r="G565" s="618"/>
      <c r="H565" s="618"/>
      <c r="I565" s="618"/>
      <c r="J565" s="618"/>
      <c r="K565" s="618"/>
      <c r="L565" s="618"/>
      <c r="M565" s="618"/>
      <c r="N565" s="618"/>
      <c r="O565" s="618"/>
      <c r="P565" s="618"/>
      <c r="Q565" s="618"/>
      <c r="R565" s="618"/>
      <c r="S565" s="618"/>
      <c r="T565" s="618"/>
      <c r="U565" s="618"/>
      <c r="V565" s="618"/>
      <c r="W565" s="618"/>
      <c r="X565" s="618"/>
      <c r="Y565" s="618"/>
      <c r="Z565" s="618"/>
      <c r="AA565" s="618"/>
      <c r="AB565" s="618"/>
    </row>
    <row r="566" spans="1:28">
      <c r="A566" s="618"/>
      <c r="B566" s="618"/>
      <c r="C566" s="618"/>
      <c r="D566" s="644"/>
      <c r="E566" s="618"/>
      <c r="F566" s="618"/>
      <c r="G566" s="618"/>
      <c r="H566" s="618"/>
      <c r="I566" s="618"/>
      <c r="J566" s="618"/>
      <c r="K566" s="618"/>
      <c r="L566" s="618"/>
      <c r="M566" s="618"/>
      <c r="N566" s="618"/>
      <c r="O566" s="618"/>
      <c r="P566" s="618"/>
      <c r="Q566" s="618"/>
      <c r="R566" s="618"/>
      <c r="S566" s="618"/>
      <c r="T566" s="618"/>
      <c r="U566" s="618"/>
      <c r="V566" s="618"/>
      <c r="W566" s="618"/>
      <c r="X566" s="618"/>
      <c r="Y566" s="618"/>
      <c r="Z566" s="618"/>
      <c r="AA566" s="618"/>
      <c r="AB566" s="618"/>
    </row>
    <row r="567" spans="1:28">
      <c r="A567" s="618"/>
      <c r="B567" s="618"/>
      <c r="C567" s="618"/>
      <c r="D567" s="644"/>
      <c r="E567" s="618"/>
      <c r="F567" s="618"/>
      <c r="G567" s="618"/>
      <c r="H567" s="618"/>
      <c r="I567" s="618"/>
      <c r="J567" s="618"/>
      <c r="K567" s="618"/>
      <c r="L567" s="618"/>
      <c r="M567" s="618"/>
      <c r="N567" s="618"/>
      <c r="O567" s="618"/>
      <c r="P567" s="618"/>
      <c r="Q567" s="618"/>
      <c r="R567" s="618"/>
      <c r="S567" s="618"/>
      <c r="T567" s="618"/>
      <c r="U567" s="618"/>
      <c r="V567" s="618"/>
      <c r="W567" s="618"/>
      <c r="X567" s="618"/>
      <c r="Y567" s="618"/>
      <c r="Z567" s="618"/>
      <c r="AA567" s="618"/>
      <c r="AB567" s="618"/>
    </row>
    <row r="568" spans="1:28">
      <c r="A568" s="618"/>
      <c r="B568" s="618"/>
      <c r="C568" s="618"/>
      <c r="D568" s="644"/>
      <c r="E568" s="618"/>
      <c r="F568" s="618"/>
      <c r="G568" s="618"/>
      <c r="H568" s="618"/>
      <c r="I568" s="618"/>
      <c r="J568" s="618"/>
      <c r="K568" s="618"/>
      <c r="L568" s="618"/>
      <c r="M568" s="618"/>
      <c r="N568" s="618"/>
      <c r="O568" s="618"/>
      <c r="P568" s="618"/>
      <c r="Q568" s="618"/>
      <c r="R568" s="618"/>
      <c r="S568" s="618"/>
      <c r="T568" s="618"/>
      <c r="U568" s="618"/>
      <c r="V568" s="618"/>
      <c r="W568" s="618"/>
      <c r="X568" s="618"/>
      <c r="Y568" s="618"/>
      <c r="Z568" s="618"/>
      <c r="AA568" s="618"/>
      <c r="AB568" s="618"/>
    </row>
    <row r="569" spans="1:28">
      <c r="A569" s="618"/>
      <c r="B569" s="618"/>
      <c r="C569" s="618"/>
      <c r="D569" s="644"/>
      <c r="E569" s="618"/>
      <c r="F569" s="618"/>
      <c r="G569" s="618"/>
      <c r="H569" s="618"/>
      <c r="I569" s="618"/>
      <c r="J569" s="618"/>
      <c r="K569" s="618"/>
      <c r="L569" s="618"/>
      <c r="M569" s="618"/>
      <c r="N569" s="618"/>
      <c r="O569" s="618"/>
      <c r="P569" s="618"/>
      <c r="Q569" s="618"/>
      <c r="R569" s="618"/>
      <c r="S569" s="618"/>
      <c r="T569" s="618"/>
      <c r="U569" s="618"/>
      <c r="V569" s="618"/>
      <c r="W569" s="618"/>
      <c r="X569" s="618"/>
      <c r="Y569" s="618"/>
      <c r="Z569" s="618"/>
      <c r="AA569" s="618"/>
      <c r="AB569" s="618"/>
    </row>
    <row r="570" spans="1:28">
      <c r="A570" s="618"/>
      <c r="B570" s="618"/>
      <c r="C570" s="618"/>
      <c r="D570" s="644"/>
      <c r="E570" s="618"/>
      <c r="F570" s="618"/>
      <c r="G570" s="618"/>
      <c r="H570" s="618"/>
      <c r="I570" s="618"/>
      <c r="J570" s="618"/>
      <c r="K570" s="618"/>
      <c r="L570" s="618"/>
      <c r="M570" s="618"/>
      <c r="N570" s="618"/>
      <c r="O570" s="618"/>
      <c r="P570" s="618"/>
      <c r="Q570" s="618"/>
      <c r="R570" s="618"/>
      <c r="S570" s="618"/>
      <c r="T570" s="618"/>
      <c r="U570" s="618"/>
      <c r="V570" s="618"/>
      <c r="W570" s="618"/>
      <c r="X570" s="618"/>
      <c r="Y570" s="618"/>
      <c r="Z570" s="618"/>
      <c r="AA570" s="618"/>
      <c r="AB570" s="618"/>
    </row>
    <row r="571" spans="1:28">
      <c r="A571" s="618"/>
      <c r="B571" s="618"/>
      <c r="C571" s="618"/>
      <c r="D571" s="644"/>
      <c r="E571" s="618"/>
      <c r="F571" s="618"/>
      <c r="G571" s="618"/>
      <c r="H571" s="618"/>
      <c r="I571" s="618"/>
      <c r="J571" s="618"/>
      <c r="K571" s="618"/>
      <c r="L571" s="618"/>
      <c r="M571" s="618"/>
      <c r="N571" s="618"/>
      <c r="O571" s="618"/>
      <c r="P571" s="618"/>
      <c r="Q571" s="618"/>
      <c r="R571" s="618"/>
      <c r="S571" s="618"/>
      <c r="T571" s="618"/>
      <c r="U571" s="618"/>
      <c r="V571" s="618"/>
      <c r="W571" s="618"/>
      <c r="X571" s="618"/>
      <c r="Y571" s="618"/>
      <c r="Z571" s="618"/>
      <c r="AA571" s="618"/>
      <c r="AB571" s="618"/>
    </row>
    <row r="572" spans="1:28">
      <c r="A572" s="618"/>
      <c r="B572" s="618"/>
      <c r="C572" s="618"/>
      <c r="D572" s="644"/>
      <c r="E572" s="618"/>
      <c r="F572" s="618"/>
      <c r="G572" s="618"/>
      <c r="H572" s="618"/>
      <c r="I572" s="618"/>
      <c r="J572" s="618"/>
      <c r="K572" s="618"/>
      <c r="L572" s="618"/>
      <c r="M572" s="618"/>
      <c r="N572" s="618"/>
      <c r="O572" s="618"/>
      <c r="P572" s="618"/>
      <c r="Q572" s="618"/>
      <c r="R572" s="618"/>
      <c r="S572" s="618"/>
      <c r="T572" s="618"/>
      <c r="U572" s="618"/>
      <c r="V572" s="618"/>
      <c r="W572" s="618"/>
      <c r="X572" s="618"/>
      <c r="Y572" s="618"/>
      <c r="Z572" s="618"/>
      <c r="AA572" s="618"/>
      <c r="AB572" s="618"/>
    </row>
    <row r="573" spans="1:28">
      <c r="A573" s="618"/>
      <c r="B573" s="618"/>
      <c r="C573" s="618"/>
      <c r="D573" s="644"/>
      <c r="E573" s="618"/>
      <c r="F573" s="618"/>
      <c r="G573" s="618"/>
      <c r="H573" s="618"/>
      <c r="I573" s="618"/>
      <c r="J573" s="618"/>
      <c r="K573" s="618"/>
      <c r="L573" s="618"/>
      <c r="M573" s="618"/>
      <c r="N573" s="618"/>
      <c r="O573" s="618"/>
      <c r="P573" s="618"/>
      <c r="Q573" s="618"/>
      <c r="R573" s="618"/>
      <c r="S573" s="618"/>
      <c r="T573" s="618"/>
      <c r="U573" s="618"/>
      <c r="V573" s="618"/>
      <c r="W573" s="618"/>
      <c r="X573" s="618"/>
      <c r="Y573" s="618"/>
      <c r="Z573" s="618"/>
      <c r="AA573" s="618"/>
      <c r="AB573" s="618"/>
    </row>
    <row r="574" spans="1:28">
      <c r="A574" s="618"/>
      <c r="B574" s="618"/>
      <c r="C574" s="618"/>
      <c r="D574" s="644"/>
      <c r="E574" s="618"/>
      <c r="F574" s="618"/>
      <c r="G574" s="618"/>
      <c r="H574" s="618"/>
      <c r="I574" s="618"/>
      <c r="J574" s="618"/>
      <c r="K574" s="618"/>
      <c r="L574" s="618"/>
      <c r="M574" s="618"/>
      <c r="N574" s="618"/>
      <c r="O574" s="618"/>
      <c r="P574" s="618"/>
      <c r="Q574" s="618"/>
      <c r="R574" s="618"/>
      <c r="S574" s="618"/>
      <c r="T574" s="618"/>
      <c r="U574" s="618"/>
      <c r="V574" s="618"/>
      <c r="W574" s="618"/>
      <c r="X574" s="618"/>
      <c r="Y574" s="618"/>
      <c r="Z574" s="618"/>
      <c r="AA574" s="618"/>
      <c r="AB574" s="618"/>
    </row>
    <row r="575" spans="1:28">
      <c r="A575" s="618"/>
      <c r="B575" s="618"/>
      <c r="C575" s="618"/>
      <c r="D575" s="644"/>
      <c r="E575" s="618"/>
      <c r="F575" s="618"/>
      <c r="G575" s="618"/>
      <c r="H575" s="618"/>
      <c r="I575" s="618"/>
      <c r="J575" s="618"/>
      <c r="K575" s="618"/>
      <c r="L575" s="618"/>
      <c r="M575" s="618"/>
      <c r="N575" s="618"/>
      <c r="O575" s="618"/>
      <c r="P575" s="618"/>
      <c r="Q575" s="618"/>
      <c r="R575" s="618"/>
      <c r="S575" s="618"/>
      <c r="T575" s="618"/>
      <c r="U575" s="618"/>
      <c r="V575" s="618"/>
      <c r="W575" s="618"/>
      <c r="X575" s="618"/>
      <c r="Y575" s="618"/>
      <c r="Z575" s="618"/>
      <c r="AA575" s="618"/>
      <c r="AB575" s="618"/>
    </row>
    <row r="576" spans="1:28">
      <c r="A576" s="618"/>
      <c r="B576" s="618"/>
      <c r="C576" s="618"/>
      <c r="D576" s="644"/>
      <c r="E576" s="618"/>
      <c r="F576" s="618"/>
      <c r="G576" s="618"/>
      <c r="H576" s="618"/>
      <c r="I576" s="618"/>
      <c r="J576" s="618"/>
      <c r="K576" s="618"/>
      <c r="L576" s="618"/>
      <c r="M576" s="618"/>
      <c r="N576" s="618"/>
      <c r="O576" s="618"/>
      <c r="P576" s="618"/>
      <c r="Q576" s="618"/>
      <c r="R576" s="618"/>
      <c r="S576" s="618"/>
      <c r="T576" s="618"/>
      <c r="U576" s="618"/>
      <c r="V576" s="618"/>
      <c r="W576" s="618"/>
      <c r="X576" s="618"/>
      <c r="Y576" s="618"/>
      <c r="Z576" s="618"/>
      <c r="AA576" s="618"/>
      <c r="AB576" s="618"/>
    </row>
    <row r="577" spans="1:28">
      <c r="A577" s="618"/>
      <c r="B577" s="618"/>
      <c r="C577" s="618"/>
      <c r="D577" s="644"/>
      <c r="E577" s="618"/>
      <c r="F577" s="618"/>
      <c r="G577" s="618"/>
      <c r="H577" s="618"/>
      <c r="I577" s="618"/>
      <c r="J577" s="618"/>
      <c r="K577" s="618"/>
      <c r="L577" s="618"/>
      <c r="M577" s="618"/>
      <c r="N577" s="618"/>
      <c r="O577" s="618"/>
      <c r="P577" s="618"/>
      <c r="Q577" s="618"/>
      <c r="R577" s="618"/>
      <c r="S577" s="618"/>
      <c r="T577" s="618"/>
      <c r="U577" s="618"/>
      <c r="V577" s="618"/>
      <c r="W577" s="618"/>
      <c r="X577" s="618"/>
      <c r="Y577" s="618"/>
      <c r="Z577" s="618"/>
      <c r="AA577" s="618"/>
      <c r="AB577" s="618"/>
    </row>
    <row r="578" spans="1:28">
      <c r="A578" s="618"/>
      <c r="B578" s="618"/>
      <c r="C578" s="618"/>
      <c r="D578" s="644"/>
      <c r="E578" s="618"/>
      <c r="F578" s="618"/>
      <c r="G578" s="618"/>
      <c r="H578" s="618"/>
      <c r="I578" s="618"/>
      <c r="J578" s="618"/>
      <c r="K578" s="618"/>
      <c r="L578" s="618"/>
      <c r="M578" s="618"/>
      <c r="N578" s="618"/>
      <c r="O578" s="618"/>
      <c r="P578" s="618"/>
      <c r="Q578" s="618"/>
      <c r="R578" s="618"/>
      <c r="S578" s="618"/>
      <c r="T578" s="618"/>
      <c r="U578" s="618"/>
      <c r="V578" s="618"/>
      <c r="W578" s="618"/>
      <c r="X578" s="618"/>
      <c r="Y578" s="618"/>
      <c r="Z578" s="618"/>
      <c r="AA578" s="618"/>
      <c r="AB578" s="618"/>
    </row>
    <row r="579" spans="1:28">
      <c r="A579" s="618"/>
      <c r="B579" s="618"/>
      <c r="C579" s="618"/>
      <c r="D579" s="644"/>
      <c r="E579" s="618"/>
      <c r="F579" s="618"/>
      <c r="G579" s="618"/>
      <c r="H579" s="618"/>
      <c r="I579" s="618"/>
      <c r="J579" s="618"/>
      <c r="K579" s="618"/>
      <c r="L579" s="618"/>
      <c r="M579" s="618"/>
      <c r="N579" s="618"/>
      <c r="O579" s="618"/>
      <c r="P579" s="618"/>
      <c r="Q579" s="618"/>
      <c r="R579" s="618"/>
      <c r="S579" s="618"/>
      <c r="T579" s="618"/>
      <c r="U579" s="618"/>
      <c r="V579" s="618"/>
      <c r="W579" s="618"/>
      <c r="X579" s="618"/>
      <c r="Y579" s="618"/>
      <c r="Z579" s="618"/>
      <c r="AA579" s="618"/>
      <c r="AB579" s="618"/>
    </row>
    <row r="580" spans="1:28">
      <c r="A580" s="618"/>
      <c r="B580" s="618"/>
      <c r="C580" s="618"/>
      <c r="D580" s="644"/>
      <c r="E580" s="618"/>
      <c r="F580" s="618"/>
      <c r="G580" s="618"/>
      <c r="H580" s="618"/>
      <c r="I580" s="618"/>
      <c r="J580" s="618"/>
      <c r="K580" s="618"/>
      <c r="L580" s="618"/>
      <c r="M580" s="618"/>
      <c r="N580" s="618"/>
      <c r="O580" s="618"/>
      <c r="P580" s="618"/>
      <c r="Q580" s="618"/>
      <c r="R580" s="618"/>
      <c r="S580" s="618"/>
      <c r="T580" s="618"/>
      <c r="U580" s="618"/>
      <c r="V580" s="618"/>
      <c r="W580" s="618"/>
      <c r="X580" s="618"/>
      <c r="Y580" s="618"/>
      <c r="Z580" s="618"/>
      <c r="AA580" s="618"/>
      <c r="AB580" s="618"/>
    </row>
    <row r="581" spans="1:28">
      <c r="A581" s="618"/>
      <c r="B581" s="618"/>
      <c r="C581" s="618"/>
      <c r="D581" s="644"/>
      <c r="E581" s="618"/>
      <c r="F581" s="618"/>
      <c r="G581" s="618"/>
      <c r="H581" s="618"/>
      <c r="I581" s="618"/>
      <c r="J581" s="618"/>
      <c r="K581" s="618"/>
      <c r="L581" s="618"/>
      <c r="M581" s="618"/>
      <c r="N581" s="618"/>
      <c r="O581" s="618"/>
      <c r="P581" s="618"/>
      <c r="Q581" s="618"/>
      <c r="R581" s="618"/>
      <c r="S581" s="618"/>
      <c r="T581" s="618"/>
      <c r="U581" s="618"/>
      <c r="V581" s="618"/>
      <c r="W581" s="618"/>
      <c r="X581" s="618"/>
      <c r="Y581" s="618"/>
      <c r="Z581" s="618"/>
      <c r="AA581" s="618"/>
      <c r="AB581" s="618"/>
    </row>
    <row r="582" spans="1:28">
      <c r="A582" s="618"/>
      <c r="B582" s="618"/>
      <c r="C582" s="618"/>
      <c r="D582" s="644"/>
      <c r="E582" s="618"/>
      <c r="F582" s="618"/>
      <c r="G582" s="618"/>
      <c r="H582" s="618"/>
      <c r="I582" s="618"/>
      <c r="J582" s="618"/>
      <c r="K582" s="618"/>
      <c r="L582" s="618"/>
      <c r="M582" s="618"/>
      <c r="N582" s="618"/>
      <c r="O582" s="618"/>
      <c r="P582" s="618"/>
      <c r="Q582" s="618"/>
      <c r="R582" s="618"/>
      <c r="S582" s="618"/>
      <c r="T582" s="618"/>
      <c r="U582" s="618"/>
      <c r="V582" s="618"/>
      <c r="W582" s="618"/>
      <c r="X582" s="618"/>
      <c r="Y582" s="618"/>
      <c r="Z582" s="618"/>
      <c r="AA582" s="618"/>
      <c r="AB582" s="618"/>
    </row>
    <row r="583" spans="1:28">
      <c r="A583" s="618"/>
      <c r="B583" s="618"/>
      <c r="C583" s="618"/>
      <c r="D583" s="644"/>
      <c r="E583" s="618"/>
      <c r="F583" s="618"/>
      <c r="G583" s="618"/>
      <c r="H583" s="618"/>
      <c r="I583" s="618"/>
      <c r="J583" s="618"/>
      <c r="K583" s="618"/>
      <c r="L583" s="618"/>
      <c r="M583" s="618"/>
      <c r="N583" s="618"/>
      <c r="O583" s="618"/>
      <c r="P583" s="618"/>
      <c r="Q583" s="618"/>
      <c r="R583" s="618"/>
      <c r="S583" s="618"/>
      <c r="T583" s="618"/>
      <c r="U583" s="618"/>
      <c r="V583" s="618"/>
      <c r="W583" s="618"/>
      <c r="X583" s="618"/>
      <c r="Y583" s="618"/>
      <c r="Z583" s="618"/>
      <c r="AA583" s="618"/>
      <c r="AB583" s="618"/>
    </row>
    <row r="584" spans="1:28">
      <c r="A584" s="618"/>
      <c r="B584" s="618"/>
      <c r="C584" s="618"/>
      <c r="D584" s="644"/>
      <c r="E584" s="618"/>
      <c r="F584" s="618"/>
      <c r="G584" s="618"/>
      <c r="H584" s="618"/>
      <c r="I584" s="618"/>
      <c r="J584" s="618"/>
      <c r="K584" s="618"/>
      <c r="L584" s="618"/>
      <c r="M584" s="618"/>
      <c r="N584" s="618"/>
      <c r="O584" s="618"/>
      <c r="P584" s="618"/>
      <c r="Q584" s="618"/>
      <c r="R584" s="618"/>
      <c r="S584" s="618"/>
      <c r="T584" s="618"/>
      <c r="U584" s="618"/>
      <c r="V584" s="618"/>
      <c r="W584" s="618"/>
      <c r="X584" s="618"/>
      <c r="Y584" s="618"/>
      <c r="Z584" s="618"/>
      <c r="AA584" s="618"/>
      <c r="AB584" s="618"/>
    </row>
    <row r="585" spans="1:28">
      <c r="A585" s="618"/>
      <c r="B585" s="618"/>
      <c r="C585" s="618"/>
      <c r="D585" s="644"/>
      <c r="E585" s="618"/>
      <c r="F585" s="618"/>
      <c r="G585" s="618"/>
      <c r="H585" s="618"/>
      <c r="I585" s="618"/>
      <c r="J585" s="618"/>
      <c r="K585" s="618"/>
      <c r="L585" s="618"/>
      <c r="M585" s="618"/>
      <c r="N585" s="618"/>
      <c r="O585" s="618"/>
      <c r="P585" s="618"/>
      <c r="Q585" s="618"/>
      <c r="R585" s="618"/>
      <c r="S585" s="618"/>
      <c r="T585" s="618"/>
      <c r="U585" s="618"/>
      <c r="V585" s="618"/>
      <c r="W585" s="618"/>
      <c r="X585" s="618"/>
      <c r="Y585" s="618"/>
      <c r="Z585" s="618"/>
      <c r="AA585" s="618"/>
      <c r="AB585" s="618"/>
    </row>
    <row r="586" spans="1:28">
      <c r="A586" s="618"/>
      <c r="B586" s="618"/>
      <c r="C586" s="618"/>
      <c r="D586" s="644"/>
      <c r="E586" s="618"/>
      <c r="F586" s="618"/>
      <c r="G586" s="618"/>
      <c r="H586" s="618"/>
      <c r="I586" s="618"/>
      <c r="J586" s="618"/>
      <c r="K586" s="618"/>
      <c r="L586" s="618"/>
      <c r="M586" s="618"/>
      <c r="N586" s="618"/>
      <c r="O586" s="618"/>
      <c r="P586" s="618"/>
      <c r="Q586" s="618"/>
      <c r="R586" s="618"/>
      <c r="S586" s="618"/>
      <c r="T586" s="618"/>
      <c r="U586" s="618"/>
      <c r="V586" s="618"/>
      <c r="W586" s="618"/>
      <c r="X586" s="618"/>
      <c r="Y586" s="618"/>
      <c r="Z586" s="618"/>
      <c r="AA586" s="618"/>
      <c r="AB586" s="618"/>
    </row>
    <row r="587" spans="1:28">
      <c r="A587" s="618"/>
      <c r="B587" s="618"/>
      <c r="C587" s="618"/>
      <c r="D587" s="644"/>
      <c r="E587" s="618"/>
      <c r="F587" s="618"/>
      <c r="G587" s="618"/>
      <c r="H587" s="618"/>
      <c r="I587" s="618"/>
      <c r="J587" s="618"/>
      <c r="K587" s="618"/>
      <c r="L587" s="618"/>
      <c r="M587" s="618"/>
      <c r="N587" s="618"/>
      <c r="O587" s="618"/>
      <c r="P587" s="618"/>
      <c r="Q587" s="618"/>
      <c r="R587" s="618"/>
      <c r="S587" s="618"/>
      <c r="T587" s="618"/>
      <c r="U587" s="618"/>
      <c r="V587" s="618"/>
      <c r="W587" s="618"/>
      <c r="X587" s="618"/>
      <c r="Y587" s="618"/>
      <c r="Z587" s="618"/>
      <c r="AA587" s="618"/>
      <c r="AB587" s="618"/>
    </row>
    <row r="588" spans="1:28">
      <c r="A588" s="618"/>
      <c r="B588" s="618"/>
      <c r="C588" s="618"/>
      <c r="D588" s="644"/>
      <c r="E588" s="618"/>
      <c r="F588" s="618"/>
      <c r="G588" s="618"/>
      <c r="H588" s="618"/>
      <c r="I588" s="618"/>
      <c r="J588" s="618"/>
      <c r="K588" s="618"/>
      <c r="L588" s="618"/>
      <c r="M588" s="618"/>
      <c r="N588" s="618"/>
      <c r="O588" s="618"/>
      <c r="P588" s="618"/>
      <c r="Q588" s="618"/>
      <c r="R588" s="618"/>
      <c r="S588" s="618"/>
      <c r="T588" s="618"/>
      <c r="U588" s="618"/>
      <c r="V588" s="618"/>
      <c r="W588" s="618"/>
      <c r="X588" s="618"/>
      <c r="Y588" s="618"/>
      <c r="Z588" s="618"/>
      <c r="AA588" s="618"/>
      <c r="AB588" s="618"/>
    </row>
    <row r="589" spans="1:28">
      <c r="A589" s="618"/>
      <c r="B589" s="618"/>
      <c r="C589" s="618"/>
      <c r="D589" s="644"/>
      <c r="E589" s="618"/>
      <c r="F589" s="618"/>
      <c r="G589" s="618"/>
      <c r="H589" s="618"/>
      <c r="I589" s="618"/>
      <c r="J589" s="618"/>
      <c r="K589" s="618"/>
      <c r="L589" s="618"/>
      <c r="M589" s="618"/>
      <c r="N589" s="618"/>
      <c r="O589" s="618"/>
      <c r="P589" s="618"/>
      <c r="Q589" s="618"/>
      <c r="R589" s="618"/>
      <c r="S589" s="618"/>
      <c r="T589" s="618"/>
      <c r="U589" s="618"/>
      <c r="V589" s="618"/>
      <c r="W589" s="618"/>
      <c r="X589" s="618"/>
      <c r="Y589" s="618"/>
      <c r="Z589" s="618"/>
      <c r="AA589" s="618"/>
      <c r="AB589" s="618"/>
    </row>
    <row r="590" spans="1:28">
      <c r="A590" s="618"/>
      <c r="B590" s="618"/>
      <c r="C590" s="618"/>
      <c r="D590" s="644"/>
      <c r="E590" s="618"/>
      <c r="F590" s="618"/>
      <c r="G590" s="618"/>
      <c r="H590" s="618"/>
      <c r="I590" s="618"/>
      <c r="J590" s="618"/>
      <c r="K590" s="618"/>
      <c r="L590" s="618"/>
      <c r="M590" s="618"/>
      <c r="N590" s="618"/>
      <c r="O590" s="618"/>
      <c r="P590" s="618"/>
      <c r="Q590" s="618"/>
      <c r="R590" s="618"/>
      <c r="S590" s="618"/>
      <c r="T590" s="618"/>
      <c r="U590" s="618"/>
      <c r="V590" s="618"/>
      <c r="W590" s="618"/>
      <c r="X590" s="618"/>
      <c r="Y590" s="618"/>
      <c r="Z590" s="618"/>
      <c r="AA590" s="618"/>
      <c r="AB590" s="618"/>
    </row>
    <row r="591" spans="1:28">
      <c r="A591" s="618"/>
      <c r="B591" s="618"/>
      <c r="C591" s="618"/>
      <c r="D591" s="644"/>
      <c r="E591" s="618"/>
      <c r="F591" s="618"/>
      <c r="G591" s="618"/>
      <c r="H591" s="618"/>
      <c r="I591" s="618"/>
      <c r="J591" s="618"/>
      <c r="K591" s="618"/>
      <c r="L591" s="618"/>
      <c r="M591" s="618"/>
      <c r="N591" s="618"/>
      <c r="O591" s="618"/>
      <c r="P591" s="618"/>
      <c r="Q591" s="618"/>
      <c r="R591" s="618"/>
      <c r="S591" s="618"/>
      <c r="T591" s="618"/>
      <c r="U591" s="618"/>
      <c r="V591" s="618"/>
      <c r="W591" s="618"/>
      <c r="X591" s="618"/>
      <c r="Y591" s="618"/>
      <c r="Z591" s="618"/>
      <c r="AA591" s="618"/>
      <c r="AB591" s="618"/>
    </row>
    <row r="592" spans="1:28">
      <c r="A592" s="618"/>
      <c r="B592" s="618"/>
      <c r="C592" s="618"/>
      <c r="D592" s="644"/>
      <c r="E592" s="618"/>
      <c r="F592" s="618"/>
      <c r="G592" s="618"/>
      <c r="H592" s="618"/>
      <c r="I592" s="618"/>
      <c r="J592" s="618"/>
      <c r="K592" s="618"/>
      <c r="L592" s="618"/>
      <c r="M592" s="618"/>
      <c r="N592" s="618"/>
      <c r="O592" s="618"/>
      <c r="P592" s="618"/>
      <c r="Q592" s="618"/>
      <c r="R592" s="618"/>
      <c r="S592" s="618"/>
      <c r="T592" s="618"/>
      <c r="U592" s="618"/>
      <c r="V592" s="618"/>
      <c r="W592" s="618"/>
      <c r="X592" s="618"/>
      <c r="Y592" s="618"/>
      <c r="Z592" s="618"/>
      <c r="AA592" s="618"/>
      <c r="AB592" s="618"/>
    </row>
    <row r="593" spans="1:28">
      <c r="A593" s="618"/>
      <c r="B593" s="618"/>
      <c r="C593" s="618"/>
      <c r="D593" s="644"/>
      <c r="E593" s="618"/>
      <c r="F593" s="618"/>
      <c r="G593" s="618"/>
      <c r="H593" s="618"/>
      <c r="I593" s="618"/>
      <c r="J593" s="618"/>
      <c r="K593" s="618"/>
      <c r="L593" s="618"/>
      <c r="M593" s="618"/>
      <c r="N593" s="618"/>
      <c r="O593" s="618"/>
      <c r="P593" s="618"/>
      <c r="Q593" s="618"/>
      <c r="R593" s="618"/>
      <c r="S593" s="618"/>
      <c r="T593" s="618"/>
      <c r="U593" s="618"/>
      <c r="V593" s="618"/>
      <c r="W593" s="618"/>
      <c r="X593" s="618"/>
      <c r="Y593" s="618"/>
      <c r="Z593" s="618"/>
      <c r="AA593" s="618"/>
      <c r="AB593" s="618"/>
    </row>
    <row r="594" spans="1:28">
      <c r="A594" s="618"/>
      <c r="B594" s="618"/>
      <c r="C594" s="618"/>
      <c r="D594" s="644"/>
      <c r="E594" s="618"/>
      <c r="F594" s="618"/>
      <c r="G594" s="618"/>
      <c r="H594" s="618"/>
      <c r="I594" s="618"/>
      <c r="J594" s="618"/>
      <c r="K594" s="618"/>
      <c r="L594" s="618"/>
      <c r="M594" s="618"/>
      <c r="N594" s="618"/>
      <c r="O594" s="618"/>
      <c r="P594" s="618"/>
      <c r="Q594" s="618"/>
      <c r="R594" s="618"/>
      <c r="S594" s="618"/>
      <c r="T594" s="618"/>
      <c r="U594" s="618"/>
      <c r="V594" s="618"/>
      <c r="W594" s="618"/>
      <c r="X594" s="618"/>
      <c r="Y594" s="618"/>
      <c r="Z594" s="618"/>
      <c r="AA594" s="618"/>
      <c r="AB594" s="618"/>
    </row>
    <row r="595" spans="1:28">
      <c r="A595" s="618"/>
      <c r="B595" s="618"/>
      <c r="C595" s="618"/>
      <c r="D595" s="644"/>
      <c r="E595" s="618"/>
      <c r="F595" s="618"/>
      <c r="G595" s="618"/>
      <c r="H595" s="618"/>
      <c r="I595" s="618"/>
      <c r="J595" s="618"/>
      <c r="K595" s="618"/>
      <c r="L595" s="618"/>
      <c r="M595" s="618"/>
      <c r="N595" s="618"/>
      <c r="O595" s="618"/>
      <c r="P595" s="618"/>
      <c r="Q595" s="618"/>
      <c r="R595" s="618"/>
      <c r="S595" s="618"/>
      <c r="T595" s="618"/>
      <c r="U595" s="618"/>
      <c r="V595" s="618"/>
      <c r="W595" s="618"/>
      <c r="X595" s="618"/>
      <c r="Y595" s="618"/>
      <c r="Z595" s="618"/>
      <c r="AA595" s="618"/>
      <c r="AB595" s="618"/>
    </row>
    <row r="596" spans="1:28">
      <c r="A596" s="618"/>
      <c r="B596" s="618"/>
      <c r="C596" s="618"/>
      <c r="D596" s="644"/>
      <c r="E596" s="618"/>
      <c r="F596" s="618"/>
      <c r="G596" s="618"/>
      <c r="H596" s="618"/>
      <c r="I596" s="618"/>
      <c r="J596" s="618"/>
      <c r="K596" s="618"/>
      <c r="L596" s="618"/>
      <c r="M596" s="618"/>
      <c r="N596" s="618"/>
      <c r="O596" s="618"/>
      <c r="P596" s="618"/>
      <c r="Q596" s="618"/>
      <c r="R596" s="618"/>
      <c r="S596" s="618"/>
      <c r="T596" s="618"/>
      <c r="U596" s="618"/>
      <c r="V596" s="618"/>
      <c r="W596" s="618"/>
      <c r="X596" s="618"/>
      <c r="Y596" s="618"/>
      <c r="Z596" s="618"/>
      <c r="AA596" s="618"/>
      <c r="AB596" s="618"/>
    </row>
    <row r="597" spans="1:28">
      <c r="A597" s="618"/>
      <c r="B597" s="618"/>
      <c r="C597" s="618"/>
      <c r="D597" s="644"/>
      <c r="E597" s="618"/>
      <c r="F597" s="618"/>
      <c r="G597" s="618"/>
      <c r="H597" s="618"/>
      <c r="I597" s="618"/>
      <c r="J597" s="618"/>
      <c r="K597" s="618"/>
      <c r="L597" s="618"/>
      <c r="M597" s="618"/>
      <c r="N597" s="618"/>
      <c r="O597" s="618"/>
      <c r="P597" s="618"/>
      <c r="Q597" s="618"/>
      <c r="R597" s="618"/>
      <c r="S597" s="618"/>
      <c r="T597" s="618"/>
      <c r="U597" s="618"/>
      <c r="V597" s="618"/>
      <c r="W597" s="618"/>
      <c r="X597" s="618"/>
      <c r="Y597" s="618"/>
      <c r="Z597" s="618"/>
      <c r="AA597" s="618"/>
      <c r="AB597" s="618"/>
    </row>
    <row r="598" spans="1:28">
      <c r="A598" s="618"/>
      <c r="B598" s="618"/>
      <c r="C598" s="618"/>
      <c r="D598" s="644"/>
      <c r="E598" s="618"/>
      <c r="F598" s="618"/>
      <c r="G598" s="618"/>
      <c r="H598" s="618"/>
      <c r="I598" s="618"/>
      <c r="J598" s="618"/>
      <c r="K598" s="618"/>
      <c r="L598" s="618"/>
      <c r="M598" s="618"/>
      <c r="N598" s="618"/>
      <c r="O598" s="618"/>
      <c r="P598" s="618"/>
      <c r="Q598" s="618"/>
      <c r="R598" s="618"/>
      <c r="S598" s="618"/>
      <c r="T598" s="618"/>
      <c r="U598" s="618"/>
      <c r="V598" s="618"/>
      <c r="W598" s="618"/>
      <c r="X598" s="618"/>
      <c r="Y598" s="618"/>
      <c r="Z598" s="618"/>
      <c r="AA598" s="618"/>
      <c r="AB598" s="618"/>
    </row>
    <row r="599" spans="1:28">
      <c r="A599" s="618"/>
      <c r="B599" s="618"/>
      <c r="C599" s="618"/>
      <c r="D599" s="644"/>
      <c r="E599" s="618"/>
      <c r="F599" s="618"/>
      <c r="G599" s="618"/>
      <c r="H599" s="618"/>
      <c r="I599" s="618"/>
      <c r="J599" s="618"/>
      <c r="K599" s="618"/>
      <c r="L599" s="618"/>
      <c r="M599" s="618"/>
      <c r="N599" s="618"/>
      <c r="O599" s="618"/>
      <c r="P599" s="618"/>
      <c r="Q599" s="618"/>
      <c r="R599" s="618"/>
      <c r="S599" s="618"/>
      <c r="T599" s="618"/>
      <c r="U599" s="618"/>
      <c r="V599" s="618"/>
      <c r="W599" s="618"/>
      <c r="X599" s="618"/>
      <c r="Y599" s="618"/>
      <c r="Z599" s="618"/>
      <c r="AA599" s="618"/>
      <c r="AB599" s="618"/>
    </row>
    <row r="600" spans="1:28">
      <c r="A600" s="618"/>
      <c r="B600" s="618"/>
      <c r="C600" s="618"/>
      <c r="D600" s="644"/>
      <c r="E600" s="618"/>
      <c r="F600" s="618"/>
      <c r="G600" s="618"/>
      <c r="H600" s="618"/>
      <c r="I600" s="618"/>
      <c r="J600" s="618"/>
      <c r="K600" s="618"/>
      <c r="L600" s="618"/>
      <c r="M600" s="618"/>
      <c r="N600" s="618"/>
      <c r="O600" s="618"/>
      <c r="P600" s="618"/>
      <c r="Q600" s="618"/>
      <c r="R600" s="618"/>
      <c r="S600" s="618"/>
      <c r="T600" s="618"/>
      <c r="U600" s="618"/>
      <c r="V600" s="618"/>
      <c r="W600" s="618"/>
      <c r="X600" s="618"/>
      <c r="Y600" s="618"/>
      <c r="Z600" s="618"/>
      <c r="AA600" s="618"/>
      <c r="AB600" s="618"/>
    </row>
    <row r="601" spans="1:28">
      <c r="A601" s="618"/>
      <c r="B601" s="618"/>
      <c r="C601" s="618"/>
      <c r="D601" s="644"/>
      <c r="E601" s="618"/>
      <c r="F601" s="618"/>
      <c r="G601" s="618"/>
      <c r="H601" s="618"/>
      <c r="I601" s="618"/>
      <c r="J601" s="618"/>
      <c r="K601" s="618"/>
      <c r="L601" s="618"/>
      <c r="M601" s="618"/>
      <c r="N601" s="618"/>
      <c r="O601" s="618"/>
      <c r="P601" s="618"/>
      <c r="Q601" s="618"/>
      <c r="R601" s="618"/>
      <c r="S601" s="618"/>
      <c r="T601" s="618"/>
      <c r="U601" s="618"/>
      <c r="V601" s="618"/>
      <c r="W601" s="618"/>
      <c r="X601" s="618"/>
      <c r="Y601" s="618"/>
      <c r="Z601" s="618"/>
      <c r="AA601" s="618"/>
      <c r="AB601" s="618"/>
    </row>
    <row r="602" spans="1:28">
      <c r="A602" s="618"/>
      <c r="B602" s="618"/>
      <c r="C602" s="618"/>
      <c r="D602" s="644"/>
      <c r="E602" s="618"/>
      <c r="F602" s="618"/>
      <c r="G602" s="618"/>
      <c r="H602" s="618"/>
      <c r="I602" s="618"/>
      <c r="J602" s="618"/>
      <c r="K602" s="618"/>
      <c r="L602" s="618"/>
      <c r="M602" s="618"/>
      <c r="N602" s="618"/>
      <c r="O602" s="618"/>
      <c r="P602" s="618"/>
      <c r="Q602" s="618"/>
      <c r="R602" s="618"/>
      <c r="S602" s="618"/>
      <c r="T602" s="618"/>
      <c r="U602" s="618"/>
      <c r="V602" s="618"/>
      <c r="W602" s="618"/>
      <c r="X602" s="618"/>
      <c r="Y602" s="618"/>
      <c r="Z602" s="618"/>
      <c r="AA602" s="618"/>
      <c r="AB602" s="618"/>
    </row>
    <row r="603" spans="1:28">
      <c r="A603" s="618"/>
      <c r="B603" s="618"/>
      <c r="C603" s="618"/>
      <c r="D603" s="644"/>
      <c r="E603" s="618"/>
      <c r="F603" s="618"/>
      <c r="G603" s="618"/>
      <c r="H603" s="618"/>
      <c r="I603" s="618"/>
      <c r="J603" s="618"/>
      <c r="K603" s="618"/>
      <c r="L603" s="618"/>
      <c r="M603" s="618"/>
      <c r="N603" s="618"/>
      <c r="O603" s="618"/>
      <c r="P603" s="618"/>
      <c r="Q603" s="618"/>
      <c r="R603" s="618"/>
      <c r="S603" s="618"/>
      <c r="T603" s="618"/>
      <c r="U603" s="618"/>
      <c r="V603" s="618"/>
      <c r="W603" s="618"/>
      <c r="X603" s="618"/>
      <c r="Y603" s="618"/>
      <c r="Z603" s="618"/>
      <c r="AA603" s="618"/>
      <c r="AB603" s="618"/>
    </row>
    <row r="604" spans="1:28">
      <c r="A604" s="618"/>
      <c r="B604" s="618"/>
      <c r="C604" s="618"/>
      <c r="D604" s="644"/>
      <c r="E604" s="618"/>
      <c r="F604" s="618"/>
      <c r="G604" s="618"/>
      <c r="H604" s="618"/>
      <c r="I604" s="618"/>
      <c r="J604" s="618"/>
      <c r="K604" s="618"/>
      <c r="L604" s="618"/>
      <c r="M604" s="618"/>
      <c r="N604" s="618"/>
      <c r="O604" s="618"/>
      <c r="P604" s="618"/>
      <c r="Q604" s="618"/>
      <c r="R604" s="618"/>
      <c r="S604" s="618"/>
      <c r="T604" s="618"/>
      <c r="U604" s="618"/>
      <c r="V604" s="618"/>
      <c r="W604" s="618"/>
      <c r="X604" s="618"/>
      <c r="Y604" s="618"/>
      <c r="Z604" s="618"/>
      <c r="AA604" s="618"/>
      <c r="AB604" s="618"/>
    </row>
    <row r="605" spans="1:28">
      <c r="A605" s="618"/>
      <c r="B605" s="618"/>
      <c r="C605" s="618"/>
      <c r="D605" s="644"/>
      <c r="E605" s="618"/>
      <c r="F605" s="618"/>
      <c r="G605" s="618"/>
      <c r="H605" s="618"/>
      <c r="I605" s="618"/>
      <c r="J605" s="618"/>
      <c r="K605" s="618"/>
      <c r="L605" s="618"/>
      <c r="M605" s="618"/>
      <c r="N605" s="618"/>
      <c r="O605" s="618"/>
      <c r="P605" s="618"/>
      <c r="Q605" s="618"/>
      <c r="R605" s="618"/>
      <c r="S605" s="618"/>
      <c r="T605" s="618"/>
      <c r="U605" s="618"/>
      <c r="V605" s="618"/>
      <c r="W605" s="618"/>
      <c r="X605" s="618"/>
      <c r="Y605" s="618"/>
      <c r="Z605" s="618"/>
      <c r="AA605" s="618"/>
      <c r="AB605" s="618"/>
    </row>
    <row r="606" spans="1:28">
      <c r="A606" s="618"/>
      <c r="B606" s="618"/>
      <c r="C606" s="618"/>
      <c r="D606" s="644"/>
      <c r="E606" s="618"/>
      <c r="F606" s="618"/>
      <c r="G606" s="618"/>
      <c r="H606" s="618"/>
      <c r="I606" s="618"/>
      <c r="J606" s="618"/>
      <c r="K606" s="618"/>
      <c r="L606" s="618"/>
      <c r="M606" s="618"/>
      <c r="N606" s="618"/>
      <c r="O606" s="618"/>
      <c r="P606" s="618"/>
      <c r="Q606" s="618"/>
      <c r="R606" s="618"/>
      <c r="S606" s="618"/>
      <c r="T606" s="618"/>
      <c r="U606" s="618"/>
      <c r="V606" s="618"/>
      <c r="W606" s="618"/>
      <c r="X606" s="618"/>
      <c r="Y606" s="618"/>
      <c r="Z606" s="618"/>
      <c r="AA606" s="618"/>
      <c r="AB606" s="618"/>
    </row>
    <row r="607" spans="1:28">
      <c r="A607" s="618"/>
      <c r="B607" s="618"/>
      <c r="C607" s="618"/>
      <c r="D607" s="644"/>
      <c r="E607" s="618"/>
      <c r="F607" s="618"/>
      <c r="G607" s="618"/>
      <c r="H607" s="618"/>
      <c r="I607" s="618"/>
      <c r="J607" s="618"/>
      <c r="K607" s="618"/>
      <c r="L607" s="618"/>
      <c r="M607" s="618"/>
      <c r="N607" s="618"/>
      <c r="O607" s="618"/>
      <c r="P607" s="618"/>
      <c r="Q607" s="618"/>
      <c r="R607" s="618"/>
      <c r="S607" s="618"/>
      <c r="T607" s="618"/>
      <c r="U607" s="618"/>
      <c r="V607" s="618"/>
      <c r="W607" s="618"/>
      <c r="X607" s="618"/>
      <c r="Y607" s="618"/>
      <c r="Z607" s="618"/>
      <c r="AA607" s="618"/>
      <c r="AB607" s="618"/>
    </row>
    <row r="608" spans="1:28">
      <c r="A608" s="618"/>
      <c r="B608" s="618"/>
      <c r="C608" s="618"/>
      <c r="D608" s="644"/>
      <c r="E608" s="618"/>
      <c r="F608" s="618"/>
      <c r="G608" s="618"/>
      <c r="H608" s="618"/>
      <c r="I608" s="618"/>
      <c r="J608" s="618"/>
      <c r="K608" s="618"/>
      <c r="L608" s="618"/>
      <c r="M608" s="618"/>
      <c r="N608" s="618"/>
      <c r="O608" s="618"/>
      <c r="P608" s="618"/>
      <c r="Q608" s="618"/>
      <c r="R608" s="618"/>
      <c r="S608" s="618"/>
      <c r="T608" s="618"/>
      <c r="U608" s="618"/>
      <c r="V608" s="618"/>
      <c r="W608" s="618"/>
      <c r="X608" s="618"/>
      <c r="Y608" s="618"/>
      <c r="Z608" s="618"/>
      <c r="AA608" s="618"/>
      <c r="AB608" s="618"/>
    </row>
    <row r="609" spans="1:28">
      <c r="A609" s="618"/>
      <c r="B609" s="618"/>
      <c r="C609" s="618"/>
      <c r="D609" s="644"/>
      <c r="E609" s="618"/>
      <c r="F609" s="618"/>
      <c r="G609" s="618"/>
      <c r="H609" s="618"/>
      <c r="I609" s="618"/>
      <c r="J609" s="618"/>
      <c r="K609" s="618"/>
      <c r="L609" s="618"/>
      <c r="M609" s="618"/>
      <c r="N609" s="618"/>
      <c r="O609" s="618"/>
      <c r="P609" s="618"/>
      <c r="Q609" s="618"/>
      <c r="R609" s="618"/>
      <c r="S609" s="618"/>
      <c r="T609" s="618"/>
      <c r="U609" s="618"/>
      <c r="V609" s="618"/>
      <c r="W609" s="618"/>
      <c r="X609" s="618"/>
      <c r="Y609" s="618"/>
      <c r="Z609" s="618"/>
      <c r="AA609" s="618"/>
      <c r="AB609" s="618"/>
    </row>
    <row r="610" spans="1:28">
      <c r="A610" s="618"/>
      <c r="B610" s="618"/>
      <c r="C610" s="618"/>
      <c r="D610" s="644"/>
      <c r="E610" s="618"/>
      <c r="F610" s="618"/>
      <c r="G610" s="618"/>
      <c r="H610" s="618"/>
      <c r="I610" s="618"/>
      <c r="J610" s="618"/>
      <c r="K610" s="618"/>
      <c r="L610" s="618"/>
      <c r="M610" s="618"/>
      <c r="N610" s="618"/>
      <c r="O610" s="618"/>
      <c r="P610" s="618"/>
      <c r="Q610" s="618"/>
      <c r="R610" s="618"/>
      <c r="S610" s="618"/>
      <c r="T610" s="618"/>
      <c r="U610" s="618"/>
      <c r="V610" s="618"/>
      <c r="W610" s="618"/>
      <c r="X610" s="618"/>
      <c r="Y610" s="618"/>
      <c r="Z610" s="618"/>
      <c r="AA610" s="618"/>
      <c r="AB610" s="618"/>
    </row>
    <row r="611" spans="1:28">
      <c r="A611" s="618"/>
      <c r="B611" s="618"/>
      <c r="C611" s="618"/>
      <c r="D611" s="644"/>
      <c r="E611" s="618"/>
      <c r="F611" s="618"/>
      <c r="G611" s="618"/>
      <c r="H611" s="618"/>
      <c r="I611" s="618"/>
      <c r="J611" s="618"/>
      <c r="K611" s="618"/>
      <c r="L611" s="618"/>
      <c r="M611" s="618"/>
      <c r="N611" s="618"/>
      <c r="O611" s="618"/>
      <c r="P611" s="618"/>
      <c r="Q611" s="618"/>
      <c r="R611" s="618"/>
      <c r="S611" s="618"/>
      <c r="T611" s="618"/>
      <c r="U611" s="618"/>
      <c r="V611" s="618"/>
      <c r="W611" s="618"/>
      <c r="X611" s="618"/>
      <c r="Y611" s="618"/>
      <c r="Z611" s="618"/>
      <c r="AA611" s="618"/>
      <c r="AB611" s="618"/>
    </row>
    <row r="612" spans="1:28">
      <c r="A612" s="618"/>
      <c r="B612" s="618"/>
      <c r="C612" s="618"/>
      <c r="D612" s="644"/>
      <c r="E612" s="618"/>
      <c r="F612" s="618"/>
      <c r="G612" s="618"/>
      <c r="H612" s="618"/>
      <c r="I612" s="618"/>
      <c r="J612" s="618"/>
      <c r="K612" s="618"/>
      <c r="L612" s="618"/>
      <c r="M612" s="618"/>
      <c r="N612" s="618"/>
      <c r="O612" s="618"/>
      <c r="P612" s="618"/>
      <c r="Q612" s="618"/>
      <c r="R612" s="618"/>
      <c r="S612" s="618"/>
      <c r="T612" s="618"/>
      <c r="U612" s="618"/>
      <c r="V612" s="618"/>
      <c r="W612" s="618"/>
      <c r="X612" s="618"/>
      <c r="Y612" s="618"/>
      <c r="Z612" s="618"/>
      <c r="AA612" s="618"/>
      <c r="AB612" s="618"/>
    </row>
    <row r="613" spans="1:28">
      <c r="A613" s="618"/>
      <c r="B613" s="618"/>
      <c r="C613" s="618"/>
      <c r="D613" s="644"/>
      <c r="E613" s="618"/>
      <c r="F613" s="618"/>
      <c r="G613" s="618"/>
      <c r="H613" s="618"/>
      <c r="I613" s="618"/>
      <c r="J613" s="618"/>
      <c r="K613" s="618"/>
      <c r="L613" s="618"/>
      <c r="M613" s="618"/>
      <c r="N613" s="618"/>
      <c r="O613" s="618"/>
      <c r="P613" s="618"/>
      <c r="Q613" s="618"/>
      <c r="R613" s="618"/>
      <c r="S613" s="618"/>
      <c r="T613" s="618"/>
      <c r="U613" s="618"/>
      <c r="V613" s="618"/>
      <c r="W613" s="618"/>
      <c r="X613" s="618"/>
      <c r="Y613" s="618"/>
      <c r="Z613" s="618"/>
      <c r="AA613" s="618"/>
      <c r="AB613" s="618"/>
    </row>
    <row r="614" spans="1:28">
      <c r="A614" s="618"/>
      <c r="B614" s="618"/>
      <c r="C614" s="618"/>
      <c r="D614" s="644"/>
      <c r="E614" s="618"/>
      <c r="F614" s="618"/>
      <c r="G614" s="618"/>
      <c r="H614" s="618"/>
      <c r="I614" s="618"/>
      <c r="J614" s="618"/>
      <c r="K614" s="618"/>
      <c r="L614" s="618"/>
      <c r="M614" s="618"/>
      <c r="N614" s="618"/>
      <c r="O614" s="618"/>
      <c r="P614" s="618"/>
      <c r="Q614" s="618"/>
      <c r="R614" s="618"/>
      <c r="S614" s="618"/>
      <c r="T614" s="618"/>
      <c r="U614" s="618"/>
      <c r="V614" s="618"/>
      <c r="W614" s="618"/>
      <c r="X614" s="618"/>
      <c r="Y614" s="618"/>
      <c r="Z614" s="618"/>
      <c r="AA614" s="618"/>
      <c r="AB614" s="618"/>
    </row>
    <row r="615" spans="1:28">
      <c r="A615" s="618"/>
      <c r="B615" s="618"/>
      <c r="C615" s="618"/>
      <c r="D615" s="644"/>
      <c r="E615" s="618"/>
      <c r="F615" s="618"/>
      <c r="G615" s="618"/>
      <c r="H615" s="618"/>
      <c r="I615" s="618"/>
      <c r="J615" s="618"/>
      <c r="K615" s="618"/>
      <c r="L615" s="618"/>
      <c r="M615" s="618"/>
      <c r="N615" s="618"/>
      <c r="O615" s="618"/>
      <c r="P615" s="618"/>
      <c r="Q615" s="618"/>
      <c r="R615" s="618"/>
      <c r="S615" s="618"/>
      <c r="T615" s="618"/>
      <c r="U615" s="618"/>
      <c r="V615" s="618"/>
      <c r="W615" s="618"/>
      <c r="X615" s="618"/>
      <c r="Y615" s="618"/>
      <c r="Z615" s="618"/>
      <c r="AA615" s="618"/>
      <c r="AB615" s="618"/>
    </row>
    <row r="616" spans="1:28">
      <c r="A616" s="618"/>
      <c r="B616" s="618"/>
      <c r="C616" s="618"/>
      <c r="D616" s="644"/>
      <c r="E616" s="618"/>
      <c r="F616" s="618"/>
      <c r="G616" s="618"/>
      <c r="H616" s="618"/>
      <c r="I616" s="618"/>
      <c r="J616" s="618"/>
      <c r="K616" s="618"/>
      <c r="L616" s="618"/>
      <c r="M616" s="618"/>
      <c r="N616" s="618"/>
      <c r="O616" s="618"/>
      <c r="P616" s="618"/>
      <c r="Q616" s="618"/>
      <c r="R616" s="618"/>
      <c r="S616" s="618"/>
      <c r="T616" s="618"/>
      <c r="U616" s="618"/>
      <c r="V616" s="618"/>
      <c r="W616" s="618"/>
      <c r="X616" s="618"/>
      <c r="Y616" s="618"/>
      <c r="Z616" s="618"/>
      <c r="AA616" s="618"/>
      <c r="AB616" s="618"/>
    </row>
    <row r="617" spans="1:28">
      <c r="A617" s="618"/>
      <c r="B617" s="618"/>
      <c r="C617" s="618"/>
      <c r="D617" s="644"/>
      <c r="E617" s="618"/>
      <c r="F617" s="618"/>
      <c r="G617" s="618"/>
      <c r="H617" s="618"/>
      <c r="I617" s="618"/>
      <c r="J617" s="618"/>
      <c r="K617" s="618"/>
      <c r="L617" s="618"/>
      <c r="M617" s="618"/>
      <c r="N617" s="618"/>
      <c r="O617" s="618"/>
      <c r="P617" s="618"/>
      <c r="Q617" s="618"/>
      <c r="R617" s="618"/>
      <c r="S617" s="618"/>
      <c r="T617" s="618"/>
      <c r="U617" s="618"/>
      <c r="V617" s="618"/>
      <c r="W617" s="618"/>
      <c r="X617" s="618"/>
      <c r="Y617" s="618"/>
      <c r="Z617" s="618"/>
      <c r="AA617" s="618"/>
      <c r="AB617" s="618"/>
    </row>
    <row r="618" spans="1:28">
      <c r="A618" s="618"/>
      <c r="B618" s="618"/>
      <c r="C618" s="618"/>
      <c r="D618" s="644"/>
      <c r="E618" s="618"/>
      <c r="F618" s="618"/>
      <c r="G618" s="618"/>
      <c r="H618" s="618"/>
      <c r="I618" s="618"/>
      <c r="J618" s="618"/>
      <c r="K618" s="618"/>
      <c r="L618" s="618"/>
      <c r="M618" s="618"/>
      <c r="N618" s="618"/>
      <c r="O618" s="618"/>
      <c r="P618" s="618"/>
      <c r="Q618" s="618"/>
      <c r="R618" s="618"/>
      <c r="S618" s="618"/>
      <c r="T618" s="618"/>
      <c r="U618" s="618"/>
      <c r="V618" s="618"/>
      <c r="W618" s="618"/>
      <c r="X618" s="618"/>
      <c r="Y618" s="618"/>
      <c r="Z618" s="618"/>
      <c r="AA618" s="618"/>
      <c r="AB618" s="618"/>
    </row>
    <row r="619" spans="1:28">
      <c r="A619" s="618"/>
      <c r="B619" s="618"/>
      <c r="C619" s="618"/>
      <c r="D619" s="644"/>
      <c r="E619" s="618"/>
      <c r="F619" s="618"/>
      <c r="G619" s="618"/>
      <c r="H619" s="618"/>
      <c r="I619" s="618"/>
      <c r="J619" s="618"/>
      <c r="K619" s="618"/>
      <c r="L619" s="618"/>
      <c r="M619" s="618"/>
      <c r="N619" s="618"/>
      <c r="O619" s="618"/>
      <c r="P619" s="618"/>
      <c r="Q619" s="618"/>
      <c r="R619" s="618"/>
      <c r="S619" s="618"/>
      <c r="T619" s="618"/>
      <c r="U619" s="618"/>
      <c r="V619" s="618"/>
      <c r="W619" s="618"/>
      <c r="X619" s="618"/>
      <c r="Y619" s="618"/>
      <c r="Z619" s="618"/>
      <c r="AA619" s="618"/>
      <c r="AB619" s="618"/>
    </row>
    <row r="620" spans="1:28">
      <c r="A620" s="618"/>
      <c r="B620" s="618"/>
      <c r="C620" s="618"/>
      <c r="D620" s="644"/>
      <c r="E620" s="618"/>
      <c r="F620" s="618"/>
      <c r="G620" s="618"/>
      <c r="H620" s="618"/>
      <c r="I620" s="618"/>
      <c r="J620" s="618"/>
      <c r="K620" s="618"/>
      <c r="L620" s="618"/>
      <c r="M620" s="618"/>
      <c r="N620" s="618"/>
      <c r="O620" s="618"/>
      <c r="P620" s="618"/>
      <c r="Q620" s="618"/>
      <c r="R620" s="618"/>
      <c r="S620" s="618"/>
      <c r="T620" s="618"/>
      <c r="U620" s="618"/>
      <c r="V620" s="618"/>
      <c r="W620" s="618"/>
      <c r="X620" s="618"/>
      <c r="Y620" s="618"/>
      <c r="Z620" s="618"/>
      <c r="AA620" s="618"/>
      <c r="AB620" s="618"/>
    </row>
    <row r="621" spans="1:28">
      <c r="A621" s="618"/>
      <c r="B621" s="618"/>
      <c r="C621" s="618"/>
      <c r="D621" s="644"/>
      <c r="E621" s="618"/>
      <c r="F621" s="618"/>
      <c r="G621" s="618"/>
      <c r="H621" s="618"/>
      <c r="I621" s="618"/>
      <c r="J621" s="618"/>
      <c r="K621" s="618"/>
      <c r="L621" s="618"/>
      <c r="M621" s="618"/>
      <c r="N621" s="618"/>
      <c r="O621" s="618"/>
      <c r="P621" s="618"/>
      <c r="Q621" s="618"/>
      <c r="R621" s="618"/>
      <c r="S621" s="618"/>
      <c r="T621" s="618"/>
      <c r="U621" s="618"/>
      <c r="V621" s="618"/>
      <c r="W621" s="618"/>
      <c r="X621" s="618"/>
      <c r="Y621" s="618"/>
      <c r="Z621" s="618"/>
      <c r="AA621" s="618"/>
      <c r="AB621" s="618"/>
    </row>
    <row r="622" spans="1:28">
      <c r="A622" s="618"/>
      <c r="B622" s="618"/>
      <c r="C622" s="618"/>
      <c r="D622" s="644"/>
      <c r="E622" s="618"/>
      <c r="F622" s="618"/>
      <c r="G622" s="618"/>
      <c r="H622" s="618"/>
      <c r="I622" s="618"/>
      <c r="J622" s="618"/>
      <c r="K622" s="618"/>
      <c r="L622" s="618"/>
      <c r="M622" s="618"/>
      <c r="N622" s="618"/>
      <c r="O622" s="618"/>
      <c r="P622" s="618"/>
      <c r="Q622" s="618"/>
      <c r="R622" s="618"/>
      <c r="S622" s="618"/>
      <c r="T622" s="618"/>
      <c r="U622" s="618"/>
      <c r="V622" s="618"/>
      <c r="W622" s="618"/>
      <c r="X622" s="618"/>
      <c r="Y622" s="618"/>
      <c r="Z622" s="618"/>
      <c r="AA622" s="618"/>
      <c r="AB622" s="618"/>
    </row>
    <row r="623" spans="1:28">
      <c r="A623" s="618"/>
      <c r="B623" s="618"/>
      <c r="C623" s="618"/>
      <c r="D623" s="644"/>
      <c r="E623" s="618"/>
      <c r="F623" s="618"/>
      <c r="G623" s="618"/>
      <c r="H623" s="618"/>
      <c r="I623" s="618"/>
      <c r="J623" s="618"/>
      <c r="K623" s="618"/>
      <c r="L623" s="618"/>
      <c r="M623" s="618"/>
      <c r="N623" s="618"/>
      <c r="O623" s="618"/>
      <c r="P623" s="618"/>
      <c r="Q623" s="618"/>
      <c r="R623" s="618"/>
      <c r="S623" s="618"/>
      <c r="T623" s="618"/>
      <c r="U623" s="618"/>
      <c r="V623" s="618"/>
      <c r="W623" s="618"/>
      <c r="X623" s="618"/>
      <c r="Y623" s="618"/>
      <c r="Z623" s="618"/>
      <c r="AA623" s="618"/>
      <c r="AB623" s="618"/>
    </row>
    <row r="624" spans="1:28">
      <c r="A624" s="618"/>
      <c r="B624" s="618"/>
      <c r="C624" s="618"/>
      <c r="D624" s="644"/>
      <c r="E624" s="618"/>
      <c r="F624" s="618"/>
      <c r="G624" s="618"/>
      <c r="H624" s="618"/>
      <c r="I624" s="618"/>
      <c r="J624" s="618"/>
      <c r="K624" s="618"/>
      <c r="L624" s="618"/>
      <c r="M624" s="618"/>
      <c r="N624" s="618"/>
      <c r="O624" s="618"/>
      <c r="P624" s="618"/>
      <c r="Q624" s="618"/>
      <c r="R624" s="618"/>
      <c r="S624" s="618"/>
      <c r="T624" s="618"/>
      <c r="U624" s="618"/>
      <c r="V624" s="618"/>
      <c r="W624" s="618"/>
      <c r="X624" s="618"/>
      <c r="Y624" s="618"/>
      <c r="Z624" s="618"/>
      <c r="AA624" s="618"/>
      <c r="AB624" s="618"/>
    </row>
    <row r="625" spans="1:28">
      <c r="A625" s="618"/>
      <c r="B625" s="618"/>
      <c r="C625" s="618"/>
      <c r="D625" s="644"/>
      <c r="E625" s="618"/>
      <c r="F625" s="618"/>
      <c r="G625" s="618"/>
      <c r="H625" s="618"/>
      <c r="I625" s="618"/>
      <c r="J625" s="618"/>
      <c r="K625" s="618"/>
      <c r="L625" s="618"/>
      <c r="M625" s="618"/>
      <c r="N625" s="618"/>
      <c r="O625" s="618"/>
      <c r="P625" s="618"/>
      <c r="Q625" s="618"/>
      <c r="R625" s="618"/>
      <c r="S625" s="618"/>
      <c r="T625" s="618"/>
      <c r="U625" s="618"/>
      <c r="V625" s="618"/>
      <c r="W625" s="618"/>
      <c r="X625" s="618"/>
      <c r="Y625" s="618"/>
      <c r="Z625" s="618"/>
      <c r="AA625" s="618"/>
      <c r="AB625" s="618"/>
    </row>
    <row r="626" spans="1:28">
      <c r="A626" s="618"/>
      <c r="B626" s="618"/>
      <c r="C626" s="618"/>
      <c r="D626" s="644"/>
      <c r="E626" s="618"/>
      <c r="F626" s="618"/>
      <c r="G626" s="618"/>
      <c r="H626" s="618"/>
      <c r="I626" s="618"/>
      <c r="J626" s="618"/>
      <c r="K626" s="618"/>
      <c r="L626" s="618"/>
      <c r="M626" s="618"/>
      <c r="N626" s="618"/>
      <c r="O626" s="618"/>
      <c r="P626" s="618"/>
      <c r="Q626" s="618"/>
      <c r="R626" s="618"/>
      <c r="S626" s="618"/>
      <c r="T626" s="618"/>
      <c r="U626" s="618"/>
      <c r="V626" s="618"/>
      <c r="W626" s="618"/>
      <c r="X626" s="618"/>
      <c r="Y626" s="618"/>
      <c r="Z626" s="618"/>
      <c r="AA626" s="618"/>
      <c r="AB626" s="618"/>
    </row>
    <row r="627" spans="1:28">
      <c r="A627" s="618"/>
      <c r="B627" s="618"/>
      <c r="C627" s="618"/>
      <c r="D627" s="644"/>
      <c r="E627" s="618"/>
      <c r="F627" s="618"/>
      <c r="G627" s="618"/>
      <c r="H627" s="618"/>
      <c r="I627" s="618"/>
      <c r="J627" s="618"/>
      <c r="K627" s="618"/>
      <c r="L627" s="618"/>
      <c r="M627" s="618"/>
      <c r="N627" s="618"/>
      <c r="O627" s="618"/>
      <c r="P627" s="618"/>
      <c r="Q627" s="618"/>
      <c r="R627" s="618"/>
      <c r="S627" s="618"/>
      <c r="T627" s="618"/>
      <c r="U627" s="618"/>
      <c r="V627" s="618"/>
      <c r="W627" s="618"/>
      <c r="X627" s="618"/>
      <c r="Y627" s="618"/>
      <c r="Z627" s="618"/>
      <c r="AA627" s="618"/>
      <c r="AB627" s="618"/>
    </row>
    <row r="628" spans="1:28">
      <c r="A628" s="618"/>
      <c r="B628" s="618"/>
      <c r="C628" s="618"/>
      <c r="D628" s="644"/>
      <c r="E628" s="618"/>
      <c r="F628" s="618"/>
      <c r="G628" s="618"/>
      <c r="H628" s="618"/>
      <c r="I628" s="618"/>
      <c r="J628" s="618"/>
      <c r="K628" s="618"/>
      <c r="L628" s="618"/>
      <c r="M628" s="618"/>
      <c r="N628" s="618"/>
      <c r="O628" s="618"/>
      <c r="P628" s="618"/>
      <c r="Q628" s="618"/>
      <c r="R628" s="618"/>
      <c r="S628" s="618"/>
      <c r="T628" s="618"/>
      <c r="U628" s="618"/>
      <c r="V628" s="618"/>
      <c r="W628" s="618"/>
      <c r="X628" s="618"/>
      <c r="Y628" s="618"/>
      <c r="Z628" s="618"/>
      <c r="AA628" s="618"/>
      <c r="AB628" s="618"/>
    </row>
    <row r="629" spans="1:28">
      <c r="A629" s="618"/>
      <c r="B629" s="618"/>
      <c r="C629" s="618"/>
      <c r="D629" s="644"/>
      <c r="E629" s="618"/>
      <c r="F629" s="618"/>
      <c r="G629" s="618"/>
      <c r="H629" s="618"/>
      <c r="I629" s="618"/>
      <c r="J629" s="618"/>
      <c r="K629" s="618"/>
      <c r="L629" s="618"/>
      <c r="M629" s="618"/>
      <c r="N629" s="618"/>
      <c r="O629" s="618"/>
      <c r="P629" s="618"/>
      <c r="Q629" s="618"/>
      <c r="R629" s="618"/>
      <c r="S629" s="618"/>
      <c r="T629" s="618"/>
      <c r="U629" s="618"/>
      <c r="V629" s="618"/>
      <c r="W629" s="618"/>
      <c r="X629" s="618"/>
      <c r="Y629" s="618"/>
      <c r="Z629" s="618"/>
      <c r="AA629" s="618"/>
      <c r="AB629" s="618"/>
    </row>
    <row r="630" spans="1:28">
      <c r="A630" s="618"/>
      <c r="B630" s="618"/>
      <c r="C630" s="618"/>
      <c r="D630" s="644"/>
      <c r="E630" s="618"/>
      <c r="F630" s="618"/>
      <c r="G630" s="618"/>
      <c r="H630" s="618"/>
      <c r="I630" s="618"/>
      <c r="J630" s="618"/>
      <c r="K630" s="618"/>
      <c r="L630" s="618"/>
      <c r="M630" s="618"/>
      <c r="N630" s="618"/>
      <c r="O630" s="618"/>
      <c r="P630" s="618"/>
      <c r="Q630" s="618"/>
      <c r="R630" s="618"/>
      <c r="S630" s="618"/>
      <c r="T630" s="618"/>
      <c r="U630" s="618"/>
      <c r="V630" s="618"/>
      <c r="W630" s="618"/>
      <c r="X630" s="618"/>
      <c r="Y630" s="618"/>
      <c r="Z630" s="618"/>
      <c r="AA630" s="618"/>
      <c r="AB630" s="618"/>
    </row>
    <row r="631" spans="1:28">
      <c r="A631" s="618"/>
      <c r="B631" s="618"/>
      <c r="C631" s="618"/>
      <c r="D631" s="644"/>
      <c r="E631" s="618"/>
      <c r="F631" s="618"/>
      <c r="G631" s="618"/>
      <c r="H631" s="618"/>
      <c r="I631" s="618"/>
      <c r="J631" s="618"/>
      <c r="K631" s="618"/>
      <c r="L631" s="618"/>
      <c r="M631" s="618"/>
      <c r="N631" s="618"/>
      <c r="O631" s="618"/>
      <c r="P631" s="618"/>
      <c r="Q631" s="618"/>
      <c r="R631" s="618"/>
      <c r="S631" s="618"/>
      <c r="T631" s="618"/>
      <c r="U631" s="618"/>
      <c r="V631" s="618"/>
      <c r="W631" s="618"/>
      <c r="X631" s="618"/>
      <c r="Y631" s="618"/>
      <c r="Z631" s="618"/>
      <c r="AA631" s="618"/>
      <c r="AB631" s="618"/>
    </row>
    <row r="632" spans="1:28">
      <c r="A632" s="618"/>
      <c r="B632" s="618"/>
      <c r="C632" s="618"/>
      <c r="D632" s="644"/>
      <c r="E632" s="618"/>
      <c r="F632" s="618"/>
      <c r="G632" s="618"/>
      <c r="H632" s="618"/>
      <c r="I632" s="618"/>
      <c r="J632" s="618"/>
      <c r="K632" s="618"/>
      <c r="L632" s="618"/>
      <c r="M632" s="618"/>
      <c r="N632" s="618"/>
      <c r="O632" s="618"/>
      <c r="P632" s="618"/>
      <c r="Q632" s="618"/>
      <c r="R632" s="618"/>
      <c r="S632" s="618"/>
      <c r="T632" s="618"/>
      <c r="U632" s="618"/>
      <c r="V632" s="618"/>
      <c r="W632" s="618"/>
      <c r="X632" s="618"/>
      <c r="Y632" s="618"/>
      <c r="Z632" s="618"/>
      <c r="AA632" s="618"/>
      <c r="AB632" s="618"/>
    </row>
    <row r="633" spans="1:28">
      <c r="A633" s="618"/>
      <c r="B633" s="618"/>
      <c r="C633" s="618"/>
      <c r="D633" s="644"/>
      <c r="E633" s="618"/>
      <c r="F633" s="618"/>
      <c r="G633" s="618"/>
      <c r="H633" s="618"/>
      <c r="I633" s="618"/>
      <c r="J633" s="618"/>
      <c r="K633" s="618"/>
      <c r="L633" s="618"/>
      <c r="M633" s="618"/>
      <c r="N633" s="618"/>
      <c r="O633" s="618"/>
      <c r="P633" s="618"/>
      <c r="Q633" s="618"/>
      <c r="R633" s="618"/>
      <c r="S633" s="618"/>
      <c r="T633" s="618"/>
      <c r="U633" s="618"/>
      <c r="V633" s="618"/>
      <c r="W633" s="618"/>
      <c r="X633" s="618"/>
      <c r="Y633" s="618"/>
      <c r="Z633" s="618"/>
      <c r="AA633" s="618"/>
      <c r="AB633" s="618"/>
    </row>
    <row r="634" spans="1:28">
      <c r="A634" s="618"/>
      <c r="B634" s="618"/>
      <c r="C634" s="618"/>
      <c r="D634" s="644"/>
      <c r="E634" s="618"/>
      <c r="F634" s="618"/>
      <c r="G634" s="618"/>
      <c r="H634" s="618"/>
      <c r="I634" s="618"/>
      <c r="J634" s="618"/>
      <c r="K634" s="618"/>
      <c r="L634" s="618"/>
      <c r="M634" s="618"/>
      <c r="N634" s="618"/>
      <c r="O634" s="618"/>
      <c r="P634" s="618"/>
      <c r="Q634" s="618"/>
      <c r="R634" s="618"/>
      <c r="S634" s="618"/>
      <c r="T634" s="618"/>
      <c r="U634" s="618"/>
      <c r="V634" s="618"/>
      <c r="W634" s="618"/>
      <c r="X634" s="618"/>
      <c r="Y634" s="618"/>
      <c r="Z634" s="618"/>
      <c r="AA634" s="618"/>
      <c r="AB634" s="618"/>
    </row>
    <row r="635" spans="1:28">
      <c r="A635" s="618"/>
      <c r="B635" s="618"/>
      <c r="C635" s="618"/>
      <c r="D635" s="644"/>
      <c r="E635" s="618"/>
      <c r="F635" s="618"/>
      <c r="G635" s="618"/>
      <c r="H635" s="618"/>
      <c r="I635" s="618"/>
      <c r="J635" s="618"/>
      <c r="K635" s="618"/>
      <c r="L635" s="618"/>
      <c r="M635" s="618"/>
      <c r="N635" s="618"/>
      <c r="O635" s="618"/>
      <c r="P635" s="618"/>
      <c r="Q635" s="618"/>
      <c r="R635" s="618"/>
      <c r="S635" s="618"/>
      <c r="T635" s="618"/>
      <c r="U635" s="618"/>
      <c r="V635" s="618"/>
      <c r="W635" s="618"/>
      <c r="X635" s="618"/>
      <c r="Y635" s="618"/>
      <c r="Z635" s="618"/>
      <c r="AA635" s="618"/>
      <c r="AB635" s="618"/>
    </row>
    <row r="636" spans="1:28">
      <c r="A636" s="618"/>
      <c r="B636" s="618"/>
      <c r="C636" s="618"/>
      <c r="D636" s="644"/>
      <c r="E636" s="618"/>
      <c r="F636" s="618"/>
      <c r="G636" s="618"/>
      <c r="H636" s="618"/>
      <c r="I636" s="618"/>
      <c r="J636" s="618"/>
      <c r="K636" s="618"/>
      <c r="L636" s="618"/>
      <c r="M636" s="618"/>
      <c r="N636" s="618"/>
      <c r="O636" s="618"/>
      <c r="P636" s="618"/>
      <c r="Q636" s="618"/>
      <c r="R636" s="618"/>
      <c r="S636" s="618"/>
      <c r="T636" s="618"/>
      <c r="U636" s="618"/>
      <c r="V636" s="618"/>
      <c r="W636" s="618"/>
      <c r="X636" s="618"/>
      <c r="Y636" s="618"/>
      <c r="Z636" s="618"/>
      <c r="AA636" s="618"/>
      <c r="AB636" s="618"/>
    </row>
    <row r="637" spans="1:28">
      <c r="A637" s="618"/>
      <c r="B637" s="618"/>
      <c r="C637" s="618"/>
      <c r="D637" s="644"/>
      <c r="E637" s="618"/>
      <c r="F637" s="618"/>
      <c r="G637" s="618"/>
      <c r="H637" s="618"/>
      <c r="I637" s="618"/>
      <c r="J637" s="618"/>
      <c r="K637" s="618"/>
      <c r="L637" s="618"/>
      <c r="M637" s="618"/>
      <c r="N637" s="618"/>
      <c r="O637" s="618"/>
      <c r="P637" s="618"/>
      <c r="Q637" s="618"/>
      <c r="R637" s="618"/>
      <c r="S637" s="618"/>
      <c r="T637" s="618"/>
      <c r="U637" s="618"/>
      <c r="V637" s="618"/>
      <c r="W637" s="618"/>
      <c r="X637" s="618"/>
      <c r="Y637" s="618"/>
      <c r="Z637" s="618"/>
      <c r="AA637" s="618"/>
      <c r="AB637" s="618"/>
    </row>
    <row r="638" spans="1:28">
      <c r="A638" s="618"/>
      <c r="B638" s="618"/>
      <c r="C638" s="618"/>
      <c r="D638" s="644"/>
      <c r="E638" s="618"/>
      <c r="F638" s="618"/>
      <c r="G638" s="618"/>
      <c r="H638" s="618"/>
      <c r="I638" s="618"/>
      <c r="J638" s="618"/>
      <c r="K638" s="618"/>
      <c r="L638" s="618"/>
      <c r="M638" s="618"/>
      <c r="N638" s="618"/>
      <c r="O638" s="618"/>
      <c r="P638" s="618"/>
      <c r="Q638" s="618"/>
      <c r="R638" s="618"/>
      <c r="S638" s="618"/>
      <c r="T638" s="618"/>
      <c r="U638" s="618"/>
      <c r="V638" s="618"/>
      <c r="W638" s="618"/>
      <c r="X638" s="618"/>
      <c r="Y638" s="618"/>
      <c r="Z638" s="618"/>
      <c r="AA638" s="618"/>
      <c r="AB638" s="618"/>
    </row>
    <row r="639" spans="1:28">
      <c r="A639" s="618"/>
      <c r="B639" s="618"/>
      <c r="C639" s="618"/>
      <c r="D639" s="644"/>
      <c r="E639" s="618"/>
      <c r="F639" s="618"/>
      <c r="G639" s="618"/>
      <c r="H639" s="618"/>
      <c r="I639" s="618"/>
      <c r="J639" s="618"/>
      <c r="K639" s="618"/>
      <c r="L639" s="618"/>
      <c r="M639" s="618"/>
      <c r="N639" s="618"/>
      <c r="O639" s="618"/>
      <c r="P639" s="618"/>
      <c r="Q639" s="618"/>
      <c r="R639" s="618"/>
      <c r="S639" s="618"/>
      <c r="T639" s="618"/>
      <c r="U639" s="618"/>
      <c r="V639" s="618"/>
      <c r="W639" s="618"/>
      <c r="X639" s="618"/>
      <c r="Y639" s="618"/>
      <c r="Z639" s="618"/>
      <c r="AA639" s="618"/>
      <c r="AB639" s="618"/>
    </row>
    <row r="640" spans="1:28">
      <c r="A640" s="618"/>
      <c r="B640" s="618"/>
      <c r="C640" s="618"/>
      <c r="D640" s="644"/>
      <c r="E640" s="618"/>
      <c r="F640" s="618"/>
      <c r="G640" s="618"/>
      <c r="H640" s="618"/>
      <c r="I640" s="618"/>
      <c r="J640" s="618"/>
      <c r="K640" s="618"/>
      <c r="L640" s="618"/>
      <c r="M640" s="618"/>
      <c r="N640" s="618"/>
      <c r="O640" s="618"/>
      <c r="P640" s="618"/>
      <c r="Q640" s="618"/>
      <c r="R640" s="618"/>
      <c r="S640" s="618"/>
      <c r="T640" s="618"/>
      <c r="U640" s="618"/>
      <c r="V640" s="618"/>
      <c r="W640" s="618"/>
      <c r="X640" s="618"/>
      <c r="Y640" s="618"/>
      <c r="Z640" s="618"/>
      <c r="AA640" s="618"/>
      <c r="AB640" s="618"/>
    </row>
    <row r="641" spans="1:28">
      <c r="A641" s="618"/>
      <c r="B641" s="618"/>
      <c r="C641" s="618"/>
      <c r="D641" s="644"/>
      <c r="E641" s="618"/>
      <c r="F641" s="618"/>
      <c r="G641" s="618"/>
      <c r="H641" s="618"/>
      <c r="I641" s="618"/>
      <c r="J641" s="618"/>
      <c r="K641" s="618"/>
      <c r="L641" s="618"/>
      <c r="M641" s="618"/>
      <c r="N641" s="618"/>
      <c r="O641" s="618"/>
      <c r="P641" s="618"/>
      <c r="Q641" s="618"/>
      <c r="R641" s="618"/>
      <c r="S641" s="618"/>
      <c r="T641" s="618"/>
      <c r="U641" s="618"/>
      <c r="V641" s="618"/>
      <c r="W641" s="618"/>
      <c r="X641" s="618"/>
      <c r="Y641" s="618"/>
      <c r="Z641" s="618"/>
      <c r="AA641" s="618"/>
      <c r="AB641" s="618"/>
    </row>
    <row r="642" spans="1:28">
      <c r="A642" s="618"/>
      <c r="B642" s="618"/>
      <c r="C642" s="618"/>
      <c r="D642" s="644"/>
      <c r="E642" s="618"/>
      <c r="F642" s="618"/>
      <c r="G642" s="618"/>
      <c r="H642" s="618"/>
      <c r="I642" s="618"/>
      <c r="J642" s="618"/>
      <c r="K642" s="618"/>
      <c r="L642" s="618"/>
      <c r="M642" s="618"/>
      <c r="N642" s="618"/>
      <c r="O642" s="618"/>
      <c r="P642" s="618"/>
      <c r="Q642" s="618"/>
      <c r="R642" s="618"/>
      <c r="S642" s="618"/>
      <c r="T642" s="618"/>
      <c r="U642" s="618"/>
      <c r="V642" s="618"/>
      <c r="W642" s="618"/>
      <c r="X642" s="618"/>
      <c r="Y642" s="618"/>
      <c r="Z642" s="618"/>
      <c r="AA642" s="618"/>
      <c r="AB642" s="618"/>
    </row>
    <row r="643" spans="1:28">
      <c r="A643" s="618"/>
      <c r="B643" s="618"/>
      <c r="C643" s="618"/>
      <c r="D643" s="644"/>
      <c r="E643" s="618"/>
      <c r="F643" s="618"/>
      <c r="G643" s="618"/>
      <c r="H643" s="618"/>
      <c r="I643" s="618"/>
      <c r="J643" s="618"/>
      <c r="K643" s="618"/>
      <c r="L643" s="618"/>
      <c r="M643" s="618"/>
      <c r="N643" s="618"/>
      <c r="O643" s="618"/>
      <c r="P643" s="618"/>
      <c r="Q643" s="618"/>
      <c r="R643" s="618"/>
      <c r="S643" s="618"/>
      <c r="T643" s="618"/>
      <c r="U643" s="618"/>
      <c r="V643" s="618"/>
      <c r="W643" s="618"/>
      <c r="X643" s="618"/>
      <c r="Y643" s="618"/>
      <c r="Z643" s="618"/>
      <c r="AA643" s="618"/>
      <c r="AB643" s="618"/>
    </row>
    <row r="644" spans="1:28">
      <c r="A644" s="618"/>
      <c r="B644" s="618"/>
      <c r="C644" s="618"/>
      <c r="D644" s="644"/>
      <c r="E644" s="618"/>
      <c r="F644" s="618"/>
      <c r="G644" s="618"/>
      <c r="H644" s="618"/>
      <c r="I644" s="618"/>
      <c r="J644" s="618"/>
      <c r="K644" s="618"/>
      <c r="L644" s="618"/>
      <c r="M644" s="618"/>
      <c r="N644" s="618"/>
      <c r="O644" s="618"/>
      <c r="P644" s="618"/>
      <c r="Q644" s="618"/>
      <c r="R644" s="618"/>
      <c r="S644" s="618"/>
      <c r="T644" s="618"/>
      <c r="U644" s="618"/>
      <c r="V644" s="618"/>
      <c r="W644" s="618"/>
      <c r="X644" s="618"/>
      <c r="Y644" s="618"/>
      <c r="Z644" s="618"/>
      <c r="AA644" s="618"/>
      <c r="AB644" s="618"/>
    </row>
    <row r="645" spans="1:28">
      <c r="A645" s="618"/>
      <c r="B645" s="618"/>
      <c r="C645" s="618"/>
      <c r="D645" s="644"/>
      <c r="E645" s="618"/>
      <c r="F645" s="618"/>
      <c r="G645" s="618"/>
      <c r="H645" s="618"/>
      <c r="I645" s="618"/>
      <c r="J645" s="618"/>
      <c r="K645" s="618"/>
      <c r="L645" s="618"/>
      <c r="M645" s="618"/>
      <c r="N645" s="618"/>
      <c r="O645" s="618"/>
      <c r="P645" s="618"/>
      <c r="Q645" s="618"/>
      <c r="R645" s="618"/>
      <c r="S645" s="618"/>
      <c r="T645" s="618"/>
      <c r="U645" s="618"/>
      <c r="V645" s="618"/>
      <c r="W645" s="618"/>
      <c r="X645" s="618"/>
      <c r="Y645" s="618"/>
      <c r="Z645" s="618"/>
      <c r="AA645" s="618"/>
      <c r="AB645" s="618"/>
    </row>
    <row r="646" spans="1:28">
      <c r="A646" s="618"/>
      <c r="B646" s="618"/>
      <c r="C646" s="618"/>
      <c r="D646" s="644"/>
      <c r="E646" s="618"/>
      <c r="F646" s="618"/>
      <c r="G646" s="618"/>
      <c r="H646" s="618"/>
      <c r="I646" s="618"/>
      <c r="J646" s="618"/>
      <c r="K646" s="618"/>
      <c r="L646" s="618"/>
      <c r="M646" s="618"/>
      <c r="N646" s="618"/>
      <c r="O646" s="618"/>
      <c r="P646" s="618"/>
      <c r="Q646" s="618"/>
      <c r="R646" s="618"/>
      <c r="S646" s="618"/>
      <c r="T646" s="618"/>
      <c r="U646" s="618"/>
      <c r="V646" s="618"/>
      <c r="W646" s="618"/>
      <c r="X646" s="618"/>
      <c r="Y646" s="618"/>
      <c r="Z646" s="618"/>
      <c r="AA646" s="618"/>
      <c r="AB646" s="618"/>
    </row>
    <row r="647" spans="1:28">
      <c r="A647" s="618"/>
      <c r="B647" s="618"/>
      <c r="C647" s="618"/>
      <c r="D647" s="644"/>
      <c r="E647" s="618"/>
      <c r="F647" s="618"/>
      <c r="G647" s="618"/>
      <c r="H647" s="618"/>
      <c r="I647" s="618"/>
      <c r="J647" s="618"/>
      <c r="K647" s="618"/>
      <c r="L647" s="618"/>
      <c r="M647" s="618"/>
      <c r="N647" s="618"/>
      <c r="O647" s="618"/>
      <c r="P647" s="618"/>
      <c r="Q647" s="618"/>
      <c r="R647" s="618"/>
      <c r="S647" s="618"/>
      <c r="T647" s="618"/>
      <c r="U647" s="618"/>
      <c r="V647" s="618"/>
      <c r="W647" s="618"/>
      <c r="X647" s="618"/>
      <c r="Y647" s="618"/>
      <c r="Z647" s="618"/>
      <c r="AA647" s="618"/>
      <c r="AB647" s="618"/>
    </row>
    <row r="648" spans="1:28">
      <c r="A648" s="618"/>
      <c r="B648" s="618"/>
      <c r="C648" s="618"/>
      <c r="D648" s="644"/>
      <c r="E648" s="618"/>
      <c r="F648" s="618"/>
      <c r="G648" s="618"/>
      <c r="H648" s="618"/>
      <c r="I648" s="618"/>
      <c r="J648" s="618"/>
      <c r="K648" s="618"/>
      <c r="L648" s="618"/>
      <c r="M648" s="618"/>
      <c r="N648" s="618"/>
      <c r="O648" s="618"/>
      <c r="P648" s="618"/>
      <c r="Q648" s="618"/>
      <c r="R648" s="618"/>
      <c r="S648" s="618"/>
      <c r="T648" s="618"/>
      <c r="U648" s="618"/>
      <c r="V648" s="618"/>
      <c r="W648" s="618"/>
      <c r="X648" s="618"/>
      <c r="Y648" s="618"/>
      <c r="Z648" s="618"/>
      <c r="AA648" s="618"/>
      <c r="AB648" s="618"/>
    </row>
    <row r="649" spans="1:28">
      <c r="A649" s="618"/>
      <c r="B649" s="618"/>
      <c r="C649" s="618"/>
      <c r="D649" s="644"/>
      <c r="E649" s="618"/>
      <c r="F649" s="618"/>
      <c r="G649" s="618"/>
      <c r="H649" s="618"/>
      <c r="I649" s="618"/>
      <c r="J649" s="618"/>
      <c r="K649" s="618"/>
      <c r="L649" s="618"/>
      <c r="M649" s="618"/>
      <c r="N649" s="618"/>
      <c r="O649" s="618"/>
      <c r="P649" s="618"/>
      <c r="Q649" s="618"/>
      <c r="R649" s="618"/>
      <c r="S649" s="618"/>
      <c r="T649" s="618"/>
      <c r="U649" s="618"/>
      <c r="V649" s="618"/>
      <c r="W649" s="618"/>
      <c r="X649" s="618"/>
      <c r="Y649" s="618"/>
      <c r="Z649" s="618"/>
      <c r="AA649" s="618"/>
      <c r="AB649" s="618"/>
    </row>
    <row r="650" spans="1:28">
      <c r="A650" s="618"/>
      <c r="B650" s="618"/>
      <c r="C650" s="618"/>
      <c r="D650" s="644"/>
      <c r="E650" s="618"/>
      <c r="F650" s="618"/>
      <c r="G650" s="618"/>
      <c r="H650" s="618"/>
      <c r="I650" s="618"/>
      <c r="J650" s="618"/>
      <c r="K650" s="618"/>
      <c r="L650" s="618"/>
      <c r="M650" s="618"/>
      <c r="N650" s="618"/>
      <c r="O650" s="618"/>
      <c r="P650" s="618"/>
      <c r="Q650" s="618"/>
      <c r="R650" s="618"/>
      <c r="S650" s="618"/>
      <c r="T650" s="618"/>
      <c r="U650" s="618"/>
      <c r="V650" s="618"/>
      <c r="W650" s="618"/>
      <c r="X650" s="618"/>
      <c r="Y650" s="618"/>
      <c r="Z650" s="618"/>
      <c r="AA650" s="618"/>
      <c r="AB650" s="618"/>
    </row>
    <row r="651" spans="1:28">
      <c r="A651" s="618"/>
      <c r="B651" s="618"/>
      <c r="C651" s="618"/>
      <c r="D651" s="644"/>
      <c r="E651" s="618"/>
      <c r="F651" s="618"/>
      <c r="G651" s="618"/>
      <c r="H651" s="618"/>
      <c r="I651" s="618"/>
      <c r="J651" s="618"/>
      <c r="K651" s="618"/>
      <c r="L651" s="618"/>
      <c r="M651" s="618"/>
      <c r="N651" s="618"/>
      <c r="O651" s="618"/>
      <c r="P651" s="618"/>
      <c r="Q651" s="618"/>
      <c r="R651" s="618"/>
      <c r="S651" s="618"/>
      <c r="T651" s="618"/>
      <c r="U651" s="618"/>
      <c r="V651" s="618"/>
      <c r="W651" s="618"/>
      <c r="X651" s="618"/>
      <c r="Y651" s="618"/>
      <c r="Z651" s="618"/>
      <c r="AA651" s="618"/>
      <c r="AB651" s="618"/>
    </row>
    <row r="652" spans="1:28">
      <c r="A652" s="618"/>
      <c r="B652" s="618"/>
      <c r="C652" s="618"/>
      <c r="D652" s="644"/>
      <c r="E652" s="618"/>
      <c r="F652" s="618"/>
      <c r="G652" s="618"/>
      <c r="H652" s="618"/>
      <c r="I652" s="618"/>
      <c r="J652" s="618"/>
      <c r="K652" s="618"/>
      <c r="L652" s="618"/>
      <c r="M652" s="618"/>
      <c r="N652" s="618"/>
      <c r="O652" s="618"/>
      <c r="P652" s="618"/>
      <c r="Q652" s="618"/>
      <c r="R652" s="618"/>
      <c r="S652" s="618"/>
      <c r="T652" s="618"/>
      <c r="U652" s="618"/>
      <c r="V652" s="618"/>
      <c r="W652" s="618"/>
      <c r="X652" s="618"/>
      <c r="Y652" s="618"/>
      <c r="Z652" s="618"/>
      <c r="AA652" s="618"/>
      <c r="AB652" s="618"/>
    </row>
    <row r="653" spans="1:28">
      <c r="A653" s="618"/>
      <c r="B653" s="618"/>
      <c r="C653" s="618"/>
      <c r="D653" s="644"/>
      <c r="E653" s="618"/>
      <c r="F653" s="618"/>
      <c r="G653" s="618"/>
      <c r="H653" s="618"/>
      <c r="I653" s="618"/>
      <c r="J653" s="618"/>
      <c r="K653" s="618"/>
      <c r="L653" s="618"/>
      <c r="M653" s="618"/>
      <c r="N653" s="618"/>
      <c r="O653" s="618"/>
      <c r="P653" s="618"/>
      <c r="Q653" s="618"/>
      <c r="R653" s="618"/>
      <c r="S653" s="618"/>
      <c r="T653" s="618"/>
      <c r="U653" s="618"/>
      <c r="V653" s="618"/>
      <c r="W653" s="618"/>
      <c r="X653" s="618"/>
      <c r="Y653" s="618"/>
      <c r="Z653" s="618"/>
      <c r="AA653" s="618"/>
      <c r="AB653" s="618"/>
    </row>
    <row r="654" spans="1:28">
      <c r="A654" s="618"/>
      <c r="B654" s="618"/>
      <c r="C654" s="618"/>
      <c r="D654" s="644"/>
      <c r="E654" s="618"/>
      <c r="F654" s="618"/>
      <c r="G654" s="618"/>
      <c r="H654" s="618"/>
      <c r="I654" s="618"/>
      <c r="J654" s="618"/>
      <c r="K654" s="618"/>
      <c r="L654" s="618"/>
      <c r="M654" s="618"/>
      <c r="N654" s="618"/>
      <c r="O654" s="618"/>
      <c r="P654" s="618"/>
      <c r="Q654" s="618"/>
      <c r="R654" s="618"/>
      <c r="S654" s="618"/>
      <c r="T654" s="618"/>
      <c r="U654" s="618"/>
      <c r="V654" s="618"/>
      <c r="W654" s="618"/>
      <c r="X654" s="618"/>
      <c r="Y654" s="618"/>
      <c r="Z654" s="618"/>
      <c r="AA654" s="618"/>
      <c r="AB654" s="618"/>
    </row>
    <row r="655" spans="1:28">
      <c r="A655" s="618"/>
      <c r="B655" s="618"/>
      <c r="C655" s="618"/>
      <c r="D655" s="644"/>
      <c r="E655" s="618"/>
      <c r="F655" s="618"/>
      <c r="G655" s="618"/>
      <c r="H655" s="618"/>
      <c r="I655" s="618"/>
      <c r="J655" s="618"/>
      <c r="K655" s="618"/>
      <c r="L655" s="618"/>
      <c r="M655" s="618"/>
      <c r="N655" s="618"/>
      <c r="O655" s="618"/>
      <c r="P655" s="618"/>
      <c r="Q655" s="618"/>
      <c r="R655" s="618"/>
      <c r="S655" s="618"/>
      <c r="T655" s="618"/>
      <c r="U655" s="618"/>
      <c r="V655" s="618"/>
      <c r="W655" s="618"/>
      <c r="X655" s="618"/>
      <c r="Y655" s="618"/>
      <c r="Z655" s="618"/>
      <c r="AA655" s="618"/>
      <c r="AB655" s="618"/>
    </row>
    <row r="656" spans="1:28">
      <c r="A656" s="618"/>
      <c r="B656" s="618"/>
      <c r="C656" s="618"/>
      <c r="D656" s="644"/>
      <c r="E656" s="618"/>
      <c r="F656" s="618"/>
      <c r="G656" s="618"/>
      <c r="H656" s="618"/>
      <c r="I656" s="618"/>
      <c r="J656" s="618"/>
      <c r="K656" s="618"/>
      <c r="L656" s="618"/>
      <c r="M656" s="618"/>
      <c r="N656" s="618"/>
      <c r="O656" s="618"/>
      <c r="P656" s="618"/>
      <c r="Q656" s="618"/>
      <c r="R656" s="618"/>
      <c r="S656" s="618"/>
      <c r="T656" s="618"/>
      <c r="U656" s="618"/>
      <c r="V656" s="618"/>
      <c r="W656" s="618"/>
      <c r="X656" s="618"/>
      <c r="Y656" s="618"/>
      <c r="Z656" s="618"/>
      <c r="AA656" s="618"/>
      <c r="AB656" s="618"/>
    </row>
    <row r="657" spans="1:28">
      <c r="A657" s="618"/>
      <c r="B657" s="618"/>
      <c r="C657" s="618"/>
      <c r="D657" s="644"/>
      <c r="E657" s="618"/>
      <c r="F657" s="618"/>
      <c r="G657" s="618"/>
      <c r="H657" s="618"/>
      <c r="I657" s="618"/>
      <c r="J657" s="618"/>
      <c r="K657" s="618"/>
      <c r="L657" s="618"/>
      <c r="M657" s="618"/>
      <c r="N657" s="618"/>
      <c r="O657" s="618"/>
      <c r="P657" s="618"/>
      <c r="Q657" s="618"/>
      <c r="R657" s="618"/>
      <c r="S657" s="618"/>
      <c r="T657" s="618"/>
      <c r="U657" s="618"/>
      <c r="V657" s="618"/>
      <c r="W657" s="618"/>
      <c r="X657" s="618"/>
      <c r="Y657" s="618"/>
      <c r="Z657" s="618"/>
      <c r="AA657" s="618"/>
      <c r="AB657" s="618"/>
    </row>
    <row r="658" spans="1:28">
      <c r="A658" s="618"/>
      <c r="B658" s="618"/>
      <c r="C658" s="618"/>
      <c r="D658" s="644"/>
      <c r="E658" s="618"/>
      <c r="F658" s="618"/>
      <c r="G658" s="618"/>
      <c r="H658" s="618"/>
      <c r="I658" s="618"/>
      <c r="J658" s="618"/>
      <c r="K658" s="618"/>
      <c r="L658" s="618"/>
      <c r="M658" s="618"/>
      <c r="N658" s="618"/>
      <c r="O658" s="618"/>
      <c r="P658" s="618"/>
      <c r="Q658" s="618"/>
      <c r="R658" s="618"/>
      <c r="S658" s="618"/>
      <c r="T658" s="618"/>
      <c r="U658" s="618"/>
      <c r="V658" s="618"/>
      <c r="W658" s="618"/>
      <c r="X658" s="618"/>
      <c r="Y658" s="618"/>
      <c r="Z658" s="618"/>
      <c r="AA658" s="618"/>
      <c r="AB658" s="618"/>
    </row>
    <row r="659" spans="1:28">
      <c r="A659" s="618"/>
      <c r="B659" s="618"/>
      <c r="C659" s="618"/>
      <c r="D659" s="644"/>
      <c r="E659" s="618"/>
      <c r="F659" s="618"/>
      <c r="G659" s="618"/>
      <c r="H659" s="618"/>
      <c r="I659" s="618"/>
      <c r="J659" s="618"/>
      <c r="K659" s="618"/>
      <c r="L659" s="618"/>
      <c r="M659" s="618"/>
      <c r="N659" s="618"/>
      <c r="O659" s="618"/>
      <c r="P659" s="618"/>
      <c r="Q659" s="618"/>
      <c r="R659" s="618"/>
      <c r="S659" s="618"/>
      <c r="T659" s="618"/>
      <c r="U659" s="618"/>
      <c r="V659" s="618"/>
      <c r="W659" s="618"/>
      <c r="X659" s="618"/>
      <c r="Y659" s="618"/>
      <c r="Z659" s="618"/>
      <c r="AA659" s="618"/>
      <c r="AB659" s="618"/>
    </row>
    <row r="660" spans="1:28">
      <c r="A660" s="618"/>
      <c r="B660" s="618"/>
      <c r="C660" s="618"/>
      <c r="D660" s="644"/>
      <c r="E660" s="618"/>
      <c r="F660" s="618"/>
      <c r="G660" s="618"/>
      <c r="H660" s="618"/>
      <c r="I660" s="618"/>
      <c r="J660" s="618"/>
      <c r="K660" s="618"/>
      <c r="L660" s="618"/>
      <c r="M660" s="618"/>
      <c r="N660" s="618"/>
      <c r="O660" s="618"/>
      <c r="P660" s="618"/>
      <c r="Q660" s="618"/>
      <c r="R660" s="618"/>
      <c r="S660" s="618"/>
      <c r="T660" s="618"/>
      <c r="U660" s="618"/>
      <c r="V660" s="618"/>
      <c r="W660" s="618"/>
      <c r="X660" s="618"/>
      <c r="Y660" s="618"/>
      <c r="Z660" s="618"/>
      <c r="AA660" s="618"/>
      <c r="AB660" s="618"/>
    </row>
    <row r="661" spans="1:28">
      <c r="A661" s="618"/>
      <c r="B661" s="618"/>
      <c r="C661" s="618"/>
      <c r="D661" s="644"/>
      <c r="E661" s="618"/>
      <c r="F661" s="618"/>
      <c r="G661" s="618"/>
      <c r="H661" s="618"/>
      <c r="I661" s="618"/>
      <c r="J661" s="618"/>
      <c r="K661" s="618"/>
      <c r="L661" s="618"/>
      <c r="M661" s="618"/>
      <c r="N661" s="618"/>
      <c r="O661" s="618"/>
      <c r="P661" s="618"/>
      <c r="Q661" s="618"/>
      <c r="R661" s="618"/>
      <c r="S661" s="618"/>
      <c r="T661" s="618"/>
      <c r="U661" s="618"/>
      <c r="V661" s="618"/>
      <c r="W661" s="618"/>
      <c r="X661" s="618"/>
      <c r="Y661" s="618"/>
      <c r="Z661" s="618"/>
      <c r="AA661" s="618"/>
      <c r="AB661" s="618"/>
    </row>
    <row r="662" spans="1:28">
      <c r="A662" s="618"/>
      <c r="B662" s="618"/>
      <c r="C662" s="618"/>
      <c r="D662" s="644"/>
      <c r="E662" s="618"/>
      <c r="F662" s="618"/>
      <c r="G662" s="618"/>
      <c r="H662" s="618"/>
      <c r="I662" s="618"/>
      <c r="J662" s="618"/>
      <c r="K662" s="618"/>
      <c r="L662" s="618"/>
      <c r="M662" s="618"/>
      <c r="N662" s="618"/>
      <c r="O662" s="618"/>
      <c r="P662" s="618"/>
      <c r="Q662" s="618"/>
      <c r="R662" s="618"/>
      <c r="S662" s="618"/>
      <c r="T662" s="618"/>
      <c r="U662" s="618"/>
      <c r="V662" s="618"/>
      <c r="W662" s="618"/>
      <c r="X662" s="618"/>
      <c r="Y662" s="618"/>
      <c r="Z662" s="618"/>
      <c r="AA662" s="618"/>
      <c r="AB662" s="618"/>
    </row>
    <row r="663" spans="1:28">
      <c r="A663" s="618"/>
      <c r="B663" s="618"/>
      <c r="C663" s="618"/>
      <c r="D663" s="644"/>
      <c r="E663" s="618"/>
      <c r="F663" s="618"/>
      <c r="G663" s="618"/>
      <c r="H663" s="618"/>
      <c r="I663" s="618"/>
      <c r="J663" s="618"/>
      <c r="K663" s="618"/>
      <c r="L663" s="618"/>
      <c r="M663" s="618"/>
      <c r="N663" s="618"/>
      <c r="O663" s="618"/>
      <c r="P663" s="618"/>
      <c r="Q663" s="618"/>
      <c r="R663" s="618"/>
      <c r="S663" s="618"/>
      <c r="T663" s="618"/>
      <c r="U663" s="618"/>
      <c r="V663" s="618"/>
      <c r="W663" s="618"/>
      <c r="X663" s="618"/>
      <c r="Y663" s="618"/>
      <c r="Z663" s="618"/>
      <c r="AA663" s="618"/>
      <c r="AB663" s="618"/>
    </row>
    <row r="664" spans="1:28">
      <c r="A664" s="618"/>
      <c r="B664" s="618"/>
      <c r="C664" s="618"/>
      <c r="D664" s="644"/>
      <c r="E664" s="618"/>
      <c r="F664" s="618"/>
      <c r="G664" s="618"/>
      <c r="H664" s="618"/>
      <c r="I664" s="618"/>
      <c r="J664" s="618"/>
      <c r="K664" s="618"/>
      <c r="L664" s="618"/>
      <c r="M664" s="618"/>
      <c r="N664" s="618"/>
      <c r="O664" s="618"/>
      <c r="P664" s="618"/>
      <c r="Q664" s="618"/>
      <c r="R664" s="618"/>
      <c r="S664" s="618"/>
      <c r="T664" s="618"/>
      <c r="U664" s="618"/>
      <c r="V664" s="618"/>
      <c r="W664" s="618"/>
      <c r="X664" s="618"/>
      <c r="Y664" s="618"/>
      <c r="Z664" s="618"/>
      <c r="AA664" s="618"/>
      <c r="AB664" s="618"/>
    </row>
    <row r="665" spans="1:28">
      <c r="A665" s="618"/>
      <c r="B665" s="618"/>
      <c r="C665" s="618"/>
      <c r="D665" s="644"/>
      <c r="E665" s="618"/>
      <c r="F665" s="618"/>
      <c r="G665" s="618"/>
      <c r="H665" s="618"/>
      <c r="I665" s="618"/>
      <c r="J665" s="618"/>
      <c r="K665" s="618"/>
      <c r="L665" s="618"/>
      <c r="M665" s="618"/>
      <c r="N665" s="618"/>
      <c r="O665" s="618"/>
      <c r="P665" s="618"/>
      <c r="Q665" s="618"/>
      <c r="R665" s="618"/>
      <c r="S665" s="618"/>
      <c r="T665" s="618"/>
      <c r="U665" s="618"/>
      <c r="V665" s="618"/>
      <c r="W665" s="618"/>
      <c r="X665" s="618"/>
      <c r="Y665" s="618"/>
      <c r="Z665" s="618"/>
      <c r="AA665" s="618"/>
      <c r="AB665" s="618"/>
    </row>
    <row r="666" spans="1:28">
      <c r="A666" s="618"/>
      <c r="B666" s="618"/>
      <c r="C666" s="618"/>
      <c r="D666" s="644"/>
      <c r="E666" s="618"/>
      <c r="F666" s="618"/>
      <c r="G666" s="618"/>
      <c r="H666" s="618"/>
      <c r="I666" s="618"/>
      <c r="J666" s="618"/>
      <c r="K666" s="618"/>
      <c r="L666" s="618"/>
      <c r="M666" s="618"/>
      <c r="N666" s="618"/>
      <c r="O666" s="618"/>
      <c r="P666" s="618"/>
      <c r="Q666" s="618"/>
      <c r="R666" s="618"/>
      <c r="S666" s="618"/>
      <c r="T666" s="618"/>
      <c r="U666" s="618"/>
      <c r="V666" s="618"/>
      <c r="W666" s="618"/>
      <c r="X666" s="618"/>
      <c r="Y666" s="618"/>
      <c r="Z666" s="618"/>
      <c r="AA666" s="618"/>
      <c r="AB666" s="618"/>
    </row>
    <row r="667" spans="1:28">
      <c r="A667" s="618"/>
      <c r="B667" s="618"/>
      <c r="C667" s="618"/>
      <c r="D667" s="644"/>
      <c r="E667" s="618"/>
      <c r="F667" s="618"/>
      <c r="G667" s="618"/>
      <c r="H667" s="618"/>
      <c r="I667" s="618"/>
      <c r="J667" s="618"/>
      <c r="K667" s="618"/>
      <c r="L667" s="618"/>
      <c r="M667" s="618"/>
      <c r="N667" s="618"/>
      <c r="O667" s="618"/>
      <c r="P667" s="618"/>
      <c r="Q667" s="618"/>
      <c r="R667" s="618"/>
      <c r="S667" s="618"/>
      <c r="T667" s="618"/>
      <c r="U667" s="618"/>
      <c r="V667" s="618"/>
      <c r="W667" s="618"/>
      <c r="X667" s="618"/>
      <c r="Y667" s="618"/>
      <c r="Z667" s="618"/>
      <c r="AA667" s="618"/>
      <c r="AB667" s="618"/>
    </row>
    <row r="668" spans="1:28">
      <c r="A668" s="618"/>
      <c r="B668" s="618"/>
      <c r="C668" s="618"/>
      <c r="D668" s="644"/>
      <c r="E668" s="618"/>
      <c r="F668" s="618"/>
      <c r="G668" s="618"/>
      <c r="H668" s="618"/>
      <c r="I668" s="618"/>
      <c r="J668" s="618"/>
      <c r="K668" s="618"/>
      <c r="L668" s="618"/>
      <c r="M668" s="618"/>
      <c r="N668" s="618"/>
      <c r="O668" s="618"/>
      <c r="P668" s="618"/>
      <c r="Q668" s="618"/>
      <c r="R668" s="618"/>
      <c r="S668" s="618"/>
      <c r="T668" s="618"/>
      <c r="U668" s="618"/>
      <c r="V668" s="618"/>
      <c r="W668" s="618"/>
      <c r="X668" s="618"/>
      <c r="Y668" s="618"/>
      <c r="Z668" s="618"/>
      <c r="AA668" s="618"/>
      <c r="AB668" s="618"/>
    </row>
    <row r="669" spans="1:28">
      <c r="A669" s="618"/>
      <c r="B669" s="618"/>
      <c r="C669" s="618"/>
      <c r="D669" s="644"/>
      <c r="E669" s="618"/>
      <c r="F669" s="618"/>
      <c r="G669" s="618"/>
      <c r="H669" s="618"/>
      <c r="I669" s="618"/>
      <c r="J669" s="618"/>
      <c r="K669" s="618"/>
      <c r="L669" s="618"/>
      <c r="M669" s="618"/>
      <c r="N669" s="618"/>
      <c r="O669" s="618"/>
      <c r="P669" s="618"/>
      <c r="Q669" s="618"/>
      <c r="R669" s="618"/>
      <c r="S669" s="618"/>
      <c r="T669" s="618"/>
      <c r="U669" s="618"/>
      <c r="V669" s="618"/>
      <c r="W669" s="618"/>
      <c r="X669" s="618"/>
      <c r="Y669" s="618"/>
      <c r="Z669" s="618"/>
      <c r="AA669" s="618"/>
      <c r="AB669" s="618"/>
    </row>
    <row r="670" spans="1:28">
      <c r="A670" s="618"/>
      <c r="B670" s="618"/>
      <c r="C670" s="618"/>
      <c r="D670" s="644"/>
      <c r="E670" s="618"/>
      <c r="F670" s="618"/>
      <c r="G670" s="618"/>
      <c r="H670" s="618"/>
      <c r="I670" s="618"/>
      <c r="J670" s="618"/>
      <c r="K670" s="618"/>
      <c r="L670" s="618"/>
      <c r="M670" s="618"/>
      <c r="N670" s="618"/>
      <c r="O670" s="618"/>
      <c r="P670" s="618"/>
      <c r="Q670" s="618"/>
      <c r="R670" s="618"/>
      <c r="S670" s="618"/>
      <c r="T670" s="618"/>
      <c r="U670" s="618"/>
      <c r="V670" s="618"/>
      <c r="W670" s="618"/>
      <c r="X670" s="618"/>
      <c r="Y670" s="618"/>
      <c r="Z670" s="618"/>
      <c r="AA670" s="618"/>
      <c r="AB670" s="618"/>
    </row>
    <row r="671" spans="1:28">
      <c r="A671" s="618"/>
      <c r="B671" s="618"/>
      <c r="C671" s="618"/>
      <c r="D671" s="644"/>
      <c r="E671" s="618"/>
      <c r="F671" s="618"/>
      <c r="G671" s="618"/>
      <c r="H671" s="618"/>
      <c r="I671" s="618"/>
      <c r="J671" s="618"/>
      <c r="K671" s="618"/>
      <c r="L671" s="618"/>
      <c r="M671" s="618"/>
      <c r="N671" s="618"/>
      <c r="O671" s="618"/>
      <c r="P671" s="618"/>
      <c r="Q671" s="618"/>
      <c r="R671" s="618"/>
      <c r="S671" s="618"/>
      <c r="T671" s="618"/>
      <c r="U671" s="618"/>
      <c r="V671" s="618"/>
      <c r="W671" s="618"/>
      <c r="X671" s="618"/>
      <c r="Y671" s="618"/>
      <c r="Z671" s="618"/>
      <c r="AA671" s="618"/>
      <c r="AB671" s="618"/>
    </row>
    <row r="672" spans="1:28">
      <c r="A672" s="618"/>
      <c r="B672" s="618"/>
      <c r="C672" s="618"/>
      <c r="D672" s="644"/>
      <c r="E672" s="618"/>
      <c r="F672" s="618"/>
      <c r="G672" s="618"/>
      <c r="H672" s="618"/>
      <c r="I672" s="618"/>
      <c r="J672" s="618"/>
      <c r="K672" s="618"/>
      <c r="L672" s="618"/>
      <c r="M672" s="618"/>
      <c r="N672" s="618"/>
      <c r="O672" s="618"/>
      <c r="P672" s="618"/>
      <c r="Q672" s="618"/>
      <c r="R672" s="618"/>
      <c r="S672" s="618"/>
      <c r="T672" s="618"/>
      <c r="U672" s="618"/>
      <c r="V672" s="618"/>
      <c r="W672" s="618"/>
      <c r="X672" s="618"/>
      <c r="Y672" s="618"/>
      <c r="Z672" s="618"/>
      <c r="AA672" s="618"/>
      <c r="AB672" s="618"/>
    </row>
    <row r="673" spans="1:28">
      <c r="A673" s="618"/>
      <c r="B673" s="618"/>
      <c r="C673" s="618"/>
      <c r="D673" s="644"/>
      <c r="E673" s="618"/>
      <c r="F673" s="618"/>
      <c r="G673" s="618"/>
      <c r="H673" s="618"/>
      <c r="I673" s="618"/>
      <c r="J673" s="618"/>
      <c r="K673" s="618"/>
      <c r="L673" s="618"/>
      <c r="M673" s="618"/>
      <c r="N673" s="618"/>
      <c r="O673" s="618"/>
      <c r="P673" s="618"/>
      <c r="Q673" s="618"/>
      <c r="R673" s="618"/>
      <c r="S673" s="618"/>
      <c r="T673" s="618"/>
      <c r="U673" s="618"/>
      <c r="V673" s="618"/>
      <c r="W673" s="618"/>
      <c r="X673" s="618"/>
      <c r="Y673" s="618"/>
      <c r="Z673" s="618"/>
      <c r="AA673" s="618"/>
      <c r="AB673" s="618"/>
    </row>
    <row r="674" spans="1:28">
      <c r="A674" s="618"/>
      <c r="B674" s="618"/>
      <c r="C674" s="618"/>
      <c r="D674" s="644"/>
      <c r="E674" s="618"/>
      <c r="F674" s="618"/>
      <c r="G674" s="618"/>
      <c r="H674" s="618"/>
      <c r="I674" s="618"/>
      <c r="J674" s="618"/>
      <c r="K674" s="618"/>
      <c r="L674" s="618"/>
      <c r="M674" s="618"/>
      <c r="N674" s="618"/>
      <c r="O674" s="618"/>
      <c r="P674" s="618"/>
      <c r="Q674" s="618"/>
      <c r="R674" s="618"/>
      <c r="S674" s="618"/>
      <c r="T674" s="618"/>
      <c r="U674" s="618"/>
      <c r="V674" s="618"/>
      <c r="W674" s="618"/>
      <c r="X674" s="618"/>
      <c r="Y674" s="618"/>
      <c r="Z674" s="618"/>
      <c r="AA674" s="618"/>
      <c r="AB674" s="618"/>
    </row>
    <row r="675" spans="1:28">
      <c r="A675" s="618"/>
      <c r="B675" s="618"/>
      <c r="C675" s="618"/>
      <c r="D675" s="644"/>
      <c r="E675" s="618"/>
      <c r="F675" s="618"/>
      <c r="G675" s="618"/>
      <c r="H675" s="618"/>
      <c r="I675" s="618"/>
      <c r="J675" s="618"/>
      <c r="K675" s="618"/>
      <c r="L675" s="618"/>
      <c r="M675" s="618"/>
      <c r="N675" s="618"/>
      <c r="O675" s="618"/>
      <c r="P675" s="618"/>
      <c r="Q675" s="618"/>
      <c r="R675" s="618"/>
      <c r="S675" s="618"/>
      <c r="T675" s="618"/>
      <c r="U675" s="618"/>
      <c r="V675" s="618"/>
      <c r="W675" s="618"/>
      <c r="X675" s="618"/>
      <c r="Y675" s="618"/>
      <c r="Z675" s="618"/>
      <c r="AA675" s="618"/>
      <c r="AB675" s="618"/>
    </row>
    <row r="676" spans="1:28">
      <c r="A676" s="618"/>
      <c r="B676" s="618"/>
      <c r="C676" s="618"/>
      <c r="D676" s="644"/>
      <c r="E676" s="618"/>
      <c r="F676" s="618"/>
      <c r="G676" s="618"/>
      <c r="H676" s="618"/>
      <c r="I676" s="618"/>
      <c r="J676" s="618"/>
      <c r="K676" s="618"/>
      <c r="L676" s="618"/>
      <c r="M676" s="618"/>
      <c r="N676" s="618"/>
      <c r="O676" s="618"/>
      <c r="P676" s="618"/>
      <c r="Q676" s="618"/>
      <c r="R676" s="618"/>
      <c r="S676" s="618"/>
      <c r="T676" s="618"/>
      <c r="U676" s="618"/>
      <c r="V676" s="618"/>
      <c r="W676" s="618"/>
      <c r="X676" s="618"/>
      <c r="Y676" s="618"/>
      <c r="Z676" s="618"/>
      <c r="AA676" s="618"/>
      <c r="AB676" s="618"/>
    </row>
    <row r="677" spans="1:28">
      <c r="A677" s="618"/>
      <c r="B677" s="618"/>
      <c r="C677" s="618"/>
      <c r="D677" s="644"/>
      <c r="E677" s="618"/>
      <c r="F677" s="618"/>
      <c r="G677" s="618"/>
      <c r="H677" s="618"/>
      <c r="I677" s="618"/>
      <c r="J677" s="618"/>
      <c r="K677" s="618"/>
      <c r="L677" s="618"/>
      <c r="M677" s="618"/>
      <c r="N677" s="618"/>
      <c r="O677" s="618"/>
      <c r="P677" s="618"/>
      <c r="Q677" s="618"/>
      <c r="R677" s="618"/>
      <c r="S677" s="618"/>
      <c r="T677" s="618"/>
      <c r="U677" s="618"/>
      <c r="V677" s="618"/>
      <c r="W677" s="618"/>
      <c r="X677" s="618"/>
      <c r="Y677" s="618"/>
      <c r="Z677" s="618"/>
      <c r="AA677" s="618"/>
      <c r="AB677" s="618"/>
    </row>
    <row r="678" spans="1:28">
      <c r="A678" s="618"/>
      <c r="B678" s="618"/>
      <c r="C678" s="618"/>
      <c r="D678" s="644"/>
      <c r="E678" s="618"/>
      <c r="F678" s="618"/>
      <c r="G678" s="618"/>
      <c r="H678" s="618"/>
      <c r="I678" s="618"/>
      <c r="J678" s="618"/>
      <c r="K678" s="618"/>
      <c r="L678" s="618"/>
      <c r="M678" s="618"/>
      <c r="N678" s="618"/>
      <c r="O678" s="618"/>
      <c r="P678" s="618"/>
      <c r="Q678" s="618"/>
      <c r="R678" s="618"/>
      <c r="S678" s="618"/>
      <c r="T678" s="618"/>
      <c r="U678" s="618"/>
      <c r="V678" s="618"/>
      <c r="W678" s="618"/>
      <c r="X678" s="618"/>
      <c r="Y678" s="618"/>
      <c r="Z678" s="618"/>
      <c r="AA678" s="618"/>
      <c r="AB678" s="618"/>
    </row>
    <row r="679" spans="1:28">
      <c r="A679" s="618"/>
      <c r="B679" s="618"/>
      <c r="C679" s="618"/>
      <c r="D679" s="644"/>
      <c r="E679" s="618"/>
      <c r="F679" s="618"/>
      <c r="G679" s="618"/>
      <c r="H679" s="618"/>
      <c r="I679" s="618"/>
      <c r="J679" s="618"/>
      <c r="K679" s="618"/>
      <c r="L679" s="618"/>
      <c r="M679" s="618"/>
      <c r="N679" s="618"/>
      <c r="O679" s="618"/>
      <c r="P679" s="618"/>
      <c r="Q679" s="618"/>
      <c r="R679" s="618"/>
      <c r="S679" s="618"/>
      <c r="T679" s="618"/>
      <c r="U679" s="618"/>
      <c r="V679" s="618"/>
      <c r="W679" s="618"/>
      <c r="X679" s="618"/>
      <c r="Y679" s="618"/>
      <c r="Z679" s="618"/>
      <c r="AA679" s="618"/>
      <c r="AB679" s="618"/>
    </row>
    <row r="680" spans="1:28">
      <c r="A680" s="618"/>
      <c r="B680" s="618"/>
      <c r="C680" s="618"/>
      <c r="D680" s="644"/>
      <c r="E680" s="618"/>
      <c r="F680" s="618"/>
      <c r="G680" s="618"/>
      <c r="H680" s="618"/>
      <c r="I680" s="618"/>
      <c r="J680" s="618"/>
      <c r="K680" s="618"/>
      <c r="L680" s="618"/>
      <c r="M680" s="618"/>
      <c r="N680" s="618"/>
      <c r="O680" s="618"/>
      <c r="P680" s="618"/>
      <c r="Q680" s="618"/>
      <c r="R680" s="618"/>
      <c r="S680" s="618"/>
      <c r="T680" s="618"/>
      <c r="U680" s="618"/>
      <c r="V680" s="618"/>
      <c r="W680" s="618"/>
      <c r="X680" s="618"/>
      <c r="Y680" s="618"/>
      <c r="Z680" s="618"/>
      <c r="AA680" s="618"/>
      <c r="AB680" s="618"/>
    </row>
    <row r="681" spans="1:28">
      <c r="A681" s="618"/>
      <c r="B681" s="618"/>
      <c r="C681" s="618"/>
      <c r="D681" s="644"/>
      <c r="E681" s="618"/>
      <c r="F681" s="618"/>
      <c r="G681" s="618"/>
      <c r="H681" s="618"/>
      <c r="I681" s="618"/>
      <c r="J681" s="618"/>
      <c r="K681" s="618"/>
      <c r="L681" s="618"/>
      <c r="M681" s="618"/>
      <c r="N681" s="618"/>
      <c r="O681" s="618"/>
      <c r="P681" s="618"/>
      <c r="Q681" s="618"/>
      <c r="R681" s="618"/>
      <c r="S681" s="618"/>
      <c r="T681" s="618"/>
      <c r="U681" s="618"/>
      <c r="V681" s="618"/>
      <c r="W681" s="618"/>
      <c r="X681" s="618"/>
      <c r="Y681" s="618"/>
      <c r="Z681" s="618"/>
      <c r="AA681" s="618"/>
      <c r="AB681" s="618"/>
    </row>
    <row r="682" spans="1:28">
      <c r="A682" s="618"/>
      <c r="B682" s="618"/>
      <c r="C682" s="618"/>
      <c r="D682" s="644"/>
      <c r="E682" s="618"/>
      <c r="F682" s="618"/>
      <c r="G682" s="618"/>
      <c r="H682" s="618"/>
      <c r="I682" s="618"/>
      <c r="J682" s="618"/>
      <c r="K682" s="618"/>
      <c r="L682" s="618"/>
      <c r="M682" s="618"/>
      <c r="N682" s="618"/>
      <c r="O682" s="618"/>
      <c r="P682" s="618"/>
      <c r="Q682" s="618"/>
      <c r="R682" s="618"/>
      <c r="S682" s="618"/>
      <c r="T682" s="618"/>
      <c r="U682" s="618"/>
      <c r="V682" s="618"/>
      <c r="W682" s="618"/>
      <c r="X682" s="618"/>
      <c r="Y682" s="618"/>
      <c r="Z682" s="618"/>
      <c r="AA682" s="618"/>
      <c r="AB682" s="618"/>
    </row>
    <row r="683" spans="1:28">
      <c r="A683" s="618"/>
      <c r="B683" s="618"/>
      <c r="C683" s="618"/>
      <c r="D683" s="644"/>
      <c r="E683" s="618"/>
      <c r="F683" s="618"/>
      <c r="G683" s="618"/>
      <c r="H683" s="618"/>
      <c r="I683" s="618"/>
      <c r="J683" s="618"/>
      <c r="K683" s="618"/>
      <c r="L683" s="618"/>
      <c r="M683" s="618"/>
      <c r="N683" s="618"/>
      <c r="O683" s="618"/>
      <c r="P683" s="618"/>
      <c r="Q683" s="618"/>
      <c r="R683" s="618"/>
      <c r="S683" s="618"/>
      <c r="T683" s="618"/>
      <c r="U683" s="618"/>
      <c r="V683" s="618"/>
      <c r="W683" s="618"/>
      <c r="X683" s="618"/>
      <c r="Y683" s="618"/>
      <c r="Z683" s="618"/>
      <c r="AA683" s="618"/>
      <c r="AB683" s="618"/>
    </row>
    <row r="684" spans="1:28">
      <c r="A684" s="618"/>
      <c r="B684" s="618"/>
      <c r="C684" s="618"/>
      <c r="D684" s="644"/>
      <c r="E684" s="618"/>
      <c r="F684" s="618"/>
      <c r="G684" s="618"/>
      <c r="H684" s="618"/>
      <c r="I684" s="618"/>
      <c r="J684" s="618"/>
      <c r="K684" s="618"/>
      <c r="L684" s="618"/>
      <c r="M684" s="618"/>
      <c r="N684" s="618"/>
      <c r="O684" s="618"/>
      <c r="P684" s="618"/>
      <c r="Q684" s="618"/>
      <c r="R684" s="618"/>
      <c r="S684" s="618"/>
      <c r="T684" s="618"/>
      <c r="U684" s="618"/>
      <c r="V684" s="618"/>
      <c r="W684" s="618"/>
      <c r="X684" s="618"/>
      <c r="Y684" s="618"/>
      <c r="Z684" s="618"/>
      <c r="AA684" s="618"/>
      <c r="AB684" s="618"/>
    </row>
    <row r="685" spans="1:28">
      <c r="A685" s="618"/>
      <c r="B685" s="618"/>
      <c r="C685" s="618"/>
      <c r="D685" s="644"/>
      <c r="E685" s="618"/>
      <c r="F685" s="618"/>
      <c r="G685" s="618"/>
      <c r="H685" s="618"/>
      <c r="I685" s="618"/>
      <c r="J685" s="618"/>
      <c r="K685" s="618"/>
      <c r="L685" s="618"/>
      <c r="M685" s="618"/>
      <c r="N685" s="618"/>
      <c r="O685" s="618"/>
      <c r="P685" s="618"/>
      <c r="Q685" s="618"/>
      <c r="R685" s="618"/>
      <c r="S685" s="618"/>
      <c r="T685" s="618"/>
      <c r="U685" s="618"/>
      <c r="V685" s="618"/>
      <c r="W685" s="618"/>
      <c r="X685" s="618"/>
      <c r="Y685" s="618"/>
      <c r="Z685" s="618"/>
      <c r="AA685" s="618"/>
      <c r="AB685" s="618"/>
    </row>
    <row r="686" spans="1:28">
      <c r="A686" s="618"/>
      <c r="B686" s="618"/>
      <c r="C686" s="618"/>
      <c r="D686" s="644"/>
      <c r="E686" s="618"/>
      <c r="F686" s="618"/>
      <c r="G686" s="618"/>
      <c r="H686" s="618"/>
      <c r="I686" s="618"/>
      <c r="J686" s="618"/>
      <c r="K686" s="618"/>
      <c r="L686" s="618"/>
      <c r="M686" s="618"/>
      <c r="N686" s="618"/>
      <c r="O686" s="618"/>
      <c r="P686" s="618"/>
      <c r="Q686" s="618"/>
      <c r="R686" s="618"/>
      <c r="S686" s="618"/>
      <c r="T686" s="618"/>
      <c r="U686" s="618"/>
      <c r="V686" s="618"/>
      <c r="W686" s="618"/>
      <c r="X686" s="618"/>
      <c r="Y686" s="618"/>
      <c r="Z686" s="618"/>
      <c r="AA686" s="618"/>
      <c r="AB686" s="618"/>
    </row>
    <row r="687" spans="1:28">
      <c r="A687" s="618"/>
      <c r="B687" s="618"/>
      <c r="C687" s="618"/>
      <c r="D687" s="644"/>
      <c r="E687" s="618"/>
      <c r="F687" s="618"/>
      <c r="G687" s="618"/>
      <c r="H687" s="618"/>
      <c r="I687" s="618"/>
      <c r="J687" s="618"/>
      <c r="K687" s="618"/>
      <c r="L687" s="618"/>
      <c r="M687" s="618"/>
      <c r="N687" s="618"/>
      <c r="O687" s="618"/>
      <c r="P687" s="618"/>
      <c r="Q687" s="618"/>
      <c r="R687" s="618"/>
      <c r="S687" s="618"/>
      <c r="T687" s="618"/>
      <c r="U687" s="618"/>
      <c r="V687" s="618"/>
      <c r="W687" s="618"/>
      <c r="X687" s="618"/>
      <c r="Y687" s="618"/>
      <c r="Z687" s="618"/>
      <c r="AA687" s="618"/>
      <c r="AB687" s="618"/>
    </row>
    <row r="688" spans="1:28">
      <c r="A688" s="618"/>
      <c r="B688" s="618"/>
      <c r="C688" s="618"/>
      <c r="D688" s="644"/>
      <c r="E688" s="618"/>
      <c r="F688" s="618"/>
      <c r="G688" s="618"/>
      <c r="H688" s="618"/>
      <c r="I688" s="618"/>
      <c r="J688" s="618"/>
      <c r="K688" s="618"/>
      <c r="L688" s="618"/>
      <c r="M688" s="618"/>
      <c r="N688" s="618"/>
      <c r="O688" s="618"/>
      <c r="P688" s="618"/>
      <c r="Q688" s="618"/>
      <c r="R688" s="618"/>
      <c r="S688" s="618"/>
      <c r="T688" s="618"/>
      <c r="U688" s="618"/>
      <c r="V688" s="618"/>
      <c r="W688" s="618"/>
      <c r="X688" s="618"/>
      <c r="Y688" s="618"/>
      <c r="Z688" s="618"/>
      <c r="AA688" s="618"/>
      <c r="AB688" s="618"/>
    </row>
    <row r="689" spans="1:28">
      <c r="A689" s="618"/>
      <c r="B689" s="618"/>
      <c r="C689" s="618"/>
      <c r="D689" s="644"/>
      <c r="E689" s="618"/>
      <c r="F689" s="618"/>
      <c r="G689" s="618"/>
      <c r="H689" s="618"/>
      <c r="I689" s="618"/>
      <c r="J689" s="618"/>
      <c r="K689" s="618"/>
      <c r="L689" s="618"/>
      <c r="M689" s="618"/>
      <c r="N689" s="618"/>
      <c r="O689" s="618"/>
      <c r="P689" s="618"/>
      <c r="Q689" s="618"/>
      <c r="R689" s="618"/>
      <c r="S689" s="618"/>
      <c r="T689" s="618"/>
      <c r="U689" s="618"/>
      <c r="V689" s="618"/>
      <c r="W689" s="618"/>
      <c r="X689" s="618"/>
      <c r="Y689" s="618"/>
      <c r="Z689" s="618"/>
      <c r="AA689" s="618"/>
      <c r="AB689" s="618"/>
    </row>
    <row r="690" spans="1:28">
      <c r="A690" s="618"/>
      <c r="B690" s="618"/>
      <c r="C690" s="618"/>
      <c r="D690" s="644"/>
      <c r="E690" s="618"/>
      <c r="F690" s="618"/>
      <c r="G690" s="618"/>
      <c r="H690" s="618"/>
      <c r="I690" s="618"/>
      <c r="J690" s="618"/>
      <c r="K690" s="618"/>
      <c r="L690" s="618"/>
      <c r="M690" s="618"/>
      <c r="N690" s="618"/>
      <c r="O690" s="618"/>
      <c r="P690" s="618"/>
      <c r="Q690" s="618"/>
      <c r="R690" s="618"/>
      <c r="S690" s="618"/>
      <c r="T690" s="618"/>
      <c r="U690" s="618"/>
      <c r="V690" s="618"/>
      <c r="W690" s="618"/>
      <c r="X690" s="618"/>
      <c r="Y690" s="618"/>
      <c r="Z690" s="618"/>
      <c r="AA690" s="618"/>
      <c r="AB690" s="618"/>
    </row>
    <row r="691" spans="1:28">
      <c r="A691" s="618"/>
      <c r="B691" s="618"/>
      <c r="C691" s="618"/>
      <c r="D691" s="644"/>
      <c r="E691" s="618"/>
      <c r="F691" s="618"/>
      <c r="G691" s="618"/>
      <c r="H691" s="618"/>
      <c r="I691" s="618"/>
      <c r="J691" s="618"/>
      <c r="K691" s="618"/>
      <c r="L691" s="618"/>
      <c r="M691" s="618"/>
      <c r="N691" s="618"/>
      <c r="O691" s="618"/>
      <c r="P691" s="618"/>
      <c r="Q691" s="618"/>
      <c r="R691" s="618"/>
      <c r="S691" s="618"/>
      <c r="T691" s="618"/>
      <c r="U691" s="618"/>
      <c r="V691" s="618"/>
      <c r="W691" s="618"/>
      <c r="X691" s="618"/>
      <c r="Y691" s="618"/>
      <c r="Z691" s="618"/>
      <c r="AA691" s="618"/>
      <c r="AB691" s="618"/>
    </row>
    <row r="692" spans="1:28">
      <c r="A692" s="618"/>
      <c r="B692" s="618"/>
      <c r="C692" s="618"/>
      <c r="D692" s="644"/>
      <c r="E692" s="618"/>
      <c r="F692" s="618"/>
      <c r="G692" s="618"/>
      <c r="H692" s="618"/>
      <c r="I692" s="618"/>
      <c r="J692" s="618"/>
      <c r="K692" s="618"/>
      <c r="L692" s="618"/>
      <c r="M692" s="618"/>
      <c r="N692" s="618"/>
      <c r="O692" s="618"/>
      <c r="P692" s="618"/>
      <c r="Q692" s="618"/>
      <c r="R692" s="618"/>
      <c r="S692" s="618"/>
      <c r="T692" s="618"/>
      <c r="U692" s="618"/>
      <c r="V692" s="618"/>
      <c r="W692" s="618"/>
      <c r="X692" s="618"/>
      <c r="Y692" s="618"/>
      <c r="Z692" s="618"/>
      <c r="AA692" s="618"/>
      <c r="AB692" s="618"/>
    </row>
    <row r="693" spans="1:28">
      <c r="A693" s="618"/>
      <c r="B693" s="618"/>
      <c r="C693" s="618"/>
      <c r="D693" s="644"/>
      <c r="E693" s="618"/>
      <c r="F693" s="618"/>
      <c r="G693" s="618"/>
      <c r="H693" s="618"/>
      <c r="I693" s="618"/>
      <c r="J693" s="618"/>
      <c r="K693" s="618"/>
      <c r="L693" s="618"/>
      <c r="M693" s="618"/>
      <c r="N693" s="618"/>
      <c r="O693" s="618"/>
      <c r="P693" s="618"/>
      <c r="Q693" s="618"/>
      <c r="R693" s="618"/>
      <c r="S693" s="618"/>
      <c r="T693" s="618"/>
      <c r="U693" s="618"/>
      <c r="V693" s="618"/>
      <c r="W693" s="618"/>
      <c r="X693" s="618"/>
      <c r="Y693" s="618"/>
      <c r="Z693" s="618"/>
      <c r="AA693" s="618"/>
      <c r="AB693" s="618"/>
    </row>
    <row r="694" spans="1:28">
      <c r="A694" s="618"/>
      <c r="B694" s="618"/>
      <c r="C694" s="618"/>
      <c r="D694" s="644"/>
      <c r="E694" s="618"/>
      <c r="F694" s="618"/>
      <c r="G694" s="618"/>
      <c r="H694" s="618"/>
      <c r="I694" s="618"/>
      <c r="J694" s="618"/>
      <c r="K694" s="618"/>
      <c r="L694" s="618"/>
      <c r="M694" s="618"/>
      <c r="N694" s="618"/>
      <c r="O694" s="618"/>
      <c r="P694" s="618"/>
      <c r="Q694" s="618"/>
      <c r="R694" s="618"/>
      <c r="S694" s="618"/>
      <c r="T694" s="618"/>
      <c r="U694" s="618"/>
      <c r="V694" s="618"/>
      <c r="W694" s="618"/>
      <c r="X694" s="618"/>
      <c r="Y694" s="618"/>
      <c r="Z694" s="618"/>
      <c r="AA694" s="618"/>
      <c r="AB694" s="618"/>
    </row>
    <row r="695" spans="1:28">
      <c r="A695" s="618"/>
      <c r="B695" s="618"/>
      <c r="C695" s="618"/>
      <c r="D695" s="644"/>
      <c r="E695" s="618"/>
      <c r="F695" s="618"/>
      <c r="G695" s="618"/>
      <c r="H695" s="618"/>
      <c r="I695" s="618"/>
      <c r="J695" s="618"/>
      <c r="K695" s="618"/>
      <c r="L695" s="618"/>
      <c r="M695" s="618"/>
      <c r="N695" s="618"/>
      <c r="O695" s="618"/>
      <c r="P695" s="618"/>
      <c r="Q695" s="618"/>
      <c r="R695" s="618"/>
      <c r="S695" s="618"/>
      <c r="T695" s="618"/>
      <c r="U695" s="618"/>
      <c r="V695" s="618"/>
      <c r="W695" s="618"/>
      <c r="X695" s="618"/>
      <c r="Y695" s="618"/>
      <c r="Z695" s="618"/>
      <c r="AA695" s="618"/>
      <c r="AB695" s="618"/>
    </row>
    <row r="696" spans="1:28">
      <c r="A696" s="618"/>
      <c r="B696" s="618"/>
      <c r="C696" s="618"/>
      <c r="D696" s="644"/>
      <c r="E696" s="618"/>
      <c r="F696" s="618"/>
      <c r="G696" s="618"/>
      <c r="H696" s="618"/>
      <c r="I696" s="618"/>
      <c r="J696" s="618"/>
      <c r="K696" s="618"/>
      <c r="L696" s="618"/>
      <c r="M696" s="618"/>
      <c r="N696" s="618"/>
      <c r="O696" s="618"/>
      <c r="P696" s="618"/>
      <c r="Q696" s="618"/>
      <c r="R696" s="618"/>
      <c r="S696" s="618"/>
      <c r="T696" s="618"/>
      <c r="U696" s="618"/>
      <c r="V696" s="618"/>
      <c r="W696" s="618"/>
      <c r="X696" s="618"/>
      <c r="Y696" s="618"/>
      <c r="Z696" s="618"/>
      <c r="AA696" s="618"/>
      <c r="AB696" s="618"/>
    </row>
    <row r="697" spans="1:28">
      <c r="A697" s="618"/>
      <c r="B697" s="618"/>
      <c r="C697" s="618"/>
      <c r="D697" s="644"/>
      <c r="E697" s="618"/>
      <c r="F697" s="618"/>
      <c r="G697" s="618"/>
      <c r="H697" s="618"/>
      <c r="I697" s="618"/>
      <c r="J697" s="618"/>
      <c r="K697" s="618"/>
      <c r="L697" s="618"/>
      <c r="M697" s="618"/>
      <c r="N697" s="618"/>
      <c r="O697" s="618"/>
      <c r="P697" s="618"/>
      <c r="Q697" s="618"/>
      <c r="R697" s="618"/>
      <c r="S697" s="618"/>
      <c r="T697" s="618"/>
      <c r="U697" s="618"/>
      <c r="V697" s="618"/>
      <c r="W697" s="618"/>
      <c r="X697" s="618"/>
      <c r="Y697" s="618"/>
      <c r="Z697" s="618"/>
      <c r="AA697" s="618"/>
      <c r="AB697" s="618"/>
    </row>
    <row r="698" spans="1:28">
      <c r="A698" s="618"/>
      <c r="B698" s="618"/>
      <c r="C698" s="618"/>
      <c r="D698" s="644"/>
      <c r="E698" s="618"/>
      <c r="F698" s="618"/>
      <c r="G698" s="618"/>
      <c r="H698" s="618"/>
      <c r="I698" s="618"/>
      <c r="J698" s="618"/>
      <c r="K698" s="618"/>
      <c r="L698" s="618"/>
      <c r="M698" s="618"/>
      <c r="N698" s="618"/>
      <c r="O698" s="618"/>
      <c r="P698" s="618"/>
      <c r="Q698" s="618"/>
      <c r="R698" s="618"/>
      <c r="S698" s="618"/>
      <c r="T698" s="618"/>
      <c r="U698" s="618"/>
      <c r="V698" s="618"/>
      <c r="W698" s="618"/>
      <c r="X698" s="618"/>
      <c r="Y698" s="618"/>
      <c r="Z698" s="618"/>
      <c r="AA698" s="618"/>
      <c r="AB698" s="618"/>
    </row>
    <row r="699" spans="1:28">
      <c r="A699" s="618"/>
      <c r="B699" s="618"/>
      <c r="C699" s="618"/>
      <c r="D699" s="644"/>
      <c r="E699" s="618"/>
      <c r="F699" s="618"/>
      <c r="G699" s="618"/>
      <c r="H699" s="618"/>
      <c r="I699" s="618"/>
      <c r="J699" s="618"/>
      <c r="K699" s="618"/>
      <c r="L699" s="618"/>
      <c r="M699" s="618"/>
      <c r="N699" s="618"/>
      <c r="O699" s="618"/>
      <c r="P699" s="618"/>
      <c r="Q699" s="618"/>
      <c r="R699" s="618"/>
      <c r="S699" s="618"/>
      <c r="T699" s="618"/>
      <c r="U699" s="618"/>
      <c r="V699" s="618"/>
      <c r="W699" s="618"/>
      <c r="X699" s="618"/>
      <c r="Y699" s="618"/>
      <c r="Z699" s="618"/>
      <c r="AA699" s="618"/>
      <c r="AB699" s="618"/>
    </row>
    <row r="700" spans="1:28">
      <c r="A700" s="618"/>
      <c r="B700" s="618"/>
      <c r="C700" s="618"/>
      <c r="D700" s="644"/>
      <c r="E700" s="618"/>
      <c r="F700" s="618"/>
      <c r="G700" s="618"/>
      <c r="H700" s="618"/>
      <c r="I700" s="618"/>
      <c r="J700" s="618"/>
      <c r="K700" s="618"/>
      <c r="L700" s="618"/>
      <c r="M700" s="618"/>
      <c r="N700" s="618"/>
      <c r="O700" s="618"/>
      <c r="P700" s="618"/>
      <c r="Q700" s="618"/>
      <c r="R700" s="618"/>
      <c r="S700" s="618"/>
      <c r="T700" s="618"/>
      <c r="U700" s="618"/>
      <c r="V700" s="618"/>
      <c r="W700" s="618"/>
      <c r="X700" s="618"/>
      <c r="Y700" s="618"/>
      <c r="Z700" s="618"/>
      <c r="AA700" s="618"/>
      <c r="AB700" s="618"/>
    </row>
    <row r="701" spans="1:28">
      <c r="A701" s="618"/>
      <c r="B701" s="618"/>
      <c r="C701" s="618"/>
      <c r="D701" s="644"/>
      <c r="E701" s="618"/>
      <c r="F701" s="618"/>
      <c r="G701" s="618"/>
      <c r="H701" s="618"/>
      <c r="I701" s="618"/>
      <c r="J701" s="618"/>
      <c r="K701" s="618"/>
      <c r="L701" s="618"/>
      <c r="M701" s="618"/>
      <c r="N701" s="618"/>
      <c r="O701" s="618"/>
      <c r="P701" s="618"/>
      <c r="Q701" s="618"/>
      <c r="R701" s="618"/>
      <c r="S701" s="618"/>
      <c r="T701" s="618"/>
      <c r="U701" s="618"/>
      <c r="V701" s="618"/>
      <c r="W701" s="618"/>
      <c r="X701" s="618"/>
      <c r="Y701" s="618"/>
      <c r="Z701" s="618"/>
      <c r="AA701" s="618"/>
      <c r="AB701" s="618"/>
    </row>
    <row r="702" spans="1:28">
      <c r="A702" s="618"/>
      <c r="B702" s="618"/>
      <c r="C702" s="618"/>
      <c r="D702" s="644"/>
      <c r="E702" s="618"/>
      <c r="F702" s="618"/>
      <c r="G702" s="618"/>
      <c r="H702" s="618"/>
      <c r="I702" s="618"/>
      <c r="J702" s="618"/>
      <c r="K702" s="618"/>
      <c r="L702" s="618"/>
      <c r="M702" s="618"/>
      <c r="N702" s="618"/>
      <c r="O702" s="618"/>
      <c r="P702" s="618"/>
      <c r="Q702" s="618"/>
      <c r="R702" s="618"/>
      <c r="S702" s="618"/>
      <c r="T702" s="618"/>
      <c r="U702" s="618"/>
      <c r="V702" s="618"/>
      <c r="W702" s="618"/>
      <c r="X702" s="618"/>
      <c r="Y702" s="618"/>
      <c r="Z702" s="618"/>
      <c r="AA702" s="618"/>
      <c r="AB702" s="618"/>
    </row>
    <row r="703" spans="1:28">
      <c r="A703" s="618"/>
      <c r="B703" s="618"/>
      <c r="C703" s="618"/>
      <c r="D703" s="644"/>
      <c r="E703" s="618"/>
      <c r="F703" s="618"/>
      <c r="G703" s="618"/>
      <c r="H703" s="618"/>
      <c r="I703" s="618"/>
      <c r="J703" s="618"/>
      <c r="K703" s="618"/>
      <c r="L703" s="618"/>
      <c r="M703" s="618"/>
      <c r="N703" s="618"/>
      <c r="O703" s="618"/>
      <c r="P703" s="618"/>
      <c r="Q703" s="618"/>
      <c r="R703" s="618"/>
      <c r="S703" s="618"/>
      <c r="T703" s="618"/>
      <c r="U703" s="618"/>
      <c r="V703" s="618"/>
      <c r="W703" s="618"/>
      <c r="X703" s="618"/>
      <c r="Y703" s="618"/>
      <c r="Z703" s="618"/>
      <c r="AA703" s="618"/>
      <c r="AB703" s="618"/>
    </row>
    <row r="704" spans="1:28">
      <c r="A704" s="618"/>
      <c r="B704" s="618"/>
      <c r="C704" s="618"/>
      <c r="D704" s="644"/>
      <c r="E704" s="618"/>
      <c r="F704" s="618"/>
      <c r="G704" s="618"/>
      <c r="H704" s="618"/>
      <c r="I704" s="618"/>
      <c r="J704" s="618"/>
      <c r="K704" s="618"/>
      <c r="L704" s="618"/>
      <c r="M704" s="618"/>
      <c r="N704" s="618"/>
      <c r="O704" s="618"/>
      <c r="P704" s="618"/>
      <c r="Q704" s="618"/>
      <c r="R704" s="618"/>
      <c r="S704" s="618"/>
      <c r="T704" s="618"/>
      <c r="U704" s="618"/>
      <c r="V704" s="618"/>
      <c r="W704" s="618"/>
      <c r="X704" s="618"/>
      <c r="Y704" s="618"/>
      <c r="Z704" s="618"/>
      <c r="AA704" s="618"/>
      <c r="AB704" s="618"/>
    </row>
    <row r="705" spans="1:28">
      <c r="A705" s="618"/>
      <c r="B705" s="618"/>
      <c r="C705" s="618"/>
      <c r="D705" s="644"/>
      <c r="E705" s="618"/>
      <c r="F705" s="618"/>
      <c r="G705" s="618"/>
      <c r="H705" s="618"/>
      <c r="I705" s="618"/>
      <c r="J705" s="618"/>
      <c r="K705" s="618"/>
      <c r="L705" s="618"/>
      <c r="M705" s="618"/>
      <c r="N705" s="618"/>
      <c r="O705" s="618"/>
      <c r="P705" s="618"/>
      <c r="Q705" s="618"/>
      <c r="R705" s="618"/>
      <c r="S705" s="618"/>
      <c r="T705" s="618"/>
      <c r="U705" s="618"/>
      <c r="V705" s="618"/>
      <c r="W705" s="618"/>
      <c r="X705" s="618"/>
      <c r="Y705" s="618"/>
      <c r="Z705" s="618"/>
      <c r="AA705" s="618"/>
      <c r="AB705" s="618"/>
    </row>
    <row r="706" spans="1:28">
      <c r="A706" s="618"/>
      <c r="B706" s="618"/>
      <c r="C706" s="618"/>
      <c r="D706" s="644"/>
      <c r="E706" s="618"/>
      <c r="F706" s="618"/>
      <c r="G706" s="618"/>
      <c r="H706" s="618"/>
      <c r="I706" s="618"/>
      <c r="J706" s="618"/>
      <c r="K706" s="618"/>
      <c r="L706" s="618"/>
      <c r="M706" s="618"/>
      <c r="N706" s="618"/>
      <c r="O706" s="618"/>
      <c r="P706" s="618"/>
      <c r="Q706" s="618"/>
      <c r="R706" s="618"/>
      <c r="S706" s="618"/>
      <c r="T706" s="618"/>
      <c r="U706" s="618"/>
      <c r="V706" s="618"/>
      <c r="W706" s="618"/>
      <c r="X706" s="618"/>
      <c r="Y706" s="618"/>
      <c r="Z706" s="618"/>
      <c r="AA706" s="618"/>
      <c r="AB706" s="618"/>
    </row>
    <row r="707" spans="1:28">
      <c r="A707" s="618"/>
      <c r="B707" s="618"/>
      <c r="C707" s="618"/>
      <c r="D707" s="644"/>
      <c r="E707" s="618"/>
      <c r="F707" s="618"/>
      <c r="G707" s="618"/>
      <c r="H707" s="618"/>
      <c r="I707" s="618"/>
      <c r="J707" s="618"/>
      <c r="K707" s="618"/>
      <c r="L707" s="618"/>
      <c r="M707" s="618"/>
      <c r="N707" s="618"/>
      <c r="O707" s="618"/>
      <c r="P707" s="618"/>
      <c r="Q707" s="618"/>
      <c r="R707" s="618"/>
      <c r="S707" s="618"/>
      <c r="T707" s="618"/>
      <c r="U707" s="618"/>
      <c r="V707" s="618"/>
      <c r="W707" s="618"/>
      <c r="X707" s="618"/>
      <c r="Y707" s="618"/>
      <c r="Z707" s="618"/>
      <c r="AA707" s="618"/>
      <c r="AB707" s="618"/>
    </row>
    <row r="708" spans="1:28">
      <c r="A708" s="618"/>
      <c r="B708" s="618"/>
      <c r="C708" s="618"/>
      <c r="D708" s="644"/>
      <c r="E708" s="618"/>
      <c r="F708" s="618"/>
      <c r="G708" s="618"/>
      <c r="H708" s="618"/>
      <c r="I708" s="618"/>
      <c r="J708" s="618"/>
      <c r="K708" s="618"/>
      <c r="L708" s="618"/>
      <c r="M708" s="618"/>
      <c r="N708" s="618"/>
      <c r="O708" s="618"/>
      <c r="P708" s="618"/>
      <c r="Q708" s="618"/>
      <c r="R708" s="618"/>
      <c r="S708" s="618"/>
      <c r="T708" s="618"/>
      <c r="U708" s="618"/>
      <c r="V708" s="618"/>
      <c r="W708" s="618"/>
      <c r="X708" s="618"/>
      <c r="Y708" s="618"/>
      <c r="Z708" s="618"/>
      <c r="AA708" s="618"/>
      <c r="AB708" s="618"/>
    </row>
    <row r="709" spans="1:28">
      <c r="A709" s="618"/>
      <c r="B709" s="618"/>
      <c r="C709" s="618"/>
      <c r="D709" s="644"/>
      <c r="E709" s="618"/>
      <c r="F709" s="618"/>
      <c r="G709" s="618"/>
      <c r="H709" s="618"/>
      <c r="I709" s="618"/>
      <c r="J709" s="618"/>
      <c r="K709" s="618"/>
      <c r="L709" s="618"/>
      <c r="M709" s="618"/>
      <c r="N709" s="618"/>
      <c r="O709" s="618"/>
      <c r="P709" s="618"/>
      <c r="Q709" s="618"/>
      <c r="R709" s="618"/>
      <c r="S709" s="618"/>
      <c r="T709" s="618"/>
      <c r="U709" s="618"/>
      <c r="V709" s="618"/>
      <c r="W709" s="618"/>
      <c r="X709" s="618"/>
      <c r="Y709" s="618"/>
      <c r="Z709" s="618"/>
      <c r="AA709" s="618"/>
      <c r="AB709" s="618"/>
    </row>
    <row r="710" spans="1:28">
      <c r="A710" s="618"/>
      <c r="B710" s="618"/>
      <c r="C710" s="618"/>
      <c r="D710" s="644"/>
      <c r="E710" s="618"/>
      <c r="F710" s="618"/>
      <c r="G710" s="618"/>
      <c r="H710" s="618"/>
      <c r="I710" s="618"/>
      <c r="J710" s="618"/>
      <c r="K710" s="618"/>
      <c r="L710" s="618"/>
      <c r="M710" s="618"/>
      <c r="N710" s="618"/>
      <c r="O710" s="618"/>
      <c r="P710" s="618"/>
      <c r="Q710" s="618"/>
      <c r="R710" s="618"/>
      <c r="S710" s="618"/>
      <c r="T710" s="618"/>
      <c r="U710" s="618"/>
      <c r="V710" s="618"/>
      <c r="W710" s="618"/>
      <c r="X710" s="618"/>
      <c r="Y710" s="618"/>
      <c r="Z710" s="618"/>
      <c r="AA710" s="618"/>
      <c r="AB710" s="618"/>
    </row>
    <row r="711" spans="1:28">
      <c r="A711" s="618"/>
      <c r="B711" s="618"/>
      <c r="C711" s="618"/>
      <c r="D711" s="644"/>
      <c r="E711" s="618"/>
      <c r="F711" s="618"/>
      <c r="G711" s="618"/>
      <c r="H711" s="618"/>
      <c r="I711" s="618"/>
      <c r="J711" s="618"/>
      <c r="K711" s="618"/>
      <c r="L711" s="618"/>
      <c r="M711" s="618"/>
      <c r="N711" s="618"/>
      <c r="O711" s="618"/>
      <c r="P711" s="618"/>
      <c r="Q711" s="618"/>
      <c r="R711" s="618"/>
      <c r="S711" s="618"/>
      <c r="T711" s="618"/>
      <c r="U711" s="618"/>
      <c r="V711" s="618"/>
      <c r="W711" s="618"/>
      <c r="X711" s="618"/>
      <c r="Y711" s="618"/>
      <c r="Z711" s="618"/>
      <c r="AA711" s="618"/>
      <c r="AB711" s="618"/>
    </row>
    <row r="712" spans="1:28">
      <c r="A712" s="618"/>
      <c r="B712" s="618"/>
      <c r="C712" s="618"/>
      <c r="D712" s="644"/>
      <c r="E712" s="618"/>
      <c r="F712" s="618"/>
      <c r="G712" s="618"/>
      <c r="H712" s="618"/>
      <c r="I712" s="618"/>
      <c r="J712" s="618"/>
      <c r="K712" s="618"/>
      <c r="L712" s="618"/>
      <c r="M712" s="618"/>
      <c r="N712" s="618"/>
      <c r="O712" s="618"/>
      <c r="P712" s="618"/>
      <c r="Q712" s="618"/>
      <c r="R712" s="618"/>
      <c r="S712" s="618"/>
      <c r="T712" s="618"/>
      <c r="U712" s="618"/>
      <c r="V712" s="618"/>
      <c r="W712" s="618"/>
      <c r="X712" s="618"/>
      <c r="Y712" s="618"/>
      <c r="Z712" s="618"/>
      <c r="AA712" s="618"/>
      <c r="AB712" s="618"/>
    </row>
    <row r="713" spans="1:28">
      <c r="A713" s="618"/>
      <c r="B713" s="618"/>
      <c r="C713" s="618"/>
      <c r="D713" s="644"/>
      <c r="E713" s="618"/>
      <c r="F713" s="618"/>
      <c r="G713" s="618"/>
      <c r="H713" s="618"/>
      <c r="I713" s="618"/>
      <c r="J713" s="618"/>
      <c r="K713" s="618"/>
      <c r="L713" s="618"/>
      <c r="M713" s="618"/>
      <c r="N713" s="618"/>
      <c r="O713" s="618"/>
      <c r="P713" s="618"/>
      <c r="Q713" s="618"/>
      <c r="R713" s="618"/>
      <c r="S713" s="618"/>
      <c r="T713" s="618"/>
      <c r="U713" s="618"/>
      <c r="V713" s="618"/>
      <c r="W713" s="618"/>
      <c r="X713" s="618"/>
      <c r="Y713" s="618"/>
      <c r="Z713" s="618"/>
      <c r="AA713" s="618"/>
      <c r="AB713" s="618"/>
    </row>
    <row r="714" spans="1:28">
      <c r="A714" s="618"/>
      <c r="B714" s="618"/>
      <c r="C714" s="618"/>
      <c r="D714" s="644"/>
      <c r="E714" s="618"/>
      <c r="F714" s="618"/>
      <c r="G714" s="618"/>
      <c r="H714" s="618"/>
      <c r="I714" s="618"/>
      <c r="J714" s="618"/>
      <c r="K714" s="618"/>
      <c r="L714" s="618"/>
      <c r="M714" s="618"/>
      <c r="N714" s="618"/>
      <c r="O714" s="618"/>
      <c r="P714" s="618"/>
      <c r="Q714" s="618"/>
      <c r="R714" s="618"/>
      <c r="S714" s="618"/>
      <c r="T714" s="618"/>
      <c r="U714" s="618"/>
      <c r="V714" s="618"/>
      <c r="W714" s="618"/>
      <c r="X714" s="618"/>
      <c r="Y714" s="618"/>
      <c r="Z714" s="618"/>
      <c r="AA714" s="618"/>
      <c r="AB714" s="618"/>
    </row>
    <row r="715" spans="1:28">
      <c r="A715" s="618"/>
      <c r="B715" s="618"/>
      <c r="C715" s="618"/>
      <c r="D715" s="644"/>
      <c r="E715" s="618"/>
      <c r="F715" s="618"/>
      <c r="G715" s="618"/>
      <c r="H715" s="618"/>
      <c r="I715" s="618"/>
      <c r="J715" s="618"/>
      <c r="K715" s="618"/>
      <c r="L715" s="618"/>
      <c r="M715" s="618"/>
      <c r="N715" s="618"/>
      <c r="O715" s="618"/>
      <c r="P715" s="618"/>
      <c r="Q715" s="618"/>
      <c r="R715" s="618"/>
      <c r="S715" s="618"/>
      <c r="T715" s="618"/>
      <c r="U715" s="618"/>
      <c r="V715" s="618"/>
      <c r="W715" s="618"/>
      <c r="X715" s="618"/>
      <c r="Y715" s="618"/>
      <c r="Z715" s="618"/>
      <c r="AA715" s="618"/>
      <c r="AB715" s="618"/>
    </row>
    <row r="716" spans="1:28">
      <c r="A716" s="618"/>
      <c r="B716" s="618"/>
      <c r="C716" s="618"/>
      <c r="D716" s="644"/>
      <c r="E716" s="618"/>
      <c r="F716" s="618"/>
      <c r="G716" s="618"/>
      <c r="H716" s="618"/>
      <c r="I716" s="618"/>
      <c r="J716" s="618"/>
      <c r="K716" s="618"/>
      <c r="L716" s="618"/>
      <c r="M716" s="618"/>
      <c r="N716" s="618"/>
      <c r="O716" s="618"/>
      <c r="P716" s="618"/>
      <c r="Q716" s="618"/>
      <c r="R716" s="618"/>
      <c r="S716" s="618"/>
      <c r="T716" s="618"/>
      <c r="U716" s="618"/>
      <c r="V716" s="618"/>
      <c r="W716" s="618"/>
      <c r="X716" s="618"/>
      <c r="Y716" s="618"/>
      <c r="Z716" s="618"/>
      <c r="AA716" s="618"/>
      <c r="AB716" s="618"/>
    </row>
    <row r="717" spans="1:28">
      <c r="A717" s="618"/>
      <c r="B717" s="618"/>
      <c r="C717" s="618"/>
      <c r="D717" s="644"/>
      <c r="E717" s="618"/>
      <c r="F717" s="618"/>
      <c r="G717" s="618"/>
      <c r="H717" s="618"/>
      <c r="I717" s="618"/>
      <c r="J717" s="618"/>
      <c r="K717" s="618"/>
      <c r="L717" s="618"/>
      <c r="M717" s="618"/>
      <c r="N717" s="618"/>
      <c r="O717" s="618"/>
      <c r="P717" s="618"/>
      <c r="Q717" s="618"/>
      <c r="R717" s="618"/>
      <c r="S717" s="618"/>
      <c r="T717" s="618"/>
      <c r="U717" s="618"/>
      <c r="V717" s="618"/>
      <c r="W717" s="618"/>
      <c r="X717" s="618"/>
      <c r="Y717" s="618"/>
      <c r="Z717" s="618"/>
      <c r="AA717" s="618"/>
      <c r="AB717" s="618"/>
    </row>
    <row r="718" spans="1:28">
      <c r="A718" s="618"/>
      <c r="B718" s="618"/>
      <c r="C718" s="618"/>
      <c r="D718" s="644"/>
      <c r="E718" s="618"/>
      <c r="F718" s="618"/>
      <c r="G718" s="618"/>
      <c r="H718" s="618"/>
      <c r="I718" s="618"/>
      <c r="J718" s="618"/>
      <c r="K718" s="618"/>
      <c r="L718" s="618"/>
      <c r="M718" s="618"/>
      <c r="N718" s="618"/>
      <c r="O718" s="618"/>
      <c r="P718" s="618"/>
      <c r="Q718" s="618"/>
      <c r="R718" s="618"/>
      <c r="S718" s="618"/>
      <c r="T718" s="618"/>
      <c r="U718" s="618"/>
      <c r="V718" s="618"/>
      <c r="W718" s="618"/>
      <c r="X718" s="618"/>
      <c r="Y718" s="618"/>
      <c r="Z718" s="618"/>
      <c r="AA718" s="618"/>
      <c r="AB718" s="618"/>
    </row>
    <row r="719" spans="1:28">
      <c r="A719" s="618"/>
      <c r="B719" s="618"/>
      <c r="C719" s="618"/>
      <c r="D719" s="644"/>
      <c r="E719" s="618"/>
      <c r="F719" s="618"/>
      <c r="G719" s="618"/>
      <c r="H719" s="618"/>
      <c r="I719" s="618"/>
      <c r="J719" s="618"/>
      <c r="K719" s="618"/>
      <c r="L719" s="618"/>
      <c r="M719" s="618"/>
      <c r="N719" s="618"/>
      <c r="O719" s="618"/>
      <c r="P719" s="618"/>
      <c r="Q719" s="618"/>
      <c r="R719" s="618"/>
      <c r="S719" s="618"/>
      <c r="T719" s="618"/>
      <c r="U719" s="618"/>
      <c r="V719" s="618"/>
      <c r="W719" s="618"/>
      <c r="X719" s="618"/>
      <c r="Y719" s="618"/>
      <c r="Z719" s="618"/>
      <c r="AA719" s="618"/>
      <c r="AB719" s="618"/>
    </row>
    <row r="720" spans="1:28">
      <c r="A720" s="618"/>
      <c r="B720" s="618"/>
      <c r="C720" s="618"/>
      <c r="D720" s="644"/>
      <c r="E720" s="618"/>
      <c r="F720" s="618"/>
      <c r="G720" s="618"/>
      <c r="H720" s="618"/>
      <c r="I720" s="618"/>
      <c r="J720" s="618"/>
      <c r="K720" s="618"/>
      <c r="L720" s="618"/>
      <c r="M720" s="618"/>
      <c r="N720" s="618"/>
      <c r="O720" s="618"/>
      <c r="P720" s="618"/>
      <c r="Q720" s="618"/>
      <c r="R720" s="618"/>
      <c r="S720" s="618"/>
      <c r="T720" s="618"/>
      <c r="U720" s="618"/>
      <c r="V720" s="618"/>
      <c r="W720" s="618"/>
      <c r="X720" s="618"/>
      <c r="Y720" s="618"/>
      <c r="Z720" s="618"/>
      <c r="AA720" s="618"/>
      <c r="AB720" s="618"/>
    </row>
    <row r="721" spans="1:28">
      <c r="A721" s="618"/>
      <c r="B721" s="618"/>
      <c r="C721" s="618"/>
      <c r="D721" s="644"/>
      <c r="E721" s="618"/>
      <c r="F721" s="618"/>
      <c r="G721" s="618"/>
      <c r="H721" s="618"/>
      <c r="I721" s="618"/>
      <c r="J721" s="618"/>
      <c r="K721" s="618"/>
      <c r="L721" s="618"/>
      <c r="M721" s="618"/>
      <c r="N721" s="618"/>
      <c r="O721" s="618"/>
      <c r="P721" s="618"/>
      <c r="Q721" s="618"/>
      <c r="R721" s="618"/>
      <c r="S721" s="618"/>
      <c r="T721" s="618"/>
      <c r="U721" s="618"/>
      <c r="V721" s="618"/>
      <c r="W721" s="618"/>
      <c r="X721" s="618"/>
      <c r="Y721" s="618"/>
      <c r="Z721" s="618"/>
      <c r="AA721" s="618"/>
      <c r="AB721" s="618"/>
    </row>
    <row r="722" spans="1:28">
      <c r="A722" s="618"/>
      <c r="B722" s="618"/>
      <c r="C722" s="618"/>
      <c r="D722" s="644"/>
      <c r="E722" s="618"/>
      <c r="F722" s="618"/>
      <c r="G722" s="618"/>
      <c r="H722" s="618"/>
      <c r="I722" s="618"/>
      <c r="J722" s="618"/>
      <c r="K722" s="618"/>
      <c r="L722" s="618"/>
      <c r="M722" s="618"/>
      <c r="N722" s="618"/>
      <c r="O722" s="618"/>
      <c r="P722" s="618"/>
      <c r="Q722" s="618"/>
      <c r="R722" s="618"/>
      <c r="S722" s="618"/>
      <c r="T722" s="618"/>
      <c r="U722" s="618"/>
      <c r="V722" s="618"/>
      <c r="W722" s="618"/>
      <c r="X722" s="618"/>
      <c r="Y722" s="618"/>
      <c r="Z722" s="618"/>
      <c r="AA722" s="618"/>
      <c r="AB722" s="618"/>
    </row>
    <row r="723" spans="1:28">
      <c r="A723" s="618"/>
      <c r="B723" s="618"/>
      <c r="C723" s="618"/>
      <c r="D723" s="644"/>
      <c r="E723" s="618"/>
      <c r="F723" s="618"/>
      <c r="G723" s="618"/>
      <c r="H723" s="618"/>
      <c r="I723" s="618"/>
      <c r="J723" s="618"/>
      <c r="K723" s="618"/>
      <c r="L723" s="618"/>
      <c r="M723" s="618"/>
      <c r="N723" s="618"/>
      <c r="O723" s="618"/>
      <c r="P723" s="618"/>
      <c r="Q723" s="618"/>
      <c r="R723" s="618"/>
      <c r="S723" s="618"/>
      <c r="T723" s="618"/>
      <c r="U723" s="618"/>
      <c r="V723" s="618"/>
      <c r="W723" s="618"/>
      <c r="X723" s="618"/>
      <c r="Y723" s="618"/>
      <c r="Z723" s="618"/>
      <c r="AA723" s="618"/>
      <c r="AB723" s="618"/>
    </row>
    <row r="724" spans="1:28">
      <c r="A724" s="618"/>
      <c r="B724" s="618"/>
      <c r="C724" s="618"/>
      <c r="D724" s="644"/>
      <c r="E724" s="618"/>
      <c r="F724" s="618"/>
      <c r="G724" s="618"/>
      <c r="H724" s="618"/>
      <c r="I724" s="618"/>
      <c r="J724" s="618"/>
      <c r="K724" s="618"/>
      <c r="L724" s="618"/>
      <c r="M724" s="618"/>
      <c r="N724" s="618"/>
      <c r="O724" s="618"/>
      <c r="P724" s="618"/>
      <c r="Q724" s="618"/>
      <c r="R724" s="618"/>
      <c r="S724" s="618"/>
      <c r="T724" s="618"/>
      <c r="U724" s="618"/>
      <c r="V724" s="618"/>
      <c r="W724" s="618"/>
      <c r="X724" s="618"/>
      <c r="Y724" s="618"/>
      <c r="Z724" s="618"/>
      <c r="AA724" s="618"/>
      <c r="AB724" s="618"/>
    </row>
    <row r="725" spans="1:28">
      <c r="A725" s="618"/>
      <c r="B725" s="618"/>
      <c r="C725" s="618"/>
      <c r="D725" s="644"/>
      <c r="E725" s="618"/>
      <c r="F725" s="618"/>
      <c r="G725" s="618"/>
      <c r="H725" s="618"/>
      <c r="I725" s="618"/>
      <c r="J725" s="618"/>
      <c r="K725" s="618"/>
      <c r="L725" s="618"/>
      <c r="M725" s="618"/>
      <c r="N725" s="618"/>
      <c r="O725" s="618"/>
      <c r="P725" s="618"/>
      <c r="Q725" s="618"/>
      <c r="R725" s="618"/>
      <c r="S725" s="618"/>
      <c r="T725" s="618"/>
      <c r="U725" s="618"/>
      <c r="V725" s="618"/>
      <c r="W725" s="618"/>
      <c r="X725" s="618"/>
      <c r="Y725" s="618"/>
      <c r="Z725" s="618"/>
      <c r="AA725" s="618"/>
      <c r="AB725" s="618"/>
    </row>
    <row r="726" spans="1:28">
      <c r="A726" s="618"/>
      <c r="B726" s="618"/>
      <c r="C726" s="618"/>
      <c r="D726" s="644"/>
      <c r="E726" s="618"/>
      <c r="F726" s="618"/>
      <c r="G726" s="618"/>
      <c r="H726" s="618"/>
      <c r="I726" s="618"/>
      <c r="J726" s="618"/>
      <c r="K726" s="618"/>
      <c r="L726" s="618"/>
      <c r="M726" s="618"/>
      <c r="N726" s="618"/>
      <c r="O726" s="618"/>
      <c r="P726" s="618"/>
      <c r="Q726" s="618"/>
      <c r="R726" s="618"/>
      <c r="S726" s="618"/>
      <c r="T726" s="618"/>
      <c r="U726" s="618"/>
      <c r="V726" s="618"/>
      <c r="W726" s="618"/>
      <c r="X726" s="618"/>
      <c r="Y726" s="618"/>
      <c r="Z726" s="618"/>
      <c r="AA726" s="618"/>
      <c r="AB726" s="618"/>
    </row>
    <row r="727" spans="1:28">
      <c r="A727" s="618"/>
      <c r="B727" s="618"/>
      <c r="C727" s="618"/>
      <c r="D727" s="644"/>
      <c r="E727" s="618"/>
      <c r="F727" s="618"/>
      <c r="G727" s="618"/>
      <c r="H727" s="618"/>
      <c r="I727" s="618"/>
      <c r="J727" s="618"/>
      <c r="K727" s="618"/>
      <c r="L727" s="618"/>
      <c r="M727" s="618"/>
      <c r="N727" s="618"/>
      <c r="O727" s="618"/>
      <c r="P727" s="618"/>
      <c r="Q727" s="618"/>
      <c r="R727" s="618"/>
      <c r="S727" s="618"/>
      <c r="T727" s="618"/>
      <c r="U727" s="618"/>
      <c r="V727" s="618"/>
      <c r="W727" s="618"/>
      <c r="X727" s="618"/>
      <c r="Y727" s="618"/>
      <c r="Z727" s="618"/>
      <c r="AA727" s="618"/>
      <c r="AB727" s="618"/>
    </row>
    <row r="728" spans="1:28">
      <c r="A728" s="618"/>
      <c r="B728" s="618"/>
      <c r="C728" s="618"/>
      <c r="D728" s="644"/>
      <c r="E728" s="618"/>
      <c r="F728" s="618"/>
      <c r="G728" s="618"/>
      <c r="H728" s="618"/>
      <c r="I728" s="618"/>
      <c r="J728" s="618"/>
      <c r="K728" s="618"/>
      <c r="L728" s="618"/>
      <c r="M728" s="618"/>
      <c r="N728" s="618"/>
      <c r="O728" s="618"/>
      <c r="P728" s="618"/>
      <c r="Q728" s="618"/>
      <c r="R728" s="618"/>
      <c r="S728" s="618"/>
      <c r="T728" s="618"/>
      <c r="U728" s="618"/>
      <c r="V728" s="618"/>
      <c r="W728" s="618"/>
      <c r="X728" s="618"/>
      <c r="Y728" s="618"/>
      <c r="Z728" s="618"/>
      <c r="AA728" s="618"/>
      <c r="AB728" s="618"/>
    </row>
    <row r="729" spans="1:28">
      <c r="A729" s="618"/>
      <c r="B729" s="618"/>
      <c r="C729" s="618"/>
      <c r="D729" s="644"/>
      <c r="E729" s="618"/>
      <c r="F729" s="618"/>
      <c r="G729" s="618"/>
      <c r="H729" s="618"/>
      <c r="I729" s="618"/>
      <c r="J729" s="618"/>
      <c r="K729" s="618"/>
      <c r="L729" s="618"/>
      <c r="M729" s="618"/>
      <c r="N729" s="618"/>
      <c r="O729" s="618"/>
      <c r="P729" s="618"/>
      <c r="Q729" s="618"/>
      <c r="R729" s="618"/>
      <c r="S729" s="618"/>
      <c r="T729" s="618"/>
      <c r="U729" s="618"/>
      <c r="V729" s="618"/>
      <c r="W729" s="618"/>
      <c r="X729" s="618"/>
      <c r="Y729" s="618"/>
      <c r="Z729" s="618"/>
      <c r="AA729" s="618"/>
      <c r="AB729" s="618"/>
    </row>
    <row r="730" spans="1:28">
      <c r="A730" s="618"/>
      <c r="B730" s="618"/>
      <c r="C730" s="618"/>
      <c r="D730" s="644"/>
      <c r="E730" s="618"/>
      <c r="F730" s="618"/>
      <c r="G730" s="618"/>
      <c r="H730" s="618"/>
      <c r="I730" s="618"/>
      <c r="J730" s="618"/>
      <c r="K730" s="618"/>
      <c r="L730" s="618"/>
      <c r="M730" s="618"/>
      <c r="N730" s="618"/>
      <c r="O730" s="618"/>
      <c r="P730" s="618"/>
      <c r="Q730" s="618"/>
      <c r="R730" s="618"/>
      <c r="S730" s="618"/>
      <c r="T730" s="618"/>
      <c r="U730" s="618"/>
      <c r="V730" s="618"/>
      <c r="W730" s="618"/>
      <c r="X730" s="618"/>
      <c r="Y730" s="618"/>
      <c r="Z730" s="618"/>
      <c r="AA730" s="618"/>
      <c r="AB730" s="618"/>
    </row>
    <row r="731" spans="1:28">
      <c r="A731" s="618"/>
      <c r="B731" s="618"/>
      <c r="C731" s="618"/>
      <c r="D731" s="644"/>
      <c r="E731" s="618"/>
      <c r="F731" s="618"/>
      <c r="G731" s="618"/>
      <c r="H731" s="618"/>
      <c r="I731" s="618"/>
      <c r="J731" s="618"/>
      <c r="K731" s="618"/>
      <c r="L731" s="618"/>
      <c r="M731" s="618"/>
      <c r="N731" s="618"/>
      <c r="O731" s="618"/>
      <c r="P731" s="618"/>
      <c r="Q731" s="618"/>
      <c r="R731" s="618"/>
      <c r="S731" s="618"/>
      <c r="T731" s="618"/>
      <c r="U731" s="618"/>
      <c r="V731" s="618"/>
      <c r="W731" s="618"/>
      <c r="X731" s="618"/>
      <c r="Y731" s="618"/>
      <c r="Z731" s="618"/>
      <c r="AA731" s="618"/>
      <c r="AB731" s="618"/>
    </row>
    <row r="732" spans="1:28">
      <c r="A732" s="618"/>
      <c r="B732" s="618"/>
      <c r="C732" s="618"/>
      <c r="D732" s="644"/>
      <c r="E732" s="618"/>
      <c r="F732" s="618"/>
      <c r="G732" s="618"/>
      <c r="H732" s="618"/>
      <c r="I732" s="618"/>
      <c r="J732" s="618"/>
      <c r="K732" s="618"/>
      <c r="L732" s="618"/>
      <c r="M732" s="618"/>
      <c r="N732" s="618"/>
      <c r="O732" s="618"/>
      <c r="P732" s="618"/>
      <c r="Q732" s="618"/>
      <c r="R732" s="618"/>
      <c r="S732" s="618"/>
      <c r="T732" s="618"/>
      <c r="U732" s="618"/>
      <c r="V732" s="618"/>
      <c r="W732" s="618"/>
      <c r="X732" s="618"/>
      <c r="Y732" s="618"/>
      <c r="Z732" s="618"/>
      <c r="AA732" s="618"/>
      <c r="AB732" s="618"/>
    </row>
    <row r="733" spans="1:28">
      <c r="A733" s="618"/>
      <c r="B733" s="618"/>
      <c r="C733" s="618"/>
      <c r="D733" s="644"/>
      <c r="E733" s="618"/>
      <c r="F733" s="618"/>
      <c r="G733" s="618"/>
      <c r="H733" s="618"/>
      <c r="I733" s="618"/>
      <c r="J733" s="618"/>
      <c r="K733" s="618"/>
      <c r="L733" s="618"/>
      <c r="M733" s="618"/>
      <c r="N733" s="618"/>
      <c r="O733" s="618"/>
      <c r="P733" s="618"/>
      <c r="Q733" s="618"/>
      <c r="R733" s="618"/>
      <c r="S733" s="618"/>
      <c r="T733" s="618"/>
      <c r="U733" s="618"/>
      <c r="V733" s="618"/>
      <c r="W733" s="618"/>
      <c r="X733" s="618"/>
      <c r="Y733" s="618"/>
      <c r="Z733" s="618"/>
      <c r="AA733" s="618"/>
      <c r="AB733" s="618"/>
    </row>
    <row r="734" spans="1:28">
      <c r="A734" s="618"/>
      <c r="B734" s="618"/>
      <c r="C734" s="618"/>
      <c r="D734" s="644"/>
      <c r="E734" s="618"/>
      <c r="F734" s="618"/>
      <c r="G734" s="618"/>
      <c r="H734" s="618"/>
      <c r="I734" s="618"/>
      <c r="J734" s="618"/>
      <c r="K734" s="618"/>
      <c r="L734" s="618"/>
      <c r="M734" s="618"/>
      <c r="N734" s="618"/>
      <c r="O734" s="618"/>
      <c r="P734" s="618"/>
      <c r="Q734" s="618"/>
      <c r="R734" s="618"/>
      <c r="S734" s="618"/>
      <c r="T734" s="618"/>
      <c r="U734" s="618"/>
      <c r="V734" s="618"/>
      <c r="W734" s="618"/>
      <c r="X734" s="618"/>
      <c r="Y734" s="618"/>
      <c r="Z734" s="618"/>
      <c r="AA734" s="618"/>
      <c r="AB734" s="618"/>
    </row>
    <row r="735" spans="1:28">
      <c r="A735" s="618"/>
      <c r="B735" s="618"/>
      <c r="C735" s="618"/>
      <c r="D735" s="644"/>
      <c r="E735" s="618"/>
      <c r="F735" s="618"/>
      <c r="G735" s="618"/>
      <c r="H735" s="618"/>
      <c r="I735" s="618"/>
      <c r="J735" s="618"/>
      <c r="K735" s="618"/>
      <c r="L735" s="618"/>
      <c r="M735" s="618"/>
      <c r="N735" s="618"/>
      <c r="O735" s="618"/>
      <c r="P735" s="618"/>
      <c r="Q735" s="618"/>
      <c r="R735" s="618"/>
      <c r="S735" s="618"/>
      <c r="T735" s="618"/>
      <c r="U735" s="618"/>
      <c r="V735" s="618"/>
      <c r="W735" s="618"/>
      <c r="X735" s="618"/>
      <c r="Y735" s="618"/>
      <c r="Z735" s="618"/>
      <c r="AA735" s="618"/>
      <c r="AB735" s="618"/>
    </row>
    <row r="736" spans="1:28">
      <c r="A736" s="618"/>
      <c r="B736" s="618"/>
      <c r="C736" s="618"/>
      <c r="D736" s="644"/>
      <c r="E736" s="618"/>
      <c r="F736" s="618"/>
      <c r="G736" s="618"/>
      <c r="H736" s="618"/>
      <c r="I736" s="618"/>
      <c r="J736" s="618"/>
      <c r="K736" s="618"/>
      <c r="L736" s="618"/>
      <c r="M736" s="618"/>
      <c r="N736" s="618"/>
      <c r="O736" s="618"/>
      <c r="P736" s="618"/>
      <c r="Q736" s="618"/>
      <c r="R736" s="618"/>
      <c r="S736" s="618"/>
      <c r="T736" s="618"/>
      <c r="U736" s="618"/>
      <c r="V736" s="618"/>
      <c r="W736" s="618"/>
      <c r="X736" s="618"/>
      <c r="Y736" s="618"/>
      <c r="Z736" s="618"/>
      <c r="AA736" s="618"/>
      <c r="AB736" s="618"/>
    </row>
    <row r="737" spans="1:28">
      <c r="A737" s="618"/>
      <c r="B737" s="618"/>
      <c r="C737" s="618"/>
      <c r="D737" s="644"/>
      <c r="E737" s="618"/>
      <c r="F737" s="618"/>
      <c r="G737" s="618"/>
      <c r="H737" s="618"/>
      <c r="I737" s="618"/>
      <c r="J737" s="618"/>
      <c r="K737" s="618"/>
      <c r="L737" s="618"/>
      <c r="M737" s="618"/>
      <c r="N737" s="618"/>
      <c r="O737" s="618"/>
      <c r="P737" s="618"/>
      <c r="Q737" s="618"/>
      <c r="R737" s="618"/>
      <c r="S737" s="618"/>
      <c r="T737" s="618"/>
      <c r="U737" s="618"/>
      <c r="V737" s="618"/>
      <c r="W737" s="618"/>
      <c r="X737" s="618"/>
      <c r="Y737" s="618"/>
      <c r="Z737" s="618"/>
      <c r="AA737" s="618"/>
      <c r="AB737" s="618"/>
    </row>
    <row r="738" spans="1:28">
      <c r="A738" s="618"/>
      <c r="B738" s="618"/>
      <c r="C738" s="618"/>
      <c r="D738" s="644"/>
      <c r="E738" s="618"/>
      <c r="F738" s="618"/>
      <c r="G738" s="618"/>
      <c r="H738" s="618"/>
      <c r="I738" s="618"/>
      <c r="J738" s="618"/>
      <c r="K738" s="618"/>
      <c r="L738" s="618"/>
      <c r="M738" s="618"/>
      <c r="N738" s="618"/>
      <c r="O738" s="618"/>
      <c r="P738" s="618"/>
      <c r="Q738" s="618"/>
      <c r="R738" s="618"/>
      <c r="S738" s="618"/>
      <c r="T738" s="618"/>
      <c r="U738" s="618"/>
      <c r="V738" s="618"/>
      <c r="W738" s="618"/>
      <c r="X738" s="618"/>
      <c r="Y738" s="618"/>
      <c r="Z738" s="618"/>
      <c r="AA738" s="618"/>
      <c r="AB738" s="618"/>
    </row>
    <row r="739" spans="1:28">
      <c r="A739" s="618"/>
      <c r="B739" s="618"/>
      <c r="C739" s="618"/>
      <c r="D739" s="644"/>
      <c r="E739" s="618"/>
      <c r="F739" s="618"/>
      <c r="G739" s="618"/>
      <c r="H739" s="618"/>
      <c r="I739" s="618"/>
      <c r="J739" s="618"/>
      <c r="K739" s="618"/>
      <c r="L739" s="618"/>
      <c r="M739" s="618"/>
      <c r="N739" s="618"/>
      <c r="O739" s="618"/>
      <c r="P739" s="618"/>
      <c r="Q739" s="618"/>
      <c r="R739" s="618"/>
      <c r="S739" s="618"/>
      <c r="T739" s="618"/>
      <c r="U739" s="618"/>
      <c r="V739" s="618"/>
      <c r="W739" s="618"/>
      <c r="X739" s="618"/>
      <c r="Y739" s="618"/>
      <c r="Z739" s="618"/>
      <c r="AA739" s="618"/>
      <c r="AB739" s="618"/>
    </row>
    <row r="740" spans="1:28">
      <c r="A740" s="618"/>
      <c r="B740" s="618"/>
      <c r="C740" s="618"/>
      <c r="D740" s="644"/>
      <c r="E740" s="618"/>
      <c r="F740" s="618"/>
      <c r="G740" s="618"/>
      <c r="H740" s="618"/>
      <c r="I740" s="618"/>
      <c r="J740" s="618"/>
      <c r="K740" s="618"/>
      <c r="L740" s="618"/>
      <c r="M740" s="618"/>
      <c r="N740" s="618"/>
      <c r="O740" s="618"/>
      <c r="P740" s="618"/>
      <c r="Q740" s="618"/>
      <c r="R740" s="618"/>
      <c r="S740" s="618"/>
      <c r="T740" s="618"/>
      <c r="U740" s="618"/>
      <c r="V740" s="618"/>
      <c r="W740" s="618"/>
      <c r="X740" s="618"/>
      <c r="Y740" s="618"/>
      <c r="Z740" s="618"/>
      <c r="AA740" s="618"/>
      <c r="AB740" s="618"/>
    </row>
    <row r="741" spans="1:28">
      <c r="A741" s="618"/>
      <c r="B741" s="618"/>
      <c r="C741" s="618"/>
      <c r="D741" s="644"/>
      <c r="E741" s="618"/>
      <c r="F741" s="618"/>
      <c r="G741" s="618"/>
      <c r="H741" s="618"/>
      <c r="I741" s="618"/>
      <c r="J741" s="618"/>
      <c r="K741" s="618"/>
      <c r="L741" s="618"/>
      <c r="M741" s="618"/>
      <c r="N741" s="618"/>
      <c r="O741" s="618"/>
      <c r="P741" s="618"/>
      <c r="Q741" s="618"/>
      <c r="R741" s="618"/>
      <c r="S741" s="618"/>
      <c r="T741" s="618"/>
      <c r="U741" s="618"/>
      <c r="V741" s="618"/>
      <c r="W741" s="618"/>
      <c r="X741" s="618"/>
      <c r="Y741" s="618"/>
      <c r="Z741" s="618"/>
      <c r="AA741" s="618"/>
      <c r="AB741" s="618"/>
    </row>
    <row r="742" spans="1:28">
      <c r="A742" s="618"/>
      <c r="B742" s="618"/>
      <c r="C742" s="618"/>
      <c r="D742" s="644"/>
      <c r="E742" s="618"/>
      <c r="F742" s="618"/>
      <c r="G742" s="618"/>
      <c r="H742" s="618"/>
      <c r="I742" s="618"/>
      <c r="J742" s="618"/>
      <c r="K742" s="618"/>
      <c r="L742" s="618"/>
      <c r="M742" s="618"/>
      <c r="N742" s="618"/>
      <c r="O742" s="618"/>
      <c r="P742" s="618"/>
      <c r="Q742" s="618"/>
      <c r="R742" s="618"/>
      <c r="S742" s="618"/>
      <c r="T742" s="618"/>
      <c r="U742" s="618"/>
      <c r="V742" s="618"/>
      <c r="W742" s="618"/>
      <c r="X742" s="618"/>
      <c r="Y742" s="618"/>
      <c r="Z742" s="618"/>
      <c r="AA742" s="618"/>
      <c r="AB742" s="618"/>
    </row>
    <row r="743" spans="1:28">
      <c r="A743" s="618"/>
      <c r="B743" s="618"/>
      <c r="C743" s="618"/>
      <c r="D743" s="644"/>
      <c r="E743" s="618"/>
      <c r="F743" s="618"/>
      <c r="G743" s="618"/>
      <c r="H743" s="618"/>
      <c r="I743" s="618"/>
      <c r="J743" s="618"/>
      <c r="K743" s="618"/>
      <c r="L743" s="618"/>
      <c r="M743" s="618"/>
      <c r="N743" s="618"/>
      <c r="O743" s="618"/>
      <c r="P743" s="618"/>
      <c r="Q743" s="618"/>
      <c r="R743" s="618"/>
      <c r="S743" s="618"/>
      <c r="T743" s="618"/>
      <c r="U743" s="618"/>
      <c r="V743" s="618"/>
      <c r="W743" s="618"/>
      <c r="X743" s="618"/>
      <c r="Y743" s="618"/>
      <c r="Z743" s="618"/>
      <c r="AA743" s="618"/>
      <c r="AB743" s="618"/>
    </row>
    <row r="744" spans="1:28">
      <c r="A744" s="618"/>
      <c r="B744" s="618"/>
      <c r="C744" s="618"/>
      <c r="D744" s="644"/>
      <c r="E744" s="618"/>
      <c r="F744" s="618"/>
      <c r="G744" s="618"/>
      <c r="H744" s="618"/>
      <c r="I744" s="618"/>
      <c r="J744" s="618"/>
      <c r="K744" s="618"/>
      <c r="L744" s="618"/>
      <c r="M744" s="618"/>
      <c r="N744" s="618"/>
      <c r="O744" s="618"/>
      <c r="P744" s="618"/>
      <c r="Q744" s="618"/>
      <c r="R744" s="618"/>
      <c r="S744" s="618"/>
      <c r="T744" s="618"/>
      <c r="U744" s="618"/>
      <c r="V744" s="618"/>
      <c r="W744" s="618"/>
      <c r="X744" s="618"/>
      <c r="Y744" s="618"/>
      <c r="Z744" s="618"/>
      <c r="AA744" s="618"/>
      <c r="AB744" s="618"/>
    </row>
    <row r="745" spans="1:28">
      <c r="A745" s="618"/>
      <c r="B745" s="618"/>
      <c r="C745" s="618"/>
      <c r="D745" s="644"/>
      <c r="E745" s="618"/>
      <c r="F745" s="618"/>
      <c r="G745" s="618"/>
      <c r="H745" s="618"/>
      <c r="I745" s="618"/>
      <c r="J745" s="618"/>
      <c r="K745" s="618"/>
      <c r="L745" s="618"/>
      <c r="M745" s="618"/>
      <c r="N745" s="618"/>
      <c r="O745" s="618"/>
      <c r="P745" s="618"/>
      <c r="Q745" s="618"/>
      <c r="R745" s="618"/>
      <c r="S745" s="618"/>
      <c r="T745" s="618"/>
      <c r="U745" s="618"/>
      <c r="V745" s="618"/>
      <c r="W745" s="618"/>
      <c r="X745" s="618"/>
      <c r="Y745" s="618"/>
      <c r="Z745" s="618"/>
      <c r="AA745" s="618"/>
      <c r="AB745" s="618"/>
    </row>
    <row r="746" spans="1:28">
      <c r="A746" s="618"/>
      <c r="B746" s="618"/>
      <c r="C746" s="618"/>
      <c r="D746" s="644"/>
      <c r="E746" s="618"/>
      <c r="F746" s="618"/>
      <c r="G746" s="618"/>
      <c r="H746" s="618"/>
      <c r="I746" s="618"/>
      <c r="J746" s="618"/>
      <c r="K746" s="618"/>
      <c r="L746" s="618"/>
      <c r="M746" s="618"/>
      <c r="N746" s="618"/>
      <c r="O746" s="618"/>
      <c r="P746" s="618"/>
      <c r="Q746" s="618"/>
      <c r="R746" s="618"/>
      <c r="S746" s="618"/>
      <c r="T746" s="618"/>
      <c r="U746" s="618"/>
      <c r="V746" s="618"/>
      <c r="W746" s="618"/>
      <c r="X746" s="618"/>
      <c r="Y746" s="618"/>
      <c r="Z746" s="618"/>
      <c r="AA746" s="618"/>
      <c r="AB746" s="618"/>
    </row>
    <row r="747" spans="1:28">
      <c r="A747" s="618"/>
      <c r="B747" s="618"/>
      <c r="C747" s="618"/>
      <c r="D747" s="644"/>
      <c r="E747" s="618"/>
      <c r="F747" s="618"/>
      <c r="G747" s="618"/>
      <c r="H747" s="618"/>
      <c r="I747" s="618"/>
      <c r="J747" s="618"/>
      <c r="K747" s="618"/>
      <c r="L747" s="618"/>
      <c r="M747" s="618"/>
      <c r="N747" s="618"/>
      <c r="O747" s="618"/>
      <c r="P747" s="618"/>
      <c r="Q747" s="618"/>
      <c r="R747" s="618"/>
      <c r="S747" s="618"/>
      <c r="T747" s="618"/>
      <c r="U747" s="618"/>
      <c r="V747" s="618"/>
      <c r="W747" s="618"/>
      <c r="X747" s="618"/>
      <c r="Y747" s="618"/>
      <c r="Z747" s="618"/>
      <c r="AA747" s="618"/>
      <c r="AB747" s="618"/>
    </row>
    <row r="748" spans="1:28">
      <c r="A748" s="618"/>
      <c r="B748" s="618"/>
      <c r="C748" s="618"/>
      <c r="D748" s="644"/>
      <c r="E748" s="618"/>
      <c r="F748" s="618"/>
      <c r="G748" s="618"/>
      <c r="H748" s="618"/>
      <c r="I748" s="618"/>
      <c r="J748" s="618"/>
      <c r="K748" s="618"/>
      <c r="L748" s="618"/>
      <c r="M748" s="618"/>
      <c r="N748" s="618"/>
      <c r="O748" s="618"/>
      <c r="P748" s="618"/>
      <c r="Q748" s="618"/>
      <c r="R748" s="618"/>
      <c r="S748" s="618"/>
      <c r="T748" s="618"/>
      <c r="U748" s="618"/>
      <c r="V748" s="618"/>
      <c r="W748" s="618"/>
      <c r="X748" s="618"/>
      <c r="Y748" s="618"/>
      <c r="Z748" s="618"/>
      <c r="AA748" s="618"/>
      <c r="AB748" s="618"/>
    </row>
    <row r="749" spans="1:28">
      <c r="A749" s="618"/>
      <c r="B749" s="618"/>
      <c r="C749" s="618"/>
      <c r="D749" s="644"/>
      <c r="E749" s="618"/>
      <c r="F749" s="618"/>
      <c r="G749" s="618"/>
      <c r="H749" s="618"/>
      <c r="I749" s="618"/>
      <c r="J749" s="618"/>
      <c r="K749" s="618"/>
      <c r="L749" s="618"/>
      <c r="M749" s="618"/>
      <c r="N749" s="618"/>
      <c r="O749" s="618"/>
      <c r="P749" s="618"/>
      <c r="Q749" s="618"/>
      <c r="R749" s="618"/>
      <c r="S749" s="618"/>
      <c r="T749" s="618"/>
      <c r="U749" s="618"/>
      <c r="V749" s="618"/>
      <c r="W749" s="618"/>
      <c r="X749" s="618"/>
      <c r="Y749" s="618"/>
      <c r="Z749" s="618"/>
      <c r="AA749" s="618"/>
      <c r="AB749" s="618"/>
    </row>
    <row r="750" spans="1:28">
      <c r="A750" s="618"/>
      <c r="B750" s="618"/>
      <c r="C750" s="618"/>
      <c r="D750" s="644"/>
      <c r="E750" s="618"/>
      <c r="F750" s="618"/>
      <c r="G750" s="618"/>
      <c r="H750" s="618"/>
      <c r="I750" s="618"/>
      <c r="J750" s="618"/>
      <c r="K750" s="618"/>
      <c r="L750" s="618"/>
      <c r="M750" s="618"/>
      <c r="N750" s="618"/>
      <c r="O750" s="618"/>
      <c r="P750" s="618"/>
      <c r="Q750" s="618"/>
      <c r="R750" s="618"/>
      <c r="S750" s="618"/>
      <c r="T750" s="618"/>
      <c r="U750" s="618"/>
      <c r="V750" s="618"/>
      <c r="W750" s="618"/>
      <c r="X750" s="618"/>
      <c r="Y750" s="618"/>
      <c r="Z750" s="618"/>
      <c r="AA750" s="618"/>
      <c r="AB750" s="618"/>
    </row>
    <row r="751" spans="1:28">
      <c r="A751" s="618"/>
      <c r="B751" s="618"/>
      <c r="C751" s="618"/>
      <c r="D751" s="644"/>
      <c r="E751" s="618"/>
      <c r="F751" s="618"/>
      <c r="G751" s="618"/>
      <c r="H751" s="618"/>
      <c r="I751" s="618"/>
      <c r="J751" s="618"/>
      <c r="K751" s="618"/>
      <c r="L751" s="618"/>
      <c r="M751" s="618"/>
      <c r="N751" s="618"/>
      <c r="O751" s="618"/>
      <c r="P751" s="618"/>
      <c r="Q751" s="618"/>
      <c r="R751" s="618"/>
      <c r="S751" s="618"/>
      <c r="T751" s="618"/>
      <c r="U751" s="618"/>
      <c r="V751" s="618"/>
      <c r="W751" s="618"/>
      <c r="X751" s="618"/>
      <c r="Y751" s="618"/>
      <c r="Z751" s="618"/>
      <c r="AA751" s="618"/>
      <c r="AB751" s="618"/>
    </row>
    <row r="752" spans="1:28">
      <c r="A752" s="618"/>
      <c r="B752" s="618"/>
      <c r="C752" s="618"/>
      <c r="D752" s="644"/>
      <c r="E752" s="618"/>
      <c r="F752" s="618"/>
      <c r="G752" s="618"/>
      <c r="H752" s="618"/>
      <c r="I752" s="618"/>
      <c r="J752" s="618"/>
      <c r="K752" s="618"/>
      <c r="L752" s="618"/>
      <c r="M752" s="618"/>
      <c r="N752" s="618"/>
      <c r="O752" s="618"/>
      <c r="P752" s="618"/>
      <c r="Q752" s="618"/>
      <c r="R752" s="618"/>
      <c r="S752" s="618"/>
      <c r="T752" s="618"/>
      <c r="U752" s="618"/>
      <c r="V752" s="618"/>
      <c r="W752" s="618"/>
      <c r="X752" s="618"/>
      <c r="Y752" s="618"/>
      <c r="Z752" s="618"/>
      <c r="AA752" s="618"/>
      <c r="AB752" s="618"/>
    </row>
    <row r="753" spans="1:28">
      <c r="A753" s="618"/>
      <c r="B753" s="618"/>
      <c r="C753" s="618"/>
      <c r="D753" s="644"/>
      <c r="E753" s="618"/>
      <c r="F753" s="618"/>
      <c r="G753" s="618"/>
      <c r="H753" s="618"/>
      <c r="I753" s="618"/>
      <c r="J753" s="618"/>
      <c r="K753" s="618"/>
      <c r="L753" s="618"/>
      <c r="M753" s="618"/>
      <c r="N753" s="618"/>
      <c r="O753" s="618"/>
      <c r="P753" s="618"/>
      <c r="Q753" s="618"/>
      <c r="R753" s="618"/>
      <c r="S753" s="618"/>
      <c r="T753" s="618"/>
      <c r="U753" s="618"/>
      <c r="V753" s="618"/>
      <c r="W753" s="618"/>
      <c r="X753" s="618"/>
      <c r="Y753" s="618"/>
      <c r="Z753" s="618"/>
      <c r="AA753" s="618"/>
      <c r="AB753" s="618"/>
    </row>
    <row r="754" spans="1:28">
      <c r="A754" s="618"/>
      <c r="B754" s="618"/>
      <c r="C754" s="618"/>
      <c r="D754" s="644"/>
      <c r="E754" s="618"/>
      <c r="F754" s="618"/>
      <c r="G754" s="618"/>
      <c r="H754" s="618"/>
      <c r="I754" s="618"/>
      <c r="J754" s="618"/>
      <c r="K754" s="618"/>
      <c r="L754" s="618"/>
      <c r="M754" s="618"/>
      <c r="N754" s="618"/>
      <c r="O754" s="618"/>
      <c r="P754" s="618"/>
      <c r="Q754" s="618"/>
      <c r="R754" s="618"/>
      <c r="S754" s="618"/>
      <c r="T754" s="618"/>
      <c r="U754" s="618"/>
      <c r="V754" s="618"/>
      <c r="W754" s="618"/>
      <c r="X754" s="618"/>
      <c r="Y754" s="618"/>
      <c r="Z754" s="618"/>
      <c r="AA754" s="618"/>
      <c r="AB754" s="618"/>
    </row>
    <row r="755" spans="1:28">
      <c r="A755" s="618"/>
      <c r="B755" s="618"/>
      <c r="C755" s="618"/>
      <c r="D755" s="644"/>
      <c r="E755" s="618"/>
      <c r="F755" s="618"/>
      <c r="G755" s="618"/>
      <c r="H755" s="618"/>
      <c r="I755" s="618"/>
      <c r="J755" s="618"/>
      <c r="K755" s="618"/>
      <c r="L755" s="618"/>
      <c r="M755" s="618"/>
      <c r="N755" s="618"/>
      <c r="O755" s="618"/>
      <c r="P755" s="618"/>
      <c r="Q755" s="618"/>
      <c r="R755" s="618"/>
      <c r="S755" s="618"/>
      <c r="T755" s="618"/>
      <c r="U755" s="618"/>
      <c r="V755" s="618"/>
      <c r="W755" s="618"/>
      <c r="X755" s="618"/>
      <c r="Y755" s="618"/>
      <c r="Z755" s="618"/>
      <c r="AA755" s="618"/>
      <c r="AB755" s="618"/>
    </row>
    <row r="756" spans="1:28">
      <c r="A756" s="618"/>
      <c r="B756" s="618"/>
      <c r="C756" s="618"/>
      <c r="D756" s="644"/>
      <c r="E756" s="618"/>
      <c r="F756" s="618"/>
      <c r="G756" s="618"/>
      <c r="H756" s="618"/>
      <c r="I756" s="618"/>
      <c r="J756" s="618"/>
      <c r="K756" s="618"/>
      <c r="L756" s="618"/>
      <c r="M756" s="618"/>
      <c r="N756" s="618"/>
      <c r="O756" s="618"/>
      <c r="P756" s="618"/>
      <c r="Q756" s="618"/>
      <c r="R756" s="618"/>
      <c r="S756" s="618"/>
      <c r="T756" s="618"/>
      <c r="U756" s="618"/>
      <c r="V756" s="618"/>
      <c r="W756" s="618"/>
      <c r="X756" s="618"/>
      <c r="Y756" s="618"/>
      <c r="Z756" s="618"/>
      <c r="AA756" s="618"/>
      <c r="AB756" s="618"/>
    </row>
    <row r="757" spans="1:28">
      <c r="A757" s="618"/>
      <c r="B757" s="618"/>
      <c r="C757" s="618"/>
      <c r="D757" s="644"/>
      <c r="E757" s="618"/>
      <c r="F757" s="618"/>
      <c r="G757" s="618"/>
      <c r="H757" s="618"/>
      <c r="I757" s="618"/>
      <c r="J757" s="618"/>
      <c r="K757" s="618"/>
      <c r="L757" s="618"/>
      <c r="M757" s="618"/>
      <c r="N757" s="618"/>
      <c r="O757" s="618"/>
      <c r="P757" s="618"/>
      <c r="Q757" s="618"/>
      <c r="R757" s="618"/>
      <c r="S757" s="618"/>
      <c r="T757" s="618"/>
      <c r="U757" s="618"/>
      <c r="V757" s="618"/>
      <c r="W757" s="618"/>
      <c r="X757" s="618"/>
      <c r="Y757" s="618"/>
      <c r="Z757" s="618"/>
      <c r="AA757" s="618"/>
      <c r="AB757" s="618"/>
    </row>
    <row r="758" spans="1:28">
      <c r="A758" s="618"/>
      <c r="B758" s="618"/>
      <c r="C758" s="618"/>
      <c r="D758" s="644"/>
      <c r="E758" s="618"/>
      <c r="F758" s="618"/>
      <c r="G758" s="618"/>
      <c r="H758" s="618"/>
      <c r="I758" s="618"/>
      <c r="J758" s="618"/>
      <c r="K758" s="618"/>
      <c r="L758" s="618"/>
      <c r="M758" s="618"/>
      <c r="N758" s="618"/>
      <c r="O758" s="618"/>
      <c r="P758" s="618"/>
      <c r="Q758" s="618"/>
      <c r="R758" s="618"/>
      <c r="S758" s="618"/>
      <c r="T758" s="618"/>
      <c r="U758" s="618"/>
      <c r="V758" s="618"/>
      <c r="W758" s="618"/>
      <c r="X758" s="618"/>
      <c r="Y758" s="618"/>
      <c r="Z758" s="618"/>
      <c r="AA758" s="618"/>
      <c r="AB758" s="618"/>
    </row>
    <row r="759" spans="1:28">
      <c r="A759" s="618"/>
      <c r="B759" s="618"/>
      <c r="C759" s="618"/>
      <c r="D759" s="644"/>
      <c r="E759" s="618"/>
      <c r="F759" s="618"/>
      <c r="G759" s="618"/>
      <c r="H759" s="618"/>
      <c r="I759" s="618"/>
      <c r="J759" s="618"/>
      <c r="K759" s="618"/>
      <c r="L759" s="618"/>
      <c r="M759" s="618"/>
      <c r="N759" s="618"/>
      <c r="O759" s="618"/>
      <c r="P759" s="618"/>
      <c r="Q759" s="618"/>
      <c r="R759" s="618"/>
      <c r="S759" s="618"/>
      <c r="T759" s="618"/>
      <c r="U759" s="618"/>
      <c r="V759" s="618"/>
      <c r="W759" s="618"/>
      <c r="X759" s="618"/>
      <c r="Y759" s="618"/>
      <c r="Z759" s="618"/>
      <c r="AA759" s="618"/>
      <c r="AB759" s="618"/>
    </row>
    <row r="760" spans="1:28">
      <c r="A760" s="618"/>
      <c r="B760" s="618"/>
      <c r="C760" s="618"/>
      <c r="D760" s="644"/>
      <c r="E760" s="618"/>
      <c r="F760" s="618"/>
      <c r="G760" s="618"/>
      <c r="H760" s="618"/>
      <c r="I760" s="618"/>
      <c r="J760" s="618"/>
      <c r="K760" s="618"/>
      <c r="L760" s="618"/>
      <c r="M760" s="618"/>
      <c r="N760" s="618"/>
      <c r="O760" s="618"/>
      <c r="P760" s="618"/>
      <c r="Q760" s="618"/>
      <c r="R760" s="618"/>
      <c r="S760" s="618"/>
      <c r="T760" s="618"/>
      <c r="U760" s="618"/>
      <c r="V760" s="618"/>
      <c r="W760" s="618"/>
      <c r="X760" s="618"/>
      <c r="Y760" s="618"/>
      <c r="Z760" s="618"/>
      <c r="AA760" s="618"/>
      <c r="AB760" s="618"/>
    </row>
    <row r="761" spans="1:28">
      <c r="A761" s="618"/>
      <c r="B761" s="618"/>
      <c r="C761" s="618"/>
      <c r="D761" s="644"/>
      <c r="E761" s="618"/>
      <c r="F761" s="618"/>
      <c r="G761" s="618"/>
      <c r="H761" s="618"/>
      <c r="I761" s="618"/>
      <c r="J761" s="618"/>
      <c r="K761" s="618"/>
      <c r="L761" s="618"/>
      <c r="M761" s="618"/>
      <c r="N761" s="618"/>
      <c r="O761" s="618"/>
      <c r="P761" s="618"/>
      <c r="Q761" s="618"/>
      <c r="R761" s="618"/>
      <c r="S761" s="618"/>
      <c r="T761" s="618"/>
      <c r="U761" s="618"/>
      <c r="V761" s="618"/>
      <c r="W761" s="618"/>
      <c r="X761" s="618"/>
      <c r="Y761" s="618"/>
      <c r="Z761" s="618"/>
      <c r="AA761" s="618"/>
      <c r="AB761" s="618"/>
    </row>
    <row r="762" spans="1:28">
      <c r="A762" s="618"/>
      <c r="B762" s="618"/>
      <c r="C762" s="618"/>
      <c r="D762" s="644"/>
      <c r="E762" s="618"/>
      <c r="F762" s="618"/>
      <c r="G762" s="618"/>
      <c r="H762" s="618"/>
      <c r="I762" s="618"/>
      <c r="J762" s="618"/>
      <c r="K762" s="618"/>
      <c r="L762" s="618"/>
      <c r="M762" s="618"/>
      <c r="N762" s="618"/>
      <c r="O762" s="618"/>
      <c r="P762" s="618"/>
      <c r="Q762" s="618"/>
      <c r="R762" s="618"/>
      <c r="S762" s="618"/>
      <c r="T762" s="618"/>
      <c r="U762" s="618"/>
      <c r="V762" s="618"/>
      <c r="W762" s="618"/>
      <c r="X762" s="618"/>
      <c r="Y762" s="618"/>
      <c r="Z762" s="618"/>
      <c r="AA762" s="618"/>
      <c r="AB762" s="618"/>
    </row>
    <row r="763" spans="1:28">
      <c r="A763" s="618"/>
      <c r="B763" s="618"/>
      <c r="C763" s="618"/>
      <c r="D763" s="644"/>
      <c r="E763" s="618"/>
      <c r="F763" s="618"/>
      <c r="G763" s="618"/>
      <c r="H763" s="618"/>
      <c r="I763" s="618"/>
      <c r="J763" s="618"/>
      <c r="K763" s="618"/>
      <c r="L763" s="618"/>
      <c r="M763" s="618"/>
      <c r="N763" s="618"/>
      <c r="O763" s="618"/>
      <c r="P763" s="618"/>
      <c r="Q763" s="618"/>
      <c r="R763" s="618"/>
      <c r="S763" s="618"/>
      <c r="T763" s="618"/>
      <c r="U763" s="618"/>
      <c r="V763" s="618"/>
      <c r="W763" s="618"/>
      <c r="X763" s="618"/>
      <c r="Y763" s="618"/>
      <c r="Z763" s="618"/>
      <c r="AA763" s="618"/>
      <c r="AB763" s="618"/>
    </row>
    <row r="764" spans="1:28">
      <c r="A764" s="618"/>
      <c r="B764" s="618"/>
      <c r="C764" s="618"/>
      <c r="D764" s="644"/>
      <c r="E764" s="618"/>
      <c r="F764" s="618"/>
      <c r="G764" s="618"/>
      <c r="H764" s="618"/>
      <c r="I764" s="618"/>
      <c r="J764" s="618"/>
      <c r="K764" s="618"/>
      <c r="L764" s="618"/>
      <c r="M764" s="618"/>
      <c r="N764" s="618"/>
      <c r="O764" s="618"/>
      <c r="P764" s="618"/>
      <c r="Q764" s="618"/>
      <c r="R764" s="618"/>
      <c r="S764" s="618"/>
      <c r="T764" s="618"/>
      <c r="U764" s="618"/>
      <c r="V764" s="618"/>
      <c r="W764" s="618"/>
      <c r="X764" s="618"/>
      <c r="Y764" s="618"/>
      <c r="Z764" s="618"/>
      <c r="AA764" s="618"/>
      <c r="AB764" s="618"/>
    </row>
    <row r="765" spans="1:28">
      <c r="A765" s="618"/>
      <c r="B765" s="618"/>
      <c r="C765" s="618"/>
      <c r="D765" s="644"/>
      <c r="E765" s="618"/>
      <c r="F765" s="618"/>
      <c r="G765" s="618"/>
      <c r="H765" s="618"/>
      <c r="I765" s="618"/>
      <c r="J765" s="618"/>
      <c r="K765" s="618"/>
      <c r="L765" s="618"/>
      <c r="M765" s="618"/>
      <c r="N765" s="618"/>
      <c r="O765" s="618"/>
      <c r="P765" s="618"/>
      <c r="Q765" s="618"/>
      <c r="R765" s="618"/>
      <c r="S765" s="618"/>
      <c r="T765" s="618"/>
      <c r="U765" s="618"/>
      <c r="V765" s="618"/>
      <c r="W765" s="618"/>
      <c r="X765" s="618"/>
      <c r="Y765" s="618"/>
      <c r="Z765" s="618"/>
      <c r="AA765" s="618"/>
      <c r="AB765" s="618"/>
    </row>
    <row r="766" spans="1:28">
      <c r="A766" s="618"/>
      <c r="B766" s="618"/>
      <c r="C766" s="618"/>
      <c r="D766" s="644"/>
      <c r="E766" s="618"/>
      <c r="F766" s="618"/>
      <c r="G766" s="618"/>
      <c r="H766" s="618"/>
      <c r="I766" s="618"/>
      <c r="J766" s="618"/>
      <c r="K766" s="618"/>
      <c r="L766" s="618"/>
      <c r="M766" s="618"/>
      <c r="N766" s="618"/>
      <c r="O766" s="618"/>
      <c r="P766" s="618"/>
      <c r="Q766" s="618"/>
      <c r="R766" s="618"/>
      <c r="S766" s="618"/>
      <c r="T766" s="618"/>
      <c r="U766" s="618"/>
      <c r="V766" s="618"/>
      <c r="W766" s="618"/>
      <c r="X766" s="618"/>
      <c r="Y766" s="618"/>
      <c r="Z766" s="618"/>
      <c r="AA766" s="618"/>
      <c r="AB766" s="618"/>
    </row>
    <row r="767" spans="1:28">
      <c r="A767" s="618"/>
      <c r="B767" s="618"/>
      <c r="C767" s="618"/>
      <c r="D767" s="644"/>
      <c r="E767" s="618"/>
      <c r="F767" s="618"/>
      <c r="G767" s="618"/>
      <c r="H767" s="618"/>
      <c r="I767" s="618"/>
      <c r="J767" s="618"/>
      <c r="K767" s="618"/>
      <c r="L767" s="618"/>
      <c r="M767" s="618"/>
      <c r="N767" s="618"/>
      <c r="O767" s="618"/>
      <c r="P767" s="618"/>
      <c r="Q767" s="618"/>
      <c r="R767" s="618"/>
      <c r="S767" s="618"/>
      <c r="T767" s="618"/>
      <c r="U767" s="618"/>
      <c r="V767" s="618"/>
      <c r="W767" s="618"/>
      <c r="X767" s="618"/>
      <c r="Y767" s="618"/>
      <c r="Z767" s="618"/>
      <c r="AA767" s="618"/>
      <c r="AB767" s="618"/>
    </row>
    <row r="768" spans="1:28">
      <c r="A768" s="618"/>
      <c r="B768" s="618"/>
      <c r="C768" s="618"/>
      <c r="D768" s="644"/>
      <c r="E768" s="618"/>
      <c r="F768" s="618"/>
      <c r="G768" s="618"/>
      <c r="H768" s="618"/>
      <c r="I768" s="618"/>
      <c r="J768" s="618"/>
      <c r="K768" s="618"/>
      <c r="L768" s="618"/>
      <c r="M768" s="618"/>
      <c r="N768" s="618"/>
      <c r="O768" s="618"/>
      <c r="P768" s="618"/>
      <c r="Q768" s="618"/>
      <c r="R768" s="618"/>
      <c r="S768" s="618"/>
      <c r="T768" s="618"/>
      <c r="U768" s="618"/>
      <c r="V768" s="618"/>
      <c r="W768" s="618"/>
      <c r="X768" s="618"/>
      <c r="Y768" s="618"/>
      <c r="Z768" s="618"/>
      <c r="AA768" s="618"/>
      <c r="AB768" s="618"/>
    </row>
    <row r="769" spans="1:28">
      <c r="A769" s="618"/>
      <c r="B769" s="618"/>
      <c r="C769" s="618"/>
      <c r="D769" s="644"/>
      <c r="E769" s="618"/>
      <c r="F769" s="618"/>
      <c r="G769" s="618"/>
      <c r="H769" s="618"/>
      <c r="I769" s="618"/>
      <c r="J769" s="618"/>
      <c r="K769" s="618"/>
      <c r="L769" s="618"/>
      <c r="M769" s="618"/>
      <c r="N769" s="618"/>
      <c r="O769" s="618"/>
      <c r="P769" s="618"/>
      <c r="Q769" s="618"/>
      <c r="R769" s="618"/>
      <c r="S769" s="618"/>
      <c r="T769" s="618"/>
      <c r="U769" s="618"/>
      <c r="V769" s="618"/>
      <c r="W769" s="618"/>
      <c r="X769" s="618"/>
      <c r="Y769" s="618"/>
      <c r="Z769" s="618"/>
      <c r="AA769" s="618"/>
      <c r="AB769" s="618"/>
    </row>
    <row r="770" spans="1:28">
      <c r="A770" s="618"/>
      <c r="B770" s="618"/>
      <c r="C770" s="618"/>
      <c r="D770" s="644"/>
      <c r="E770" s="618"/>
      <c r="F770" s="618"/>
      <c r="G770" s="618"/>
      <c r="H770" s="618"/>
      <c r="I770" s="618"/>
      <c r="J770" s="618"/>
      <c r="K770" s="618"/>
      <c r="L770" s="618"/>
      <c r="M770" s="618"/>
      <c r="N770" s="618"/>
      <c r="O770" s="618"/>
      <c r="P770" s="618"/>
      <c r="Q770" s="618"/>
      <c r="R770" s="618"/>
      <c r="S770" s="618"/>
      <c r="T770" s="618"/>
      <c r="U770" s="618"/>
      <c r="V770" s="618"/>
      <c r="W770" s="618"/>
      <c r="X770" s="618"/>
      <c r="Y770" s="618"/>
      <c r="Z770" s="618"/>
      <c r="AA770" s="618"/>
      <c r="AB770" s="618"/>
    </row>
    <row r="771" spans="1:28">
      <c r="A771" s="618"/>
      <c r="B771" s="618"/>
      <c r="C771" s="618"/>
      <c r="D771" s="644"/>
      <c r="E771" s="618"/>
      <c r="F771" s="618"/>
      <c r="G771" s="618"/>
      <c r="H771" s="618"/>
      <c r="I771" s="618"/>
      <c r="J771" s="618"/>
      <c r="K771" s="618"/>
      <c r="L771" s="618"/>
      <c r="M771" s="618"/>
      <c r="N771" s="618"/>
      <c r="O771" s="618"/>
      <c r="P771" s="618"/>
      <c r="Q771" s="618"/>
      <c r="R771" s="618"/>
      <c r="S771" s="618"/>
      <c r="T771" s="618"/>
      <c r="U771" s="618"/>
      <c r="V771" s="618"/>
      <c r="W771" s="618"/>
      <c r="X771" s="618"/>
      <c r="Y771" s="618"/>
      <c r="Z771" s="618"/>
      <c r="AA771" s="618"/>
      <c r="AB771" s="618"/>
    </row>
    <row r="772" spans="1:28">
      <c r="A772" s="618"/>
      <c r="B772" s="618"/>
      <c r="C772" s="618"/>
      <c r="D772" s="644"/>
      <c r="E772" s="618"/>
      <c r="F772" s="618"/>
      <c r="G772" s="618"/>
      <c r="H772" s="618"/>
      <c r="I772" s="618"/>
      <c r="J772" s="618"/>
      <c r="K772" s="618"/>
      <c r="L772" s="618"/>
      <c r="M772" s="618"/>
      <c r="N772" s="618"/>
      <c r="O772" s="618"/>
      <c r="P772" s="618"/>
      <c r="Q772" s="618"/>
      <c r="R772" s="618"/>
      <c r="S772" s="618"/>
      <c r="T772" s="618"/>
      <c r="U772" s="618"/>
      <c r="V772" s="618"/>
      <c r="W772" s="618"/>
      <c r="X772" s="618"/>
      <c r="Y772" s="618"/>
      <c r="Z772" s="618"/>
      <c r="AA772" s="618"/>
      <c r="AB772" s="618"/>
    </row>
    <row r="773" spans="1:28">
      <c r="A773" s="618"/>
      <c r="B773" s="618"/>
      <c r="C773" s="618"/>
      <c r="D773" s="644"/>
      <c r="E773" s="618"/>
      <c r="F773" s="618"/>
      <c r="G773" s="618"/>
      <c r="H773" s="618"/>
      <c r="I773" s="618"/>
      <c r="J773" s="618"/>
      <c r="K773" s="618"/>
      <c r="L773" s="618"/>
      <c r="M773" s="618"/>
      <c r="N773" s="618"/>
      <c r="O773" s="618"/>
      <c r="P773" s="618"/>
      <c r="Q773" s="618"/>
      <c r="R773" s="618"/>
      <c r="S773" s="618"/>
      <c r="T773" s="618"/>
      <c r="U773" s="618"/>
      <c r="V773" s="618"/>
      <c r="W773" s="618"/>
      <c r="X773" s="618"/>
      <c r="Y773" s="618"/>
      <c r="Z773" s="618"/>
      <c r="AA773" s="618"/>
      <c r="AB773" s="618"/>
    </row>
    <row r="774" spans="1:28">
      <c r="A774" s="618"/>
      <c r="B774" s="618"/>
      <c r="C774" s="618"/>
      <c r="D774" s="644"/>
      <c r="E774" s="618"/>
      <c r="F774" s="618"/>
      <c r="G774" s="618"/>
      <c r="H774" s="618"/>
      <c r="I774" s="618"/>
      <c r="J774" s="618"/>
      <c r="K774" s="618"/>
      <c r="L774" s="618"/>
      <c r="M774" s="618"/>
      <c r="N774" s="618"/>
      <c r="O774" s="618"/>
      <c r="P774" s="618"/>
      <c r="Q774" s="618"/>
      <c r="R774" s="618"/>
      <c r="S774" s="618"/>
      <c r="T774" s="618"/>
      <c r="U774" s="618"/>
      <c r="V774" s="618"/>
      <c r="W774" s="618"/>
      <c r="X774" s="618"/>
      <c r="Y774" s="618"/>
      <c r="Z774" s="618"/>
      <c r="AA774" s="618"/>
      <c r="AB774" s="618"/>
    </row>
    <row r="775" spans="1:28">
      <c r="A775" s="618"/>
      <c r="B775" s="618"/>
      <c r="C775" s="618"/>
      <c r="D775" s="644"/>
      <c r="E775" s="618"/>
      <c r="F775" s="618"/>
      <c r="G775" s="618"/>
      <c r="H775" s="618"/>
      <c r="I775" s="618"/>
      <c r="J775" s="618"/>
      <c r="K775" s="618"/>
      <c r="L775" s="618"/>
      <c r="M775" s="618"/>
      <c r="N775" s="618"/>
      <c r="O775" s="618"/>
      <c r="P775" s="618"/>
      <c r="Q775" s="618"/>
      <c r="R775" s="618"/>
      <c r="S775" s="618"/>
      <c r="T775" s="618"/>
      <c r="U775" s="618"/>
      <c r="V775" s="618"/>
      <c r="W775" s="618"/>
      <c r="X775" s="618"/>
      <c r="Y775" s="618"/>
      <c r="Z775" s="618"/>
      <c r="AA775" s="618"/>
      <c r="AB775" s="618"/>
    </row>
    <row r="776" spans="1:28">
      <c r="A776" s="618"/>
      <c r="B776" s="618"/>
      <c r="C776" s="618"/>
      <c r="D776" s="644"/>
      <c r="E776" s="618"/>
      <c r="F776" s="618"/>
      <c r="G776" s="618"/>
      <c r="H776" s="618"/>
      <c r="I776" s="618"/>
      <c r="J776" s="618"/>
      <c r="K776" s="618"/>
      <c r="L776" s="618"/>
      <c r="M776" s="618"/>
      <c r="N776" s="618"/>
      <c r="O776" s="618"/>
      <c r="P776" s="618"/>
      <c r="Q776" s="618"/>
      <c r="R776" s="618"/>
      <c r="S776" s="618"/>
      <c r="T776" s="618"/>
      <c r="U776" s="618"/>
      <c r="V776" s="618"/>
      <c r="W776" s="618"/>
      <c r="X776" s="618"/>
      <c r="Y776" s="618"/>
      <c r="Z776" s="618"/>
      <c r="AA776" s="618"/>
      <c r="AB776" s="618"/>
    </row>
    <row r="777" spans="1:28">
      <c r="A777" s="618"/>
      <c r="B777" s="618"/>
      <c r="C777" s="618"/>
      <c r="D777" s="644"/>
      <c r="E777" s="618"/>
      <c r="F777" s="618"/>
      <c r="G777" s="618"/>
      <c r="H777" s="618"/>
      <c r="I777" s="618"/>
      <c r="J777" s="618"/>
      <c r="K777" s="618"/>
      <c r="L777" s="618"/>
      <c r="M777" s="618"/>
      <c r="N777" s="618"/>
      <c r="O777" s="618"/>
      <c r="P777" s="618"/>
      <c r="Q777" s="618"/>
      <c r="R777" s="618"/>
      <c r="S777" s="618"/>
      <c r="T777" s="618"/>
      <c r="U777" s="618"/>
      <c r="V777" s="618"/>
      <c r="W777" s="618"/>
      <c r="X777" s="618"/>
      <c r="Y777" s="618"/>
      <c r="Z777" s="618"/>
      <c r="AA777" s="618"/>
      <c r="AB777" s="618"/>
    </row>
    <row r="778" spans="1:28">
      <c r="A778" s="618"/>
      <c r="B778" s="618"/>
      <c r="C778" s="618"/>
      <c r="D778" s="644"/>
      <c r="E778" s="618"/>
      <c r="F778" s="618"/>
      <c r="G778" s="618"/>
      <c r="H778" s="618"/>
      <c r="I778" s="618"/>
      <c r="J778" s="618"/>
      <c r="K778" s="618"/>
      <c r="L778" s="618"/>
      <c r="M778" s="618"/>
      <c r="N778" s="618"/>
      <c r="O778" s="618"/>
      <c r="P778" s="618"/>
      <c r="Q778" s="618"/>
      <c r="R778" s="618"/>
      <c r="S778" s="618"/>
      <c r="T778" s="618"/>
      <c r="U778" s="618"/>
      <c r="V778" s="618"/>
      <c r="W778" s="618"/>
      <c r="X778" s="618"/>
      <c r="Y778" s="618"/>
      <c r="Z778" s="618"/>
      <c r="AA778" s="618"/>
      <c r="AB778" s="618"/>
    </row>
    <row r="779" spans="1:28">
      <c r="A779" s="618"/>
      <c r="B779" s="618"/>
      <c r="C779" s="618"/>
      <c r="D779" s="644"/>
      <c r="E779" s="618"/>
      <c r="F779" s="618"/>
      <c r="G779" s="618"/>
      <c r="H779" s="618"/>
      <c r="I779" s="618"/>
      <c r="J779" s="618"/>
      <c r="K779" s="618"/>
      <c r="L779" s="618"/>
      <c r="M779" s="618"/>
      <c r="N779" s="618"/>
      <c r="O779" s="618"/>
      <c r="P779" s="618"/>
      <c r="Q779" s="618"/>
      <c r="R779" s="618"/>
      <c r="S779" s="618"/>
      <c r="T779" s="618"/>
      <c r="U779" s="618"/>
      <c r="V779" s="618"/>
      <c r="W779" s="618"/>
      <c r="X779" s="618"/>
      <c r="Y779" s="618"/>
      <c r="Z779" s="618"/>
      <c r="AA779" s="618"/>
      <c r="AB779" s="618"/>
    </row>
    <row r="780" spans="1:28">
      <c r="A780" s="618"/>
      <c r="B780" s="618"/>
      <c r="C780" s="618"/>
      <c r="D780" s="644"/>
      <c r="E780" s="618"/>
      <c r="F780" s="618"/>
      <c r="G780" s="618"/>
      <c r="H780" s="618"/>
      <c r="I780" s="618"/>
      <c r="J780" s="618"/>
      <c r="K780" s="618"/>
      <c r="L780" s="618"/>
      <c r="M780" s="618"/>
      <c r="N780" s="618"/>
      <c r="O780" s="618"/>
      <c r="P780" s="618"/>
      <c r="Q780" s="618"/>
      <c r="R780" s="618"/>
      <c r="S780" s="618"/>
      <c r="T780" s="618"/>
      <c r="U780" s="618"/>
      <c r="V780" s="618"/>
      <c r="W780" s="618"/>
      <c r="X780" s="618"/>
      <c r="Y780" s="618"/>
      <c r="Z780" s="618"/>
      <c r="AA780" s="618"/>
      <c r="AB780" s="618"/>
    </row>
    <row r="781" spans="1:28">
      <c r="A781" s="618"/>
      <c r="B781" s="618"/>
      <c r="C781" s="618"/>
      <c r="D781" s="644"/>
      <c r="E781" s="618"/>
      <c r="F781" s="618"/>
      <c r="G781" s="618"/>
      <c r="H781" s="618"/>
      <c r="I781" s="618"/>
      <c r="J781" s="618"/>
      <c r="K781" s="618"/>
      <c r="L781" s="618"/>
      <c r="M781" s="618"/>
      <c r="N781" s="618"/>
      <c r="O781" s="618"/>
      <c r="P781" s="618"/>
      <c r="Q781" s="618"/>
      <c r="R781" s="618"/>
      <c r="S781" s="618"/>
      <c r="T781" s="618"/>
      <c r="U781" s="618"/>
      <c r="V781" s="618"/>
      <c r="W781" s="618"/>
      <c r="X781" s="618"/>
      <c r="Y781" s="618"/>
      <c r="Z781" s="618"/>
      <c r="AA781" s="618"/>
      <c r="AB781" s="618"/>
    </row>
    <row r="782" spans="1:28">
      <c r="A782" s="618"/>
      <c r="B782" s="618"/>
      <c r="C782" s="618"/>
      <c r="D782" s="644"/>
      <c r="E782" s="618"/>
      <c r="F782" s="618"/>
      <c r="G782" s="618"/>
      <c r="H782" s="618"/>
      <c r="I782" s="618"/>
      <c r="J782" s="618"/>
      <c r="K782" s="618"/>
      <c r="L782" s="618"/>
      <c r="M782" s="618"/>
      <c r="N782" s="618"/>
      <c r="O782" s="618"/>
      <c r="P782" s="618"/>
      <c r="Q782" s="618"/>
      <c r="R782" s="618"/>
      <c r="S782" s="618"/>
      <c r="T782" s="618"/>
      <c r="U782" s="618"/>
      <c r="V782" s="618"/>
      <c r="W782" s="618"/>
      <c r="X782" s="618"/>
      <c r="Y782" s="618"/>
      <c r="Z782" s="618"/>
      <c r="AA782" s="618"/>
      <c r="AB782" s="618"/>
    </row>
    <row r="783" spans="1:28">
      <c r="A783" s="618"/>
      <c r="B783" s="618"/>
      <c r="C783" s="618"/>
      <c r="D783" s="644"/>
      <c r="E783" s="618"/>
      <c r="F783" s="618"/>
      <c r="G783" s="618"/>
      <c r="H783" s="618"/>
      <c r="I783" s="618"/>
      <c r="J783" s="618"/>
      <c r="K783" s="618"/>
      <c r="L783" s="618"/>
      <c r="M783" s="618"/>
      <c r="N783" s="618"/>
      <c r="O783" s="618"/>
      <c r="P783" s="618"/>
      <c r="Q783" s="618"/>
      <c r="R783" s="618"/>
      <c r="S783" s="618"/>
      <c r="T783" s="618"/>
      <c r="U783" s="618"/>
      <c r="V783" s="618"/>
      <c r="W783" s="618"/>
      <c r="X783" s="618"/>
      <c r="Y783" s="618"/>
      <c r="Z783" s="618"/>
      <c r="AA783" s="618"/>
      <c r="AB783" s="618"/>
    </row>
    <row r="784" spans="1:28">
      <c r="A784" s="618"/>
      <c r="B784" s="618"/>
      <c r="C784" s="618"/>
      <c r="D784" s="644"/>
      <c r="E784" s="618"/>
      <c r="F784" s="618"/>
      <c r="G784" s="618"/>
      <c r="H784" s="618"/>
      <c r="I784" s="618"/>
      <c r="J784" s="618"/>
      <c r="K784" s="618"/>
      <c r="L784" s="618"/>
      <c r="M784" s="618"/>
      <c r="N784" s="618"/>
      <c r="O784" s="618"/>
      <c r="P784" s="618"/>
      <c r="Q784" s="618"/>
      <c r="R784" s="618"/>
      <c r="S784" s="618"/>
      <c r="T784" s="618"/>
      <c r="U784" s="618"/>
      <c r="V784" s="618"/>
      <c r="W784" s="618"/>
      <c r="X784" s="618"/>
      <c r="Y784" s="618"/>
      <c r="Z784" s="618"/>
      <c r="AA784" s="618"/>
      <c r="AB784" s="618"/>
    </row>
    <row r="785" spans="1:28">
      <c r="A785" s="618"/>
      <c r="B785" s="618"/>
      <c r="C785" s="618"/>
      <c r="D785" s="644"/>
      <c r="E785" s="618"/>
      <c r="F785" s="618"/>
      <c r="G785" s="618"/>
      <c r="H785" s="618"/>
      <c r="I785" s="618"/>
      <c r="J785" s="618"/>
      <c r="K785" s="618"/>
      <c r="L785" s="618"/>
      <c r="M785" s="618"/>
      <c r="N785" s="618"/>
      <c r="O785" s="618"/>
      <c r="P785" s="618"/>
      <c r="Q785" s="618"/>
      <c r="R785" s="618"/>
      <c r="S785" s="618"/>
      <c r="T785" s="618"/>
      <c r="U785" s="618"/>
      <c r="V785" s="618"/>
      <c r="W785" s="618"/>
      <c r="X785" s="618"/>
      <c r="Y785" s="618"/>
      <c r="Z785" s="618"/>
      <c r="AA785" s="618"/>
      <c r="AB785" s="618"/>
    </row>
    <row r="786" spans="1:28">
      <c r="A786" s="618"/>
      <c r="B786" s="618"/>
      <c r="C786" s="618"/>
      <c r="D786" s="644"/>
      <c r="E786" s="618"/>
      <c r="F786" s="618"/>
      <c r="G786" s="618"/>
      <c r="H786" s="618"/>
      <c r="I786" s="618"/>
      <c r="J786" s="618"/>
      <c r="K786" s="618"/>
      <c r="L786" s="618"/>
      <c r="M786" s="618"/>
      <c r="N786" s="618"/>
      <c r="O786" s="618"/>
      <c r="P786" s="618"/>
      <c r="Q786" s="618"/>
      <c r="R786" s="618"/>
      <c r="S786" s="618"/>
      <c r="T786" s="618"/>
      <c r="U786" s="618"/>
      <c r="V786" s="618"/>
      <c r="W786" s="618"/>
      <c r="X786" s="618"/>
      <c r="Y786" s="618"/>
      <c r="Z786" s="618"/>
      <c r="AA786" s="618"/>
      <c r="AB786" s="618"/>
    </row>
    <row r="787" spans="1:28">
      <c r="A787" s="618"/>
      <c r="B787" s="618"/>
      <c r="C787" s="618"/>
      <c r="D787" s="644"/>
      <c r="E787" s="618"/>
      <c r="F787" s="618"/>
      <c r="G787" s="618"/>
      <c r="H787" s="618"/>
      <c r="I787" s="618"/>
      <c r="J787" s="618"/>
      <c r="K787" s="618"/>
      <c r="L787" s="618"/>
      <c r="M787" s="618"/>
      <c r="N787" s="618"/>
      <c r="O787" s="618"/>
      <c r="P787" s="618"/>
      <c r="Q787" s="618"/>
      <c r="R787" s="618"/>
      <c r="S787" s="618"/>
      <c r="T787" s="618"/>
      <c r="U787" s="618"/>
      <c r="V787" s="618"/>
      <c r="W787" s="618"/>
      <c r="X787" s="618"/>
      <c r="Y787" s="618"/>
      <c r="Z787" s="618"/>
      <c r="AA787" s="618"/>
      <c r="AB787" s="618"/>
    </row>
    <row r="788" spans="1:28">
      <c r="A788" s="618"/>
      <c r="B788" s="618"/>
      <c r="C788" s="618"/>
      <c r="D788" s="644"/>
      <c r="E788" s="618"/>
      <c r="F788" s="618"/>
      <c r="G788" s="618"/>
      <c r="H788" s="618"/>
      <c r="I788" s="618"/>
      <c r="J788" s="618"/>
      <c r="K788" s="618"/>
      <c r="L788" s="618"/>
      <c r="M788" s="618"/>
      <c r="N788" s="618"/>
      <c r="O788" s="618"/>
      <c r="P788" s="618"/>
      <c r="Q788" s="618"/>
      <c r="R788" s="618"/>
      <c r="S788" s="618"/>
      <c r="T788" s="618"/>
      <c r="U788" s="618"/>
      <c r="V788" s="618"/>
      <c r="W788" s="618"/>
      <c r="X788" s="618"/>
      <c r="Y788" s="618"/>
      <c r="Z788" s="618"/>
      <c r="AA788" s="618"/>
      <c r="AB788" s="618"/>
    </row>
    <row r="789" spans="1:28">
      <c r="A789" s="618"/>
      <c r="B789" s="618"/>
      <c r="C789" s="618"/>
      <c r="D789" s="644"/>
      <c r="E789" s="618"/>
      <c r="F789" s="618"/>
      <c r="G789" s="618"/>
      <c r="H789" s="618"/>
      <c r="I789" s="618"/>
      <c r="J789" s="618"/>
      <c r="K789" s="618"/>
      <c r="L789" s="618"/>
      <c r="M789" s="618"/>
      <c r="N789" s="618"/>
      <c r="O789" s="618"/>
      <c r="P789" s="618"/>
      <c r="Q789" s="618"/>
      <c r="R789" s="618"/>
      <c r="S789" s="618"/>
      <c r="T789" s="618"/>
      <c r="U789" s="618"/>
      <c r="V789" s="618"/>
      <c r="W789" s="618"/>
      <c r="X789" s="618"/>
      <c r="Y789" s="618"/>
      <c r="Z789" s="618"/>
      <c r="AA789" s="618"/>
      <c r="AB789" s="618"/>
    </row>
    <row r="790" spans="1:28">
      <c r="A790" s="618"/>
      <c r="B790" s="618"/>
      <c r="C790" s="618"/>
      <c r="D790" s="644"/>
      <c r="E790" s="618"/>
      <c r="F790" s="618"/>
      <c r="G790" s="618"/>
      <c r="H790" s="618"/>
      <c r="I790" s="618"/>
      <c r="J790" s="618"/>
      <c r="K790" s="618"/>
      <c r="L790" s="618"/>
      <c r="M790" s="618"/>
      <c r="N790" s="618"/>
      <c r="O790" s="618"/>
      <c r="P790" s="618"/>
      <c r="Q790" s="618"/>
      <c r="R790" s="618"/>
      <c r="S790" s="618"/>
      <c r="T790" s="618"/>
      <c r="U790" s="618"/>
      <c r="V790" s="618"/>
      <c r="W790" s="618"/>
      <c r="X790" s="618"/>
      <c r="Y790" s="618"/>
      <c r="Z790" s="618"/>
      <c r="AA790" s="618"/>
      <c r="AB790" s="618"/>
    </row>
    <row r="791" spans="1:28">
      <c r="A791" s="618"/>
      <c r="B791" s="618"/>
      <c r="C791" s="618"/>
      <c r="D791" s="644"/>
      <c r="E791" s="618"/>
      <c r="F791" s="618"/>
      <c r="G791" s="618"/>
      <c r="H791" s="618"/>
      <c r="I791" s="618"/>
      <c r="J791" s="618"/>
      <c r="K791" s="618"/>
      <c r="L791" s="618"/>
      <c r="M791" s="618"/>
      <c r="N791" s="618"/>
      <c r="O791" s="618"/>
      <c r="P791" s="618"/>
      <c r="Q791" s="618"/>
      <c r="R791" s="618"/>
      <c r="S791" s="618"/>
      <c r="T791" s="618"/>
      <c r="U791" s="618"/>
      <c r="V791" s="618"/>
      <c r="W791" s="618"/>
      <c r="X791" s="618"/>
      <c r="Y791" s="618"/>
      <c r="Z791" s="618"/>
      <c r="AA791" s="618"/>
      <c r="AB791" s="618"/>
    </row>
    <row r="792" spans="1:28">
      <c r="A792" s="618"/>
      <c r="B792" s="618"/>
      <c r="C792" s="618"/>
      <c r="D792" s="644"/>
      <c r="E792" s="618"/>
      <c r="F792" s="618"/>
      <c r="G792" s="618"/>
      <c r="H792" s="618"/>
      <c r="I792" s="618"/>
      <c r="J792" s="618"/>
      <c r="K792" s="618"/>
      <c r="L792" s="618"/>
      <c r="M792" s="618"/>
      <c r="N792" s="618"/>
      <c r="O792" s="618"/>
      <c r="P792" s="618"/>
      <c r="Q792" s="618"/>
      <c r="R792" s="618"/>
      <c r="S792" s="618"/>
      <c r="T792" s="618"/>
      <c r="U792" s="618"/>
      <c r="V792" s="618"/>
      <c r="W792" s="618"/>
      <c r="X792" s="618"/>
      <c r="Y792" s="618"/>
      <c r="Z792" s="618"/>
      <c r="AA792" s="618"/>
      <c r="AB792" s="618"/>
    </row>
    <row r="793" spans="1:28">
      <c r="A793" s="618"/>
      <c r="B793" s="618"/>
      <c r="C793" s="618"/>
      <c r="D793" s="644"/>
      <c r="E793" s="618"/>
      <c r="F793" s="618"/>
      <c r="G793" s="618"/>
      <c r="H793" s="618"/>
      <c r="I793" s="618"/>
      <c r="J793" s="618"/>
      <c r="K793" s="618"/>
      <c r="L793" s="618"/>
      <c r="M793" s="618"/>
      <c r="N793" s="618"/>
      <c r="O793" s="618"/>
      <c r="P793" s="618"/>
      <c r="Q793" s="618"/>
      <c r="R793" s="618"/>
      <c r="S793" s="618"/>
      <c r="T793" s="618"/>
      <c r="U793" s="618"/>
      <c r="V793" s="618"/>
      <c r="W793" s="618"/>
      <c r="X793" s="618"/>
      <c r="Y793" s="618"/>
      <c r="Z793" s="618"/>
      <c r="AA793" s="618"/>
      <c r="AB793" s="618"/>
    </row>
    <row r="794" spans="1:28">
      <c r="A794" s="618"/>
      <c r="B794" s="618"/>
      <c r="C794" s="618"/>
      <c r="D794" s="644"/>
      <c r="E794" s="618"/>
      <c r="F794" s="618"/>
      <c r="G794" s="618"/>
      <c r="H794" s="618"/>
      <c r="I794" s="618"/>
      <c r="J794" s="618"/>
      <c r="K794" s="618"/>
      <c r="L794" s="618"/>
      <c r="M794" s="618"/>
      <c r="N794" s="618"/>
      <c r="O794" s="618"/>
      <c r="P794" s="618"/>
      <c r="Q794" s="618"/>
      <c r="R794" s="618"/>
      <c r="S794" s="618"/>
      <c r="T794" s="618"/>
      <c r="U794" s="618"/>
      <c r="V794" s="618"/>
      <c r="W794" s="618"/>
      <c r="X794" s="618"/>
      <c r="Y794" s="618"/>
      <c r="Z794" s="618"/>
      <c r="AA794" s="618"/>
      <c r="AB794" s="618"/>
    </row>
    <row r="795" spans="1:28">
      <c r="A795" s="618"/>
      <c r="B795" s="618"/>
      <c r="C795" s="618"/>
      <c r="D795" s="644"/>
      <c r="E795" s="618"/>
      <c r="F795" s="618"/>
      <c r="G795" s="618"/>
      <c r="H795" s="618"/>
      <c r="I795" s="618"/>
      <c r="J795" s="618"/>
      <c r="K795" s="618"/>
      <c r="L795" s="618"/>
      <c r="M795" s="618"/>
      <c r="N795" s="618"/>
      <c r="O795" s="618"/>
      <c r="P795" s="618"/>
      <c r="Q795" s="618"/>
      <c r="R795" s="618"/>
      <c r="S795" s="618"/>
      <c r="T795" s="618"/>
      <c r="U795" s="618"/>
      <c r="V795" s="618"/>
      <c r="W795" s="618"/>
      <c r="X795" s="618"/>
      <c r="Y795" s="618"/>
      <c r="Z795" s="618"/>
      <c r="AA795" s="618"/>
      <c r="AB795" s="618"/>
    </row>
    <row r="796" spans="1:28">
      <c r="A796" s="618"/>
      <c r="B796" s="618"/>
      <c r="C796" s="618"/>
      <c r="D796" s="644"/>
      <c r="E796" s="618"/>
      <c r="F796" s="618"/>
      <c r="G796" s="618"/>
      <c r="H796" s="618"/>
      <c r="I796" s="618"/>
      <c r="J796" s="618"/>
      <c r="K796" s="618"/>
      <c r="L796" s="618"/>
      <c r="M796" s="618"/>
      <c r="N796" s="618"/>
      <c r="O796" s="618"/>
      <c r="P796" s="618"/>
      <c r="Q796" s="618"/>
      <c r="R796" s="618"/>
      <c r="S796" s="618"/>
      <c r="T796" s="618"/>
      <c r="U796" s="618"/>
      <c r="V796" s="618"/>
      <c r="W796" s="618"/>
      <c r="X796" s="618"/>
      <c r="Y796" s="618"/>
      <c r="Z796" s="618"/>
      <c r="AA796" s="618"/>
      <c r="AB796" s="618"/>
    </row>
    <row r="797" spans="1:28">
      <c r="A797" s="618"/>
      <c r="B797" s="618"/>
      <c r="C797" s="618"/>
      <c r="D797" s="644"/>
      <c r="E797" s="618"/>
      <c r="F797" s="618"/>
      <c r="G797" s="618"/>
      <c r="H797" s="618"/>
      <c r="I797" s="618"/>
      <c r="J797" s="618"/>
      <c r="K797" s="618"/>
      <c r="L797" s="618"/>
      <c r="M797" s="618"/>
      <c r="N797" s="618"/>
      <c r="O797" s="618"/>
      <c r="P797" s="618"/>
      <c r="Q797" s="618"/>
      <c r="R797" s="618"/>
      <c r="S797" s="618"/>
      <c r="T797" s="618"/>
      <c r="U797" s="618"/>
      <c r="V797" s="618"/>
      <c r="W797" s="618"/>
      <c r="X797" s="618"/>
      <c r="Y797" s="618"/>
      <c r="Z797" s="618"/>
      <c r="AA797" s="618"/>
      <c r="AB797" s="618"/>
    </row>
    <row r="798" spans="1:28">
      <c r="A798" s="618"/>
      <c r="B798" s="618"/>
      <c r="C798" s="618"/>
      <c r="D798" s="644"/>
      <c r="E798" s="618"/>
      <c r="F798" s="618"/>
      <c r="G798" s="618"/>
      <c r="H798" s="618"/>
      <c r="I798" s="618"/>
      <c r="J798" s="618"/>
      <c r="K798" s="618"/>
      <c r="L798" s="618"/>
      <c r="M798" s="618"/>
      <c r="N798" s="618"/>
      <c r="O798" s="618"/>
      <c r="P798" s="618"/>
      <c r="Q798" s="618"/>
      <c r="R798" s="618"/>
      <c r="S798" s="618"/>
      <c r="T798" s="618"/>
      <c r="U798" s="618"/>
      <c r="V798" s="618"/>
      <c r="W798" s="618"/>
      <c r="X798" s="618"/>
      <c r="Y798" s="618"/>
      <c r="Z798" s="618"/>
      <c r="AA798" s="618"/>
      <c r="AB798" s="618"/>
    </row>
    <row r="799" spans="1:28">
      <c r="A799" s="618"/>
      <c r="B799" s="618"/>
      <c r="C799" s="618"/>
      <c r="D799" s="644"/>
      <c r="E799" s="618"/>
      <c r="F799" s="618"/>
      <c r="G799" s="618"/>
      <c r="H799" s="618"/>
      <c r="I799" s="618"/>
      <c r="J799" s="618"/>
      <c r="K799" s="618"/>
      <c r="L799" s="618"/>
      <c r="M799" s="618"/>
      <c r="N799" s="618"/>
      <c r="O799" s="618"/>
      <c r="P799" s="618"/>
      <c r="Q799" s="618"/>
      <c r="R799" s="618"/>
      <c r="S799" s="618"/>
      <c r="T799" s="618"/>
      <c r="U799" s="618"/>
      <c r="V799" s="618"/>
      <c r="W799" s="618"/>
      <c r="X799" s="618"/>
      <c r="Y799" s="618"/>
      <c r="Z799" s="618"/>
      <c r="AA799" s="618"/>
      <c r="AB799" s="618"/>
    </row>
    <row r="800" spans="1:28">
      <c r="A800" s="618"/>
      <c r="B800" s="618"/>
      <c r="C800" s="618"/>
      <c r="D800" s="644"/>
      <c r="E800" s="618"/>
      <c r="F800" s="618"/>
      <c r="G800" s="618"/>
      <c r="H800" s="618"/>
      <c r="I800" s="618"/>
      <c r="J800" s="618"/>
      <c r="K800" s="618"/>
      <c r="L800" s="618"/>
      <c r="M800" s="618"/>
      <c r="N800" s="618"/>
      <c r="O800" s="618"/>
      <c r="P800" s="618"/>
      <c r="Q800" s="618"/>
      <c r="R800" s="618"/>
      <c r="S800" s="618"/>
      <c r="T800" s="618"/>
      <c r="U800" s="618"/>
      <c r="V800" s="618"/>
      <c r="W800" s="618"/>
      <c r="X800" s="618"/>
      <c r="Y800" s="618"/>
      <c r="Z800" s="618"/>
      <c r="AA800" s="618"/>
      <c r="AB800" s="618"/>
    </row>
    <row r="801" spans="1:28">
      <c r="A801" s="618"/>
      <c r="B801" s="618"/>
      <c r="C801" s="618"/>
      <c r="D801" s="644"/>
      <c r="E801" s="618"/>
      <c r="F801" s="618"/>
      <c r="G801" s="618"/>
      <c r="H801" s="618"/>
      <c r="I801" s="618"/>
      <c r="J801" s="618"/>
      <c r="K801" s="618"/>
      <c r="L801" s="618"/>
      <c r="M801" s="618"/>
      <c r="N801" s="618"/>
      <c r="O801" s="618"/>
      <c r="P801" s="618"/>
      <c r="Q801" s="618"/>
      <c r="R801" s="618"/>
      <c r="S801" s="618"/>
      <c r="T801" s="618"/>
      <c r="U801" s="618"/>
      <c r="V801" s="618"/>
      <c r="W801" s="618"/>
      <c r="X801" s="618"/>
      <c r="Y801" s="618"/>
      <c r="Z801" s="618"/>
      <c r="AA801" s="618"/>
      <c r="AB801" s="618"/>
    </row>
    <row r="802" spans="1:28">
      <c r="A802" s="618"/>
      <c r="B802" s="618"/>
      <c r="C802" s="618"/>
      <c r="D802" s="644"/>
      <c r="E802" s="618"/>
      <c r="F802" s="618"/>
      <c r="G802" s="618"/>
      <c r="H802" s="618"/>
      <c r="I802" s="618"/>
      <c r="J802" s="618"/>
      <c r="K802" s="618"/>
      <c r="L802" s="618"/>
      <c r="M802" s="618"/>
      <c r="N802" s="618"/>
      <c r="O802" s="618"/>
      <c r="P802" s="618"/>
      <c r="Q802" s="618"/>
      <c r="R802" s="618"/>
      <c r="S802" s="618"/>
      <c r="T802" s="618"/>
      <c r="U802" s="618"/>
      <c r="V802" s="618"/>
      <c r="W802" s="618"/>
      <c r="X802" s="618"/>
      <c r="Y802" s="618"/>
      <c r="Z802" s="618"/>
      <c r="AA802" s="618"/>
      <c r="AB802" s="618"/>
    </row>
    <row r="803" spans="1:28">
      <c r="A803" s="618"/>
      <c r="B803" s="618"/>
      <c r="C803" s="618"/>
      <c r="D803" s="644"/>
      <c r="E803" s="618"/>
      <c r="F803" s="618"/>
      <c r="G803" s="618"/>
      <c r="H803" s="618"/>
      <c r="I803" s="618"/>
      <c r="J803" s="618"/>
      <c r="K803" s="618"/>
      <c r="L803" s="618"/>
      <c r="M803" s="618"/>
      <c r="N803" s="618"/>
      <c r="O803" s="618"/>
      <c r="P803" s="618"/>
      <c r="Q803" s="618"/>
      <c r="R803" s="618"/>
      <c r="S803" s="618"/>
      <c r="T803" s="618"/>
      <c r="U803" s="618"/>
      <c r="V803" s="618"/>
      <c r="W803" s="618"/>
      <c r="X803" s="618"/>
      <c r="Y803" s="618"/>
      <c r="Z803" s="618"/>
      <c r="AA803" s="618"/>
      <c r="AB803" s="618"/>
    </row>
    <row r="804" spans="1:28">
      <c r="A804" s="618"/>
      <c r="B804" s="618"/>
      <c r="C804" s="618"/>
      <c r="D804" s="644"/>
      <c r="E804" s="618"/>
      <c r="F804" s="618"/>
      <c r="G804" s="618"/>
      <c r="H804" s="618"/>
      <c r="I804" s="618"/>
      <c r="J804" s="618"/>
      <c r="K804" s="618"/>
      <c r="L804" s="618"/>
      <c r="M804" s="618"/>
      <c r="N804" s="618"/>
      <c r="O804" s="618"/>
      <c r="P804" s="618"/>
      <c r="Q804" s="618"/>
      <c r="R804" s="618"/>
      <c r="S804" s="618"/>
      <c r="T804" s="618"/>
      <c r="U804" s="618"/>
      <c r="V804" s="618"/>
      <c r="W804" s="618"/>
      <c r="X804" s="618"/>
      <c r="Y804" s="618"/>
      <c r="Z804" s="618"/>
      <c r="AA804" s="618"/>
      <c r="AB804" s="618"/>
    </row>
    <row r="805" spans="1:28">
      <c r="A805" s="618"/>
      <c r="B805" s="618"/>
      <c r="C805" s="618"/>
      <c r="D805" s="644"/>
      <c r="E805" s="618"/>
      <c r="F805" s="618"/>
      <c r="G805" s="618"/>
      <c r="H805" s="618"/>
      <c r="I805" s="618"/>
      <c r="J805" s="618"/>
      <c r="K805" s="618"/>
      <c r="L805" s="618"/>
      <c r="M805" s="618"/>
      <c r="N805" s="618"/>
      <c r="O805" s="618"/>
      <c r="P805" s="618"/>
      <c r="Q805" s="618"/>
      <c r="R805" s="618"/>
      <c r="S805" s="618"/>
      <c r="T805" s="618"/>
      <c r="U805" s="618"/>
      <c r="V805" s="618"/>
      <c r="W805" s="618"/>
      <c r="X805" s="618"/>
      <c r="Y805" s="618"/>
      <c r="Z805" s="618"/>
      <c r="AA805" s="618"/>
      <c r="AB805" s="618"/>
    </row>
    <row r="806" spans="1:28">
      <c r="A806" s="618"/>
      <c r="B806" s="618"/>
      <c r="C806" s="618"/>
      <c r="D806" s="644"/>
      <c r="E806" s="618"/>
      <c r="F806" s="618"/>
      <c r="G806" s="618"/>
      <c r="H806" s="618"/>
      <c r="I806" s="618"/>
      <c r="J806" s="618"/>
      <c r="K806" s="618"/>
      <c r="L806" s="618"/>
      <c r="M806" s="618"/>
      <c r="N806" s="618"/>
      <c r="O806" s="618"/>
      <c r="P806" s="618"/>
      <c r="Q806" s="618"/>
      <c r="R806" s="618"/>
      <c r="S806" s="618"/>
      <c r="T806" s="618"/>
      <c r="U806" s="618"/>
      <c r="V806" s="618"/>
      <c r="W806" s="618"/>
      <c r="X806" s="618"/>
      <c r="Y806" s="618"/>
      <c r="Z806" s="618"/>
      <c r="AA806" s="618"/>
      <c r="AB806" s="618"/>
    </row>
    <row r="807" spans="1:28">
      <c r="A807" s="618"/>
      <c r="B807" s="618"/>
      <c r="C807" s="618"/>
      <c r="D807" s="644"/>
      <c r="E807" s="618"/>
      <c r="F807" s="618"/>
      <c r="G807" s="618"/>
      <c r="H807" s="618"/>
      <c r="I807" s="618"/>
      <c r="J807" s="618"/>
      <c r="K807" s="618"/>
      <c r="L807" s="618"/>
      <c r="M807" s="618"/>
      <c r="N807" s="618"/>
      <c r="O807" s="618"/>
      <c r="P807" s="618"/>
      <c r="Q807" s="618"/>
      <c r="R807" s="618"/>
      <c r="S807" s="618"/>
      <c r="T807" s="618"/>
      <c r="U807" s="618"/>
      <c r="V807" s="618"/>
      <c r="W807" s="618"/>
      <c r="X807" s="618"/>
      <c r="Y807" s="618"/>
      <c r="Z807" s="618"/>
      <c r="AA807" s="618"/>
      <c r="AB807" s="618"/>
    </row>
    <row r="808" spans="1:28">
      <c r="A808" s="618"/>
      <c r="B808" s="618"/>
      <c r="C808" s="618"/>
      <c r="D808" s="644"/>
      <c r="E808" s="618"/>
      <c r="F808" s="618"/>
      <c r="G808" s="618"/>
      <c r="H808" s="618"/>
      <c r="I808" s="618"/>
      <c r="J808" s="618"/>
      <c r="K808" s="618"/>
      <c r="L808" s="618"/>
      <c r="M808" s="618"/>
      <c r="N808" s="618"/>
      <c r="O808" s="618"/>
      <c r="P808" s="618"/>
      <c r="Q808" s="618"/>
      <c r="R808" s="618"/>
      <c r="S808" s="618"/>
      <c r="T808" s="618"/>
      <c r="U808" s="618"/>
      <c r="V808" s="618"/>
      <c r="W808" s="618"/>
      <c r="X808" s="618"/>
      <c r="Y808" s="618"/>
      <c r="Z808" s="618"/>
      <c r="AA808" s="618"/>
      <c r="AB808" s="618"/>
    </row>
    <row r="809" spans="1:28">
      <c r="A809" s="618"/>
      <c r="B809" s="618"/>
      <c r="C809" s="618"/>
      <c r="D809" s="644"/>
      <c r="E809" s="618"/>
      <c r="F809" s="618"/>
      <c r="G809" s="618"/>
      <c r="H809" s="618"/>
      <c r="I809" s="618"/>
      <c r="J809" s="618"/>
      <c r="K809" s="618"/>
      <c r="L809" s="618"/>
      <c r="M809" s="618"/>
      <c r="N809" s="618"/>
      <c r="O809" s="618"/>
      <c r="P809" s="618"/>
      <c r="Q809" s="618"/>
      <c r="R809" s="618"/>
      <c r="S809" s="618"/>
      <c r="T809" s="618"/>
      <c r="U809" s="618"/>
      <c r="V809" s="618"/>
      <c r="W809" s="618"/>
      <c r="X809" s="618"/>
      <c r="Y809" s="618"/>
      <c r="Z809" s="618"/>
      <c r="AA809" s="618"/>
      <c r="AB809" s="618"/>
    </row>
    <row r="810" spans="1:28">
      <c r="A810" s="618"/>
      <c r="B810" s="618"/>
      <c r="C810" s="618"/>
      <c r="D810" s="644"/>
      <c r="E810" s="618"/>
      <c r="F810" s="618"/>
      <c r="G810" s="618"/>
      <c r="H810" s="618"/>
      <c r="I810" s="618"/>
      <c r="J810" s="618"/>
      <c r="K810" s="618"/>
      <c r="L810" s="618"/>
      <c r="M810" s="618"/>
      <c r="N810" s="618"/>
      <c r="O810" s="618"/>
      <c r="P810" s="618"/>
      <c r="Q810" s="618"/>
      <c r="R810" s="618"/>
      <c r="S810" s="618"/>
      <c r="T810" s="618"/>
      <c r="U810" s="618"/>
      <c r="V810" s="618"/>
      <c r="W810" s="618"/>
      <c r="X810" s="618"/>
      <c r="Y810" s="618"/>
      <c r="Z810" s="618"/>
      <c r="AA810" s="618"/>
      <c r="AB810" s="618"/>
    </row>
    <row r="811" spans="1:28">
      <c r="A811" s="618"/>
      <c r="B811" s="618"/>
      <c r="C811" s="618"/>
      <c r="D811" s="644"/>
      <c r="E811" s="618"/>
      <c r="F811" s="618"/>
      <c r="G811" s="618"/>
      <c r="H811" s="618"/>
      <c r="I811" s="618"/>
      <c r="J811" s="618"/>
      <c r="K811" s="618"/>
      <c r="L811" s="618"/>
      <c r="M811" s="618"/>
      <c r="N811" s="618"/>
      <c r="O811" s="618"/>
      <c r="P811" s="618"/>
      <c r="Q811" s="618"/>
      <c r="R811" s="618"/>
      <c r="S811" s="618"/>
      <c r="T811" s="618"/>
      <c r="U811" s="618"/>
      <c r="V811" s="618"/>
      <c r="W811" s="618"/>
      <c r="X811" s="618"/>
      <c r="Y811" s="618"/>
      <c r="Z811" s="618"/>
      <c r="AA811" s="618"/>
      <c r="AB811" s="618"/>
    </row>
    <row r="812" spans="1:28">
      <c r="A812" s="618"/>
      <c r="B812" s="618"/>
      <c r="C812" s="618"/>
      <c r="D812" s="644"/>
      <c r="E812" s="618"/>
      <c r="F812" s="618"/>
      <c r="G812" s="618"/>
      <c r="H812" s="618"/>
      <c r="I812" s="618"/>
      <c r="J812" s="618"/>
      <c r="K812" s="618"/>
      <c r="L812" s="618"/>
      <c r="M812" s="618"/>
      <c r="N812" s="618"/>
      <c r="O812" s="618"/>
      <c r="P812" s="618"/>
      <c r="Q812" s="618"/>
      <c r="R812" s="618"/>
      <c r="S812" s="618"/>
      <c r="T812" s="618"/>
      <c r="U812" s="618"/>
      <c r="V812" s="618"/>
      <c r="W812" s="618"/>
      <c r="X812" s="618"/>
      <c r="Y812" s="618"/>
      <c r="Z812" s="618"/>
      <c r="AA812" s="618"/>
      <c r="AB812" s="618"/>
    </row>
    <row r="813" spans="1:28">
      <c r="A813" s="618"/>
      <c r="B813" s="618"/>
      <c r="C813" s="618"/>
      <c r="D813" s="644"/>
      <c r="E813" s="618"/>
      <c r="F813" s="618"/>
      <c r="G813" s="618"/>
      <c r="H813" s="618"/>
      <c r="I813" s="618"/>
      <c r="J813" s="618"/>
      <c r="K813" s="618"/>
      <c r="L813" s="618"/>
      <c r="M813" s="618"/>
      <c r="N813" s="618"/>
      <c r="O813" s="618"/>
      <c r="P813" s="618"/>
      <c r="Q813" s="618"/>
      <c r="R813" s="618"/>
      <c r="S813" s="618"/>
      <c r="T813" s="618"/>
      <c r="U813" s="618"/>
      <c r="V813" s="618"/>
      <c r="W813" s="618"/>
      <c r="X813" s="618"/>
      <c r="Y813" s="618"/>
      <c r="Z813" s="618"/>
      <c r="AA813" s="618"/>
      <c r="AB813" s="618"/>
    </row>
    <row r="814" spans="1:28">
      <c r="A814" s="618"/>
      <c r="B814" s="618"/>
      <c r="C814" s="618"/>
      <c r="D814" s="644"/>
      <c r="E814" s="618"/>
      <c r="F814" s="618"/>
      <c r="G814" s="618"/>
      <c r="H814" s="618"/>
      <c r="I814" s="618"/>
      <c r="J814" s="618"/>
      <c r="K814" s="618"/>
      <c r="L814" s="618"/>
      <c r="M814" s="618"/>
      <c r="N814" s="618"/>
      <c r="O814" s="618"/>
      <c r="P814" s="618"/>
      <c r="Q814" s="618"/>
      <c r="R814" s="618"/>
      <c r="S814" s="618"/>
      <c r="T814" s="618"/>
      <c r="U814" s="618"/>
      <c r="V814" s="618"/>
      <c r="W814" s="618"/>
      <c r="X814" s="618"/>
      <c r="Y814" s="618"/>
      <c r="Z814" s="618"/>
      <c r="AA814" s="618"/>
      <c r="AB814" s="618"/>
    </row>
    <row r="815" spans="1:28">
      <c r="A815" s="618"/>
      <c r="B815" s="618"/>
      <c r="C815" s="618"/>
      <c r="D815" s="644"/>
      <c r="E815" s="618"/>
      <c r="F815" s="618"/>
      <c r="G815" s="618"/>
      <c r="H815" s="618"/>
      <c r="I815" s="618"/>
      <c r="J815" s="618"/>
      <c r="K815" s="618"/>
      <c r="L815" s="618"/>
      <c r="M815" s="618"/>
      <c r="N815" s="618"/>
      <c r="O815" s="618"/>
      <c r="P815" s="618"/>
      <c r="Q815" s="618"/>
      <c r="R815" s="618"/>
      <c r="S815" s="618"/>
      <c r="T815" s="618"/>
      <c r="U815" s="618"/>
      <c r="V815" s="618"/>
      <c r="W815" s="618"/>
      <c r="X815" s="618"/>
      <c r="Y815" s="618"/>
      <c r="Z815" s="618"/>
      <c r="AA815" s="618"/>
      <c r="AB815" s="618"/>
    </row>
    <row r="816" spans="1:28">
      <c r="A816" s="618"/>
      <c r="B816" s="618"/>
      <c r="C816" s="618"/>
      <c r="D816" s="644"/>
      <c r="E816" s="618"/>
      <c r="F816" s="618"/>
      <c r="G816" s="618"/>
      <c r="H816" s="618"/>
      <c r="I816" s="618"/>
      <c r="J816" s="618"/>
      <c r="K816" s="618"/>
      <c r="L816" s="618"/>
      <c r="M816" s="618"/>
      <c r="N816" s="618"/>
      <c r="O816" s="618"/>
      <c r="P816" s="618"/>
      <c r="Q816" s="618"/>
      <c r="R816" s="618"/>
      <c r="S816" s="618"/>
      <c r="T816" s="618"/>
      <c r="U816" s="618"/>
      <c r="V816" s="618"/>
      <c r="W816" s="618"/>
      <c r="X816" s="618"/>
      <c r="Y816" s="618"/>
      <c r="Z816" s="618"/>
      <c r="AA816" s="618"/>
      <c r="AB816" s="618"/>
    </row>
    <row r="817" spans="1:28">
      <c r="A817" s="618"/>
      <c r="B817" s="618"/>
      <c r="C817" s="618"/>
      <c r="D817" s="644"/>
      <c r="E817" s="618"/>
      <c r="F817" s="618"/>
      <c r="G817" s="618"/>
      <c r="H817" s="618"/>
      <c r="I817" s="618"/>
      <c r="J817" s="618"/>
      <c r="K817" s="618"/>
      <c r="L817" s="618"/>
      <c r="M817" s="618"/>
      <c r="N817" s="618"/>
      <c r="O817" s="618"/>
      <c r="P817" s="618"/>
      <c r="Q817" s="618"/>
      <c r="R817" s="618"/>
      <c r="S817" s="618"/>
      <c r="T817" s="618"/>
      <c r="U817" s="618"/>
      <c r="V817" s="618"/>
      <c r="W817" s="618"/>
      <c r="X817" s="618"/>
      <c r="Y817" s="618"/>
      <c r="Z817" s="618"/>
      <c r="AA817" s="618"/>
      <c r="AB817" s="618"/>
    </row>
    <row r="818" spans="1:28">
      <c r="A818" s="618"/>
      <c r="B818" s="618"/>
      <c r="C818" s="618"/>
      <c r="D818" s="644"/>
      <c r="E818" s="618"/>
      <c r="F818" s="618"/>
      <c r="G818" s="618"/>
      <c r="H818" s="618"/>
      <c r="I818" s="618"/>
      <c r="J818" s="618"/>
      <c r="K818" s="618"/>
      <c r="L818" s="618"/>
      <c r="M818" s="618"/>
      <c r="N818" s="618"/>
      <c r="O818" s="618"/>
      <c r="P818" s="618"/>
      <c r="Q818" s="618"/>
      <c r="R818" s="618"/>
      <c r="S818" s="618"/>
      <c r="T818" s="618"/>
      <c r="U818" s="618"/>
      <c r="V818" s="618"/>
      <c r="W818" s="618"/>
      <c r="X818" s="618"/>
      <c r="Y818" s="618"/>
      <c r="Z818" s="618"/>
      <c r="AA818" s="618"/>
      <c r="AB818" s="618"/>
    </row>
    <row r="819" spans="1:28">
      <c r="A819" s="618"/>
      <c r="B819" s="618"/>
      <c r="C819" s="618"/>
      <c r="D819" s="644"/>
      <c r="E819" s="618"/>
      <c r="F819" s="618"/>
      <c r="G819" s="618"/>
      <c r="H819" s="618"/>
      <c r="I819" s="618"/>
      <c r="J819" s="618"/>
      <c r="K819" s="618"/>
      <c r="L819" s="618"/>
      <c r="M819" s="618"/>
      <c r="N819" s="618"/>
      <c r="O819" s="618"/>
      <c r="P819" s="618"/>
      <c r="Q819" s="618"/>
      <c r="R819" s="618"/>
      <c r="S819" s="618"/>
      <c r="T819" s="618"/>
      <c r="U819" s="618"/>
      <c r="V819" s="618"/>
      <c r="W819" s="618"/>
      <c r="X819" s="618"/>
      <c r="Y819" s="618"/>
      <c r="Z819" s="618"/>
      <c r="AA819" s="618"/>
      <c r="AB819" s="618"/>
    </row>
    <row r="820" spans="1:28">
      <c r="A820" s="618"/>
      <c r="B820" s="618"/>
      <c r="C820" s="618"/>
      <c r="D820" s="644"/>
      <c r="E820" s="618"/>
      <c r="F820" s="618"/>
      <c r="G820" s="618"/>
      <c r="H820" s="618"/>
      <c r="I820" s="618"/>
      <c r="J820" s="618"/>
      <c r="K820" s="618"/>
      <c r="L820" s="618"/>
      <c r="M820" s="618"/>
      <c r="N820" s="618"/>
      <c r="O820" s="618"/>
      <c r="P820" s="618"/>
      <c r="Q820" s="618"/>
      <c r="R820" s="618"/>
      <c r="S820" s="618"/>
      <c r="T820" s="618"/>
      <c r="U820" s="618"/>
      <c r="V820" s="618"/>
      <c r="W820" s="618"/>
      <c r="X820" s="618"/>
      <c r="Y820" s="618"/>
      <c r="Z820" s="618"/>
      <c r="AA820" s="618"/>
      <c r="AB820" s="618"/>
    </row>
    <row r="821" spans="1:28">
      <c r="A821" s="618"/>
      <c r="B821" s="618"/>
      <c r="C821" s="618"/>
      <c r="D821" s="644"/>
      <c r="E821" s="618"/>
      <c r="F821" s="618"/>
      <c r="G821" s="618"/>
      <c r="H821" s="618"/>
      <c r="I821" s="618"/>
      <c r="J821" s="618"/>
      <c r="K821" s="618"/>
      <c r="L821" s="618"/>
      <c r="M821" s="618"/>
      <c r="N821" s="618"/>
      <c r="O821" s="618"/>
      <c r="P821" s="618"/>
      <c r="Q821" s="618"/>
      <c r="R821" s="618"/>
      <c r="S821" s="618"/>
      <c r="T821" s="618"/>
      <c r="U821" s="618"/>
      <c r="V821" s="618"/>
      <c r="W821" s="618"/>
      <c r="X821" s="618"/>
      <c r="Y821" s="618"/>
      <c r="Z821" s="618"/>
      <c r="AA821" s="618"/>
      <c r="AB821" s="618"/>
    </row>
    <row r="822" spans="1:28">
      <c r="A822" s="618"/>
      <c r="B822" s="618"/>
      <c r="C822" s="618"/>
      <c r="D822" s="644"/>
      <c r="E822" s="618"/>
      <c r="F822" s="618"/>
      <c r="G822" s="618"/>
      <c r="H822" s="618"/>
      <c r="I822" s="618"/>
      <c r="J822" s="618"/>
      <c r="K822" s="618"/>
      <c r="L822" s="618"/>
      <c r="M822" s="618"/>
      <c r="N822" s="618"/>
      <c r="O822" s="618"/>
      <c r="P822" s="618"/>
      <c r="Q822" s="618"/>
      <c r="R822" s="618"/>
      <c r="S822" s="618"/>
      <c r="T822" s="618"/>
      <c r="U822" s="618"/>
      <c r="V822" s="618"/>
      <c r="W822" s="618"/>
      <c r="X822" s="618"/>
      <c r="Y822" s="618"/>
      <c r="Z822" s="618"/>
      <c r="AA822" s="618"/>
      <c r="AB822" s="618"/>
    </row>
    <row r="823" spans="1:28">
      <c r="A823" s="618"/>
      <c r="B823" s="618"/>
      <c r="C823" s="618"/>
      <c r="D823" s="644"/>
      <c r="E823" s="618"/>
      <c r="F823" s="618"/>
      <c r="G823" s="618"/>
      <c r="H823" s="618"/>
      <c r="I823" s="618"/>
      <c r="J823" s="618"/>
      <c r="K823" s="618"/>
      <c r="L823" s="618"/>
      <c r="M823" s="618"/>
      <c r="N823" s="618"/>
      <c r="O823" s="618"/>
      <c r="P823" s="618"/>
      <c r="Q823" s="618"/>
      <c r="R823" s="618"/>
      <c r="S823" s="618"/>
      <c r="T823" s="618"/>
      <c r="U823" s="618"/>
      <c r="V823" s="618"/>
      <c r="W823" s="618"/>
      <c r="X823" s="618"/>
      <c r="Y823" s="618"/>
      <c r="Z823" s="618"/>
      <c r="AA823" s="618"/>
      <c r="AB823" s="618"/>
    </row>
    <row r="824" spans="1:28">
      <c r="A824" s="618"/>
      <c r="B824" s="618"/>
      <c r="C824" s="618"/>
      <c r="D824" s="644"/>
      <c r="E824" s="618"/>
      <c r="F824" s="618"/>
      <c r="G824" s="618"/>
      <c r="H824" s="618"/>
      <c r="I824" s="618"/>
      <c r="J824" s="618"/>
      <c r="K824" s="618"/>
      <c r="L824" s="618"/>
      <c r="M824" s="618"/>
      <c r="N824" s="618"/>
      <c r="O824" s="618"/>
      <c r="P824" s="618"/>
      <c r="Q824" s="618"/>
      <c r="R824" s="618"/>
      <c r="S824" s="618"/>
      <c r="T824" s="618"/>
      <c r="U824" s="618"/>
      <c r="V824" s="618"/>
      <c r="W824" s="618"/>
      <c r="X824" s="618"/>
      <c r="Y824" s="618"/>
      <c r="Z824" s="618"/>
      <c r="AA824" s="618"/>
      <c r="AB824" s="618"/>
    </row>
    <row r="825" spans="1:28">
      <c r="A825" s="618"/>
      <c r="B825" s="618"/>
      <c r="C825" s="618"/>
      <c r="D825" s="644"/>
      <c r="E825" s="618"/>
      <c r="F825" s="618"/>
      <c r="G825" s="618"/>
      <c r="H825" s="618"/>
      <c r="I825" s="618"/>
      <c r="J825" s="618"/>
      <c r="K825" s="618"/>
      <c r="L825" s="618"/>
      <c r="M825" s="618"/>
      <c r="N825" s="618"/>
      <c r="O825" s="618"/>
      <c r="P825" s="618"/>
      <c r="Q825" s="618"/>
      <c r="R825" s="618"/>
      <c r="S825" s="618"/>
      <c r="T825" s="618"/>
      <c r="U825" s="618"/>
      <c r="V825" s="618"/>
      <c r="W825" s="618"/>
      <c r="X825" s="618"/>
      <c r="Y825" s="618"/>
      <c r="Z825" s="618"/>
      <c r="AA825" s="618"/>
      <c r="AB825" s="618"/>
    </row>
    <row r="826" spans="1:28">
      <c r="A826" s="618"/>
      <c r="B826" s="618"/>
      <c r="C826" s="618"/>
      <c r="D826" s="644"/>
      <c r="E826" s="618"/>
      <c r="F826" s="618"/>
      <c r="G826" s="618"/>
      <c r="H826" s="618"/>
      <c r="I826" s="618"/>
      <c r="J826" s="618"/>
      <c r="K826" s="618"/>
      <c r="L826" s="618"/>
      <c r="M826" s="618"/>
      <c r="N826" s="618"/>
      <c r="O826" s="618"/>
      <c r="P826" s="618"/>
      <c r="Q826" s="618"/>
      <c r="R826" s="618"/>
      <c r="S826" s="618"/>
      <c r="T826" s="618"/>
      <c r="U826" s="618"/>
      <c r="V826" s="618"/>
      <c r="W826" s="618"/>
      <c r="X826" s="618"/>
      <c r="Y826" s="618"/>
      <c r="Z826" s="618"/>
      <c r="AA826" s="618"/>
      <c r="AB826" s="618"/>
    </row>
    <row r="827" spans="1:28">
      <c r="A827" s="618"/>
      <c r="B827" s="618"/>
      <c r="C827" s="618"/>
      <c r="D827" s="644"/>
      <c r="E827" s="618"/>
      <c r="F827" s="618"/>
      <c r="G827" s="618"/>
      <c r="H827" s="618"/>
      <c r="I827" s="618"/>
      <c r="J827" s="618"/>
      <c r="K827" s="618"/>
      <c r="L827" s="618"/>
      <c r="M827" s="618"/>
      <c r="N827" s="618"/>
      <c r="O827" s="618"/>
      <c r="P827" s="618"/>
      <c r="Q827" s="618"/>
      <c r="R827" s="618"/>
      <c r="S827" s="618"/>
      <c r="T827" s="618"/>
      <c r="U827" s="618"/>
      <c r="V827" s="618"/>
      <c r="W827" s="618"/>
      <c r="X827" s="618"/>
      <c r="Y827" s="618"/>
      <c r="Z827" s="618"/>
      <c r="AA827" s="618"/>
      <c r="AB827" s="618"/>
    </row>
    <row r="828" spans="1:28">
      <c r="A828" s="618"/>
      <c r="B828" s="618"/>
      <c r="C828" s="618"/>
      <c r="D828" s="644"/>
      <c r="E828" s="618"/>
      <c r="F828" s="618"/>
      <c r="G828" s="618"/>
      <c r="H828" s="618"/>
      <c r="I828" s="618"/>
      <c r="J828" s="618"/>
      <c r="K828" s="618"/>
      <c r="L828" s="618"/>
      <c r="M828" s="618"/>
      <c r="N828" s="618"/>
      <c r="O828" s="618"/>
      <c r="P828" s="618"/>
      <c r="Q828" s="618"/>
      <c r="R828" s="618"/>
      <c r="S828" s="618"/>
      <c r="T828" s="618"/>
      <c r="U828" s="618"/>
      <c r="V828" s="618"/>
      <c r="W828" s="618"/>
      <c r="X828" s="618"/>
      <c r="Y828" s="618"/>
      <c r="Z828" s="618"/>
      <c r="AA828" s="618"/>
      <c r="AB828" s="618"/>
    </row>
    <row r="829" spans="1:28">
      <c r="A829" s="618"/>
      <c r="B829" s="618"/>
      <c r="C829" s="618"/>
      <c r="D829" s="644"/>
      <c r="E829" s="618"/>
      <c r="F829" s="618"/>
      <c r="G829" s="618"/>
      <c r="H829" s="618"/>
      <c r="I829" s="618"/>
      <c r="J829" s="618"/>
      <c r="K829" s="618"/>
      <c r="L829" s="618"/>
      <c r="M829" s="618"/>
      <c r="N829" s="618"/>
      <c r="O829" s="618"/>
      <c r="P829" s="618"/>
      <c r="Q829" s="618"/>
      <c r="R829" s="618"/>
      <c r="S829" s="618"/>
      <c r="T829" s="618"/>
      <c r="U829" s="618"/>
      <c r="V829" s="618"/>
      <c r="W829" s="618"/>
      <c r="X829" s="618"/>
      <c r="Y829" s="618"/>
      <c r="Z829" s="618"/>
      <c r="AA829" s="618"/>
      <c r="AB829" s="618"/>
    </row>
    <row r="830" spans="1:28">
      <c r="A830" s="618"/>
      <c r="B830" s="618"/>
      <c r="C830" s="618"/>
      <c r="D830" s="644"/>
      <c r="E830" s="618"/>
      <c r="F830" s="618"/>
      <c r="G830" s="618"/>
      <c r="H830" s="618"/>
      <c r="I830" s="618"/>
      <c r="J830" s="618"/>
      <c r="K830" s="618"/>
      <c r="L830" s="618"/>
      <c r="M830" s="618"/>
      <c r="N830" s="618"/>
      <c r="O830" s="618"/>
      <c r="P830" s="618"/>
      <c r="Q830" s="618"/>
      <c r="R830" s="618"/>
      <c r="S830" s="618"/>
      <c r="T830" s="618"/>
      <c r="U830" s="618"/>
      <c r="V830" s="618"/>
      <c r="W830" s="618"/>
      <c r="X830" s="618"/>
      <c r="Y830" s="618"/>
      <c r="Z830" s="618"/>
      <c r="AA830" s="618"/>
      <c r="AB830" s="618"/>
    </row>
    <row r="831" spans="1:28">
      <c r="A831" s="618"/>
      <c r="B831" s="618"/>
      <c r="C831" s="618"/>
      <c r="D831" s="644"/>
      <c r="E831" s="618"/>
      <c r="F831" s="618"/>
      <c r="G831" s="618"/>
      <c r="H831" s="618"/>
      <c r="I831" s="618"/>
      <c r="J831" s="618"/>
      <c r="K831" s="618"/>
      <c r="L831" s="618"/>
      <c r="M831" s="618"/>
      <c r="N831" s="618"/>
      <c r="O831" s="618"/>
      <c r="P831" s="618"/>
      <c r="Q831" s="618"/>
      <c r="R831" s="618"/>
      <c r="S831" s="618"/>
      <c r="T831" s="618"/>
      <c r="U831" s="618"/>
      <c r="V831" s="618"/>
      <c r="W831" s="618"/>
      <c r="X831" s="618"/>
      <c r="Y831" s="618"/>
      <c r="Z831" s="618"/>
      <c r="AA831" s="618"/>
      <c r="AB831" s="618"/>
    </row>
    <row r="832" spans="1:28">
      <c r="A832" s="618"/>
      <c r="B832" s="618"/>
      <c r="C832" s="618"/>
      <c r="D832" s="644"/>
      <c r="E832" s="618"/>
      <c r="F832" s="618"/>
      <c r="G832" s="618"/>
      <c r="H832" s="618"/>
      <c r="I832" s="618"/>
      <c r="J832" s="618"/>
      <c r="K832" s="618"/>
      <c r="L832" s="618"/>
      <c r="M832" s="618"/>
      <c r="N832" s="618"/>
      <c r="O832" s="618"/>
      <c r="P832" s="618"/>
      <c r="Q832" s="618"/>
      <c r="R832" s="618"/>
      <c r="S832" s="618"/>
      <c r="T832" s="618"/>
      <c r="U832" s="618"/>
      <c r="V832" s="618"/>
      <c r="W832" s="618"/>
      <c r="X832" s="618"/>
      <c r="Y832" s="618"/>
      <c r="Z832" s="618"/>
      <c r="AA832" s="618"/>
      <c r="AB832" s="618"/>
    </row>
    <row r="833" spans="1:28">
      <c r="A833" s="618"/>
      <c r="B833" s="618"/>
      <c r="C833" s="618"/>
      <c r="D833" s="644"/>
      <c r="E833" s="618"/>
      <c r="F833" s="618"/>
      <c r="G833" s="618"/>
      <c r="H833" s="618"/>
      <c r="I833" s="618"/>
      <c r="J833" s="618"/>
      <c r="K833" s="618"/>
      <c r="L833" s="618"/>
      <c r="M833" s="618"/>
      <c r="N833" s="618"/>
      <c r="O833" s="618"/>
      <c r="P833" s="618"/>
      <c r="Q833" s="618"/>
      <c r="R833" s="618"/>
      <c r="S833" s="618"/>
      <c r="T833" s="618"/>
      <c r="U833" s="618"/>
      <c r="V833" s="618"/>
      <c r="W833" s="618"/>
      <c r="X833" s="618"/>
      <c r="Y833" s="618"/>
      <c r="Z833" s="618"/>
      <c r="AA833" s="618"/>
      <c r="AB833" s="618"/>
    </row>
    <row r="834" spans="1:28">
      <c r="A834" s="618"/>
      <c r="B834" s="618"/>
      <c r="C834" s="618"/>
      <c r="D834" s="644"/>
      <c r="E834" s="618"/>
      <c r="F834" s="618"/>
      <c r="G834" s="618"/>
      <c r="H834" s="618"/>
      <c r="I834" s="618"/>
      <c r="J834" s="618"/>
      <c r="K834" s="618"/>
      <c r="L834" s="618"/>
      <c r="M834" s="618"/>
      <c r="N834" s="618"/>
      <c r="O834" s="618"/>
      <c r="P834" s="618"/>
      <c r="Q834" s="618"/>
      <c r="R834" s="618"/>
      <c r="S834" s="618"/>
      <c r="T834" s="618"/>
      <c r="U834" s="618"/>
      <c r="V834" s="618"/>
      <c r="W834" s="618"/>
      <c r="X834" s="618"/>
      <c r="Y834" s="618"/>
      <c r="Z834" s="618"/>
      <c r="AA834" s="618"/>
      <c r="AB834" s="618"/>
    </row>
    <row r="835" spans="1:28">
      <c r="A835" s="618"/>
      <c r="B835" s="618"/>
      <c r="C835" s="618"/>
      <c r="D835" s="644"/>
      <c r="E835" s="618"/>
      <c r="F835" s="618"/>
      <c r="G835" s="618"/>
      <c r="H835" s="618"/>
      <c r="I835" s="618"/>
      <c r="J835" s="618"/>
      <c r="K835" s="618"/>
      <c r="L835" s="618"/>
      <c r="M835" s="618"/>
      <c r="N835" s="618"/>
      <c r="O835" s="618"/>
      <c r="P835" s="618"/>
      <c r="Q835" s="618"/>
      <c r="R835" s="618"/>
      <c r="S835" s="618"/>
      <c r="T835" s="618"/>
      <c r="U835" s="618"/>
      <c r="V835" s="618"/>
      <c r="W835" s="618"/>
      <c r="X835" s="618"/>
      <c r="Y835" s="618"/>
      <c r="Z835" s="618"/>
      <c r="AA835" s="618"/>
      <c r="AB835" s="618"/>
    </row>
    <row r="836" spans="1:28">
      <c r="A836" s="618"/>
      <c r="B836" s="618"/>
      <c r="C836" s="618"/>
      <c r="D836" s="644"/>
      <c r="E836" s="618"/>
      <c r="F836" s="618"/>
      <c r="G836" s="618"/>
      <c r="H836" s="618"/>
      <c r="I836" s="618"/>
      <c r="J836" s="618"/>
      <c r="K836" s="618"/>
      <c r="L836" s="618"/>
      <c r="M836" s="618"/>
      <c r="N836" s="618"/>
      <c r="O836" s="618"/>
      <c r="P836" s="618"/>
      <c r="Q836" s="618"/>
      <c r="R836" s="618"/>
      <c r="S836" s="618"/>
      <c r="T836" s="618"/>
      <c r="U836" s="618"/>
      <c r="V836" s="618"/>
      <c r="W836" s="618"/>
      <c r="X836" s="618"/>
      <c r="Y836" s="618"/>
      <c r="Z836" s="618"/>
      <c r="AA836" s="618"/>
      <c r="AB836" s="618"/>
    </row>
    <row r="837" spans="1:28">
      <c r="A837" s="618"/>
      <c r="B837" s="618"/>
      <c r="C837" s="618"/>
      <c r="D837" s="644"/>
      <c r="E837" s="618"/>
      <c r="F837" s="618"/>
      <c r="G837" s="618"/>
      <c r="H837" s="618"/>
      <c r="I837" s="618"/>
      <c r="J837" s="618"/>
      <c r="K837" s="618"/>
      <c r="L837" s="618"/>
      <c r="M837" s="618"/>
      <c r="N837" s="618"/>
      <c r="O837" s="618"/>
      <c r="P837" s="618"/>
      <c r="Q837" s="618"/>
      <c r="R837" s="618"/>
      <c r="S837" s="618"/>
      <c r="T837" s="618"/>
      <c r="U837" s="618"/>
      <c r="V837" s="618"/>
      <c r="W837" s="618"/>
      <c r="X837" s="618"/>
      <c r="Y837" s="618"/>
      <c r="Z837" s="618"/>
      <c r="AA837" s="618"/>
      <c r="AB837" s="618"/>
    </row>
    <row r="838" spans="1:28">
      <c r="A838" s="618"/>
      <c r="B838" s="618"/>
      <c r="C838" s="618"/>
      <c r="D838" s="644"/>
      <c r="E838" s="618"/>
      <c r="F838" s="618"/>
      <c r="G838" s="618"/>
      <c r="H838" s="618"/>
      <c r="I838" s="618"/>
      <c r="J838" s="618"/>
      <c r="K838" s="618"/>
      <c r="L838" s="618"/>
      <c r="M838" s="618"/>
      <c r="N838" s="618"/>
      <c r="O838" s="618"/>
      <c r="P838" s="618"/>
      <c r="Q838" s="618"/>
      <c r="R838" s="618"/>
      <c r="S838" s="618"/>
      <c r="T838" s="618"/>
      <c r="U838" s="618"/>
      <c r="V838" s="618"/>
      <c r="W838" s="618"/>
      <c r="X838" s="618"/>
      <c r="Y838" s="618"/>
      <c r="Z838" s="618"/>
      <c r="AA838" s="618"/>
      <c r="AB838" s="618"/>
    </row>
    <row r="839" spans="1:28">
      <c r="A839" s="618"/>
      <c r="B839" s="618"/>
      <c r="C839" s="618"/>
      <c r="D839" s="644"/>
      <c r="E839" s="618"/>
      <c r="F839" s="618"/>
      <c r="G839" s="618"/>
      <c r="H839" s="618"/>
      <c r="I839" s="618"/>
      <c r="J839" s="618"/>
      <c r="K839" s="618"/>
      <c r="L839" s="618"/>
      <c r="M839" s="618"/>
      <c r="N839" s="618"/>
      <c r="O839" s="618"/>
      <c r="P839" s="618"/>
      <c r="Q839" s="618"/>
      <c r="R839" s="618"/>
      <c r="S839" s="618"/>
      <c r="T839" s="618"/>
      <c r="U839" s="618"/>
      <c r="V839" s="618"/>
      <c r="W839" s="618"/>
      <c r="X839" s="618"/>
      <c r="Y839" s="618"/>
      <c r="Z839" s="618"/>
      <c r="AA839" s="618"/>
      <c r="AB839" s="618"/>
    </row>
    <row r="840" spans="1:28">
      <c r="A840" s="618"/>
      <c r="B840" s="618"/>
      <c r="C840" s="618"/>
      <c r="D840" s="644"/>
      <c r="E840" s="618"/>
      <c r="F840" s="618"/>
      <c r="G840" s="618"/>
      <c r="H840" s="618"/>
      <c r="I840" s="618"/>
      <c r="J840" s="618"/>
      <c r="K840" s="618"/>
      <c r="L840" s="618"/>
      <c r="M840" s="618"/>
      <c r="N840" s="618"/>
      <c r="O840" s="618"/>
      <c r="P840" s="618"/>
      <c r="Q840" s="618"/>
      <c r="R840" s="618"/>
      <c r="S840" s="618"/>
      <c r="T840" s="618"/>
      <c r="U840" s="618"/>
      <c r="V840" s="618"/>
      <c r="W840" s="618"/>
      <c r="X840" s="618"/>
      <c r="Y840" s="618"/>
      <c r="Z840" s="618"/>
      <c r="AA840" s="618"/>
      <c r="AB840" s="618"/>
    </row>
    <row r="841" spans="1:28">
      <c r="A841" s="618"/>
      <c r="B841" s="618"/>
      <c r="C841" s="618"/>
      <c r="D841" s="644"/>
      <c r="E841" s="618"/>
      <c r="F841" s="618"/>
      <c r="G841" s="618"/>
      <c r="H841" s="618"/>
      <c r="I841" s="618"/>
      <c r="J841" s="618"/>
      <c r="K841" s="618"/>
      <c r="L841" s="618"/>
      <c r="M841" s="618"/>
      <c r="N841" s="618"/>
      <c r="O841" s="618"/>
      <c r="P841" s="618"/>
      <c r="Q841" s="618"/>
      <c r="R841" s="618"/>
      <c r="S841" s="618"/>
      <c r="T841" s="618"/>
      <c r="U841" s="618"/>
      <c r="V841" s="618"/>
      <c r="W841" s="618"/>
      <c r="X841" s="618"/>
      <c r="Y841" s="618"/>
      <c r="Z841" s="618"/>
      <c r="AA841" s="618"/>
      <c r="AB841" s="618"/>
    </row>
    <row r="842" spans="1:28">
      <c r="A842" s="618"/>
      <c r="B842" s="618"/>
      <c r="C842" s="618"/>
      <c r="D842" s="644"/>
      <c r="E842" s="618"/>
      <c r="F842" s="618"/>
      <c r="G842" s="618"/>
      <c r="H842" s="618"/>
      <c r="I842" s="618"/>
      <c r="J842" s="618"/>
      <c r="K842" s="618"/>
      <c r="L842" s="618"/>
      <c r="M842" s="618"/>
      <c r="N842" s="618"/>
      <c r="O842" s="618"/>
      <c r="P842" s="618"/>
      <c r="Q842" s="618"/>
      <c r="R842" s="618"/>
      <c r="S842" s="618"/>
      <c r="T842" s="618"/>
      <c r="U842" s="618"/>
      <c r="V842" s="618"/>
      <c r="W842" s="618"/>
      <c r="X842" s="618"/>
      <c r="Y842" s="618"/>
      <c r="Z842" s="618"/>
      <c r="AA842" s="618"/>
      <c r="AB842" s="618"/>
    </row>
    <row r="843" spans="1:28">
      <c r="A843" s="618"/>
      <c r="B843" s="618"/>
      <c r="C843" s="618"/>
      <c r="D843" s="644"/>
      <c r="E843" s="618"/>
      <c r="F843" s="618"/>
      <c r="G843" s="618"/>
      <c r="H843" s="618"/>
      <c r="I843" s="618"/>
      <c r="J843" s="618"/>
      <c r="K843" s="618"/>
      <c r="L843" s="618"/>
      <c r="M843" s="618"/>
      <c r="N843" s="618"/>
      <c r="O843" s="618"/>
      <c r="P843" s="618"/>
      <c r="Q843" s="618"/>
      <c r="R843" s="618"/>
      <c r="S843" s="618"/>
      <c r="T843" s="618"/>
      <c r="U843" s="618"/>
      <c r="V843" s="618"/>
      <c r="W843" s="618"/>
      <c r="X843" s="618"/>
      <c r="Y843" s="618"/>
      <c r="Z843" s="618"/>
      <c r="AA843" s="618"/>
      <c r="AB843" s="618"/>
    </row>
    <row r="844" spans="1:28">
      <c r="A844" s="618"/>
      <c r="B844" s="618"/>
      <c r="C844" s="618"/>
      <c r="D844" s="644"/>
      <c r="E844" s="618"/>
      <c r="F844" s="618"/>
      <c r="G844" s="618"/>
      <c r="H844" s="618"/>
      <c r="I844" s="618"/>
      <c r="J844" s="618"/>
      <c r="K844" s="618"/>
      <c r="L844" s="618"/>
      <c r="M844" s="618"/>
      <c r="N844" s="618"/>
      <c r="O844" s="618"/>
      <c r="P844" s="618"/>
      <c r="Q844" s="618"/>
      <c r="R844" s="618"/>
      <c r="S844" s="618"/>
      <c r="T844" s="618"/>
      <c r="U844" s="618"/>
      <c r="V844" s="618"/>
      <c r="W844" s="618"/>
      <c r="X844" s="618"/>
      <c r="Y844" s="618"/>
      <c r="Z844" s="618"/>
      <c r="AA844" s="618"/>
      <c r="AB844" s="618"/>
    </row>
    <row r="845" spans="1:28">
      <c r="A845" s="618"/>
      <c r="B845" s="618"/>
      <c r="C845" s="618"/>
      <c r="D845" s="644"/>
      <c r="E845" s="618"/>
      <c r="F845" s="618"/>
      <c r="G845" s="618"/>
      <c r="H845" s="618"/>
      <c r="I845" s="618"/>
      <c r="J845" s="618"/>
      <c r="K845" s="618"/>
      <c r="L845" s="618"/>
      <c r="M845" s="618"/>
      <c r="N845" s="618"/>
      <c r="O845" s="618"/>
      <c r="P845" s="618"/>
      <c r="Q845" s="618"/>
      <c r="R845" s="618"/>
      <c r="S845" s="618"/>
      <c r="T845" s="618"/>
      <c r="U845" s="618"/>
      <c r="V845" s="618"/>
      <c r="W845" s="618"/>
      <c r="X845" s="618"/>
      <c r="Y845" s="618"/>
      <c r="Z845" s="618"/>
      <c r="AA845" s="618"/>
      <c r="AB845" s="618"/>
    </row>
    <row r="846" spans="1:28">
      <c r="A846" s="618"/>
      <c r="B846" s="618"/>
      <c r="C846" s="618"/>
      <c r="D846" s="644"/>
      <c r="E846" s="618"/>
      <c r="F846" s="618"/>
      <c r="G846" s="618"/>
      <c r="H846" s="618"/>
      <c r="I846" s="618"/>
      <c r="J846" s="618"/>
      <c r="K846" s="618"/>
      <c r="L846" s="618"/>
      <c r="M846" s="618"/>
      <c r="N846" s="618"/>
      <c r="O846" s="618"/>
      <c r="P846" s="618"/>
      <c r="Q846" s="618"/>
      <c r="R846" s="618"/>
      <c r="S846" s="618"/>
      <c r="T846" s="618"/>
      <c r="U846" s="618"/>
      <c r="V846" s="618"/>
      <c r="W846" s="618"/>
      <c r="X846" s="618"/>
      <c r="Y846" s="618"/>
      <c r="Z846" s="618"/>
      <c r="AA846" s="618"/>
      <c r="AB846" s="618"/>
    </row>
    <row r="847" spans="1:28">
      <c r="A847" s="618"/>
      <c r="B847" s="618"/>
      <c r="C847" s="618"/>
      <c r="D847" s="644"/>
      <c r="E847" s="618"/>
      <c r="F847" s="618"/>
      <c r="G847" s="618"/>
      <c r="H847" s="618"/>
      <c r="I847" s="618"/>
      <c r="J847" s="618"/>
      <c r="K847" s="618"/>
      <c r="L847" s="618"/>
      <c r="M847" s="618"/>
      <c r="N847" s="618"/>
      <c r="O847" s="618"/>
      <c r="P847" s="618"/>
      <c r="Q847" s="618"/>
      <c r="R847" s="618"/>
      <c r="S847" s="618"/>
      <c r="T847" s="618"/>
      <c r="U847" s="618"/>
      <c r="V847" s="618"/>
      <c r="W847" s="618"/>
      <c r="X847" s="618"/>
      <c r="Y847" s="618"/>
      <c r="Z847" s="618"/>
      <c r="AA847" s="618"/>
      <c r="AB847" s="618"/>
    </row>
    <row r="848" spans="1:28">
      <c r="A848" s="618"/>
      <c r="B848" s="618"/>
      <c r="C848" s="618"/>
      <c r="D848" s="644"/>
      <c r="E848" s="618"/>
      <c r="F848" s="618"/>
      <c r="G848" s="618"/>
      <c r="H848" s="618"/>
      <c r="I848" s="618"/>
      <c r="J848" s="618"/>
      <c r="K848" s="618"/>
      <c r="L848" s="618"/>
      <c r="M848" s="618"/>
      <c r="N848" s="618"/>
      <c r="O848" s="618"/>
      <c r="P848" s="618"/>
      <c r="Q848" s="618"/>
      <c r="R848" s="618"/>
      <c r="S848" s="618"/>
      <c r="T848" s="618"/>
      <c r="U848" s="618"/>
      <c r="V848" s="618"/>
      <c r="W848" s="618"/>
      <c r="X848" s="618"/>
      <c r="Y848" s="618"/>
      <c r="Z848" s="618"/>
      <c r="AA848" s="618"/>
      <c r="AB848" s="618"/>
    </row>
    <row r="849" spans="1:28">
      <c r="A849" s="618"/>
      <c r="B849" s="618"/>
      <c r="C849" s="618"/>
      <c r="D849" s="644"/>
      <c r="E849" s="618"/>
      <c r="F849" s="618"/>
      <c r="G849" s="618"/>
      <c r="H849" s="618"/>
      <c r="I849" s="618"/>
      <c r="J849" s="618"/>
      <c r="K849" s="618"/>
      <c r="L849" s="618"/>
      <c r="M849" s="618"/>
      <c r="N849" s="618"/>
      <c r="O849" s="618"/>
      <c r="P849" s="618"/>
      <c r="Q849" s="618"/>
      <c r="R849" s="618"/>
      <c r="S849" s="618"/>
      <c r="T849" s="618"/>
      <c r="U849" s="618"/>
      <c r="V849" s="618"/>
      <c r="W849" s="618"/>
      <c r="X849" s="618"/>
      <c r="Y849" s="618"/>
      <c r="Z849" s="618"/>
      <c r="AA849" s="618"/>
      <c r="AB849" s="618"/>
    </row>
    <row r="850" spans="1:28">
      <c r="A850" s="618"/>
      <c r="B850" s="618"/>
      <c r="C850" s="618"/>
      <c r="D850" s="644"/>
      <c r="E850" s="618"/>
      <c r="F850" s="618"/>
      <c r="G850" s="618"/>
      <c r="H850" s="618"/>
      <c r="I850" s="618"/>
      <c r="J850" s="618"/>
      <c r="K850" s="618"/>
      <c r="L850" s="618"/>
      <c r="M850" s="618"/>
      <c r="N850" s="618"/>
      <c r="O850" s="618"/>
      <c r="P850" s="618"/>
      <c r="Q850" s="618"/>
      <c r="R850" s="618"/>
      <c r="S850" s="618"/>
      <c r="T850" s="618"/>
      <c r="U850" s="618"/>
      <c r="V850" s="618"/>
      <c r="W850" s="618"/>
      <c r="X850" s="618"/>
      <c r="Y850" s="618"/>
      <c r="Z850" s="618"/>
      <c r="AA850" s="618"/>
      <c r="AB850" s="618"/>
    </row>
    <row r="851" spans="1:28">
      <c r="A851" s="618"/>
      <c r="B851" s="618"/>
      <c r="C851" s="618"/>
      <c r="D851" s="644"/>
      <c r="E851" s="618"/>
      <c r="F851" s="618"/>
      <c r="G851" s="618"/>
      <c r="H851" s="618"/>
      <c r="I851" s="618"/>
      <c r="J851" s="618"/>
      <c r="K851" s="618"/>
      <c r="L851" s="618"/>
      <c r="M851" s="618"/>
      <c r="N851" s="618"/>
      <c r="O851" s="618"/>
      <c r="P851" s="618"/>
      <c r="Q851" s="618"/>
      <c r="R851" s="618"/>
      <c r="S851" s="618"/>
      <c r="T851" s="618"/>
      <c r="U851" s="618"/>
      <c r="V851" s="618"/>
      <c r="W851" s="618"/>
      <c r="X851" s="618"/>
      <c r="Y851" s="618"/>
      <c r="Z851" s="618"/>
      <c r="AA851" s="618"/>
      <c r="AB851" s="618"/>
    </row>
    <row r="852" spans="1:28">
      <c r="A852" s="618"/>
      <c r="B852" s="618"/>
      <c r="C852" s="618"/>
      <c r="D852" s="644"/>
      <c r="E852" s="618"/>
      <c r="F852" s="618"/>
      <c r="G852" s="618"/>
      <c r="H852" s="618"/>
      <c r="I852" s="618"/>
      <c r="J852" s="618"/>
      <c r="K852" s="618"/>
      <c r="L852" s="618"/>
      <c r="M852" s="618"/>
      <c r="N852" s="618"/>
      <c r="O852" s="618"/>
      <c r="P852" s="618"/>
      <c r="Q852" s="618"/>
      <c r="R852" s="618"/>
      <c r="S852" s="618"/>
      <c r="T852" s="618"/>
      <c r="U852" s="618"/>
      <c r="V852" s="618"/>
      <c r="W852" s="618"/>
      <c r="X852" s="618"/>
      <c r="Y852" s="618"/>
      <c r="Z852" s="618"/>
      <c r="AA852" s="618"/>
      <c r="AB852" s="618"/>
    </row>
    <row r="853" spans="1:28">
      <c r="A853" s="618"/>
      <c r="B853" s="618"/>
      <c r="C853" s="618"/>
      <c r="D853" s="644"/>
      <c r="E853" s="618"/>
      <c r="F853" s="618"/>
      <c r="G853" s="618"/>
      <c r="H853" s="618"/>
      <c r="I853" s="618"/>
      <c r="J853" s="618"/>
      <c r="K853" s="618"/>
      <c r="L853" s="618"/>
      <c r="M853" s="618"/>
      <c r="N853" s="618"/>
      <c r="O853" s="618"/>
      <c r="P853" s="618"/>
      <c r="Q853" s="618"/>
      <c r="R853" s="618"/>
      <c r="S853" s="618"/>
      <c r="T853" s="618"/>
      <c r="U853" s="618"/>
      <c r="V853" s="618"/>
      <c r="W853" s="618"/>
      <c r="X853" s="618"/>
      <c r="Y853" s="618"/>
      <c r="Z853" s="618"/>
      <c r="AA853" s="618"/>
      <c r="AB853" s="618"/>
    </row>
    <row r="854" spans="1:28">
      <c r="A854" s="618"/>
      <c r="B854" s="618"/>
      <c r="C854" s="618"/>
      <c r="D854" s="644"/>
      <c r="E854" s="618"/>
      <c r="F854" s="618"/>
      <c r="G854" s="618"/>
      <c r="H854" s="618"/>
      <c r="I854" s="618"/>
      <c r="J854" s="618"/>
      <c r="K854" s="618"/>
      <c r="L854" s="618"/>
      <c r="M854" s="618"/>
      <c r="N854" s="618"/>
      <c r="O854" s="618"/>
      <c r="P854" s="618"/>
      <c r="Q854" s="618"/>
      <c r="R854" s="618"/>
      <c r="S854" s="618"/>
      <c r="T854" s="618"/>
      <c r="U854" s="618"/>
      <c r="V854" s="618"/>
      <c r="W854" s="618"/>
      <c r="X854" s="618"/>
      <c r="Y854" s="618"/>
      <c r="Z854" s="618"/>
      <c r="AA854" s="618"/>
      <c r="AB854" s="618"/>
    </row>
    <row r="855" spans="1:28">
      <c r="A855" s="618"/>
      <c r="B855" s="618"/>
      <c r="C855" s="618"/>
      <c r="D855" s="644"/>
      <c r="E855" s="618"/>
      <c r="F855" s="618"/>
      <c r="G855" s="618"/>
      <c r="H855" s="618"/>
      <c r="I855" s="618"/>
      <c r="J855" s="618"/>
      <c r="K855" s="618"/>
      <c r="L855" s="618"/>
      <c r="M855" s="618"/>
      <c r="N855" s="618"/>
      <c r="O855" s="618"/>
      <c r="P855" s="618"/>
      <c r="Q855" s="618"/>
      <c r="R855" s="618"/>
      <c r="S855" s="618"/>
      <c r="T855" s="618"/>
      <c r="U855" s="618"/>
      <c r="V855" s="618"/>
      <c r="W855" s="618"/>
      <c r="X855" s="618"/>
      <c r="Y855" s="618"/>
      <c r="Z855" s="618"/>
      <c r="AA855" s="618"/>
      <c r="AB855" s="618"/>
    </row>
    <row r="856" spans="1:28">
      <c r="A856" s="618"/>
      <c r="B856" s="618"/>
      <c r="C856" s="618"/>
      <c r="D856" s="644"/>
      <c r="E856" s="618"/>
      <c r="F856" s="618"/>
      <c r="G856" s="618"/>
      <c r="H856" s="618"/>
      <c r="I856" s="618"/>
      <c r="J856" s="618"/>
      <c r="K856" s="618"/>
      <c r="L856" s="618"/>
      <c r="M856" s="618"/>
      <c r="N856" s="618"/>
      <c r="O856" s="618"/>
      <c r="P856" s="618"/>
      <c r="Q856" s="618"/>
      <c r="R856" s="618"/>
      <c r="S856" s="618"/>
      <c r="T856" s="618"/>
      <c r="U856" s="618"/>
      <c r="V856" s="618"/>
      <c r="W856" s="618"/>
      <c r="X856" s="618"/>
      <c r="Y856" s="618"/>
      <c r="Z856" s="618"/>
      <c r="AA856" s="618"/>
      <c r="AB856" s="618"/>
    </row>
    <row r="857" spans="1:28">
      <c r="A857" s="618"/>
      <c r="B857" s="618"/>
      <c r="C857" s="618"/>
      <c r="D857" s="644"/>
      <c r="E857" s="618"/>
      <c r="F857" s="618"/>
      <c r="G857" s="618"/>
      <c r="H857" s="618"/>
      <c r="I857" s="618"/>
      <c r="J857" s="618"/>
      <c r="K857" s="618"/>
      <c r="L857" s="618"/>
      <c r="M857" s="618"/>
      <c r="N857" s="618"/>
      <c r="O857" s="618"/>
      <c r="P857" s="618"/>
      <c r="Q857" s="618"/>
      <c r="R857" s="618"/>
      <c r="S857" s="618"/>
      <c r="T857" s="618"/>
      <c r="U857" s="618"/>
      <c r="V857" s="618"/>
      <c r="W857" s="618"/>
      <c r="X857" s="618"/>
      <c r="Y857" s="618"/>
      <c r="Z857" s="618"/>
      <c r="AA857" s="618"/>
      <c r="AB857" s="618"/>
    </row>
    <row r="858" spans="1:28">
      <c r="A858" s="618"/>
      <c r="B858" s="618"/>
      <c r="C858" s="618"/>
      <c r="D858" s="644"/>
      <c r="E858" s="618"/>
      <c r="F858" s="618"/>
      <c r="G858" s="618"/>
      <c r="H858" s="618"/>
      <c r="I858" s="618"/>
      <c r="J858" s="618"/>
      <c r="K858" s="618"/>
      <c r="L858" s="618"/>
      <c r="M858" s="618"/>
      <c r="N858" s="618"/>
      <c r="O858" s="618"/>
      <c r="P858" s="618"/>
      <c r="Q858" s="618"/>
      <c r="R858" s="618"/>
      <c r="S858" s="618"/>
      <c r="T858" s="618"/>
      <c r="U858" s="618"/>
      <c r="V858" s="618"/>
      <c r="W858" s="618"/>
      <c r="X858" s="618"/>
      <c r="Y858" s="618"/>
      <c r="Z858" s="618"/>
      <c r="AA858" s="618"/>
      <c r="AB858" s="618"/>
    </row>
    <row r="859" spans="1:28">
      <c r="A859" s="618"/>
      <c r="B859" s="618"/>
      <c r="C859" s="618"/>
      <c r="D859" s="644"/>
      <c r="E859" s="618"/>
      <c r="F859" s="618"/>
      <c r="G859" s="618"/>
      <c r="H859" s="618"/>
      <c r="I859" s="618"/>
      <c r="J859" s="618"/>
      <c r="K859" s="618"/>
      <c r="L859" s="618"/>
      <c r="M859" s="618"/>
      <c r="N859" s="618"/>
      <c r="O859" s="618"/>
      <c r="P859" s="618"/>
      <c r="Q859" s="618"/>
      <c r="R859" s="618"/>
      <c r="S859" s="618"/>
      <c r="T859" s="618"/>
      <c r="U859" s="618"/>
      <c r="V859" s="618"/>
      <c r="W859" s="618"/>
      <c r="X859" s="618"/>
      <c r="Y859" s="618"/>
      <c r="Z859" s="618"/>
      <c r="AA859" s="618"/>
      <c r="AB859" s="618"/>
    </row>
    <row r="860" spans="1:28">
      <c r="A860" s="618"/>
      <c r="B860" s="618"/>
      <c r="C860" s="618"/>
      <c r="D860" s="644"/>
      <c r="E860" s="618"/>
      <c r="F860" s="618"/>
      <c r="G860" s="618"/>
      <c r="H860" s="618"/>
      <c r="I860" s="618"/>
      <c r="J860" s="618"/>
      <c r="K860" s="618"/>
      <c r="L860" s="618"/>
      <c r="M860" s="618"/>
      <c r="N860" s="618"/>
      <c r="O860" s="618"/>
      <c r="P860" s="618"/>
      <c r="Q860" s="618"/>
      <c r="R860" s="618"/>
      <c r="S860" s="618"/>
      <c r="T860" s="618"/>
      <c r="U860" s="618"/>
      <c r="V860" s="618"/>
      <c r="W860" s="618"/>
      <c r="X860" s="618"/>
      <c r="Y860" s="618"/>
      <c r="Z860" s="618"/>
      <c r="AA860" s="618"/>
      <c r="AB860" s="618"/>
    </row>
    <row r="861" spans="1:28">
      <c r="A861" s="618"/>
      <c r="B861" s="618"/>
      <c r="C861" s="618"/>
      <c r="D861" s="644"/>
      <c r="E861" s="618"/>
      <c r="F861" s="618"/>
      <c r="G861" s="618"/>
      <c r="H861" s="618"/>
      <c r="I861" s="618"/>
      <c r="J861" s="618"/>
      <c r="K861" s="618"/>
      <c r="L861" s="618"/>
      <c r="M861" s="618"/>
      <c r="N861" s="618"/>
      <c r="O861" s="618"/>
      <c r="P861" s="618"/>
      <c r="Q861" s="618"/>
      <c r="R861" s="618"/>
      <c r="S861" s="618"/>
      <c r="T861" s="618"/>
      <c r="U861" s="618"/>
      <c r="V861" s="618"/>
      <c r="W861" s="618"/>
      <c r="X861" s="618"/>
      <c r="Y861" s="618"/>
      <c r="Z861" s="618"/>
      <c r="AA861" s="618"/>
      <c r="AB861" s="618"/>
    </row>
    <row r="862" spans="1:28">
      <c r="A862" s="618"/>
      <c r="B862" s="618"/>
      <c r="C862" s="618"/>
      <c r="D862" s="644"/>
      <c r="E862" s="618"/>
      <c r="F862" s="618"/>
      <c r="G862" s="618"/>
      <c r="H862" s="618"/>
      <c r="I862" s="618"/>
      <c r="J862" s="618"/>
      <c r="K862" s="618"/>
      <c r="L862" s="618"/>
      <c r="M862" s="618"/>
      <c r="N862" s="618"/>
      <c r="O862" s="618"/>
      <c r="P862" s="618"/>
      <c r="Q862" s="618"/>
      <c r="R862" s="618"/>
      <c r="S862" s="618"/>
      <c r="T862" s="618"/>
      <c r="U862" s="618"/>
      <c r="V862" s="618"/>
      <c r="W862" s="618"/>
      <c r="X862" s="618"/>
      <c r="Y862" s="618"/>
      <c r="Z862" s="618"/>
      <c r="AA862" s="618"/>
      <c r="AB862" s="618"/>
    </row>
    <row r="863" spans="1:28">
      <c r="A863" s="618"/>
      <c r="B863" s="618"/>
      <c r="C863" s="618"/>
      <c r="D863" s="644"/>
      <c r="E863" s="618"/>
      <c r="F863" s="618"/>
      <c r="G863" s="618"/>
      <c r="H863" s="618"/>
      <c r="I863" s="618"/>
      <c r="J863" s="618"/>
      <c r="K863" s="618"/>
      <c r="L863" s="618"/>
      <c r="M863" s="618"/>
      <c r="N863" s="618"/>
      <c r="O863" s="618"/>
      <c r="P863" s="618"/>
      <c r="Q863" s="618"/>
      <c r="R863" s="618"/>
      <c r="S863" s="618"/>
      <c r="T863" s="618"/>
      <c r="U863" s="618"/>
      <c r="V863" s="618"/>
      <c r="W863" s="618"/>
      <c r="X863" s="618"/>
      <c r="Y863" s="618"/>
      <c r="Z863" s="618"/>
      <c r="AA863" s="618"/>
      <c r="AB863" s="618"/>
    </row>
    <row r="864" spans="1:28">
      <c r="A864" s="618"/>
      <c r="B864" s="618"/>
      <c r="C864" s="618"/>
      <c r="D864" s="644"/>
      <c r="E864" s="618"/>
      <c r="F864" s="618"/>
      <c r="G864" s="618"/>
      <c r="H864" s="618"/>
      <c r="I864" s="618"/>
      <c r="J864" s="618"/>
      <c r="K864" s="618"/>
      <c r="L864" s="618"/>
      <c r="M864" s="618"/>
      <c r="N864" s="618"/>
      <c r="O864" s="618"/>
      <c r="P864" s="618"/>
      <c r="Q864" s="618"/>
      <c r="R864" s="618"/>
      <c r="S864" s="618"/>
      <c r="T864" s="618"/>
      <c r="U864" s="618"/>
      <c r="V864" s="618"/>
      <c r="W864" s="618"/>
      <c r="X864" s="618"/>
      <c r="Y864" s="618"/>
      <c r="Z864" s="618"/>
      <c r="AA864" s="618"/>
      <c r="AB864" s="618"/>
    </row>
    <row r="865" spans="1:28">
      <c r="A865" s="618"/>
      <c r="B865" s="618"/>
      <c r="C865" s="618"/>
      <c r="D865" s="644"/>
      <c r="E865" s="618"/>
      <c r="F865" s="618"/>
      <c r="G865" s="618"/>
      <c r="H865" s="618"/>
      <c r="I865" s="618"/>
      <c r="J865" s="618"/>
      <c r="K865" s="618"/>
      <c r="L865" s="618"/>
      <c r="M865" s="618"/>
      <c r="N865" s="618"/>
      <c r="O865" s="618"/>
      <c r="P865" s="618"/>
      <c r="Q865" s="618"/>
      <c r="R865" s="618"/>
      <c r="S865" s="618"/>
      <c r="T865" s="618"/>
      <c r="U865" s="618"/>
      <c r="V865" s="618"/>
      <c r="W865" s="618"/>
      <c r="X865" s="618"/>
      <c r="Y865" s="618"/>
      <c r="Z865" s="618"/>
      <c r="AA865" s="618"/>
      <c r="AB865" s="618"/>
    </row>
    <row r="866" spans="1:28">
      <c r="A866" s="618"/>
      <c r="B866" s="618"/>
      <c r="C866" s="618"/>
      <c r="D866" s="644"/>
      <c r="E866" s="618"/>
      <c r="F866" s="618"/>
      <c r="G866" s="618"/>
      <c r="H866" s="618"/>
      <c r="I866" s="618"/>
      <c r="J866" s="618"/>
      <c r="K866" s="618"/>
      <c r="L866" s="618"/>
      <c r="M866" s="618"/>
      <c r="N866" s="618"/>
      <c r="O866" s="618"/>
      <c r="P866" s="618"/>
      <c r="Q866" s="618"/>
      <c r="R866" s="618"/>
      <c r="S866" s="618"/>
      <c r="T866" s="618"/>
      <c r="U866" s="618"/>
      <c r="V866" s="618"/>
      <c r="W866" s="618"/>
      <c r="X866" s="618"/>
      <c r="Y866" s="618"/>
      <c r="Z866" s="618"/>
      <c r="AA866" s="618"/>
      <c r="AB866" s="618"/>
    </row>
    <row r="867" spans="1:28">
      <c r="A867" s="618"/>
      <c r="B867" s="618"/>
      <c r="C867" s="618"/>
      <c r="D867" s="644"/>
      <c r="E867" s="618"/>
      <c r="F867" s="618"/>
      <c r="G867" s="618"/>
      <c r="H867" s="618"/>
      <c r="I867" s="618"/>
      <c r="J867" s="618"/>
      <c r="K867" s="618"/>
      <c r="L867" s="618"/>
      <c r="M867" s="618"/>
      <c r="N867" s="618"/>
      <c r="O867" s="618"/>
      <c r="P867" s="618"/>
      <c r="Q867" s="618"/>
      <c r="R867" s="618"/>
      <c r="S867" s="618"/>
      <c r="T867" s="618"/>
      <c r="U867" s="618"/>
      <c r="V867" s="618"/>
      <c r="W867" s="618"/>
      <c r="X867" s="618"/>
      <c r="Y867" s="618"/>
      <c r="Z867" s="618"/>
      <c r="AA867" s="618"/>
      <c r="AB867" s="618"/>
    </row>
    <row r="868" spans="1:28">
      <c r="A868" s="618"/>
      <c r="B868" s="618"/>
      <c r="C868" s="618"/>
      <c r="D868" s="644"/>
      <c r="E868" s="618"/>
      <c r="F868" s="618"/>
      <c r="G868" s="618"/>
      <c r="H868" s="618"/>
      <c r="I868" s="618"/>
      <c r="J868" s="618"/>
      <c r="K868" s="618"/>
      <c r="L868" s="618"/>
      <c r="M868" s="618"/>
      <c r="N868" s="618"/>
      <c r="O868" s="618"/>
      <c r="P868" s="618"/>
      <c r="Q868" s="618"/>
      <c r="R868" s="618"/>
      <c r="S868" s="618"/>
      <c r="T868" s="618"/>
      <c r="U868" s="618"/>
      <c r="V868" s="618"/>
      <c r="W868" s="618"/>
      <c r="X868" s="618"/>
      <c r="Y868" s="618"/>
      <c r="Z868" s="618"/>
      <c r="AA868" s="618"/>
      <c r="AB868" s="618"/>
    </row>
    <row r="869" spans="1:28">
      <c r="A869" s="618"/>
      <c r="B869" s="618"/>
      <c r="C869" s="618"/>
      <c r="D869" s="644"/>
      <c r="E869" s="618"/>
      <c r="F869" s="618"/>
      <c r="G869" s="618"/>
      <c r="H869" s="618"/>
      <c r="I869" s="618"/>
      <c r="J869" s="618"/>
      <c r="K869" s="618"/>
      <c r="L869" s="618"/>
      <c r="M869" s="618"/>
      <c r="N869" s="618"/>
      <c r="O869" s="618"/>
      <c r="P869" s="618"/>
      <c r="Q869" s="618"/>
      <c r="R869" s="618"/>
      <c r="S869" s="618"/>
      <c r="T869" s="618"/>
      <c r="U869" s="618"/>
      <c r="V869" s="618"/>
      <c r="W869" s="618"/>
      <c r="X869" s="618"/>
      <c r="Y869" s="618"/>
      <c r="Z869" s="618"/>
      <c r="AA869" s="618"/>
      <c r="AB869" s="618"/>
    </row>
    <row r="870" spans="1:28">
      <c r="A870" s="618"/>
      <c r="B870" s="618"/>
      <c r="C870" s="618"/>
      <c r="D870" s="644"/>
      <c r="E870" s="618"/>
      <c r="F870" s="618"/>
      <c r="G870" s="618"/>
      <c r="H870" s="618"/>
      <c r="I870" s="618"/>
      <c r="J870" s="618"/>
      <c r="K870" s="618"/>
      <c r="L870" s="618"/>
      <c r="M870" s="618"/>
      <c r="N870" s="618"/>
      <c r="O870" s="618"/>
      <c r="P870" s="618"/>
      <c r="Q870" s="618"/>
      <c r="R870" s="618"/>
      <c r="S870" s="618"/>
      <c r="T870" s="618"/>
      <c r="U870" s="618"/>
      <c r="V870" s="618"/>
      <c r="W870" s="618"/>
      <c r="X870" s="618"/>
      <c r="Y870" s="618"/>
      <c r="Z870" s="618"/>
      <c r="AA870" s="618"/>
      <c r="AB870" s="618"/>
    </row>
    <row r="871" spans="1:28">
      <c r="A871" s="618"/>
      <c r="B871" s="618"/>
      <c r="C871" s="618"/>
      <c r="D871" s="644"/>
      <c r="E871" s="618"/>
      <c r="F871" s="618"/>
      <c r="G871" s="618"/>
      <c r="H871" s="618"/>
      <c r="I871" s="618"/>
      <c r="J871" s="618"/>
      <c r="K871" s="618"/>
      <c r="L871" s="618"/>
      <c r="M871" s="618"/>
      <c r="N871" s="618"/>
      <c r="O871" s="618"/>
      <c r="P871" s="618"/>
      <c r="Q871" s="618"/>
      <c r="R871" s="618"/>
      <c r="S871" s="618"/>
      <c r="T871" s="618"/>
      <c r="U871" s="618"/>
      <c r="V871" s="618"/>
      <c r="W871" s="618"/>
      <c r="X871" s="618"/>
      <c r="Y871" s="618"/>
      <c r="Z871" s="618"/>
      <c r="AA871" s="618"/>
      <c r="AB871" s="618"/>
    </row>
    <row r="872" spans="1:28">
      <c r="A872" s="618"/>
      <c r="B872" s="618"/>
      <c r="C872" s="618"/>
      <c r="D872" s="644"/>
      <c r="E872" s="618"/>
      <c r="F872" s="618"/>
      <c r="G872" s="618"/>
      <c r="H872" s="618"/>
      <c r="I872" s="618"/>
      <c r="J872" s="618"/>
      <c r="K872" s="618"/>
      <c r="L872" s="618"/>
      <c r="M872" s="618"/>
      <c r="N872" s="618"/>
      <c r="O872" s="618"/>
      <c r="P872" s="618"/>
      <c r="Q872" s="618"/>
      <c r="R872" s="618"/>
      <c r="S872" s="618"/>
      <c r="T872" s="618"/>
      <c r="U872" s="618"/>
      <c r="V872" s="618"/>
      <c r="W872" s="618"/>
      <c r="X872" s="618"/>
      <c r="Y872" s="618"/>
      <c r="Z872" s="618"/>
      <c r="AA872" s="618"/>
      <c r="AB872" s="618"/>
    </row>
    <row r="873" spans="1:28">
      <c r="A873" s="618"/>
      <c r="B873" s="618"/>
      <c r="C873" s="618"/>
      <c r="D873" s="644"/>
      <c r="E873" s="618"/>
      <c r="F873" s="618"/>
      <c r="G873" s="618"/>
      <c r="H873" s="618"/>
      <c r="I873" s="618"/>
      <c r="J873" s="618"/>
      <c r="K873" s="618"/>
      <c r="L873" s="618"/>
      <c r="M873" s="618"/>
      <c r="N873" s="618"/>
      <c r="O873" s="618"/>
      <c r="P873" s="618"/>
      <c r="Q873" s="618"/>
      <c r="R873" s="618"/>
      <c r="S873" s="618"/>
      <c r="T873" s="618"/>
      <c r="U873" s="618"/>
      <c r="V873" s="618"/>
      <c r="W873" s="618"/>
      <c r="X873" s="618"/>
      <c r="Y873" s="618"/>
      <c r="Z873" s="618"/>
      <c r="AA873" s="618"/>
      <c r="AB873" s="618"/>
    </row>
    <row r="874" spans="1:28">
      <c r="A874" s="618"/>
      <c r="B874" s="618"/>
      <c r="C874" s="618"/>
      <c r="D874" s="644"/>
      <c r="E874" s="618"/>
      <c r="F874" s="618"/>
      <c r="G874" s="618"/>
      <c r="H874" s="618"/>
      <c r="I874" s="618"/>
      <c r="J874" s="618"/>
      <c r="K874" s="618"/>
      <c r="L874" s="618"/>
      <c r="M874" s="618"/>
      <c r="N874" s="618"/>
      <c r="O874" s="618"/>
      <c r="P874" s="618"/>
      <c r="Q874" s="618"/>
      <c r="R874" s="618"/>
      <c r="S874" s="618"/>
      <c r="T874" s="618"/>
      <c r="U874" s="618"/>
      <c r="V874" s="618"/>
      <c r="W874" s="618"/>
      <c r="X874" s="618"/>
      <c r="Y874" s="618"/>
      <c r="Z874" s="618"/>
      <c r="AA874" s="618"/>
      <c r="AB874" s="618"/>
    </row>
    <row r="875" spans="1:28">
      <c r="A875" s="618"/>
      <c r="B875" s="618"/>
      <c r="C875" s="618"/>
      <c r="D875" s="644"/>
      <c r="E875" s="618"/>
      <c r="F875" s="618"/>
      <c r="G875" s="618"/>
      <c r="H875" s="618"/>
      <c r="I875" s="618"/>
      <c r="J875" s="618"/>
      <c r="K875" s="618"/>
      <c r="L875" s="618"/>
      <c r="M875" s="618"/>
      <c r="N875" s="618"/>
      <c r="O875" s="618"/>
      <c r="P875" s="618"/>
      <c r="Q875" s="618"/>
      <c r="R875" s="618"/>
      <c r="S875" s="618"/>
      <c r="T875" s="618"/>
      <c r="U875" s="618"/>
      <c r="V875" s="618"/>
      <c r="W875" s="618"/>
      <c r="X875" s="618"/>
      <c r="Y875" s="618"/>
      <c r="Z875" s="618"/>
      <c r="AA875" s="618"/>
      <c r="AB875" s="618"/>
    </row>
    <row r="876" spans="1:28">
      <c r="A876" s="618"/>
      <c r="B876" s="618"/>
      <c r="C876" s="618"/>
      <c r="D876" s="644"/>
      <c r="E876" s="618"/>
      <c r="F876" s="618"/>
      <c r="G876" s="618"/>
      <c r="H876" s="618"/>
      <c r="I876" s="618"/>
      <c r="J876" s="618"/>
      <c r="K876" s="618"/>
      <c r="L876" s="618"/>
      <c r="M876" s="618"/>
      <c r="N876" s="618"/>
      <c r="O876" s="618"/>
      <c r="P876" s="618"/>
      <c r="Q876" s="618"/>
      <c r="R876" s="618"/>
      <c r="S876" s="618"/>
      <c r="T876" s="618"/>
      <c r="U876" s="618"/>
      <c r="V876" s="618"/>
      <c r="W876" s="618"/>
      <c r="X876" s="618"/>
      <c r="Y876" s="618"/>
      <c r="Z876" s="618"/>
      <c r="AA876" s="618"/>
      <c r="AB876" s="618"/>
    </row>
    <row r="877" spans="1:28">
      <c r="A877" s="618"/>
      <c r="B877" s="618"/>
      <c r="C877" s="618"/>
      <c r="D877" s="644"/>
      <c r="E877" s="618"/>
      <c r="F877" s="618"/>
      <c r="G877" s="618"/>
      <c r="H877" s="618"/>
      <c r="I877" s="618"/>
      <c r="J877" s="618"/>
      <c r="K877" s="618"/>
      <c r="L877" s="618"/>
      <c r="M877" s="618"/>
      <c r="N877" s="618"/>
      <c r="O877" s="618"/>
      <c r="P877" s="618"/>
      <c r="Q877" s="618"/>
      <c r="R877" s="618"/>
      <c r="S877" s="618"/>
      <c r="T877" s="618"/>
      <c r="U877" s="618"/>
      <c r="V877" s="618"/>
      <c r="W877" s="618"/>
      <c r="X877" s="618"/>
      <c r="Y877" s="618"/>
      <c r="Z877" s="618"/>
      <c r="AA877" s="618"/>
      <c r="AB877" s="618"/>
    </row>
    <row r="878" spans="1:28">
      <c r="A878" s="618"/>
      <c r="B878" s="618"/>
      <c r="C878" s="618"/>
      <c r="D878" s="644"/>
      <c r="E878" s="618"/>
      <c r="F878" s="618"/>
      <c r="G878" s="618"/>
      <c r="H878" s="618"/>
      <c r="I878" s="618"/>
      <c r="J878" s="618"/>
      <c r="K878" s="618"/>
      <c r="L878" s="618"/>
      <c r="M878" s="618"/>
      <c r="N878" s="618"/>
      <c r="O878" s="618"/>
      <c r="P878" s="618"/>
      <c r="Q878" s="618"/>
      <c r="R878" s="618"/>
      <c r="S878" s="618"/>
      <c r="T878" s="618"/>
      <c r="U878" s="618"/>
      <c r="V878" s="618"/>
      <c r="W878" s="618"/>
      <c r="X878" s="618"/>
      <c r="Y878" s="618"/>
      <c r="Z878" s="618"/>
      <c r="AA878" s="618"/>
      <c r="AB878" s="618"/>
    </row>
    <row r="879" spans="1:28">
      <c r="A879" s="618"/>
      <c r="B879" s="618"/>
      <c r="C879" s="618"/>
      <c r="D879" s="644"/>
      <c r="E879" s="618"/>
      <c r="F879" s="618"/>
      <c r="G879" s="618"/>
      <c r="H879" s="618"/>
      <c r="I879" s="618"/>
      <c r="J879" s="618"/>
      <c r="K879" s="618"/>
      <c r="L879" s="618"/>
      <c r="M879" s="618"/>
      <c r="N879" s="618"/>
      <c r="O879" s="618"/>
      <c r="P879" s="618"/>
      <c r="Q879" s="618"/>
      <c r="R879" s="618"/>
      <c r="S879" s="618"/>
      <c r="T879" s="618"/>
      <c r="U879" s="618"/>
      <c r="V879" s="618"/>
      <c r="W879" s="618"/>
      <c r="X879" s="618"/>
      <c r="Y879" s="618"/>
      <c r="Z879" s="618"/>
      <c r="AA879" s="618"/>
      <c r="AB879" s="618"/>
    </row>
    <row r="880" spans="1:28">
      <c r="A880" s="618"/>
      <c r="B880" s="618"/>
      <c r="C880" s="618"/>
      <c r="D880" s="644"/>
      <c r="E880" s="618"/>
      <c r="F880" s="618"/>
      <c r="G880" s="618"/>
      <c r="H880" s="618"/>
      <c r="I880" s="618"/>
      <c r="J880" s="618"/>
      <c r="K880" s="618"/>
      <c r="L880" s="618"/>
      <c r="M880" s="618"/>
      <c r="N880" s="618"/>
      <c r="O880" s="618"/>
      <c r="P880" s="618"/>
      <c r="Q880" s="618"/>
      <c r="R880" s="618"/>
      <c r="S880" s="618"/>
      <c r="T880" s="618"/>
      <c r="U880" s="618"/>
      <c r="V880" s="618"/>
      <c r="W880" s="618"/>
      <c r="X880" s="618"/>
      <c r="Y880" s="618"/>
      <c r="Z880" s="618"/>
      <c r="AA880" s="618"/>
      <c r="AB880" s="618"/>
    </row>
    <row r="881" spans="1:28">
      <c r="A881" s="618"/>
      <c r="B881" s="618"/>
      <c r="C881" s="618"/>
      <c r="D881" s="644"/>
      <c r="E881" s="618"/>
      <c r="F881" s="618"/>
      <c r="G881" s="618"/>
      <c r="H881" s="618"/>
      <c r="I881" s="618"/>
      <c r="J881" s="618"/>
      <c r="K881" s="618"/>
      <c r="L881" s="618"/>
      <c r="M881" s="618"/>
      <c r="N881" s="618"/>
      <c r="O881" s="618"/>
      <c r="P881" s="618"/>
      <c r="Q881" s="618"/>
      <c r="R881" s="618"/>
      <c r="S881" s="618"/>
      <c r="T881" s="618"/>
      <c r="U881" s="618"/>
      <c r="V881" s="618"/>
      <c r="W881" s="618"/>
      <c r="X881" s="618"/>
      <c r="Y881" s="618"/>
      <c r="Z881" s="618"/>
      <c r="AA881" s="618"/>
      <c r="AB881" s="618"/>
    </row>
    <row r="882" spans="1:28">
      <c r="A882" s="618"/>
      <c r="B882" s="618"/>
      <c r="C882" s="618"/>
      <c r="D882" s="644"/>
      <c r="E882" s="618"/>
      <c r="F882" s="618"/>
      <c r="G882" s="618"/>
      <c r="H882" s="618"/>
      <c r="I882" s="618"/>
      <c r="J882" s="618"/>
      <c r="K882" s="618"/>
      <c r="L882" s="618"/>
      <c r="M882" s="618"/>
      <c r="N882" s="618"/>
      <c r="O882" s="618"/>
      <c r="P882" s="618"/>
      <c r="Q882" s="618"/>
      <c r="R882" s="618"/>
      <c r="S882" s="618"/>
      <c r="T882" s="618"/>
      <c r="U882" s="618"/>
      <c r="V882" s="618"/>
      <c r="W882" s="618"/>
      <c r="X882" s="618"/>
      <c r="Y882" s="618"/>
      <c r="Z882" s="618"/>
      <c r="AA882" s="618"/>
      <c r="AB882" s="618"/>
    </row>
    <row r="883" spans="1:28">
      <c r="A883" s="618"/>
      <c r="B883" s="618"/>
      <c r="C883" s="618"/>
      <c r="D883" s="644"/>
      <c r="E883" s="618"/>
      <c r="F883" s="618"/>
      <c r="G883" s="618"/>
      <c r="H883" s="618"/>
      <c r="I883" s="618"/>
      <c r="J883" s="618"/>
      <c r="K883" s="618"/>
      <c r="L883" s="618"/>
      <c r="M883" s="618"/>
      <c r="N883" s="618"/>
      <c r="O883" s="618"/>
      <c r="P883" s="618"/>
      <c r="Q883" s="618"/>
      <c r="R883" s="618"/>
      <c r="S883" s="618"/>
      <c r="T883" s="618"/>
      <c r="U883" s="618"/>
      <c r="V883" s="618"/>
      <c r="W883" s="618"/>
      <c r="X883" s="618"/>
      <c r="Y883" s="618"/>
      <c r="Z883" s="618"/>
      <c r="AA883" s="618"/>
      <c r="AB883" s="618"/>
    </row>
    <row r="884" spans="1:28">
      <c r="A884" s="618"/>
      <c r="B884" s="618"/>
      <c r="C884" s="618"/>
      <c r="D884" s="644"/>
      <c r="E884" s="618"/>
      <c r="F884" s="618"/>
      <c r="G884" s="618"/>
      <c r="H884" s="618"/>
      <c r="I884" s="618"/>
      <c r="J884" s="618"/>
      <c r="K884" s="618"/>
      <c r="L884" s="618"/>
      <c r="M884" s="618"/>
      <c r="N884" s="618"/>
      <c r="O884" s="618"/>
      <c r="P884" s="618"/>
      <c r="Q884" s="618"/>
      <c r="R884" s="618"/>
      <c r="S884" s="618"/>
      <c r="T884" s="618"/>
      <c r="U884" s="618"/>
      <c r="V884" s="618"/>
      <c r="W884" s="618"/>
      <c r="X884" s="618"/>
      <c r="Y884" s="618"/>
      <c r="Z884" s="618"/>
      <c r="AA884" s="618"/>
      <c r="AB884" s="618"/>
    </row>
    <row r="885" spans="1:28">
      <c r="A885" s="618"/>
      <c r="B885" s="618"/>
      <c r="C885" s="618"/>
      <c r="D885" s="644"/>
      <c r="E885" s="618"/>
      <c r="F885" s="618"/>
      <c r="G885" s="618"/>
      <c r="H885" s="618"/>
      <c r="I885" s="618"/>
      <c r="J885" s="618"/>
      <c r="K885" s="618"/>
      <c r="L885" s="618"/>
      <c r="M885" s="618"/>
      <c r="N885" s="618"/>
      <c r="O885" s="618"/>
      <c r="P885" s="618"/>
      <c r="Q885" s="618"/>
      <c r="R885" s="618"/>
      <c r="S885" s="618"/>
      <c r="T885" s="618"/>
      <c r="U885" s="618"/>
      <c r="V885" s="618"/>
      <c r="W885" s="618"/>
      <c r="X885" s="618"/>
      <c r="Y885" s="618"/>
      <c r="Z885" s="618"/>
      <c r="AA885" s="618"/>
      <c r="AB885" s="618"/>
    </row>
    <row r="886" spans="1:28">
      <c r="A886" s="618"/>
      <c r="B886" s="618"/>
      <c r="C886" s="618"/>
      <c r="D886" s="644"/>
      <c r="E886" s="618"/>
      <c r="F886" s="618"/>
      <c r="G886" s="618"/>
      <c r="H886" s="618"/>
      <c r="I886" s="618"/>
      <c r="J886" s="618"/>
      <c r="K886" s="618"/>
      <c r="L886" s="618"/>
      <c r="M886" s="618"/>
      <c r="N886" s="618"/>
      <c r="O886" s="618"/>
      <c r="P886" s="618"/>
      <c r="Q886" s="618"/>
      <c r="R886" s="618"/>
      <c r="S886" s="618"/>
      <c r="T886" s="618"/>
      <c r="U886" s="618"/>
      <c r="V886" s="618"/>
      <c r="W886" s="618"/>
      <c r="X886" s="618"/>
      <c r="Y886" s="618"/>
      <c r="Z886" s="618"/>
      <c r="AA886" s="618"/>
      <c r="AB886" s="618"/>
    </row>
    <row r="887" spans="1:28">
      <c r="A887" s="618"/>
      <c r="B887" s="618"/>
      <c r="C887" s="618"/>
      <c r="D887" s="644"/>
      <c r="E887" s="618"/>
      <c r="F887" s="618"/>
      <c r="G887" s="618"/>
      <c r="H887" s="618"/>
      <c r="I887" s="618"/>
      <c r="J887" s="618"/>
      <c r="K887" s="618"/>
      <c r="L887" s="618"/>
      <c r="M887" s="618"/>
      <c r="N887" s="618"/>
      <c r="O887" s="618"/>
      <c r="P887" s="618"/>
      <c r="Q887" s="618"/>
      <c r="R887" s="618"/>
      <c r="S887" s="618"/>
      <c r="T887" s="618"/>
      <c r="U887" s="618"/>
      <c r="V887" s="618"/>
      <c r="W887" s="618"/>
      <c r="X887" s="618"/>
      <c r="Y887" s="618"/>
      <c r="Z887" s="618"/>
      <c r="AA887" s="618"/>
      <c r="AB887" s="618"/>
    </row>
    <row r="888" spans="1:28">
      <c r="A888" s="618"/>
      <c r="B888" s="618"/>
      <c r="C888" s="618"/>
      <c r="D888" s="644"/>
      <c r="E888" s="618"/>
      <c r="F888" s="618"/>
      <c r="G888" s="618"/>
      <c r="H888" s="618"/>
      <c r="I888" s="618"/>
      <c r="J888" s="618"/>
      <c r="K888" s="618"/>
      <c r="L888" s="618"/>
      <c r="M888" s="618"/>
      <c r="N888" s="618"/>
      <c r="O888" s="618"/>
      <c r="P888" s="618"/>
      <c r="Q888" s="618"/>
      <c r="R888" s="618"/>
      <c r="S888" s="618"/>
      <c r="T888" s="618"/>
      <c r="U888" s="618"/>
      <c r="V888" s="618"/>
      <c r="W888" s="618"/>
      <c r="X888" s="618"/>
      <c r="Y888" s="618"/>
      <c r="Z888" s="618"/>
      <c r="AA888" s="618"/>
      <c r="AB888" s="618"/>
    </row>
    <row r="889" spans="1:28">
      <c r="A889" s="618"/>
      <c r="B889" s="618"/>
      <c r="C889" s="618"/>
      <c r="D889" s="644"/>
      <c r="E889" s="618"/>
      <c r="F889" s="618"/>
      <c r="G889" s="618"/>
      <c r="H889" s="618"/>
      <c r="I889" s="618"/>
      <c r="J889" s="618"/>
      <c r="K889" s="618"/>
      <c r="L889" s="618"/>
      <c r="M889" s="618"/>
      <c r="N889" s="618"/>
      <c r="O889" s="618"/>
      <c r="P889" s="618"/>
      <c r="Q889" s="618"/>
      <c r="R889" s="618"/>
      <c r="S889" s="618"/>
      <c r="T889" s="618"/>
      <c r="U889" s="618"/>
      <c r="V889" s="618"/>
      <c r="W889" s="618"/>
      <c r="X889" s="618"/>
      <c r="Y889" s="618"/>
      <c r="Z889" s="618"/>
      <c r="AA889" s="618"/>
      <c r="AB889" s="618"/>
    </row>
    <row r="890" spans="1:28">
      <c r="A890" s="618"/>
      <c r="B890" s="618"/>
      <c r="C890" s="618"/>
      <c r="D890" s="644"/>
      <c r="E890" s="618"/>
      <c r="F890" s="618"/>
      <c r="G890" s="618"/>
      <c r="H890" s="618"/>
      <c r="I890" s="618"/>
      <c r="J890" s="618"/>
      <c r="K890" s="618"/>
      <c r="L890" s="618"/>
      <c r="M890" s="618"/>
      <c r="N890" s="618"/>
      <c r="O890" s="618"/>
      <c r="P890" s="618"/>
      <c r="Q890" s="618"/>
      <c r="R890" s="618"/>
      <c r="S890" s="618"/>
      <c r="T890" s="618"/>
      <c r="U890" s="618"/>
      <c r="V890" s="618"/>
      <c r="W890" s="618"/>
      <c r="X890" s="618"/>
      <c r="Y890" s="618"/>
      <c r="Z890" s="618"/>
      <c r="AA890" s="618"/>
      <c r="AB890" s="618"/>
    </row>
    <row r="891" spans="1:28">
      <c r="A891" s="618"/>
      <c r="B891" s="618"/>
      <c r="C891" s="618"/>
      <c r="D891" s="644"/>
      <c r="E891" s="618"/>
      <c r="F891" s="618"/>
      <c r="G891" s="618"/>
      <c r="H891" s="618"/>
      <c r="I891" s="618"/>
      <c r="J891" s="618"/>
      <c r="K891" s="618"/>
      <c r="L891" s="618"/>
      <c r="M891" s="618"/>
      <c r="N891" s="618"/>
      <c r="O891" s="618"/>
      <c r="P891" s="618"/>
      <c r="Q891" s="618"/>
      <c r="R891" s="618"/>
      <c r="S891" s="618"/>
      <c r="T891" s="618"/>
      <c r="U891" s="618"/>
      <c r="V891" s="618"/>
      <c r="W891" s="618"/>
      <c r="X891" s="618"/>
      <c r="Y891" s="618"/>
      <c r="Z891" s="618"/>
      <c r="AA891" s="618"/>
      <c r="AB891" s="618"/>
    </row>
    <row r="892" spans="1:28">
      <c r="A892" s="618"/>
      <c r="B892" s="618"/>
      <c r="C892" s="618"/>
      <c r="D892" s="644"/>
      <c r="E892" s="618"/>
      <c r="F892" s="618"/>
      <c r="G892" s="618"/>
      <c r="H892" s="618"/>
      <c r="I892" s="618"/>
      <c r="J892" s="618"/>
      <c r="K892" s="618"/>
      <c r="L892" s="618"/>
      <c r="M892" s="618"/>
      <c r="N892" s="618"/>
      <c r="O892" s="618"/>
      <c r="P892" s="618"/>
      <c r="Q892" s="618"/>
      <c r="R892" s="618"/>
      <c r="S892" s="618"/>
      <c r="T892" s="618"/>
      <c r="U892" s="618"/>
      <c r="V892" s="618"/>
      <c r="W892" s="618"/>
      <c r="X892" s="618"/>
      <c r="Y892" s="618"/>
      <c r="Z892" s="618"/>
      <c r="AA892" s="618"/>
      <c r="AB892" s="618"/>
    </row>
    <row r="893" spans="1:28">
      <c r="A893" s="618"/>
      <c r="B893" s="618"/>
      <c r="C893" s="618"/>
      <c r="D893" s="644"/>
      <c r="E893" s="618"/>
      <c r="F893" s="618"/>
      <c r="G893" s="618"/>
      <c r="H893" s="618"/>
      <c r="I893" s="618"/>
      <c r="J893" s="618"/>
      <c r="K893" s="618"/>
      <c r="L893" s="618"/>
      <c r="M893" s="618"/>
      <c r="N893" s="618"/>
      <c r="O893" s="618"/>
      <c r="P893" s="618"/>
      <c r="Q893" s="618"/>
      <c r="R893" s="618"/>
      <c r="S893" s="618"/>
      <c r="T893" s="618"/>
      <c r="U893" s="618"/>
      <c r="V893" s="618"/>
      <c r="W893" s="618"/>
      <c r="X893" s="618"/>
      <c r="Y893" s="618"/>
      <c r="Z893" s="618"/>
      <c r="AA893" s="618"/>
      <c r="AB893" s="618"/>
    </row>
    <row r="894" spans="1:28">
      <c r="A894" s="618"/>
      <c r="B894" s="618"/>
      <c r="C894" s="618"/>
      <c r="D894" s="644"/>
      <c r="E894" s="618"/>
      <c r="F894" s="618"/>
      <c r="G894" s="618"/>
      <c r="H894" s="618"/>
      <c r="I894" s="618"/>
      <c r="J894" s="618"/>
      <c r="K894" s="618"/>
      <c r="L894" s="618"/>
      <c r="M894" s="618"/>
      <c r="N894" s="618"/>
      <c r="O894" s="618"/>
      <c r="P894" s="618"/>
      <c r="Q894" s="618"/>
      <c r="R894" s="618"/>
      <c r="S894" s="618"/>
      <c r="T894" s="618"/>
      <c r="U894" s="618"/>
      <c r="V894" s="618"/>
      <c r="W894" s="618"/>
      <c r="X894" s="618"/>
      <c r="Y894" s="618"/>
      <c r="Z894" s="618"/>
      <c r="AA894" s="618"/>
      <c r="AB894" s="618"/>
    </row>
    <row r="895" spans="1:28">
      <c r="A895" s="618"/>
      <c r="B895" s="618"/>
      <c r="C895" s="618"/>
      <c r="D895" s="644"/>
      <c r="E895" s="618"/>
      <c r="F895" s="618"/>
      <c r="G895" s="618"/>
      <c r="H895" s="618"/>
      <c r="I895" s="618"/>
      <c r="J895" s="618"/>
      <c r="K895" s="618"/>
      <c r="L895" s="618"/>
      <c r="M895" s="618"/>
      <c r="N895" s="618"/>
      <c r="O895" s="618"/>
      <c r="P895" s="618"/>
      <c r="Q895" s="618"/>
      <c r="R895" s="618"/>
      <c r="S895" s="618"/>
      <c r="T895" s="618"/>
      <c r="U895" s="618"/>
      <c r="V895" s="618"/>
      <c r="W895" s="618"/>
      <c r="X895" s="618"/>
      <c r="Y895" s="618"/>
      <c r="Z895" s="618"/>
      <c r="AA895" s="618"/>
      <c r="AB895" s="618"/>
    </row>
    <row r="896" spans="1:28">
      <c r="A896" s="618"/>
      <c r="B896" s="618"/>
      <c r="C896" s="618"/>
      <c r="D896" s="644"/>
      <c r="E896" s="618"/>
      <c r="F896" s="618"/>
      <c r="G896" s="618"/>
      <c r="H896" s="618"/>
      <c r="I896" s="618"/>
      <c r="J896" s="618"/>
      <c r="K896" s="618"/>
      <c r="L896" s="618"/>
      <c r="M896" s="618"/>
      <c r="N896" s="618"/>
      <c r="O896" s="618"/>
      <c r="P896" s="618"/>
      <c r="Q896" s="618"/>
      <c r="R896" s="618"/>
      <c r="S896" s="618"/>
      <c r="T896" s="618"/>
      <c r="U896" s="618"/>
      <c r="V896" s="618"/>
      <c r="W896" s="618"/>
      <c r="X896" s="618"/>
      <c r="Y896" s="618"/>
      <c r="Z896" s="618"/>
      <c r="AA896" s="618"/>
      <c r="AB896" s="618"/>
    </row>
    <row r="897" spans="1:28">
      <c r="A897" s="618"/>
      <c r="B897" s="618"/>
      <c r="C897" s="618"/>
      <c r="D897" s="644"/>
      <c r="E897" s="618"/>
      <c r="F897" s="618"/>
      <c r="G897" s="618"/>
      <c r="H897" s="618"/>
      <c r="I897" s="618"/>
      <c r="J897" s="618"/>
      <c r="K897" s="618"/>
      <c r="L897" s="618"/>
      <c r="M897" s="618"/>
      <c r="N897" s="618"/>
      <c r="O897" s="618"/>
      <c r="P897" s="618"/>
      <c r="Q897" s="618"/>
      <c r="R897" s="618"/>
      <c r="S897" s="618"/>
      <c r="T897" s="618"/>
      <c r="U897" s="618"/>
      <c r="V897" s="618"/>
      <c r="W897" s="618"/>
      <c r="X897" s="618"/>
      <c r="Y897" s="618"/>
      <c r="Z897" s="618"/>
      <c r="AA897" s="618"/>
      <c r="AB897" s="618"/>
    </row>
    <row r="898" spans="1:28">
      <c r="A898" s="618"/>
      <c r="B898" s="618"/>
      <c r="C898" s="618"/>
      <c r="D898" s="644"/>
      <c r="E898" s="618"/>
      <c r="F898" s="618"/>
      <c r="G898" s="618"/>
      <c r="H898" s="618"/>
      <c r="I898" s="618"/>
      <c r="J898" s="618"/>
      <c r="K898" s="618"/>
      <c r="L898" s="618"/>
      <c r="M898" s="618"/>
      <c r="N898" s="618"/>
      <c r="O898" s="618"/>
      <c r="P898" s="618"/>
      <c r="Q898" s="618"/>
      <c r="R898" s="618"/>
      <c r="S898" s="618"/>
      <c r="T898" s="618"/>
      <c r="U898" s="618"/>
      <c r="V898" s="618"/>
      <c r="W898" s="618"/>
      <c r="X898" s="618"/>
      <c r="Y898" s="618"/>
      <c r="Z898" s="618"/>
      <c r="AA898" s="618"/>
      <c r="AB898" s="618"/>
    </row>
    <row r="899" spans="1:28">
      <c r="A899" s="618"/>
      <c r="B899" s="618"/>
      <c r="C899" s="618"/>
      <c r="D899" s="644"/>
      <c r="E899" s="618"/>
      <c r="F899" s="618"/>
      <c r="G899" s="618"/>
      <c r="H899" s="618"/>
      <c r="I899" s="618"/>
      <c r="J899" s="618"/>
      <c r="K899" s="618"/>
      <c r="L899" s="618"/>
      <c r="M899" s="618"/>
      <c r="N899" s="618"/>
      <c r="O899" s="618"/>
      <c r="P899" s="618"/>
      <c r="Q899" s="618"/>
      <c r="R899" s="618"/>
      <c r="S899" s="618"/>
      <c r="T899" s="618"/>
      <c r="U899" s="618"/>
      <c r="V899" s="618"/>
      <c r="W899" s="618"/>
      <c r="X899" s="618"/>
      <c r="Y899" s="618"/>
      <c r="Z899" s="618"/>
      <c r="AA899" s="618"/>
      <c r="AB899" s="618"/>
    </row>
    <row r="900" spans="1:28">
      <c r="A900" s="618"/>
      <c r="B900" s="618"/>
      <c r="C900" s="618"/>
      <c r="D900" s="644"/>
      <c r="E900" s="618"/>
      <c r="F900" s="618"/>
      <c r="G900" s="618"/>
      <c r="H900" s="618"/>
      <c r="I900" s="618"/>
      <c r="J900" s="618"/>
      <c r="K900" s="618"/>
      <c r="L900" s="618"/>
      <c r="M900" s="618"/>
      <c r="N900" s="618"/>
      <c r="O900" s="618"/>
      <c r="P900" s="618"/>
      <c r="Q900" s="618"/>
      <c r="R900" s="618"/>
      <c r="S900" s="618"/>
      <c r="T900" s="618"/>
      <c r="U900" s="618"/>
      <c r="V900" s="618"/>
      <c r="W900" s="618"/>
      <c r="X900" s="618"/>
      <c r="Y900" s="618"/>
      <c r="Z900" s="618"/>
      <c r="AA900" s="618"/>
      <c r="AB900" s="618"/>
    </row>
    <row r="901" spans="1:28">
      <c r="A901" s="618"/>
      <c r="B901" s="618"/>
      <c r="C901" s="618"/>
      <c r="D901" s="644"/>
      <c r="E901" s="618"/>
      <c r="F901" s="618"/>
      <c r="G901" s="618"/>
      <c r="H901" s="618"/>
      <c r="I901" s="618"/>
      <c r="J901" s="618"/>
      <c r="K901" s="618"/>
      <c r="L901" s="618"/>
      <c r="M901" s="618"/>
      <c r="N901" s="618"/>
      <c r="O901" s="618"/>
      <c r="P901" s="618"/>
      <c r="Q901" s="618"/>
      <c r="R901" s="618"/>
      <c r="S901" s="618"/>
      <c r="T901" s="618"/>
      <c r="U901" s="618"/>
      <c r="V901" s="618"/>
      <c r="W901" s="618"/>
      <c r="X901" s="618"/>
      <c r="Y901" s="618"/>
      <c r="Z901" s="618"/>
      <c r="AA901" s="618"/>
      <c r="AB901" s="618"/>
    </row>
    <row r="902" spans="1:28">
      <c r="A902" s="618"/>
      <c r="B902" s="618"/>
      <c r="C902" s="618"/>
      <c r="D902" s="644"/>
      <c r="E902" s="618"/>
      <c r="F902" s="618"/>
      <c r="G902" s="618"/>
      <c r="H902" s="618"/>
      <c r="I902" s="618"/>
      <c r="J902" s="618"/>
      <c r="K902" s="618"/>
      <c r="L902" s="618"/>
      <c r="M902" s="618"/>
      <c r="N902" s="618"/>
      <c r="O902" s="618"/>
      <c r="P902" s="618"/>
      <c r="Q902" s="618"/>
      <c r="R902" s="618"/>
      <c r="S902" s="618"/>
      <c r="T902" s="618"/>
      <c r="U902" s="618"/>
      <c r="V902" s="618"/>
      <c r="W902" s="618"/>
      <c r="X902" s="618"/>
      <c r="Y902" s="618"/>
      <c r="Z902" s="618"/>
      <c r="AA902" s="618"/>
      <c r="AB902" s="618"/>
    </row>
    <row r="903" spans="1:28">
      <c r="A903" s="618"/>
      <c r="B903" s="618"/>
      <c r="C903" s="618"/>
      <c r="D903" s="644"/>
      <c r="E903" s="618"/>
      <c r="F903" s="618"/>
      <c r="G903" s="618"/>
      <c r="H903" s="618"/>
      <c r="I903" s="618"/>
      <c r="J903" s="618"/>
      <c r="K903" s="618"/>
      <c r="L903" s="618"/>
      <c r="M903" s="618"/>
      <c r="N903" s="618"/>
      <c r="O903" s="618"/>
      <c r="P903" s="618"/>
      <c r="Q903" s="618"/>
      <c r="R903" s="618"/>
      <c r="S903" s="618"/>
      <c r="T903" s="618"/>
      <c r="U903" s="618"/>
      <c r="V903" s="618"/>
      <c r="W903" s="618"/>
      <c r="X903" s="618"/>
      <c r="Y903" s="618"/>
      <c r="Z903" s="618"/>
      <c r="AA903" s="618"/>
      <c r="AB903" s="618"/>
    </row>
    <row r="904" spans="1:28">
      <c r="A904" s="618"/>
      <c r="B904" s="618"/>
      <c r="C904" s="618"/>
      <c r="D904" s="644"/>
      <c r="E904" s="618"/>
      <c r="F904" s="618"/>
      <c r="G904" s="618"/>
      <c r="H904" s="618"/>
      <c r="I904" s="618"/>
      <c r="J904" s="618"/>
      <c r="K904" s="618"/>
      <c r="L904" s="618"/>
      <c r="M904" s="618"/>
      <c r="N904" s="618"/>
      <c r="O904" s="618"/>
      <c r="P904" s="618"/>
      <c r="Q904" s="618"/>
      <c r="R904" s="618"/>
      <c r="S904" s="618"/>
      <c r="T904" s="618"/>
      <c r="U904" s="618"/>
      <c r="V904" s="618"/>
      <c r="W904" s="618"/>
      <c r="X904" s="618"/>
      <c r="Y904" s="618"/>
      <c r="Z904" s="618"/>
      <c r="AA904" s="618"/>
      <c r="AB904" s="618"/>
    </row>
    <row r="905" spans="1:28">
      <c r="A905" s="618"/>
      <c r="B905" s="618"/>
      <c r="C905" s="618"/>
      <c r="D905" s="644"/>
      <c r="E905" s="618"/>
      <c r="F905" s="618"/>
      <c r="G905" s="618"/>
      <c r="H905" s="618"/>
      <c r="I905" s="618"/>
      <c r="J905" s="618"/>
      <c r="K905" s="618"/>
      <c r="L905" s="618"/>
      <c r="M905" s="618"/>
      <c r="N905" s="618"/>
      <c r="O905" s="618"/>
      <c r="P905" s="618"/>
      <c r="Q905" s="618"/>
      <c r="R905" s="618"/>
      <c r="S905" s="618"/>
      <c r="T905" s="618"/>
      <c r="U905" s="618"/>
      <c r="V905" s="618"/>
      <c r="W905" s="618"/>
      <c r="X905" s="618"/>
      <c r="Y905" s="618"/>
      <c r="Z905" s="618"/>
      <c r="AA905" s="618"/>
      <c r="AB905" s="618"/>
    </row>
    <row r="906" spans="1:28">
      <c r="A906" s="618"/>
      <c r="B906" s="618"/>
      <c r="C906" s="618"/>
      <c r="D906" s="644"/>
      <c r="E906" s="618"/>
      <c r="F906" s="618"/>
      <c r="G906" s="618"/>
      <c r="H906" s="618"/>
      <c r="I906" s="618"/>
      <c r="J906" s="618"/>
      <c r="K906" s="618"/>
      <c r="L906" s="618"/>
      <c r="M906" s="618"/>
      <c r="N906" s="618"/>
      <c r="O906" s="618"/>
      <c r="P906" s="618"/>
      <c r="Q906" s="618"/>
      <c r="R906" s="618"/>
      <c r="S906" s="618"/>
      <c r="T906" s="618"/>
      <c r="U906" s="618"/>
      <c r="V906" s="618"/>
      <c r="W906" s="618"/>
      <c r="X906" s="618"/>
      <c r="Y906" s="618"/>
      <c r="Z906" s="618"/>
      <c r="AA906" s="618"/>
      <c r="AB906" s="618"/>
    </row>
    <row r="907" spans="1:28">
      <c r="A907" s="618"/>
      <c r="B907" s="618"/>
      <c r="C907" s="618"/>
      <c r="D907" s="644"/>
      <c r="E907" s="618"/>
      <c r="F907" s="618"/>
      <c r="G907" s="618"/>
      <c r="H907" s="618"/>
      <c r="I907" s="618"/>
      <c r="J907" s="618"/>
      <c r="K907" s="618"/>
      <c r="L907" s="618"/>
      <c r="M907" s="618"/>
      <c r="N907" s="618"/>
      <c r="O907" s="618"/>
      <c r="P907" s="618"/>
      <c r="Q907" s="618"/>
      <c r="R907" s="618"/>
      <c r="S907" s="618"/>
      <c r="T907" s="618"/>
      <c r="U907" s="618"/>
      <c r="V907" s="618"/>
      <c r="W907" s="618"/>
      <c r="X907" s="618"/>
      <c r="Y907" s="618"/>
      <c r="Z907" s="618"/>
      <c r="AA907" s="618"/>
      <c r="AB907" s="618"/>
    </row>
    <row r="908" spans="1:28">
      <c r="A908" s="618"/>
      <c r="B908" s="618"/>
      <c r="C908" s="618"/>
      <c r="D908" s="644"/>
      <c r="E908" s="618"/>
      <c r="F908" s="618"/>
      <c r="G908" s="618"/>
      <c r="H908" s="618"/>
      <c r="I908" s="618"/>
      <c r="J908" s="618"/>
      <c r="K908" s="618"/>
      <c r="L908" s="618"/>
      <c r="M908" s="618"/>
      <c r="N908" s="618"/>
      <c r="O908" s="618"/>
      <c r="P908" s="618"/>
      <c r="Q908" s="618"/>
      <c r="R908" s="618"/>
      <c r="S908" s="618"/>
      <c r="T908" s="618"/>
      <c r="U908" s="618"/>
      <c r="V908" s="618"/>
      <c r="W908" s="618"/>
      <c r="X908" s="618"/>
      <c r="Y908" s="618"/>
      <c r="Z908" s="618"/>
      <c r="AA908" s="618"/>
      <c r="AB908" s="618"/>
    </row>
    <row r="909" spans="1:28">
      <c r="A909" s="618"/>
      <c r="B909" s="618"/>
      <c r="C909" s="618"/>
      <c r="D909" s="644"/>
      <c r="E909" s="618"/>
      <c r="F909" s="618"/>
      <c r="G909" s="618"/>
      <c r="H909" s="618"/>
      <c r="I909" s="618"/>
      <c r="J909" s="618"/>
      <c r="K909" s="618"/>
      <c r="L909" s="618"/>
      <c r="M909" s="618"/>
      <c r="N909" s="618"/>
      <c r="O909" s="618"/>
      <c r="P909" s="618"/>
      <c r="Q909" s="618"/>
      <c r="R909" s="618"/>
      <c r="S909" s="618"/>
      <c r="T909" s="618"/>
      <c r="U909" s="618"/>
      <c r="V909" s="618"/>
      <c r="W909" s="618"/>
      <c r="X909" s="618"/>
      <c r="Y909" s="618"/>
      <c r="Z909" s="618"/>
      <c r="AA909" s="618"/>
      <c r="AB909" s="618"/>
    </row>
    <row r="910" spans="1:28">
      <c r="A910" s="618"/>
      <c r="B910" s="618"/>
      <c r="C910" s="618"/>
      <c r="D910" s="644"/>
      <c r="E910" s="618"/>
      <c r="F910" s="618"/>
      <c r="G910" s="618"/>
      <c r="H910" s="618"/>
      <c r="I910" s="618"/>
      <c r="J910" s="618"/>
      <c r="K910" s="618"/>
      <c r="L910" s="618"/>
      <c r="M910" s="618"/>
      <c r="N910" s="618"/>
      <c r="O910" s="618"/>
      <c r="P910" s="618"/>
      <c r="Q910" s="618"/>
      <c r="R910" s="618"/>
      <c r="S910" s="618"/>
      <c r="T910" s="618"/>
      <c r="U910" s="618"/>
      <c r="V910" s="618"/>
      <c r="W910" s="618"/>
      <c r="X910" s="618"/>
      <c r="Y910" s="618"/>
      <c r="Z910" s="618"/>
      <c r="AA910" s="618"/>
      <c r="AB910" s="618"/>
    </row>
    <row r="911" spans="1:28">
      <c r="A911" s="618"/>
      <c r="B911" s="618"/>
      <c r="C911" s="618"/>
      <c r="D911" s="644"/>
      <c r="E911" s="618"/>
      <c r="F911" s="618"/>
      <c r="G911" s="618"/>
      <c r="H911" s="618"/>
      <c r="I911" s="618"/>
      <c r="J911" s="618"/>
      <c r="K911" s="618"/>
      <c r="L911" s="618"/>
      <c r="M911" s="618"/>
      <c r="N911" s="618"/>
      <c r="O911" s="618"/>
      <c r="P911" s="618"/>
      <c r="Q911" s="618"/>
      <c r="R911" s="618"/>
      <c r="S911" s="618"/>
      <c r="T911" s="618"/>
      <c r="U911" s="618"/>
      <c r="V911" s="618"/>
      <c r="W911" s="618"/>
      <c r="X911" s="618"/>
      <c r="Y911" s="618"/>
      <c r="Z911" s="618"/>
      <c r="AA911" s="618"/>
      <c r="AB911" s="618"/>
    </row>
    <row r="912" spans="1:28">
      <c r="A912" s="618"/>
      <c r="B912" s="618"/>
      <c r="C912" s="618"/>
      <c r="D912" s="644"/>
      <c r="E912" s="618"/>
      <c r="F912" s="618"/>
      <c r="G912" s="618"/>
      <c r="H912" s="618"/>
      <c r="I912" s="618"/>
      <c r="J912" s="618"/>
      <c r="K912" s="618"/>
      <c r="L912" s="618"/>
      <c r="M912" s="618"/>
      <c r="N912" s="618"/>
      <c r="O912" s="618"/>
      <c r="P912" s="618"/>
      <c r="Q912" s="618"/>
      <c r="R912" s="618"/>
      <c r="S912" s="618"/>
      <c r="T912" s="618"/>
      <c r="U912" s="618"/>
      <c r="V912" s="618"/>
      <c r="W912" s="618"/>
      <c r="X912" s="618"/>
      <c r="Y912" s="618"/>
      <c r="Z912" s="618"/>
      <c r="AA912" s="618"/>
      <c r="AB912" s="618"/>
    </row>
    <row r="913" spans="1:28">
      <c r="A913" s="618"/>
      <c r="B913" s="618"/>
      <c r="C913" s="618"/>
      <c r="D913" s="644"/>
      <c r="E913" s="618"/>
      <c r="F913" s="618"/>
      <c r="G913" s="618"/>
      <c r="H913" s="618"/>
      <c r="I913" s="618"/>
      <c r="J913" s="618"/>
      <c r="K913" s="618"/>
      <c r="L913" s="618"/>
      <c r="M913" s="618"/>
      <c r="N913" s="618"/>
      <c r="O913" s="618"/>
      <c r="P913" s="618"/>
      <c r="Q913" s="618"/>
      <c r="R913" s="618"/>
      <c r="S913" s="618"/>
      <c r="T913" s="618"/>
      <c r="U913" s="618"/>
      <c r="V913" s="618"/>
      <c r="W913" s="618"/>
      <c r="X913" s="618"/>
      <c r="Y913" s="618"/>
      <c r="Z913" s="618"/>
      <c r="AA913" s="618"/>
      <c r="AB913" s="618"/>
    </row>
    <row r="914" spans="1:28">
      <c r="A914" s="618"/>
      <c r="B914" s="618"/>
      <c r="C914" s="618"/>
      <c r="D914" s="644"/>
      <c r="E914" s="618"/>
      <c r="F914" s="618"/>
      <c r="G914" s="618"/>
      <c r="H914" s="618"/>
      <c r="I914" s="618"/>
      <c r="J914" s="618"/>
      <c r="K914" s="618"/>
      <c r="L914" s="618"/>
      <c r="M914" s="618"/>
      <c r="N914" s="618"/>
      <c r="O914" s="618"/>
      <c r="P914" s="618"/>
      <c r="Q914" s="618"/>
      <c r="R914" s="618"/>
      <c r="S914" s="618"/>
      <c r="T914" s="618"/>
      <c r="U914" s="618"/>
      <c r="V914" s="618"/>
      <c r="W914" s="618"/>
      <c r="X914" s="618"/>
      <c r="Y914" s="618"/>
      <c r="Z914" s="618"/>
      <c r="AA914" s="618"/>
      <c r="AB914" s="618"/>
    </row>
    <row r="915" spans="1:28">
      <c r="A915" s="618"/>
      <c r="B915" s="618"/>
      <c r="C915" s="618"/>
      <c r="D915" s="644"/>
      <c r="E915" s="618"/>
      <c r="F915" s="618"/>
      <c r="G915" s="618"/>
      <c r="H915" s="618"/>
      <c r="I915" s="618"/>
      <c r="J915" s="618"/>
      <c r="K915" s="618"/>
      <c r="L915" s="618"/>
      <c r="M915" s="618"/>
      <c r="N915" s="618"/>
      <c r="O915" s="618"/>
      <c r="P915" s="618"/>
      <c r="Q915" s="618"/>
      <c r="R915" s="618"/>
      <c r="S915" s="618"/>
      <c r="T915" s="618"/>
      <c r="U915" s="618"/>
      <c r="V915" s="618"/>
      <c r="W915" s="618"/>
      <c r="X915" s="618"/>
      <c r="Y915" s="618"/>
      <c r="Z915" s="618"/>
      <c r="AA915" s="618"/>
      <c r="AB915" s="618"/>
    </row>
    <row r="916" spans="1:28">
      <c r="A916" s="618"/>
      <c r="B916" s="618"/>
      <c r="C916" s="618"/>
      <c r="D916" s="644"/>
      <c r="E916" s="618"/>
      <c r="F916" s="618"/>
      <c r="G916" s="618"/>
      <c r="H916" s="618"/>
      <c r="I916" s="618"/>
      <c r="J916" s="618"/>
      <c r="K916" s="618"/>
      <c r="L916" s="618"/>
      <c r="M916" s="618"/>
      <c r="N916" s="618"/>
      <c r="O916" s="618"/>
      <c r="P916" s="618"/>
      <c r="Q916" s="618"/>
      <c r="R916" s="618"/>
      <c r="S916" s="618"/>
      <c r="T916" s="618"/>
      <c r="U916" s="618"/>
      <c r="V916" s="618"/>
      <c r="W916" s="618"/>
      <c r="X916" s="618"/>
      <c r="Y916" s="618"/>
      <c r="Z916" s="618"/>
      <c r="AA916" s="618"/>
      <c r="AB916" s="618"/>
    </row>
    <row r="917" spans="1:28">
      <c r="A917" s="618"/>
      <c r="B917" s="618"/>
      <c r="C917" s="618"/>
      <c r="D917" s="644"/>
      <c r="E917" s="618"/>
      <c r="F917" s="618"/>
      <c r="G917" s="618"/>
      <c r="H917" s="618"/>
      <c r="I917" s="618"/>
      <c r="J917" s="618"/>
      <c r="K917" s="618"/>
      <c r="L917" s="618"/>
      <c r="M917" s="618"/>
      <c r="N917" s="618"/>
      <c r="O917" s="618"/>
      <c r="P917" s="618"/>
      <c r="Q917" s="618"/>
      <c r="R917" s="618"/>
      <c r="S917" s="618"/>
      <c r="T917" s="618"/>
      <c r="U917" s="618"/>
      <c r="V917" s="618"/>
      <c r="W917" s="618"/>
      <c r="X917" s="618"/>
      <c r="Y917" s="618"/>
      <c r="Z917" s="618"/>
      <c r="AA917" s="618"/>
      <c r="AB917" s="618"/>
    </row>
    <row r="918" spans="1:28">
      <c r="A918" s="618"/>
      <c r="B918" s="618"/>
      <c r="C918" s="618"/>
      <c r="D918" s="644"/>
      <c r="E918" s="618"/>
      <c r="F918" s="618"/>
      <c r="G918" s="618"/>
      <c r="H918" s="618"/>
      <c r="I918" s="618"/>
      <c r="J918" s="618"/>
      <c r="K918" s="618"/>
      <c r="L918" s="618"/>
      <c r="M918" s="618"/>
      <c r="N918" s="618"/>
      <c r="O918" s="618"/>
      <c r="P918" s="618"/>
      <c r="Q918" s="618"/>
      <c r="R918" s="618"/>
      <c r="S918" s="618"/>
      <c r="T918" s="618"/>
      <c r="U918" s="618"/>
      <c r="V918" s="618"/>
      <c r="W918" s="618"/>
      <c r="X918" s="618"/>
      <c r="Y918" s="618"/>
      <c r="Z918" s="618"/>
      <c r="AA918" s="618"/>
      <c r="AB918" s="618"/>
    </row>
    <row r="919" spans="1:28">
      <c r="A919" s="618"/>
      <c r="B919" s="618"/>
      <c r="C919" s="618"/>
      <c r="D919" s="644"/>
      <c r="E919" s="618"/>
      <c r="F919" s="618"/>
      <c r="G919" s="618"/>
      <c r="H919" s="618"/>
      <c r="I919" s="618"/>
      <c r="J919" s="618"/>
      <c r="K919" s="618"/>
      <c r="L919" s="618"/>
      <c r="M919" s="618"/>
      <c r="N919" s="618"/>
      <c r="O919" s="618"/>
      <c r="P919" s="618"/>
      <c r="Q919" s="618"/>
      <c r="R919" s="618"/>
      <c r="S919" s="618"/>
      <c r="T919" s="618"/>
      <c r="U919" s="618"/>
      <c r="V919" s="618"/>
      <c r="W919" s="618"/>
      <c r="X919" s="618"/>
      <c r="Y919" s="618"/>
      <c r="Z919" s="618"/>
      <c r="AA919" s="618"/>
      <c r="AB919" s="618"/>
    </row>
    <row r="920" spans="1:28">
      <c r="A920" s="618"/>
      <c r="B920" s="618"/>
      <c r="C920" s="618"/>
      <c r="D920" s="644"/>
      <c r="E920" s="618"/>
      <c r="F920" s="618"/>
      <c r="G920" s="618"/>
      <c r="H920" s="618"/>
      <c r="I920" s="618"/>
      <c r="J920" s="618"/>
      <c r="K920" s="618"/>
      <c r="L920" s="618"/>
      <c r="M920" s="618"/>
      <c r="N920" s="618"/>
      <c r="O920" s="618"/>
      <c r="P920" s="618"/>
      <c r="Q920" s="618"/>
      <c r="R920" s="618"/>
      <c r="S920" s="618"/>
      <c r="T920" s="618"/>
      <c r="U920" s="618"/>
      <c r="V920" s="618"/>
      <c r="W920" s="618"/>
      <c r="X920" s="618"/>
      <c r="Y920" s="618"/>
      <c r="Z920" s="618"/>
      <c r="AA920" s="618"/>
      <c r="AB920" s="618"/>
    </row>
    <row r="921" spans="1:28">
      <c r="A921" s="618"/>
      <c r="B921" s="618"/>
      <c r="C921" s="618"/>
      <c r="D921" s="644"/>
      <c r="E921" s="618"/>
      <c r="F921" s="618"/>
      <c r="G921" s="618"/>
      <c r="H921" s="618"/>
      <c r="I921" s="618"/>
      <c r="J921" s="618"/>
      <c r="K921" s="618"/>
      <c r="L921" s="618"/>
      <c r="M921" s="618"/>
      <c r="N921" s="618"/>
      <c r="O921" s="618"/>
      <c r="P921" s="618"/>
      <c r="Q921" s="618"/>
      <c r="R921" s="618"/>
      <c r="S921" s="618"/>
      <c r="T921" s="618"/>
      <c r="U921" s="618"/>
      <c r="V921" s="618"/>
      <c r="W921" s="618"/>
      <c r="X921" s="618"/>
      <c r="Y921" s="618"/>
      <c r="Z921" s="618"/>
      <c r="AA921" s="618"/>
      <c r="AB921" s="618"/>
    </row>
    <row r="922" spans="1:28">
      <c r="A922" s="618"/>
      <c r="B922" s="618"/>
      <c r="C922" s="618"/>
      <c r="D922" s="644"/>
      <c r="E922" s="618"/>
      <c r="F922" s="618"/>
      <c r="G922" s="618"/>
      <c r="H922" s="618"/>
      <c r="I922" s="618"/>
      <c r="J922" s="618"/>
      <c r="K922" s="618"/>
      <c r="L922" s="618"/>
      <c r="M922" s="618"/>
      <c r="N922" s="618"/>
      <c r="O922" s="618"/>
      <c r="P922" s="618"/>
      <c r="Q922" s="618"/>
      <c r="R922" s="618"/>
      <c r="S922" s="618"/>
      <c r="T922" s="618"/>
      <c r="U922" s="618"/>
      <c r="V922" s="618"/>
      <c r="W922" s="618"/>
      <c r="X922" s="618"/>
      <c r="Y922" s="618"/>
      <c r="Z922" s="618"/>
      <c r="AA922" s="618"/>
      <c r="AB922" s="618"/>
    </row>
    <row r="923" spans="1:28">
      <c r="A923" s="618"/>
      <c r="B923" s="618"/>
      <c r="C923" s="618"/>
      <c r="D923" s="644"/>
      <c r="E923" s="618"/>
      <c r="F923" s="618"/>
      <c r="G923" s="618"/>
      <c r="H923" s="618"/>
      <c r="I923" s="618"/>
      <c r="J923" s="618"/>
      <c r="K923" s="618"/>
      <c r="L923" s="618"/>
      <c r="M923" s="618"/>
      <c r="N923" s="618"/>
      <c r="O923" s="618"/>
      <c r="P923" s="618"/>
      <c r="Q923" s="618"/>
      <c r="R923" s="618"/>
      <c r="S923" s="618"/>
      <c r="T923" s="618"/>
      <c r="U923" s="618"/>
      <c r="V923" s="618"/>
      <c r="W923" s="618"/>
      <c r="X923" s="618"/>
      <c r="Y923" s="618"/>
      <c r="Z923" s="618"/>
      <c r="AA923" s="618"/>
      <c r="AB923" s="618"/>
    </row>
    <row r="924" spans="1:28">
      <c r="A924" s="618"/>
      <c r="B924" s="618"/>
      <c r="C924" s="618"/>
      <c r="D924" s="644"/>
      <c r="E924" s="618"/>
      <c r="F924" s="618"/>
      <c r="G924" s="618"/>
      <c r="H924" s="618"/>
      <c r="I924" s="618"/>
      <c r="J924" s="618"/>
      <c r="K924" s="618"/>
      <c r="L924" s="618"/>
      <c r="M924" s="618"/>
      <c r="N924" s="618"/>
      <c r="O924" s="618"/>
      <c r="P924" s="618"/>
      <c r="Q924" s="618"/>
      <c r="R924" s="618"/>
      <c r="S924" s="618"/>
      <c r="T924" s="618"/>
      <c r="U924" s="618"/>
      <c r="V924" s="618"/>
      <c r="W924" s="618"/>
      <c r="X924" s="618"/>
      <c r="Y924" s="618"/>
      <c r="Z924" s="618"/>
      <c r="AA924" s="618"/>
      <c r="AB924" s="618"/>
    </row>
    <row r="925" spans="1:28">
      <c r="A925" s="618"/>
      <c r="B925" s="618"/>
      <c r="C925" s="618"/>
      <c r="D925" s="644"/>
      <c r="E925" s="618"/>
      <c r="F925" s="618"/>
      <c r="G925" s="618"/>
      <c r="H925" s="618"/>
      <c r="I925" s="618"/>
      <c r="J925" s="618"/>
      <c r="K925" s="618"/>
      <c r="L925" s="618"/>
      <c r="M925" s="618"/>
      <c r="N925" s="618"/>
      <c r="O925" s="618"/>
      <c r="P925" s="618"/>
      <c r="Q925" s="618"/>
      <c r="R925" s="618"/>
      <c r="S925" s="618"/>
      <c r="T925" s="618"/>
      <c r="U925" s="618"/>
      <c r="V925" s="618"/>
      <c r="W925" s="618"/>
      <c r="X925" s="618"/>
      <c r="Y925" s="618"/>
      <c r="Z925" s="618"/>
      <c r="AA925" s="618"/>
      <c r="AB925" s="618"/>
    </row>
    <row r="926" spans="1:28">
      <c r="A926" s="618"/>
      <c r="B926" s="618"/>
      <c r="C926" s="618"/>
      <c r="D926" s="644"/>
      <c r="E926" s="618"/>
      <c r="F926" s="618"/>
      <c r="G926" s="618"/>
      <c r="H926" s="618"/>
      <c r="I926" s="618"/>
      <c r="J926" s="618"/>
      <c r="K926" s="618"/>
      <c r="L926" s="618"/>
      <c r="M926" s="618"/>
      <c r="N926" s="618"/>
      <c r="O926" s="618"/>
      <c r="P926" s="618"/>
      <c r="Q926" s="618"/>
      <c r="R926" s="618"/>
      <c r="S926" s="618"/>
      <c r="T926" s="618"/>
      <c r="U926" s="618"/>
      <c r="V926" s="618"/>
      <c r="W926" s="618"/>
      <c r="X926" s="618"/>
      <c r="Y926" s="618"/>
      <c r="Z926" s="618"/>
      <c r="AA926" s="618"/>
      <c r="AB926" s="618"/>
    </row>
    <row r="927" spans="1:28">
      <c r="A927" s="618"/>
      <c r="B927" s="618"/>
      <c r="C927" s="618"/>
      <c r="D927" s="644"/>
      <c r="E927" s="618"/>
      <c r="F927" s="618"/>
      <c r="G927" s="618"/>
      <c r="H927" s="618"/>
      <c r="I927" s="618"/>
      <c r="J927" s="618"/>
      <c r="K927" s="618"/>
      <c r="L927" s="618"/>
      <c r="M927" s="618"/>
      <c r="N927" s="618"/>
      <c r="O927" s="618"/>
      <c r="P927" s="618"/>
      <c r="Q927" s="618"/>
      <c r="R927" s="618"/>
      <c r="S927" s="618"/>
      <c r="T927" s="618"/>
      <c r="U927" s="618"/>
      <c r="V927" s="618"/>
      <c r="W927" s="618"/>
      <c r="X927" s="618"/>
      <c r="Y927" s="618"/>
      <c r="Z927" s="618"/>
      <c r="AA927" s="618"/>
      <c r="AB927" s="618"/>
    </row>
    <row r="928" spans="1:28">
      <c r="A928" s="618"/>
      <c r="B928" s="618"/>
      <c r="C928" s="618"/>
      <c r="D928" s="644"/>
      <c r="E928" s="618"/>
      <c r="F928" s="618"/>
      <c r="G928" s="618"/>
      <c r="H928" s="618"/>
      <c r="I928" s="618"/>
      <c r="J928" s="618"/>
      <c r="K928" s="618"/>
      <c r="L928" s="618"/>
      <c r="M928" s="618"/>
      <c r="N928" s="618"/>
      <c r="O928" s="618"/>
      <c r="P928" s="618"/>
      <c r="Q928" s="618"/>
      <c r="R928" s="618"/>
      <c r="S928" s="618"/>
      <c r="T928" s="618"/>
      <c r="U928" s="618"/>
      <c r="V928" s="618"/>
      <c r="W928" s="618"/>
      <c r="X928" s="618"/>
      <c r="Y928" s="618"/>
      <c r="Z928" s="618"/>
      <c r="AA928" s="618"/>
      <c r="AB928" s="618"/>
    </row>
    <row r="929" spans="1:28">
      <c r="A929" s="618"/>
      <c r="B929" s="618"/>
      <c r="C929" s="618"/>
      <c r="D929" s="644"/>
      <c r="E929" s="618"/>
      <c r="F929" s="618"/>
      <c r="G929" s="618"/>
      <c r="H929" s="618"/>
      <c r="I929" s="618"/>
      <c r="J929" s="618"/>
      <c r="K929" s="618"/>
      <c r="L929" s="618"/>
      <c r="M929" s="618"/>
      <c r="N929" s="618"/>
      <c r="O929" s="618"/>
      <c r="P929" s="618"/>
      <c r="Q929" s="618"/>
      <c r="R929" s="618"/>
      <c r="S929" s="618"/>
      <c r="T929" s="618"/>
      <c r="U929" s="618"/>
      <c r="V929" s="618"/>
      <c r="W929" s="618"/>
      <c r="X929" s="618"/>
      <c r="Y929" s="618"/>
      <c r="Z929" s="618"/>
      <c r="AA929" s="618"/>
      <c r="AB929" s="618"/>
    </row>
    <row r="930" spans="1:28">
      <c r="A930" s="618"/>
      <c r="B930" s="618"/>
      <c r="C930" s="618"/>
      <c r="D930" s="644"/>
      <c r="E930" s="618"/>
      <c r="F930" s="618"/>
      <c r="G930" s="618"/>
      <c r="H930" s="618"/>
      <c r="I930" s="618"/>
      <c r="J930" s="618"/>
      <c r="K930" s="618"/>
      <c r="L930" s="618"/>
      <c r="M930" s="618"/>
      <c r="N930" s="618"/>
      <c r="O930" s="618"/>
      <c r="P930" s="618"/>
      <c r="Q930" s="618"/>
      <c r="R930" s="618"/>
      <c r="S930" s="618"/>
      <c r="T930" s="618"/>
      <c r="U930" s="618"/>
      <c r="V930" s="618"/>
      <c r="W930" s="618"/>
      <c r="X930" s="618"/>
      <c r="Y930" s="618"/>
      <c r="Z930" s="618"/>
      <c r="AA930" s="618"/>
      <c r="AB930" s="618"/>
    </row>
    <row r="931" spans="1:28">
      <c r="A931" s="618"/>
      <c r="B931" s="618"/>
      <c r="C931" s="618"/>
      <c r="D931" s="644"/>
      <c r="E931" s="618"/>
      <c r="F931" s="618"/>
      <c r="G931" s="618"/>
      <c r="H931" s="618"/>
      <c r="I931" s="618"/>
      <c r="J931" s="618"/>
      <c r="K931" s="618"/>
      <c r="L931" s="618"/>
      <c r="M931" s="618"/>
      <c r="N931" s="618"/>
      <c r="O931" s="618"/>
      <c r="P931" s="618"/>
      <c r="Q931" s="618"/>
      <c r="R931" s="618"/>
      <c r="S931" s="618"/>
      <c r="T931" s="618"/>
      <c r="U931" s="618"/>
      <c r="V931" s="618"/>
      <c r="W931" s="618"/>
      <c r="X931" s="618"/>
      <c r="Y931" s="618"/>
      <c r="Z931" s="618"/>
      <c r="AA931" s="618"/>
      <c r="AB931" s="618"/>
    </row>
    <row r="932" spans="1:28">
      <c r="A932" s="618"/>
      <c r="B932" s="618"/>
      <c r="C932" s="618"/>
      <c r="D932" s="644"/>
      <c r="E932" s="618"/>
      <c r="F932" s="618"/>
      <c r="G932" s="618"/>
      <c r="H932" s="618"/>
      <c r="I932" s="618"/>
      <c r="J932" s="618"/>
      <c r="K932" s="618"/>
      <c r="L932" s="618"/>
      <c r="M932" s="618"/>
      <c r="N932" s="618"/>
      <c r="O932" s="618"/>
      <c r="P932" s="618"/>
      <c r="Q932" s="618"/>
      <c r="R932" s="618"/>
      <c r="S932" s="618"/>
      <c r="T932" s="618"/>
      <c r="U932" s="618"/>
      <c r="V932" s="618"/>
      <c r="W932" s="618"/>
      <c r="X932" s="618"/>
      <c r="Y932" s="618"/>
      <c r="Z932" s="618"/>
      <c r="AA932" s="618"/>
      <c r="AB932" s="618"/>
    </row>
    <row r="933" spans="1:28">
      <c r="A933" s="618"/>
      <c r="B933" s="618"/>
      <c r="C933" s="618"/>
      <c r="D933" s="644"/>
      <c r="E933" s="618"/>
      <c r="F933" s="618"/>
      <c r="G933" s="618"/>
      <c r="H933" s="618"/>
      <c r="I933" s="618"/>
      <c r="J933" s="618"/>
      <c r="K933" s="618"/>
      <c r="L933" s="618"/>
      <c r="M933" s="618"/>
      <c r="N933" s="618"/>
      <c r="O933" s="618"/>
      <c r="P933" s="618"/>
      <c r="Q933" s="618"/>
      <c r="R933" s="618"/>
      <c r="S933" s="618"/>
      <c r="T933" s="618"/>
      <c r="U933" s="618"/>
      <c r="V933" s="618"/>
      <c r="W933" s="618"/>
      <c r="X933" s="618"/>
      <c r="Y933" s="618"/>
      <c r="Z933" s="618"/>
      <c r="AA933" s="618"/>
      <c r="AB933" s="618"/>
    </row>
    <row r="934" spans="1:28">
      <c r="A934" s="618"/>
      <c r="B934" s="618"/>
      <c r="C934" s="618"/>
      <c r="D934" s="644"/>
      <c r="E934" s="618"/>
      <c r="F934" s="618"/>
      <c r="G934" s="618"/>
      <c r="H934" s="618"/>
      <c r="I934" s="618"/>
      <c r="J934" s="618"/>
      <c r="K934" s="618"/>
      <c r="L934" s="618"/>
      <c r="M934" s="618"/>
      <c r="N934" s="618"/>
      <c r="O934" s="618"/>
      <c r="P934" s="618"/>
      <c r="Q934" s="618"/>
      <c r="R934" s="618"/>
      <c r="S934" s="618"/>
      <c r="T934" s="618"/>
      <c r="U934" s="618"/>
      <c r="V934" s="618"/>
      <c r="W934" s="618"/>
      <c r="X934" s="618"/>
      <c r="Y934" s="618"/>
      <c r="Z934" s="618"/>
      <c r="AA934" s="618"/>
      <c r="AB934" s="618"/>
    </row>
    <row r="935" spans="1:28">
      <c r="A935" s="618"/>
      <c r="B935" s="618"/>
      <c r="C935" s="618"/>
      <c r="D935" s="644"/>
      <c r="E935" s="618"/>
      <c r="F935" s="618"/>
      <c r="G935" s="618"/>
      <c r="H935" s="618"/>
      <c r="I935" s="618"/>
      <c r="J935" s="618"/>
      <c r="K935" s="618"/>
      <c r="L935" s="618"/>
      <c r="M935" s="618"/>
      <c r="N935" s="618"/>
      <c r="O935" s="618"/>
      <c r="P935" s="618"/>
      <c r="Q935" s="618"/>
      <c r="R935" s="618"/>
      <c r="S935" s="618"/>
      <c r="T935" s="618"/>
      <c r="U935" s="618"/>
      <c r="V935" s="618"/>
      <c r="W935" s="618"/>
      <c r="X935" s="618"/>
      <c r="Y935" s="618"/>
      <c r="Z935" s="618"/>
      <c r="AA935" s="618"/>
      <c r="AB935" s="618"/>
    </row>
    <row r="936" spans="1:28">
      <c r="A936" s="618"/>
      <c r="B936" s="618"/>
      <c r="C936" s="618"/>
      <c r="D936" s="644"/>
      <c r="E936" s="618"/>
      <c r="F936" s="618"/>
      <c r="G936" s="618"/>
      <c r="H936" s="618"/>
      <c r="I936" s="618"/>
      <c r="J936" s="618"/>
      <c r="K936" s="618"/>
      <c r="L936" s="618"/>
      <c r="M936" s="618"/>
      <c r="N936" s="618"/>
      <c r="O936" s="618"/>
      <c r="P936" s="618"/>
      <c r="Q936" s="618"/>
      <c r="R936" s="618"/>
      <c r="S936" s="618"/>
      <c r="T936" s="618"/>
      <c r="U936" s="618"/>
      <c r="V936" s="618"/>
      <c r="W936" s="618"/>
      <c r="X936" s="618"/>
      <c r="Y936" s="618"/>
      <c r="Z936" s="618"/>
      <c r="AA936" s="618"/>
      <c r="AB936" s="618"/>
    </row>
    <row r="937" spans="1:28">
      <c r="A937" s="618"/>
      <c r="B937" s="618"/>
      <c r="C937" s="618"/>
      <c r="D937" s="644"/>
      <c r="E937" s="618"/>
      <c r="F937" s="618"/>
      <c r="G937" s="618"/>
      <c r="H937" s="618"/>
      <c r="I937" s="618"/>
      <c r="J937" s="618"/>
      <c r="K937" s="618"/>
      <c r="L937" s="618"/>
      <c r="M937" s="618"/>
      <c r="N937" s="618"/>
      <c r="O937" s="618"/>
      <c r="P937" s="618"/>
      <c r="Q937" s="618"/>
      <c r="R937" s="618"/>
      <c r="S937" s="618"/>
      <c r="T937" s="618"/>
      <c r="U937" s="618"/>
      <c r="V937" s="618"/>
      <c r="W937" s="618"/>
      <c r="X937" s="618"/>
      <c r="Y937" s="618"/>
      <c r="Z937" s="618"/>
      <c r="AA937" s="618"/>
      <c r="AB937" s="618"/>
    </row>
    <row r="938" spans="1:28">
      <c r="A938" s="618"/>
      <c r="B938" s="618"/>
      <c r="C938" s="618"/>
      <c r="D938" s="644"/>
      <c r="E938" s="618"/>
      <c r="F938" s="618"/>
      <c r="G938" s="618"/>
      <c r="H938" s="618"/>
      <c r="I938" s="618"/>
      <c r="J938" s="618"/>
      <c r="K938" s="618"/>
      <c r="L938" s="618"/>
      <c r="M938" s="618"/>
      <c r="N938" s="618"/>
      <c r="O938" s="618"/>
      <c r="P938" s="618"/>
      <c r="Q938" s="618"/>
      <c r="R938" s="618"/>
      <c r="S938" s="618"/>
      <c r="T938" s="618"/>
      <c r="U938" s="618"/>
      <c r="V938" s="618"/>
      <c r="W938" s="618"/>
      <c r="X938" s="618"/>
      <c r="Y938" s="618"/>
      <c r="Z938" s="618"/>
      <c r="AA938" s="618"/>
      <c r="AB938" s="618"/>
    </row>
    <row r="939" spans="1:28">
      <c r="A939" s="618"/>
      <c r="B939" s="618"/>
      <c r="C939" s="618"/>
      <c r="D939" s="644"/>
      <c r="E939" s="618"/>
      <c r="F939" s="618"/>
      <c r="G939" s="618"/>
      <c r="H939" s="618"/>
      <c r="I939" s="618"/>
      <c r="J939" s="618"/>
      <c r="K939" s="618"/>
      <c r="L939" s="618"/>
      <c r="M939" s="618"/>
      <c r="N939" s="618"/>
      <c r="O939" s="618"/>
      <c r="P939" s="618"/>
      <c r="Q939" s="618"/>
      <c r="R939" s="618"/>
      <c r="S939" s="618"/>
      <c r="T939" s="618"/>
      <c r="U939" s="618"/>
      <c r="V939" s="618"/>
      <c r="W939" s="618"/>
      <c r="X939" s="618"/>
      <c r="Y939" s="618"/>
      <c r="Z939" s="618"/>
      <c r="AA939" s="618"/>
      <c r="AB939" s="618"/>
    </row>
    <row r="940" spans="1:28">
      <c r="A940" s="618"/>
      <c r="B940" s="618"/>
      <c r="C940" s="618"/>
      <c r="D940" s="644"/>
      <c r="E940" s="618"/>
      <c r="F940" s="618"/>
      <c r="G940" s="618"/>
      <c r="H940" s="618"/>
      <c r="I940" s="618"/>
      <c r="J940" s="618"/>
      <c r="K940" s="618"/>
      <c r="L940" s="618"/>
      <c r="M940" s="618"/>
      <c r="N940" s="618"/>
      <c r="O940" s="618"/>
      <c r="P940" s="618"/>
      <c r="Q940" s="618"/>
      <c r="R940" s="618"/>
      <c r="S940" s="618"/>
      <c r="T940" s="618"/>
      <c r="U940" s="618"/>
      <c r="V940" s="618"/>
      <c r="W940" s="618"/>
      <c r="X940" s="618"/>
      <c r="Y940" s="618"/>
      <c r="Z940" s="618"/>
      <c r="AA940" s="618"/>
      <c r="AB940" s="618"/>
    </row>
    <row r="941" spans="1:28">
      <c r="A941" s="618"/>
      <c r="B941" s="618"/>
      <c r="C941" s="618"/>
      <c r="D941" s="644"/>
      <c r="E941" s="618"/>
      <c r="F941" s="618"/>
      <c r="G941" s="618"/>
      <c r="H941" s="618"/>
      <c r="I941" s="618"/>
      <c r="J941" s="618"/>
      <c r="K941" s="618"/>
      <c r="L941" s="618"/>
      <c r="M941" s="618"/>
      <c r="N941" s="618"/>
      <c r="O941" s="618"/>
      <c r="P941" s="618"/>
      <c r="Q941" s="618"/>
      <c r="R941" s="618"/>
      <c r="S941" s="618"/>
      <c r="T941" s="618"/>
      <c r="U941" s="618"/>
      <c r="V941" s="618"/>
      <c r="W941" s="618"/>
      <c r="X941" s="618"/>
      <c r="Y941" s="618"/>
      <c r="Z941" s="618"/>
      <c r="AA941" s="618"/>
      <c r="AB941" s="618"/>
    </row>
    <row r="942" spans="1:28">
      <c r="A942" s="618"/>
      <c r="B942" s="618"/>
      <c r="C942" s="618"/>
      <c r="D942" s="644"/>
      <c r="E942" s="618"/>
      <c r="F942" s="618"/>
      <c r="G942" s="618"/>
      <c r="H942" s="618"/>
      <c r="I942" s="618"/>
      <c r="J942" s="618"/>
      <c r="K942" s="618"/>
      <c r="L942" s="618"/>
      <c r="M942" s="618"/>
      <c r="N942" s="618"/>
      <c r="O942" s="618"/>
      <c r="P942" s="618"/>
      <c r="Q942" s="618"/>
      <c r="R942" s="618"/>
      <c r="S942" s="618"/>
      <c r="T942" s="618"/>
      <c r="U942" s="618"/>
      <c r="V942" s="618"/>
      <c r="W942" s="618"/>
      <c r="X942" s="618"/>
      <c r="Y942" s="618"/>
      <c r="Z942" s="618"/>
      <c r="AA942" s="618"/>
      <c r="AB942" s="618"/>
    </row>
    <row r="943" spans="1:28">
      <c r="A943" s="618"/>
      <c r="B943" s="618"/>
      <c r="C943" s="618"/>
      <c r="D943" s="644"/>
      <c r="E943" s="618"/>
      <c r="F943" s="618"/>
      <c r="G943" s="618"/>
      <c r="H943" s="618"/>
      <c r="I943" s="618"/>
      <c r="J943" s="618"/>
      <c r="K943" s="618"/>
      <c r="L943" s="618"/>
      <c r="M943" s="618"/>
      <c r="N943" s="618"/>
      <c r="O943" s="618"/>
      <c r="P943" s="618"/>
      <c r="Q943" s="618"/>
      <c r="R943" s="618"/>
      <c r="S943" s="618"/>
      <c r="T943" s="618"/>
      <c r="U943" s="618"/>
      <c r="V943" s="618"/>
      <c r="W943" s="618"/>
      <c r="X943" s="618"/>
      <c r="Y943" s="618"/>
      <c r="Z943" s="618"/>
      <c r="AA943" s="618"/>
      <c r="AB943" s="618"/>
    </row>
    <row r="944" spans="1:28">
      <c r="A944" s="618"/>
      <c r="B944" s="618"/>
      <c r="C944" s="618"/>
      <c r="D944" s="644"/>
      <c r="E944" s="618"/>
      <c r="F944" s="618"/>
      <c r="G944" s="618"/>
      <c r="H944" s="618"/>
      <c r="I944" s="618"/>
      <c r="J944" s="618"/>
      <c r="K944" s="618"/>
      <c r="L944" s="618"/>
      <c r="M944" s="618"/>
      <c r="N944" s="618"/>
      <c r="O944" s="618"/>
      <c r="P944" s="618"/>
      <c r="Q944" s="618"/>
      <c r="R944" s="618"/>
      <c r="S944" s="618"/>
      <c r="T944" s="618"/>
      <c r="U944" s="618"/>
      <c r="V944" s="618"/>
      <c r="W944" s="618"/>
      <c r="X944" s="618"/>
      <c r="Y944" s="618"/>
      <c r="Z944" s="618"/>
      <c r="AA944" s="618"/>
      <c r="AB944" s="618"/>
    </row>
    <row r="945" spans="1:28">
      <c r="A945" s="618"/>
      <c r="B945" s="618"/>
      <c r="C945" s="618"/>
      <c r="D945" s="644"/>
      <c r="E945" s="618"/>
      <c r="F945" s="618"/>
      <c r="G945" s="618"/>
      <c r="H945" s="618"/>
      <c r="I945" s="618"/>
      <c r="J945" s="618"/>
      <c r="K945" s="618"/>
      <c r="L945" s="618"/>
      <c r="M945" s="618"/>
      <c r="N945" s="618"/>
      <c r="O945" s="618"/>
      <c r="P945" s="618"/>
      <c r="Q945" s="618"/>
      <c r="R945" s="618"/>
      <c r="S945" s="618"/>
      <c r="T945" s="618"/>
      <c r="U945" s="618"/>
      <c r="V945" s="618"/>
      <c r="W945" s="618"/>
      <c r="X945" s="618"/>
      <c r="Y945" s="618"/>
      <c r="Z945" s="618"/>
      <c r="AA945" s="618"/>
      <c r="AB945" s="618"/>
    </row>
    <row r="946" spans="1:28">
      <c r="A946" s="618"/>
      <c r="B946" s="618"/>
      <c r="C946" s="618"/>
      <c r="D946" s="644"/>
      <c r="E946" s="618"/>
      <c r="F946" s="618"/>
      <c r="G946" s="618"/>
      <c r="H946" s="618"/>
      <c r="I946" s="618"/>
      <c r="J946" s="618"/>
      <c r="K946" s="618"/>
      <c r="L946" s="618"/>
      <c r="M946" s="618"/>
      <c r="N946" s="618"/>
      <c r="O946" s="618"/>
      <c r="P946" s="618"/>
      <c r="Q946" s="618"/>
      <c r="R946" s="618"/>
      <c r="S946" s="618"/>
      <c r="T946" s="618"/>
      <c r="U946" s="618"/>
      <c r="V946" s="618"/>
      <c r="W946" s="618"/>
      <c r="X946" s="618"/>
      <c r="Y946" s="618"/>
      <c r="Z946" s="618"/>
      <c r="AA946" s="618"/>
      <c r="AB946" s="618"/>
    </row>
    <row r="947" spans="1:28">
      <c r="A947" s="618"/>
      <c r="B947" s="618"/>
      <c r="C947" s="618"/>
      <c r="D947" s="644"/>
      <c r="E947" s="618"/>
      <c r="F947" s="618"/>
      <c r="G947" s="618"/>
      <c r="H947" s="618"/>
      <c r="I947" s="618"/>
      <c r="J947" s="618"/>
      <c r="K947" s="618"/>
      <c r="L947" s="618"/>
      <c r="M947" s="618"/>
      <c r="N947" s="618"/>
      <c r="O947" s="618"/>
      <c r="P947" s="618"/>
      <c r="Q947" s="618"/>
      <c r="R947" s="618"/>
      <c r="S947" s="618"/>
      <c r="T947" s="618"/>
      <c r="U947" s="618"/>
      <c r="V947" s="618"/>
      <c r="W947" s="618"/>
      <c r="X947" s="618"/>
      <c r="Y947" s="618"/>
      <c r="Z947" s="618"/>
      <c r="AA947" s="618"/>
      <c r="AB947" s="618"/>
    </row>
    <row r="948" spans="1:28">
      <c r="A948" s="618"/>
      <c r="B948" s="618"/>
      <c r="C948" s="618"/>
      <c r="D948" s="644"/>
      <c r="E948" s="618"/>
      <c r="F948" s="618"/>
      <c r="G948" s="618"/>
      <c r="H948" s="618"/>
      <c r="I948" s="618"/>
      <c r="J948" s="618"/>
      <c r="K948" s="618"/>
      <c r="L948" s="618"/>
      <c r="M948" s="618"/>
      <c r="N948" s="618"/>
      <c r="O948" s="618"/>
      <c r="P948" s="618"/>
      <c r="Q948" s="618"/>
      <c r="R948" s="618"/>
      <c r="S948" s="618"/>
      <c r="T948" s="618"/>
      <c r="U948" s="618"/>
      <c r="V948" s="618"/>
      <c r="W948" s="618"/>
      <c r="X948" s="618"/>
      <c r="Y948" s="618"/>
      <c r="Z948" s="618"/>
      <c r="AA948" s="618"/>
      <c r="AB948" s="618"/>
    </row>
    <row r="949" spans="1:28">
      <c r="A949" s="618"/>
      <c r="B949" s="618"/>
      <c r="C949" s="618"/>
      <c r="D949" s="644"/>
      <c r="E949" s="618"/>
      <c r="F949" s="618"/>
      <c r="G949" s="618"/>
      <c r="H949" s="618"/>
      <c r="I949" s="618"/>
      <c r="J949" s="618"/>
      <c r="K949" s="618"/>
      <c r="L949" s="618"/>
      <c r="M949" s="618"/>
      <c r="N949" s="618"/>
      <c r="O949" s="618"/>
      <c r="P949" s="618"/>
      <c r="Q949" s="618"/>
      <c r="R949" s="618"/>
      <c r="S949" s="618"/>
      <c r="T949" s="618"/>
      <c r="U949" s="618"/>
      <c r="V949" s="618"/>
      <c r="W949" s="618"/>
      <c r="X949" s="618"/>
      <c r="Y949" s="618"/>
      <c r="Z949" s="618"/>
      <c r="AA949" s="618"/>
      <c r="AB949" s="618"/>
    </row>
    <row r="950" spans="1:28">
      <c r="A950" s="618"/>
      <c r="B950" s="618"/>
      <c r="C950" s="618"/>
      <c r="D950" s="644"/>
      <c r="E950" s="618"/>
      <c r="F950" s="618"/>
      <c r="G950" s="618"/>
      <c r="H950" s="618"/>
      <c r="I950" s="618"/>
      <c r="J950" s="618"/>
      <c r="K950" s="618"/>
      <c r="L950" s="618"/>
      <c r="M950" s="618"/>
      <c r="N950" s="618"/>
      <c r="O950" s="618"/>
      <c r="P950" s="618"/>
      <c r="Q950" s="618"/>
      <c r="R950" s="618"/>
      <c r="S950" s="618"/>
      <c r="T950" s="618"/>
      <c r="U950" s="618"/>
      <c r="V950" s="618"/>
      <c r="W950" s="618"/>
      <c r="X950" s="618"/>
      <c r="Y950" s="618"/>
      <c r="Z950" s="618"/>
      <c r="AA950" s="618"/>
      <c r="AB950" s="618"/>
    </row>
    <row r="951" spans="1:28">
      <c r="A951" s="618"/>
      <c r="B951" s="618"/>
      <c r="C951" s="618"/>
      <c r="D951" s="644"/>
      <c r="E951" s="618"/>
      <c r="F951" s="618"/>
      <c r="G951" s="618"/>
      <c r="H951" s="618"/>
      <c r="I951" s="618"/>
      <c r="J951" s="618"/>
      <c r="K951" s="618"/>
      <c r="L951" s="618"/>
      <c r="M951" s="618"/>
      <c r="N951" s="618"/>
      <c r="O951" s="618"/>
      <c r="P951" s="618"/>
      <c r="Q951" s="618"/>
      <c r="R951" s="618"/>
      <c r="S951" s="618"/>
      <c r="T951" s="618"/>
      <c r="U951" s="618"/>
      <c r="V951" s="618"/>
      <c r="W951" s="618"/>
      <c r="X951" s="618"/>
      <c r="Y951" s="618"/>
      <c r="Z951" s="618"/>
      <c r="AA951" s="618"/>
      <c r="AB951" s="618"/>
    </row>
    <row r="952" spans="1:28">
      <c r="A952" s="618"/>
      <c r="B952" s="618"/>
      <c r="C952" s="618"/>
      <c r="D952" s="644"/>
      <c r="E952" s="618"/>
      <c r="F952" s="618"/>
      <c r="G952" s="618"/>
      <c r="H952" s="618"/>
      <c r="I952" s="618"/>
      <c r="J952" s="618"/>
      <c r="K952" s="618"/>
      <c r="L952" s="618"/>
      <c r="M952" s="618"/>
      <c r="N952" s="618"/>
      <c r="O952" s="618"/>
      <c r="P952" s="618"/>
      <c r="Q952" s="618"/>
      <c r="R952" s="618"/>
      <c r="S952" s="618"/>
      <c r="T952" s="618"/>
      <c r="U952" s="618"/>
      <c r="V952" s="618"/>
      <c r="W952" s="618"/>
      <c r="X952" s="618"/>
      <c r="Y952" s="618"/>
      <c r="Z952" s="618"/>
      <c r="AA952" s="618"/>
      <c r="AB952" s="618"/>
    </row>
    <row r="953" spans="1:28">
      <c r="A953" s="618"/>
      <c r="B953" s="618"/>
      <c r="C953" s="618"/>
      <c r="D953" s="644"/>
      <c r="E953" s="618"/>
      <c r="F953" s="618"/>
      <c r="G953" s="618"/>
      <c r="H953" s="618"/>
      <c r="I953" s="618"/>
      <c r="J953" s="618"/>
      <c r="K953" s="618"/>
      <c r="L953" s="618"/>
      <c r="M953" s="618"/>
      <c r="N953" s="618"/>
      <c r="O953" s="618"/>
      <c r="P953" s="618"/>
      <c r="Q953" s="618"/>
      <c r="R953" s="618"/>
      <c r="S953" s="618"/>
      <c r="T953" s="618"/>
      <c r="U953" s="618"/>
      <c r="V953" s="618"/>
      <c r="W953" s="618"/>
      <c r="X953" s="618"/>
      <c r="Y953" s="618"/>
      <c r="Z953" s="618"/>
      <c r="AA953" s="618"/>
      <c r="AB953" s="618"/>
    </row>
    <row r="954" spans="1:28">
      <c r="A954" s="618"/>
      <c r="B954" s="618"/>
      <c r="C954" s="618"/>
      <c r="D954" s="644"/>
      <c r="E954" s="618"/>
      <c r="F954" s="618"/>
      <c r="G954" s="618"/>
      <c r="H954" s="618"/>
      <c r="I954" s="618"/>
      <c r="J954" s="618"/>
      <c r="K954" s="618"/>
      <c r="L954" s="618"/>
      <c r="M954" s="618"/>
      <c r="N954" s="618"/>
      <c r="O954" s="618"/>
      <c r="P954" s="618"/>
      <c r="Q954" s="618"/>
      <c r="R954" s="618"/>
      <c r="S954" s="618"/>
      <c r="T954" s="618"/>
      <c r="U954" s="618"/>
      <c r="V954" s="618"/>
      <c r="W954" s="618"/>
      <c r="X954" s="618"/>
      <c r="Y954" s="618"/>
      <c r="Z954" s="618"/>
      <c r="AA954" s="618"/>
      <c r="AB954" s="618"/>
    </row>
    <row r="955" spans="1:28">
      <c r="A955" s="618"/>
      <c r="B955" s="618"/>
      <c r="C955" s="618"/>
      <c r="D955" s="644"/>
      <c r="E955" s="618"/>
      <c r="F955" s="618"/>
      <c r="G955" s="618"/>
      <c r="H955" s="618"/>
      <c r="I955" s="618"/>
      <c r="J955" s="618"/>
      <c r="K955" s="618"/>
      <c r="L955" s="618"/>
      <c r="M955" s="618"/>
      <c r="N955" s="618"/>
      <c r="O955" s="618"/>
      <c r="P955" s="618"/>
      <c r="Q955" s="618"/>
      <c r="R955" s="618"/>
      <c r="S955" s="618"/>
      <c r="T955" s="618"/>
      <c r="U955" s="618"/>
      <c r="V955" s="618"/>
      <c r="W955" s="618"/>
      <c r="X955" s="618"/>
      <c r="Y955" s="618"/>
      <c r="Z955" s="618"/>
      <c r="AA955" s="618"/>
      <c r="AB955" s="618"/>
    </row>
    <row r="956" spans="1:28">
      <c r="A956" s="618"/>
      <c r="B956" s="618"/>
      <c r="C956" s="618"/>
      <c r="D956" s="644"/>
      <c r="E956" s="618"/>
      <c r="F956" s="618"/>
      <c r="G956" s="618"/>
      <c r="H956" s="618"/>
      <c r="I956" s="618"/>
      <c r="J956" s="618"/>
      <c r="K956" s="618"/>
      <c r="L956" s="618"/>
      <c r="M956" s="618"/>
      <c r="N956" s="618"/>
      <c r="O956" s="618"/>
      <c r="P956" s="618"/>
      <c r="Q956" s="618"/>
      <c r="R956" s="618"/>
      <c r="S956" s="618"/>
      <c r="T956" s="618"/>
      <c r="U956" s="618"/>
      <c r="V956" s="618"/>
      <c r="W956" s="618"/>
      <c r="X956" s="618"/>
      <c r="Y956" s="618"/>
      <c r="Z956" s="618"/>
      <c r="AA956" s="618"/>
      <c r="AB956" s="618"/>
    </row>
    <row r="957" spans="1:28">
      <c r="A957" s="618"/>
      <c r="B957" s="618"/>
      <c r="C957" s="618"/>
      <c r="D957" s="644"/>
      <c r="E957" s="618"/>
      <c r="F957" s="618"/>
      <c r="G957" s="618"/>
      <c r="H957" s="618"/>
      <c r="I957" s="618"/>
      <c r="J957" s="618"/>
      <c r="K957" s="618"/>
      <c r="L957" s="618"/>
      <c r="M957" s="618"/>
      <c r="N957" s="618"/>
      <c r="O957" s="618"/>
      <c r="P957" s="618"/>
      <c r="Q957" s="618"/>
      <c r="R957" s="618"/>
      <c r="S957" s="618"/>
      <c r="T957" s="618"/>
      <c r="U957" s="618"/>
      <c r="V957" s="618"/>
      <c r="W957" s="618"/>
      <c r="X957" s="618"/>
      <c r="Y957" s="618"/>
      <c r="Z957" s="618"/>
      <c r="AA957" s="618"/>
      <c r="AB957" s="618"/>
    </row>
    <row r="958" spans="1:28">
      <c r="A958" s="618"/>
      <c r="B958" s="618"/>
      <c r="C958" s="618"/>
      <c r="D958" s="644"/>
      <c r="E958" s="618"/>
      <c r="F958" s="618"/>
      <c r="G958" s="618"/>
      <c r="H958" s="618"/>
      <c r="I958" s="618"/>
      <c r="J958" s="618"/>
      <c r="K958" s="618"/>
      <c r="L958" s="618"/>
      <c r="M958" s="618"/>
      <c r="N958" s="618"/>
      <c r="O958" s="618"/>
      <c r="P958" s="618"/>
      <c r="Q958" s="618"/>
      <c r="R958" s="618"/>
      <c r="S958" s="618"/>
      <c r="T958" s="618"/>
      <c r="U958" s="618"/>
      <c r="V958" s="618"/>
      <c r="W958" s="618"/>
      <c r="X958" s="618"/>
      <c r="Y958" s="618"/>
      <c r="Z958" s="618"/>
      <c r="AA958" s="618"/>
      <c r="AB958" s="618"/>
    </row>
    <row r="959" spans="1:28">
      <c r="A959" s="618"/>
      <c r="B959" s="618"/>
      <c r="C959" s="618"/>
      <c r="D959" s="644"/>
      <c r="E959" s="618"/>
      <c r="F959" s="618"/>
      <c r="G959" s="618"/>
      <c r="H959" s="618"/>
      <c r="I959" s="618"/>
      <c r="J959" s="618"/>
      <c r="K959" s="618"/>
      <c r="L959" s="618"/>
      <c r="M959" s="618"/>
      <c r="N959" s="618"/>
      <c r="O959" s="618"/>
      <c r="P959" s="618"/>
      <c r="Q959" s="618"/>
      <c r="R959" s="618"/>
      <c r="S959" s="618"/>
      <c r="T959" s="618"/>
      <c r="U959" s="618"/>
      <c r="V959" s="618"/>
      <c r="W959" s="618"/>
      <c r="X959" s="618"/>
      <c r="Y959" s="618"/>
      <c r="Z959" s="618"/>
      <c r="AA959" s="618"/>
      <c r="AB959" s="618"/>
    </row>
    <row r="960" spans="1:28">
      <c r="A960" s="618"/>
      <c r="B960" s="618"/>
      <c r="C960" s="618"/>
      <c r="D960" s="644"/>
      <c r="E960" s="618"/>
      <c r="F960" s="618"/>
      <c r="G960" s="618"/>
      <c r="H960" s="618"/>
      <c r="I960" s="618"/>
      <c r="J960" s="618"/>
      <c r="K960" s="618"/>
      <c r="L960" s="618"/>
      <c r="M960" s="618"/>
      <c r="N960" s="618"/>
      <c r="O960" s="618"/>
      <c r="P960" s="618"/>
      <c r="Q960" s="618"/>
      <c r="R960" s="618"/>
      <c r="S960" s="618"/>
      <c r="T960" s="618"/>
      <c r="U960" s="618"/>
      <c r="V960" s="618"/>
      <c r="W960" s="618"/>
      <c r="X960" s="618"/>
      <c r="Y960" s="618"/>
      <c r="Z960" s="618"/>
      <c r="AA960" s="618"/>
      <c r="AB960" s="618"/>
    </row>
    <row r="961" spans="1:28">
      <c r="A961" s="618"/>
      <c r="B961" s="618"/>
      <c r="C961" s="618"/>
      <c r="D961" s="644"/>
      <c r="E961" s="618"/>
      <c r="F961" s="618"/>
      <c r="G961" s="618"/>
      <c r="H961" s="618"/>
      <c r="I961" s="618"/>
      <c r="J961" s="618"/>
      <c r="K961" s="618"/>
      <c r="L961" s="618"/>
      <c r="M961" s="618"/>
      <c r="N961" s="618"/>
      <c r="O961" s="618"/>
      <c r="P961" s="618"/>
      <c r="Q961" s="618"/>
      <c r="R961" s="618"/>
      <c r="S961" s="618"/>
      <c r="T961" s="618"/>
      <c r="U961" s="618"/>
      <c r="V961" s="618"/>
      <c r="W961" s="618"/>
      <c r="X961" s="618"/>
      <c r="Y961" s="618"/>
      <c r="Z961" s="618"/>
      <c r="AA961" s="618"/>
      <c r="AB961" s="618"/>
    </row>
    <row r="962" spans="1:28">
      <c r="A962" s="618"/>
      <c r="B962" s="618"/>
      <c r="C962" s="618"/>
      <c r="D962" s="644"/>
      <c r="E962" s="618"/>
      <c r="F962" s="618"/>
      <c r="G962" s="618"/>
      <c r="H962" s="618"/>
      <c r="I962" s="618"/>
      <c r="J962" s="618"/>
      <c r="K962" s="618"/>
      <c r="L962" s="618"/>
      <c r="M962" s="618"/>
      <c r="N962" s="618"/>
      <c r="O962" s="618"/>
      <c r="P962" s="618"/>
      <c r="Q962" s="618"/>
      <c r="R962" s="618"/>
      <c r="S962" s="618"/>
      <c r="T962" s="618"/>
      <c r="U962" s="618"/>
      <c r="V962" s="618"/>
      <c r="W962" s="618"/>
      <c r="X962" s="618"/>
      <c r="Y962" s="618"/>
      <c r="Z962" s="618"/>
      <c r="AA962" s="618"/>
      <c r="AB962" s="618"/>
    </row>
    <row r="963" spans="1:28">
      <c r="A963" s="618"/>
      <c r="B963" s="618"/>
      <c r="C963" s="618"/>
      <c r="D963" s="644"/>
      <c r="E963" s="618"/>
      <c r="F963" s="618"/>
      <c r="G963" s="618"/>
      <c r="H963" s="618"/>
      <c r="I963" s="618"/>
      <c r="J963" s="618"/>
      <c r="K963" s="618"/>
      <c r="L963" s="618"/>
      <c r="M963" s="618"/>
      <c r="N963" s="618"/>
      <c r="O963" s="618"/>
      <c r="P963" s="618"/>
      <c r="Q963" s="618"/>
      <c r="R963" s="618"/>
      <c r="S963" s="618"/>
      <c r="T963" s="618"/>
      <c r="U963" s="618"/>
      <c r="V963" s="618"/>
      <c r="W963" s="618"/>
      <c r="X963" s="618"/>
      <c r="Y963" s="618"/>
      <c r="Z963" s="618"/>
      <c r="AA963" s="618"/>
      <c r="AB963" s="618"/>
    </row>
    <row r="964" spans="1:28">
      <c r="A964" s="618"/>
      <c r="B964" s="618"/>
      <c r="C964" s="618"/>
      <c r="D964" s="644"/>
      <c r="E964" s="618"/>
      <c r="F964" s="618"/>
      <c r="G964" s="618"/>
      <c r="H964" s="618"/>
      <c r="I964" s="618"/>
      <c r="J964" s="618"/>
      <c r="K964" s="618"/>
      <c r="L964" s="618"/>
      <c r="M964" s="618"/>
      <c r="N964" s="618"/>
      <c r="O964" s="618"/>
      <c r="P964" s="618"/>
      <c r="Q964" s="618"/>
      <c r="R964" s="618"/>
      <c r="S964" s="618"/>
      <c r="T964" s="618"/>
      <c r="U964" s="618"/>
      <c r="V964" s="618"/>
      <c r="W964" s="618"/>
      <c r="X964" s="618"/>
      <c r="Y964" s="618"/>
      <c r="Z964" s="618"/>
      <c r="AA964" s="618"/>
      <c r="AB964" s="618"/>
    </row>
    <row r="965" spans="1:28">
      <c r="A965" s="618"/>
      <c r="B965" s="618"/>
      <c r="C965" s="618"/>
      <c r="D965" s="644"/>
      <c r="E965" s="618"/>
      <c r="F965" s="618"/>
      <c r="G965" s="618"/>
      <c r="H965" s="618"/>
      <c r="I965" s="618"/>
      <c r="J965" s="618"/>
      <c r="K965" s="618"/>
      <c r="L965" s="618"/>
      <c r="M965" s="618"/>
      <c r="N965" s="618"/>
      <c r="O965" s="618"/>
      <c r="P965" s="618"/>
      <c r="Q965" s="618"/>
      <c r="R965" s="618"/>
      <c r="S965" s="618"/>
      <c r="T965" s="618"/>
      <c r="U965" s="618"/>
      <c r="V965" s="618"/>
      <c r="W965" s="618"/>
      <c r="X965" s="618"/>
      <c r="Y965" s="618"/>
      <c r="Z965" s="618"/>
      <c r="AA965" s="618"/>
      <c r="AB965" s="618"/>
    </row>
    <row r="966" spans="1:28">
      <c r="A966" s="618"/>
      <c r="B966" s="618"/>
      <c r="C966" s="618"/>
      <c r="D966" s="644"/>
      <c r="E966" s="618"/>
      <c r="F966" s="618"/>
      <c r="G966" s="618"/>
      <c r="H966" s="618"/>
      <c r="I966" s="618"/>
      <c r="J966" s="618"/>
      <c r="K966" s="618"/>
      <c r="L966" s="618"/>
      <c r="M966" s="618"/>
      <c r="N966" s="618"/>
      <c r="O966" s="618"/>
      <c r="P966" s="618"/>
      <c r="Q966" s="618"/>
      <c r="R966" s="618"/>
      <c r="S966" s="618"/>
      <c r="T966" s="618"/>
      <c r="U966" s="618"/>
      <c r="V966" s="618"/>
      <c r="W966" s="618"/>
      <c r="X966" s="618"/>
      <c r="Y966" s="618"/>
      <c r="Z966" s="618"/>
      <c r="AA966" s="618"/>
      <c r="AB966" s="618"/>
    </row>
    <row r="967" spans="1:28">
      <c r="A967" s="618"/>
      <c r="B967" s="618"/>
      <c r="C967" s="618"/>
      <c r="D967" s="644"/>
      <c r="E967" s="618"/>
      <c r="F967" s="618"/>
      <c r="G967" s="618"/>
      <c r="H967" s="618"/>
      <c r="I967" s="618"/>
      <c r="J967" s="618"/>
      <c r="K967" s="618"/>
      <c r="L967" s="618"/>
      <c r="M967" s="618"/>
      <c r="N967" s="618"/>
      <c r="O967" s="618"/>
      <c r="P967" s="618"/>
      <c r="Q967" s="618"/>
      <c r="R967" s="618"/>
      <c r="S967" s="618"/>
      <c r="T967" s="618"/>
      <c r="U967" s="618"/>
      <c r="V967" s="618"/>
      <c r="W967" s="618"/>
      <c r="X967" s="618"/>
      <c r="Y967" s="618"/>
      <c r="Z967" s="618"/>
      <c r="AA967" s="618"/>
      <c r="AB967" s="618"/>
    </row>
    <row r="968" spans="1:28">
      <c r="A968" s="618"/>
      <c r="B968" s="618"/>
      <c r="C968" s="618"/>
      <c r="D968" s="644"/>
      <c r="E968" s="618"/>
      <c r="F968" s="618"/>
      <c r="G968" s="618"/>
      <c r="H968" s="618"/>
      <c r="I968" s="618"/>
      <c r="J968" s="618"/>
      <c r="K968" s="618"/>
      <c r="L968" s="618"/>
      <c r="M968" s="618"/>
      <c r="N968" s="618"/>
      <c r="O968" s="618"/>
      <c r="P968" s="618"/>
      <c r="Q968" s="618"/>
      <c r="R968" s="618"/>
      <c r="S968" s="618"/>
      <c r="T968" s="618"/>
      <c r="U968" s="618"/>
      <c r="V968" s="618"/>
      <c r="W968" s="618"/>
      <c r="X968" s="618"/>
      <c r="Y968" s="618"/>
      <c r="Z968" s="618"/>
      <c r="AA968" s="618"/>
      <c r="AB968" s="618"/>
    </row>
    <row r="969" spans="1:28">
      <c r="A969" s="618"/>
      <c r="B969" s="618"/>
      <c r="C969" s="618"/>
      <c r="D969" s="644"/>
      <c r="E969" s="618"/>
      <c r="F969" s="618"/>
      <c r="G969" s="618"/>
      <c r="H969" s="618"/>
      <c r="I969" s="618"/>
      <c r="J969" s="618"/>
      <c r="K969" s="618"/>
      <c r="L969" s="618"/>
      <c r="M969" s="618"/>
      <c r="N969" s="618"/>
      <c r="O969" s="618"/>
      <c r="P969" s="618"/>
      <c r="Q969" s="618"/>
      <c r="R969" s="618"/>
      <c r="S969" s="618"/>
      <c r="T969" s="618"/>
      <c r="U969" s="618"/>
      <c r="V969" s="618"/>
      <c r="W969" s="618"/>
      <c r="X969" s="618"/>
      <c r="Y969" s="618"/>
      <c r="Z969" s="618"/>
      <c r="AA969" s="618"/>
      <c r="AB969" s="618"/>
    </row>
    <row r="970" spans="1:28">
      <c r="A970" s="618"/>
      <c r="B970" s="618"/>
      <c r="C970" s="618"/>
      <c r="D970" s="644"/>
      <c r="E970" s="618"/>
      <c r="F970" s="618"/>
      <c r="G970" s="618"/>
      <c r="H970" s="618"/>
      <c r="I970" s="618"/>
      <c r="J970" s="618"/>
      <c r="K970" s="618"/>
      <c r="L970" s="618"/>
      <c r="M970" s="618"/>
      <c r="N970" s="618"/>
      <c r="O970" s="618"/>
      <c r="P970" s="618"/>
      <c r="Q970" s="618"/>
      <c r="R970" s="618"/>
      <c r="S970" s="618"/>
      <c r="T970" s="618"/>
      <c r="U970" s="618"/>
      <c r="V970" s="618"/>
      <c r="W970" s="618"/>
      <c r="X970" s="618"/>
      <c r="Y970" s="618"/>
      <c r="Z970" s="618"/>
      <c r="AA970" s="618"/>
      <c r="AB970" s="618"/>
    </row>
    <row r="971" spans="1:28">
      <c r="A971" s="618"/>
      <c r="B971" s="618"/>
      <c r="C971" s="618"/>
      <c r="D971" s="644"/>
      <c r="E971" s="618"/>
      <c r="F971" s="618"/>
      <c r="G971" s="618"/>
      <c r="H971" s="618"/>
      <c r="I971" s="618"/>
      <c r="J971" s="618"/>
      <c r="K971" s="618"/>
      <c r="L971" s="618"/>
      <c r="M971" s="618"/>
      <c r="N971" s="618"/>
      <c r="O971" s="618"/>
      <c r="P971" s="618"/>
      <c r="Q971" s="618"/>
      <c r="R971" s="618"/>
      <c r="S971" s="618"/>
      <c r="T971" s="618"/>
      <c r="U971" s="618"/>
      <c r="V971" s="618"/>
      <c r="W971" s="618"/>
      <c r="X971" s="618"/>
      <c r="Y971" s="618"/>
      <c r="Z971" s="618"/>
      <c r="AA971" s="618"/>
      <c r="AB971" s="618"/>
    </row>
    <row r="972" spans="1:28">
      <c r="A972" s="618"/>
      <c r="B972" s="618"/>
      <c r="C972" s="618"/>
      <c r="D972" s="644"/>
      <c r="E972" s="618"/>
      <c r="F972" s="618"/>
      <c r="G972" s="618"/>
      <c r="H972" s="618"/>
      <c r="I972" s="618"/>
      <c r="J972" s="618"/>
      <c r="K972" s="618"/>
      <c r="L972" s="618"/>
      <c r="M972" s="618"/>
      <c r="N972" s="618"/>
      <c r="O972" s="618"/>
      <c r="P972" s="618"/>
      <c r="Q972" s="618"/>
      <c r="R972" s="618"/>
      <c r="S972" s="618"/>
      <c r="T972" s="618"/>
      <c r="U972" s="618"/>
      <c r="V972" s="618"/>
      <c r="W972" s="618"/>
      <c r="X972" s="618"/>
      <c r="Y972" s="618"/>
      <c r="Z972" s="618"/>
      <c r="AA972" s="618"/>
      <c r="AB972" s="618"/>
    </row>
    <row r="973" spans="1:28">
      <c r="A973" s="618"/>
      <c r="B973" s="618"/>
      <c r="C973" s="618"/>
      <c r="D973" s="644"/>
      <c r="E973" s="618"/>
      <c r="F973" s="618"/>
      <c r="G973" s="618"/>
      <c r="H973" s="618"/>
      <c r="I973" s="618"/>
      <c r="J973" s="618"/>
      <c r="K973" s="618"/>
      <c r="L973" s="618"/>
      <c r="M973" s="618"/>
      <c r="N973" s="618"/>
      <c r="O973" s="618"/>
      <c r="P973" s="618"/>
      <c r="Q973" s="618"/>
      <c r="R973" s="618"/>
      <c r="S973" s="618"/>
      <c r="T973" s="618"/>
      <c r="U973" s="618"/>
      <c r="V973" s="618"/>
      <c r="W973" s="618"/>
      <c r="X973" s="618"/>
      <c r="Y973" s="618"/>
      <c r="Z973" s="618"/>
      <c r="AA973" s="618"/>
      <c r="AB973" s="618"/>
    </row>
    <row r="974" spans="1:28">
      <c r="A974" s="618"/>
      <c r="B974" s="618"/>
      <c r="C974" s="618"/>
      <c r="D974" s="644"/>
      <c r="E974" s="618"/>
      <c r="F974" s="618"/>
      <c r="G974" s="618"/>
      <c r="H974" s="618"/>
      <c r="I974" s="618"/>
      <c r="J974" s="618"/>
      <c r="K974" s="618"/>
      <c r="L974" s="618"/>
      <c r="M974" s="618"/>
      <c r="N974" s="618"/>
      <c r="O974" s="618"/>
      <c r="P974" s="618"/>
      <c r="Q974" s="618"/>
      <c r="R974" s="618"/>
      <c r="S974" s="618"/>
      <c r="T974" s="618"/>
      <c r="U974" s="618"/>
      <c r="V974" s="618"/>
      <c r="W974" s="618"/>
      <c r="X974" s="618"/>
      <c r="Y974" s="618"/>
      <c r="Z974" s="618"/>
      <c r="AA974" s="618"/>
      <c r="AB974" s="618"/>
    </row>
    <row r="975" spans="1:28">
      <c r="A975" s="618"/>
      <c r="B975" s="618"/>
      <c r="C975" s="618"/>
      <c r="D975" s="644"/>
      <c r="E975" s="618"/>
      <c r="F975" s="618"/>
      <c r="G975" s="618"/>
      <c r="H975" s="618"/>
      <c r="I975" s="618"/>
      <c r="J975" s="618"/>
      <c r="K975" s="618"/>
      <c r="L975" s="618"/>
      <c r="M975" s="618"/>
      <c r="N975" s="618"/>
      <c r="O975" s="618"/>
      <c r="P975" s="618"/>
      <c r="Q975" s="618"/>
      <c r="R975" s="618"/>
      <c r="S975" s="618"/>
      <c r="T975" s="618"/>
      <c r="U975" s="618"/>
      <c r="V975" s="618"/>
      <c r="W975" s="618"/>
      <c r="X975" s="618"/>
      <c r="Y975" s="618"/>
      <c r="Z975" s="618"/>
      <c r="AA975" s="618"/>
      <c r="AB975" s="618"/>
    </row>
    <row r="976" spans="1:28">
      <c r="A976" s="618"/>
      <c r="B976" s="618"/>
      <c r="C976" s="618"/>
      <c r="D976" s="644"/>
      <c r="E976" s="618"/>
      <c r="F976" s="618"/>
      <c r="G976" s="618"/>
      <c r="H976" s="618"/>
      <c r="I976" s="618"/>
      <c r="J976" s="618"/>
      <c r="K976" s="618"/>
      <c r="L976" s="618"/>
      <c r="M976" s="618"/>
      <c r="N976" s="618"/>
      <c r="O976" s="618"/>
      <c r="P976" s="618"/>
      <c r="Q976" s="618"/>
      <c r="R976" s="618"/>
      <c r="S976" s="618"/>
      <c r="T976" s="618"/>
      <c r="U976" s="618"/>
      <c r="V976" s="618"/>
      <c r="W976" s="618"/>
      <c r="X976" s="618"/>
      <c r="Y976" s="618"/>
      <c r="Z976" s="618"/>
      <c r="AA976" s="618"/>
      <c r="AB976" s="618"/>
    </row>
    <row r="977" spans="1:28">
      <c r="A977" s="618"/>
      <c r="B977" s="618"/>
      <c r="C977" s="618"/>
      <c r="D977" s="644"/>
      <c r="E977" s="618"/>
      <c r="F977" s="618"/>
      <c r="G977" s="618"/>
      <c r="H977" s="618"/>
      <c r="I977" s="618"/>
      <c r="J977" s="618"/>
      <c r="K977" s="618"/>
      <c r="L977" s="618"/>
      <c r="M977" s="618"/>
      <c r="N977" s="618"/>
      <c r="O977" s="618"/>
      <c r="P977" s="618"/>
      <c r="Q977" s="618"/>
      <c r="R977" s="618"/>
      <c r="S977" s="618"/>
      <c r="T977" s="618"/>
      <c r="U977" s="618"/>
      <c r="V977" s="618"/>
      <c r="W977" s="618"/>
      <c r="X977" s="618"/>
      <c r="Y977" s="618"/>
      <c r="Z977" s="618"/>
      <c r="AA977" s="618"/>
      <c r="AB977" s="618"/>
    </row>
    <row r="978" spans="1:28">
      <c r="A978" s="618"/>
      <c r="B978" s="618"/>
      <c r="C978" s="618"/>
      <c r="D978" s="644"/>
      <c r="E978" s="618"/>
      <c r="F978" s="618"/>
      <c r="G978" s="618"/>
      <c r="H978" s="618"/>
      <c r="I978" s="618"/>
      <c r="J978" s="618"/>
      <c r="K978" s="618"/>
      <c r="L978" s="618"/>
      <c r="M978" s="618"/>
      <c r="N978" s="618"/>
      <c r="O978" s="618"/>
      <c r="P978" s="618"/>
      <c r="Q978" s="618"/>
      <c r="R978" s="618"/>
      <c r="S978" s="618"/>
      <c r="T978" s="618"/>
      <c r="U978" s="618"/>
      <c r="V978" s="618"/>
      <c r="W978" s="618"/>
      <c r="X978" s="618"/>
      <c r="Y978" s="618"/>
      <c r="Z978" s="618"/>
      <c r="AA978" s="618"/>
      <c r="AB978" s="618"/>
    </row>
    <row r="979" spans="1:28">
      <c r="A979" s="618"/>
      <c r="B979" s="618"/>
      <c r="C979" s="618"/>
      <c r="D979" s="644"/>
      <c r="E979" s="618"/>
      <c r="F979" s="618"/>
      <c r="G979" s="618"/>
      <c r="H979" s="618"/>
      <c r="I979" s="618"/>
      <c r="J979" s="618"/>
      <c r="K979" s="618"/>
      <c r="L979" s="618"/>
      <c r="M979" s="618"/>
      <c r="N979" s="618"/>
      <c r="O979" s="618"/>
      <c r="P979" s="618"/>
      <c r="Q979" s="618"/>
      <c r="R979" s="618"/>
      <c r="S979" s="618"/>
      <c r="T979" s="618"/>
      <c r="U979" s="618"/>
      <c r="V979" s="618"/>
      <c r="W979" s="618"/>
      <c r="X979" s="618"/>
      <c r="Y979" s="618"/>
      <c r="Z979" s="618"/>
      <c r="AA979" s="618"/>
      <c r="AB979" s="618"/>
    </row>
    <row r="980" spans="1:28">
      <c r="A980" s="618"/>
      <c r="B980" s="618"/>
      <c r="C980" s="618"/>
      <c r="D980" s="644"/>
      <c r="E980" s="618"/>
      <c r="F980" s="618"/>
      <c r="G980" s="618"/>
      <c r="H980" s="618"/>
      <c r="I980" s="618"/>
      <c r="J980" s="618"/>
      <c r="K980" s="618"/>
      <c r="L980" s="618"/>
      <c r="M980" s="618"/>
      <c r="N980" s="618"/>
      <c r="O980" s="618"/>
      <c r="P980" s="618"/>
      <c r="Q980" s="618"/>
      <c r="R980" s="618"/>
      <c r="S980" s="618"/>
      <c r="T980" s="618"/>
      <c r="U980" s="618"/>
      <c r="V980" s="618"/>
      <c r="W980" s="618"/>
      <c r="X980" s="618"/>
      <c r="Y980" s="618"/>
      <c r="Z980" s="618"/>
      <c r="AA980" s="618"/>
      <c r="AB980" s="618"/>
    </row>
    <row r="981" spans="1:28">
      <c r="A981" s="618"/>
      <c r="B981" s="618"/>
      <c r="C981" s="618"/>
      <c r="D981" s="644"/>
      <c r="E981" s="618"/>
      <c r="F981" s="618"/>
      <c r="G981" s="618"/>
      <c r="H981" s="618"/>
      <c r="I981" s="618"/>
      <c r="J981" s="618"/>
      <c r="K981" s="618"/>
      <c r="L981" s="618"/>
      <c r="M981" s="618"/>
      <c r="N981" s="618"/>
      <c r="O981" s="618"/>
      <c r="P981" s="618"/>
      <c r="Q981" s="618"/>
      <c r="R981" s="618"/>
      <c r="S981" s="618"/>
      <c r="T981" s="618"/>
      <c r="U981" s="618"/>
      <c r="V981" s="618"/>
      <c r="W981" s="618"/>
      <c r="X981" s="618"/>
      <c r="Y981" s="618"/>
      <c r="Z981" s="618"/>
      <c r="AA981" s="618"/>
      <c r="AB981" s="618"/>
    </row>
    <row r="982" spans="1:28">
      <c r="A982" s="618"/>
      <c r="B982" s="618"/>
      <c r="C982" s="618"/>
      <c r="D982" s="644"/>
      <c r="E982" s="618"/>
      <c r="F982" s="618"/>
      <c r="G982" s="618"/>
      <c r="H982" s="618"/>
      <c r="I982" s="618"/>
      <c r="J982" s="618"/>
      <c r="K982" s="618"/>
      <c r="L982" s="618"/>
      <c r="M982" s="618"/>
      <c r="N982" s="618"/>
      <c r="O982" s="618"/>
      <c r="P982" s="618"/>
      <c r="Q982" s="618"/>
      <c r="R982" s="618"/>
      <c r="S982" s="618"/>
      <c r="T982" s="618"/>
      <c r="U982" s="618"/>
      <c r="V982" s="618"/>
      <c r="W982" s="618"/>
      <c r="X982" s="618"/>
      <c r="Y982" s="618"/>
      <c r="Z982" s="618"/>
      <c r="AA982" s="618"/>
      <c r="AB982" s="618"/>
    </row>
    <row r="983" spans="1:28">
      <c r="B983" s="618"/>
      <c r="C983" s="618"/>
      <c r="D983" s="644"/>
      <c r="E983" s="618"/>
      <c r="F983" s="618"/>
      <c r="G983" s="618"/>
      <c r="H983" s="618"/>
      <c r="I983" s="618"/>
      <c r="J983" s="618"/>
      <c r="K983" s="618"/>
      <c r="L983" s="618"/>
      <c r="M983" s="618"/>
      <c r="N983" s="618"/>
      <c r="O983" s="618"/>
      <c r="P983" s="618"/>
      <c r="Q983" s="618"/>
      <c r="R983" s="618"/>
      <c r="S983" s="618"/>
      <c r="T983" s="618"/>
      <c r="U983" s="618"/>
      <c r="V983" s="618"/>
      <c r="W983" s="618"/>
      <c r="X983" s="618"/>
      <c r="Y983" s="618"/>
      <c r="Z983" s="618"/>
      <c r="AA983" s="618"/>
      <c r="AB983" s="618"/>
    </row>
    <row r="984" spans="1:28">
      <c r="B984" s="618"/>
      <c r="C984" s="618"/>
      <c r="D984" s="644"/>
      <c r="E984" s="618"/>
      <c r="F984" s="618"/>
      <c r="G984" s="618"/>
      <c r="H984" s="618"/>
      <c r="I984" s="618"/>
      <c r="J984" s="618"/>
      <c r="K984" s="618"/>
      <c r="L984" s="618"/>
      <c r="M984" s="618"/>
      <c r="N984" s="618"/>
      <c r="O984" s="618"/>
      <c r="P984" s="618"/>
      <c r="Q984" s="618"/>
      <c r="R984" s="618"/>
      <c r="S984" s="618"/>
      <c r="T984" s="618"/>
      <c r="U984" s="618"/>
      <c r="V984" s="618"/>
      <c r="W984" s="618"/>
      <c r="X984" s="618"/>
      <c r="Y984" s="618"/>
      <c r="Z984" s="618"/>
      <c r="AA984" s="618"/>
      <c r="AB984" s="618"/>
    </row>
    <row r="985" spans="1:28">
      <c r="B985" s="618"/>
      <c r="C985" s="618"/>
      <c r="D985" s="644"/>
      <c r="E985" s="618"/>
      <c r="F985" s="618"/>
      <c r="G985" s="618"/>
      <c r="H985" s="618"/>
      <c r="I985" s="618"/>
      <c r="J985" s="618"/>
      <c r="K985" s="618"/>
      <c r="L985" s="618"/>
      <c r="M985" s="618"/>
      <c r="N985" s="618"/>
      <c r="O985" s="618"/>
      <c r="P985" s="618"/>
      <c r="Q985" s="618"/>
      <c r="R985" s="618"/>
      <c r="S985" s="618"/>
      <c r="T985" s="618"/>
      <c r="U985" s="618"/>
      <c r="V985" s="618"/>
      <c r="W985" s="618"/>
      <c r="X985" s="618"/>
      <c r="Y985" s="618"/>
      <c r="Z985" s="618"/>
      <c r="AA985" s="618"/>
      <c r="AB985" s="618"/>
    </row>
    <row r="986" spans="1:28">
      <c r="B986" s="618"/>
      <c r="C986" s="618"/>
      <c r="D986" s="644"/>
      <c r="E986" s="618"/>
      <c r="F986" s="618"/>
      <c r="G986" s="618"/>
      <c r="H986" s="618"/>
      <c r="I986" s="618"/>
      <c r="J986" s="618"/>
      <c r="K986" s="618"/>
      <c r="L986" s="618"/>
      <c r="M986" s="618"/>
      <c r="N986" s="618"/>
      <c r="O986" s="618"/>
      <c r="P986" s="618"/>
      <c r="Q986" s="618"/>
      <c r="R986" s="618"/>
      <c r="S986" s="618"/>
      <c r="T986" s="618"/>
      <c r="U986" s="618"/>
      <c r="V986" s="618"/>
      <c r="W986" s="618"/>
      <c r="X986" s="618"/>
      <c r="Y986" s="618"/>
      <c r="Z986" s="618"/>
      <c r="AA986" s="618"/>
      <c r="AB986" s="618"/>
    </row>
    <row r="987" spans="1:28">
      <c r="B987" s="618"/>
      <c r="C987" s="618"/>
      <c r="D987" s="644"/>
      <c r="E987" s="618"/>
      <c r="F987" s="618"/>
      <c r="G987" s="618"/>
      <c r="H987" s="618"/>
      <c r="I987" s="618"/>
      <c r="J987" s="618"/>
      <c r="K987" s="618"/>
      <c r="L987" s="618"/>
      <c r="M987" s="618"/>
      <c r="N987" s="618"/>
      <c r="O987" s="618"/>
      <c r="P987" s="618"/>
      <c r="Q987" s="618"/>
      <c r="R987" s="618"/>
      <c r="S987" s="618"/>
      <c r="T987" s="618"/>
      <c r="U987" s="618"/>
      <c r="V987" s="618"/>
      <c r="W987" s="618"/>
      <c r="X987" s="618"/>
      <c r="Y987" s="618"/>
      <c r="Z987" s="618"/>
      <c r="AA987" s="618"/>
      <c r="AB987" s="618"/>
    </row>
    <row r="988" spans="1:28">
      <c r="D988" s="644"/>
      <c r="E988" s="618"/>
      <c r="F988" s="618"/>
      <c r="G988" s="618"/>
      <c r="H988" s="618"/>
      <c r="I988" s="618"/>
      <c r="J988" s="618"/>
      <c r="K988" s="618"/>
      <c r="L988" s="618"/>
      <c r="M988" s="618"/>
      <c r="N988" s="618"/>
      <c r="O988" s="618"/>
      <c r="P988" s="618"/>
      <c r="Q988" s="618"/>
      <c r="R988" s="618"/>
      <c r="S988" s="618"/>
      <c r="T988" s="618"/>
      <c r="U988" s="618"/>
      <c r="V988" s="618"/>
      <c r="W988" s="618"/>
      <c r="X988" s="618"/>
      <c r="Y988" s="618"/>
      <c r="Z988" s="618"/>
      <c r="AA988" s="618"/>
      <c r="AB988" s="618"/>
    </row>
    <row r="989" spans="1:28">
      <c r="D989" s="644"/>
      <c r="E989" s="618"/>
      <c r="F989" s="618"/>
      <c r="G989" s="618"/>
      <c r="H989" s="618"/>
      <c r="I989" s="618"/>
      <c r="J989" s="618"/>
      <c r="K989" s="618"/>
      <c r="L989" s="618"/>
      <c r="M989" s="618"/>
      <c r="N989" s="618"/>
      <c r="O989" s="618"/>
      <c r="P989" s="618"/>
      <c r="Q989" s="618"/>
      <c r="R989" s="618"/>
      <c r="S989" s="618"/>
      <c r="T989" s="618"/>
      <c r="U989" s="618"/>
      <c r="V989" s="618"/>
      <c r="W989" s="618"/>
      <c r="X989" s="618"/>
      <c r="Y989" s="618"/>
      <c r="Z989" s="618"/>
      <c r="AA989" s="618"/>
      <c r="AB989" s="618"/>
    </row>
    <row r="990" spans="1:28">
      <c r="D990" s="644"/>
      <c r="E990" s="618"/>
      <c r="F990" s="618"/>
      <c r="G990" s="618"/>
      <c r="H990" s="618"/>
      <c r="I990" s="618"/>
      <c r="J990" s="618"/>
      <c r="K990" s="618"/>
      <c r="L990" s="618"/>
      <c r="M990" s="618"/>
      <c r="N990" s="618"/>
      <c r="O990" s="618"/>
      <c r="P990" s="618"/>
      <c r="Q990" s="618"/>
      <c r="R990" s="618"/>
      <c r="S990" s="618"/>
      <c r="T990" s="618"/>
      <c r="U990" s="618"/>
      <c r="V990" s="618"/>
      <c r="W990" s="618"/>
      <c r="X990" s="618"/>
      <c r="Y990" s="618"/>
      <c r="Z990" s="618"/>
      <c r="AA990" s="618"/>
      <c r="AB990" s="618"/>
    </row>
  </sheetData>
  <mergeCells count="17">
    <mergeCell ref="A37:A49"/>
    <mergeCell ref="H23:J23"/>
    <mergeCell ref="A2:E2"/>
    <mergeCell ref="A16:B16"/>
    <mergeCell ref="A110:A113"/>
    <mergeCell ref="A97:A109"/>
    <mergeCell ref="A17:A29"/>
    <mergeCell ref="A36:B36"/>
    <mergeCell ref="A77:A89"/>
    <mergeCell ref="A56:B56"/>
    <mergeCell ref="A57:A69"/>
    <mergeCell ref="A90:A93"/>
    <mergeCell ref="A96:B96"/>
    <mergeCell ref="A70:A73"/>
    <mergeCell ref="A76:B76"/>
    <mergeCell ref="A30:A33"/>
    <mergeCell ref="A50:A53"/>
  </mergeCells>
  <hyperlinks>
    <hyperlink ref="A1" location="Index!A1" display="Index!A1"/>
  </hyperlink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FC5E8"/>
  </sheetPr>
  <dimension ref="A1:AA1049"/>
  <sheetViews>
    <sheetView zoomScale="80" zoomScaleNormal="80" workbookViewId="0">
      <selection activeCell="A215" sqref="A215:K274"/>
    </sheetView>
  </sheetViews>
  <sheetFormatPr defaultColWidth="14.33203125" defaultRowHeight="14.25"/>
  <cols>
    <col min="1" max="1" width="55.33203125" bestFit="1" customWidth="1"/>
    <col min="2" max="2" width="24.796875" bestFit="1" customWidth="1"/>
    <col min="3" max="3" width="51.1328125" bestFit="1" customWidth="1"/>
    <col min="4" max="4" width="8.6640625" bestFit="1" customWidth="1"/>
    <col min="5" max="5" width="11.6640625" bestFit="1" customWidth="1"/>
    <col min="6" max="6" width="9.1328125" bestFit="1" customWidth="1"/>
    <col min="7" max="7" width="9" bestFit="1" customWidth="1"/>
    <col min="8" max="8" width="12.6640625" customWidth="1"/>
    <col min="9" max="9" width="14" bestFit="1" customWidth="1"/>
    <col min="10" max="10" width="6.6640625" bestFit="1" customWidth="1"/>
    <col min="11" max="11" width="23.796875" bestFit="1" customWidth="1"/>
    <col min="12" max="12" width="12.6640625" bestFit="1" customWidth="1"/>
    <col min="13" max="16" width="7" bestFit="1" customWidth="1"/>
    <col min="17" max="27" width="10.796875" customWidth="1"/>
  </cols>
  <sheetData>
    <row r="1" spans="1:27" s="739" customFormat="1">
      <c r="A1" s="765" t="s">
        <v>0</v>
      </c>
    </row>
    <row r="2" spans="1:27" ht="15.75">
      <c r="A2" s="1376" t="s">
        <v>779</v>
      </c>
      <c r="B2" s="1297"/>
      <c r="C2" s="1297"/>
      <c r="D2" s="1297"/>
      <c r="E2" s="1297"/>
      <c r="F2" s="1297"/>
      <c r="G2" s="1297"/>
      <c r="H2" s="1297"/>
      <c r="I2" s="1297"/>
      <c r="J2" s="6"/>
      <c r="K2" s="6"/>
      <c r="L2" s="6"/>
      <c r="M2" s="139"/>
      <c r="T2" s="613"/>
      <c r="U2" s="139"/>
      <c r="V2" s="139"/>
      <c r="W2" s="139"/>
      <c r="X2" s="139"/>
      <c r="Y2" s="139"/>
      <c r="Z2" s="139"/>
      <c r="AA2" s="139"/>
    </row>
    <row r="3" spans="1:27" ht="15.75">
      <c r="A3" s="1377" t="s">
        <v>457</v>
      </c>
      <c r="B3" s="1345"/>
      <c r="C3" s="1345"/>
      <c r="D3" s="1345"/>
      <c r="E3" s="1345"/>
      <c r="F3" s="1345"/>
      <c r="G3" s="1345"/>
      <c r="H3" s="1345"/>
      <c r="I3" s="1346"/>
      <c r="K3" s="13"/>
      <c r="L3" s="13"/>
      <c r="M3" s="139"/>
      <c r="N3" s="613"/>
      <c r="O3" s="613"/>
      <c r="P3" s="613"/>
      <c r="Q3" s="613"/>
      <c r="R3" s="613"/>
      <c r="S3" s="613"/>
      <c r="X3" s="139"/>
      <c r="Y3" s="139"/>
      <c r="Z3" s="139"/>
      <c r="AA3" s="139"/>
    </row>
    <row r="4" spans="1:27" ht="15.75">
      <c r="A4" s="1378"/>
      <c r="B4" s="1361"/>
      <c r="C4" s="1361"/>
      <c r="D4" s="1361"/>
      <c r="E4" s="1361"/>
      <c r="F4" s="1361"/>
      <c r="G4" s="1361"/>
      <c r="H4" s="1361"/>
      <c r="I4" s="1320"/>
      <c r="K4" s="13"/>
      <c r="L4" s="13"/>
      <c r="M4" s="139"/>
      <c r="N4" s="613"/>
      <c r="O4" s="613"/>
      <c r="P4" s="613"/>
      <c r="Q4" s="613"/>
      <c r="R4" s="613"/>
      <c r="S4" s="613"/>
      <c r="X4" s="139"/>
      <c r="Y4" s="139"/>
      <c r="Z4" s="139"/>
      <c r="AA4" s="139"/>
    </row>
    <row r="5" spans="1:27" ht="15.75">
      <c r="A5" s="619"/>
      <c r="B5" s="620" t="s">
        <v>683</v>
      </c>
      <c r="C5" s="621" t="s">
        <v>783</v>
      </c>
      <c r="D5" s="622" t="s">
        <v>658</v>
      </c>
      <c r="E5" s="621" t="s">
        <v>785</v>
      </c>
      <c r="F5" s="622" t="s">
        <v>786</v>
      </c>
      <c r="G5" s="622" t="s">
        <v>787</v>
      </c>
      <c r="H5" s="621" t="s">
        <v>788</v>
      </c>
      <c r="I5" s="621" t="s">
        <v>520</v>
      </c>
      <c r="K5" s="624" t="s">
        <v>789</v>
      </c>
      <c r="L5" s="624" t="s">
        <v>4</v>
      </c>
      <c r="M5" s="624" t="s">
        <v>61</v>
      </c>
      <c r="N5" s="624" t="s">
        <v>63</v>
      </c>
      <c r="O5" s="624" t="s">
        <v>65</v>
      </c>
      <c r="P5" s="624" t="s">
        <v>67</v>
      </c>
      <c r="X5" s="139"/>
      <c r="Y5" s="139"/>
      <c r="Z5" s="139"/>
      <c r="AA5" s="139"/>
    </row>
    <row r="6" spans="1:27" ht="15.75">
      <c r="A6" s="626" t="s">
        <v>790</v>
      </c>
      <c r="B6" s="787"/>
      <c r="C6" s="629"/>
      <c r="D6" s="630"/>
      <c r="E6" s="631"/>
      <c r="F6" s="632"/>
      <c r="G6" s="630"/>
      <c r="H6" s="629"/>
      <c r="I6" s="629"/>
      <c r="K6" s="634" t="s">
        <v>792</v>
      </c>
      <c r="L6" s="636">
        <f>COGS!B5</f>
        <v>12</v>
      </c>
      <c r="M6" s="636">
        <f>COGS!C5</f>
        <v>16</v>
      </c>
      <c r="N6" s="636">
        <f>COGS!D5</f>
        <v>18</v>
      </c>
      <c r="O6" s="636">
        <f>COGS!E5</f>
        <v>28</v>
      </c>
      <c r="P6" s="636">
        <f>COGS!F5</f>
        <v>32</v>
      </c>
      <c r="X6" s="139"/>
      <c r="Y6" s="139"/>
      <c r="Z6" s="139"/>
      <c r="AA6" s="139"/>
    </row>
    <row r="7" spans="1:27" ht="15.75">
      <c r="A7" s="637" t="s">
        <v>793</v>
      </c>
      <c r="B7" s="788" t="str">
        <f>HYPERLINK("https://www.microsoft.com/en-us/dynamics365/pricing","Microsoft Dynamics")</f>
        <v>Microsoft Dynamics</v>
      </c>
      <c r="C7" s="629">
        <v>600</v>
      </c>
      <c r="D7" s="630">
        <v>4</v>
      </c>
      <c r="E7" s="631">
        <v>5000</v>
      </c>
      <c r="F7" s="632"/>
      <c r="G7" s="630">
        <f t="shared" ref="G7:G10" si="0">$L$10</f>
        <v>23</v>
      </c>
      <c r="H7" s="629">
        <f>C7*G7*'OM Assumptions'!$B$43*D7</f>
        <v>2760</v>
      </c>
      <c r="I7" s="629">
        <f t="shared" ref="I7:I8" si="1">C7*G7*D7+E7+H7</f>
        <v>62960</v>
      </c>
      <c r="K7" s="634" t="s">
        <v>794</v>
      </c>
      <c r="L7" s="636">
        <f>COGS!B14</f>
        <v>1</v>
      </c>
      <c r="M7" s="636">
        <f>COGS!C14</f>
        <v>1</v>
      </c>
      <c r="N7" s="636">
        <f>COGS!D14</f>
        <v>1</v>
      </c>
      <c r="O7" s="636">
        <f>COGS!E14</f>
        <v>2</v>
      </c>
      <c r="P7" s="636">
        <f>COGS!F14</f>
        <v>2</v>
      </c>
      <c r="X7" s="139"/>
      <c r="Y7" s="139"/>
      <c r="Z7" s="139"/>
      <c r="AA7" s="139"/>
    </row>
    <row r="8" spans="1:27" ht="15.75">
      <c r="A8" s="637" t="s">
        <v>796</v>
      </c>
      <c r="B8" s="789" t="str">
        <f>HYPERLINK("https://products.office.com/en-us/business/office-365-enterprise-e3-business-software","Microsoft")</f>
        <v>Microsoft</v>
      </c>
      <c r="C8" s="631">
        <v>20</v>
      </c>
      <c r="D8" s="630">
        <v>4</v>
      </c>
      <c r="E8" s="629"/>
      <c r="F8" s="632"/>
      <c r="G8" s="630">
        <f t="shared" si="0"/>
        <v>23</v>
      </c>
      <c r="H8" s="629"/>
      <c r="I8" s="629">
        <f t="shared" si="1"/>
        <v>1840</v>
      </c>
      <c r="K8" s="634" t="s">
        <v>797</v>
      </c>
      <c r="L8" s="634">
        <v>2</v>
      </c>
      <c r="M8" s="634">
        <v>2</v>
      </c>
      <c r="N8" s="634">
        <v>2</v>
      </c>
      <c r="O8" s="634">
        <v>2</v>
      </c>
      <c r="P8" s="634">
        <v>2</v>
      </c>
      <c r="X8" s="139"/>
      <c r="Y8" s="139"/>
      <c r="Z8" s="139"/>
      <c r="AA8" s="139"/>
    </row>
    <row r="9" spans="1:27" ht="15.75">
      <c r="A9" s="637" t="s">
        <v>798</v>
      </c>
      <c r="B9" s="788" t="str">
        <f>HYPERLINK("https://www.avg.com/en-us/internet-security-business-edition","AVG Software")</f>
        <v>AVG Software</v>
      </c>
      <c r="C9" s="631">
        <v>50.39</v>
      </c>
      <c r="D9" s="630"/>
      <c r="E9" s="629"/>
      <c r="F9" s="630">
        <v>1</v>
      </c>
      <c r="G9" s="630">
        <f t="shared" si="0"/>
        <v>23</v>
      </c>
      <c r="H9" s="629"/>
      <c r="I9" s="629">
        <f>C9*F9*G9</f>
        <v>1158.97</v>
      </c>
      <c r="K9" s="634" t="s">
        <v>800</v>
      </c>
      <c r="L9" s="647">
        <f>ACV!M11</f>
        <v>8</v>
      </c>
      <c r="M9" s="647">
        <f>ACV!M21</f>
        <v>8</v>
      </c>
      <c r="N9" s="647">
        <f>ACV!M33</f>
        <v>11</v>
      </c>
      <c r="O9" s="647">
        <f>ACV!M45</f>
        <v>15</v>
      </c>
      <c r="P9" s="647">
        <f>ACV!M58</f>
        <v>16</v>
      </c>
      <c r="X9" s="139"/>
      <c r="Y9" s="139"/>
      <c r="Z9" s="139"/>
      <c r="AA9" s="139"/>
    </row>
    <row r="10" spans="1:27" ht="15.75">
      <c r="A10" s="637" t="s">
        <v>803</v>
      </c>
      <c r="B10" s="788" t="str">
        <f>HYPERLINK("https://gsuite.google.com/pricing.html?tab_activeEl=tabset-companies","Google")</f>
        <v>Google</v>
      </c>
      <c r="C10" s="631">
        <v>10</v>
      </c>
      <c r="D10" s="630">
        <v>4</v>
      </c>
      <c r="E10" s="629"/>
      <c r="F10" s="632"/>
      <c r="G10" s="630">
        <f t="shared" si="0"/>
        <v>23</v>
      </c>
      <c r="H10" s="629"/>
      <c r="I10" s="629">
        <f>C10*D10*G10</f>
        <v>920</v>
      </c>
      <c r="K10" s="653" t="s">
        <v>635</v>
      </c>
      <c r="L10" s="636">
        <f t="shared" ref="L10:P10" si="2">SUM(L6:L9)</f>
        <v>23</v>
      </c>
      <c r="M10" s="636">
        <f t="shared" si="2"/>
        <v>27</v>
      </c>
      <c r="N10" s="636">
        <f t="shared" si="2"/>
        <v>32</v>
      </c>
      <c r="O10" s="636">
        <f t="shared" si="2"/>
        <v>47</v>
      </c>
      <c r="P10" s="636">
        <f t="shared" si="2"/>
        <v>52</v>
      </c>
      <c r="X10" s="139"/>
      <c r="Y10" s="139"/>
      <c r="Z10" s="139"/>
      <c r="AA10" s="139"/>
    </row>
    <row r="11" spans="1:27" ht="15.75">
      <c r="A11" s="637" t="s">
        <v>804</v>
      </c>
      <c r="B11" s="788" t="str">
        <f>HYPERLINK("https://dharmamerchantservices.com/business-2-business-processing/","Dharma Merchant Services")</f>
        <v>Dharma Merchant Services</v>
      </c>
      <c r="C11" s="631">
        <v>20</v>
      </c>
      <c r="D11" s="630">
        <v>4</v>
      </c>
      <c r="E11" s="629"/>
      <c r="F11" s="632"/>
      <c r="G11" s="630"/>
      <c r="H11" s="629"/>
      <c r="I11" s="629">
        <f t="shared" ref="I11:I12" si="3">C11*D11</f>
        <v>80</v>
      </c>
      <c r="K11" s="6"/>
      <c r="L11" s="6"/>
      <c r="M11" s="139"/>
      <c r="X11" s="139"/>
      <c r="Y11" s="139"/>
      <c r="Z11" s="139"/>
      <c r="AA11" s="139"/>
    </row>
    <row r="12" spans="1:27" ht="15.75">
      <c r="A12" s="637" t="s">
        <v>805</v>
      </c>
      <c r="B12" s="788" t="str">
        <f>HYPERLINK("http://www.delivrd.com/#pricing","Delivrd")</f>
        <v>Delivrd</v>
      </c>
      <c r="C12" s="631">
        <v>49.99</v>
      </c>
      <c r="D12" s="630">
        <v>4</v>
      </c>
      <c r="E12" s="631"/>
      <c r="F12" s="630"/>
      <c r="G12" s="630"/>
      <c r="H12" s="629"/>
      <c r="I12" s="629">
        <f t="shared" si="3"/>
        <v>199.96</v>
      </c>
      <c r="K12" s="1373" t="s">
        <v>806</v>
      </c>
      <c r="L12" s="1306"/>
      <c r="M12" s="139"/>
      <c r="X12" s="139"/>
      <c r="Y12" s="139"/>
      <c r="Z12" s="139"/>
      <c r="AA12" s="139"/>
    </row>
    <row r="13" spans="1:27" ht="15.75">
      <c r="A13" s="626" t="s">
        <v>807</v>
      </c>
      <c r="B13" s="790"/>
      <c r="C13" s="629"/>
      <c r="D13" s="630"/>
      <c r="E13" s="629"/>
      <c r="F13" s="632"/>
      <c r="G13" s="630"/>
      <c r="H13" s="629"/>
      <c r="I13" s="629"/>
      <c r="K13" s="656" t="s">
        <v>808</v>
      </c>
      <c r="L13" s="656">
        <v>4</v>
      </c>
      <c r="M13" s="139"/>
      <c r="X13" s="139"/>
      <c r="Y13" s="139"/>
      <c r="Z13" s="139"/>
      <c r="AA13" s="139"/>
    </row>
    <row r="14" spans="1:27" ht="15.75">
      <c r="A14" s="637" t="s">
        <v>809</v>
      </c>
      <c r="B14" s="787"/>
      <c r="C14" s="629"/>
      <c r="D14" s="630"/>
      <c r="E14" s="631">
        <v>1500</v>
      </c>
      <c r="F14" s="632"/>
      <c r="G14" s="630">
        <f t="shared" ref="G14:G15" si="4">$L$10</f>
        <v>23</v>
      </c>
      <c r="H14" s="629"/>
      <c r="I14" s="629">
        <f t="shared" ref="I14:I16" si="5">E14*G14</f>
        <v>34500</v>
      </c>
      <c r="K14" s="656" t="s">
        <v>810</v>
      </c>
      <c r="L14" s="656">
        <v>5</v>
      </c>
      <c r="M14" s="139"/>
      <c r="X14" s="139"/>
      <c r="Y14" s="139"/>
      <c r="Z14" s="139"/>
      <c r="AA14" s="139"/>
    </row>
    <row r="15" spans="1:27" ht="15.75">
      <c r="A15" s="637" t="s">
        <v>811</v>
      </c>
      <c r="B15" s="787"/>
      <c r="C15" s="629"/>
      <c r="D15" s="630"/>
      <c r="E15" s="631">
        <v>249</v>
      </c>
      <c r="F15" s="630"/>
      <c r="G15" s="630">
        <f t="shared" si="4"/>
        <v>23</v>
      </c>
      <c r="H15" s="629"/>
      <c r="I15" s="629">
        <f t="shared" si="5"/>
        <v>5727</v>
      </c>
      <c r="K15" s="656" t="s">
        <v>812</v>
      </c>
      <c r="L15" s="656">
        <v>30</v>
      </c>
      <c r="M15" s="139"/>
      <c r="X15" s="139"/>
      <c r="Y15" s="139"/>
      <c r="Z15" s="139"/>
      <c r="AA15" s="139"/>
    </row>
    <row r="16" spans="1:27" ht="15.75">
      <c r="A16" s="637" t="s">
        <v>813</v>
      </c>
      <c r="B16" s="787"/>
      <c r="C16" s="629"/>
      <c r="D16" s="630"/>
      <c r="E16" s="631">
        <v>1000</v>
      </c>
      <c r="F16" s="629"/>
      <c r="G16" s="661">
        <f t="shared" ref="G16:G17" si="6">$L$9+$L$7</f>
        <v>9</v>
      </c>
      <c r="H16" s="629"/>
      <c r="I16" s="629">
        <f t="shared" si="5"/>
        <v>9000</v>
      </c>
      <c r="K16" s="656" t="s">
        <v>814</v>
      </c>
      <c r="L16" s="656">
        <v>8</v>
      </c>
      <c r="M16" s="139"/>
      <c r="X16" s="139"/>
      <c r="Y16" s="139"/>
      <c r="Z16" s="139"/>
      <c r="AA16" s="139"/>
    </row>
    <row r="17" spans="1:27" ht="15.75">
      <c r="A17" s="637" t="s">
        <v>815</v>
      </c>
      <c r="B17" s="787"/>
      <c r="C17" s="629"/>
      <c r="D17" s="630"/>
      <c r="E17" s="631">
        <v>750</v>
      </c>
      <c r="F17" s="629"/>
      <c r="G17" s="661">
        <f t="shared" si="6"/>
        <v>9</v>
      </c>
      <c r="H17" s="629"/>
      <c r="I17" s="629">
        <f>E17*(G17/3)</f>
        <v>2250</v>
      </c>
      <c r="K17" s="656" t="s">
        <v>816</v>
      </c>
      <c r="L17" s="663">
        <v>50</v>
      </c>
      <c r="M17" s="139"/>
      <c r="X17" s="139"/>
      <c r="Y17" s="139"/>
      <c r="Z17" s="139"/>
      <c r="AA17" s="139"/>
    </row>
    <row r="18" spans="1:27" ht="15.75">
      <c r="A18" s="637" t="s">
        <v>817</v>
      </c>
      <c r="B18" s="787"/>
      <c r="C18" s="629"/>
      <c r="D18" s="630"/>
      <c r="E18" s="631">
        <v>1500</v>
      </c>
      <c r="F18" s="629"/>
      <c r="G18" s="632"/>
      <c r="H18" s="629"/>
      <c r="I18" s="629">
        <f t="shared" ref="I18:I20" si="7">E18</f>
        <v>1500</v>
      </c>
      <c r="K18" s="665" t="s">
        <v>818</v>
      </c>
      <c r="L18" s="667">
        <f>PRODUCT(L13:L17)</f>
        <v>240000</v>
      </c>
      <c r="M18" s="139"/>
      <c r="X18" s="139"/>
      <c r="Y18" s="139"/>
      <c r="Z18" s="139"/>
      <c r="AA18" s="139"/>
    </row>
    <row r="19" spans="1:27" ht="15.75">
      <c r="A19" s="637" t="s">
        <v>819</v>
      </c>
      <c r="B19" s="787"/>
      <c r="C19" s="629"/>
      <c r="D19" s="630"/>
      <c r="E19" s="631">
        <v>350</v>
      </c>
      <c r="F19" s="629"/>
      <c r="G19" s="632"/>
      <c r="H19" s="629"/>
      <c r="I19" s="629">
        <f t="shared" si="7"/>
        <v>350</v>
      </c>
      <c r="K19" s="599"/>
      <c r="L19" s="599"/>
      <c r="M19" s="139"/>
      <c r="X19" s="139"/>
      <c r="Y19" s="139"/>
      <c r="Z19" s="139"/>
      <c r="AA19" s="139"/>
    </row>
    <row r="20" spans="1:27" ht="15.75">
      <c r="A20" s="637" t="s">
        <v>820</v>
      </c>
      <c r="B20" s="787"/>
      <c r="C20" s="629"/>
      <c r="D20" s="630"/>
      <c r="E20" s="631">
        <v>1000</v>
      </c>
      <c r="F20" s="668"/>
      <c r="G20" s="632"/>
      <c r="H20" s="629"/>
      <c r="I20" s="629">
        <f t="shared" si="7"/>
        <v>1000</v>
      </c>
      <c r="K20" s="599"/>
      <c r="L20" s="599"/>
      <c r="M20" s="139"/>
      <c r="X20" s="139"/>
      <c r="Y20" s="139"/>
      <c r="Z20" s="139"/>
      <c r="AA20" s="139"/>
    </row>
    <row r="21" spans="1:27" ht="15.75">
      <c r="A21" s="637" t="s">
        <v>821</v>
      </c>
      <c r="B21" s="790"/>
      <c r="C21" s="629">
        <v>45</v>
      </c>
      <c r="D21" s="630">
        <v>4</v>
      </c>
      <c r="E21" s="631">
        <v>400</v>
      </c>
      <c r="F21" s="629"/>
      <c r="G21" s="632"/>
      <c r="H21" s="629"/>
      <c r="I21" s="629">
        <f>E21+C21*D21</f>
        <v>580</v>
      </c>
      <c r="K21" s="6"/>
      <c r="L21" s="6"/>
      <c r="M21" s="139"/>
      <c r="X21" s="139"/>
      <c r="Y21" s="139"/>
      <c r="Z21" s="139"/>
      <c r="AA21" s="139"/>
    </row>
    <row r="22" spans="1:27" ht="15.75">
      <c r="A22" s="626" t="s">
        <v>822</v>
      </c>
      <c r="B22" s="790"/>
      <c r="C22" s="629"/>
      <c r="D22" s="630"/>
      <c r="E22" s="631"/>
      <c r="F22" s="629"/>
      <c r="G22" s="632"/>
      <c r="H22" s="629"/>
      <c r="I22" s="629"/>
      <c r="K22" s="6"/>
      <c r="L22" s="6"/>
      <c r="M22" s="139"/>
      <c r="X22" s="139"/>
      <c r="Y22" s="139"/>
      <c r="Z22" s="139"/>
      <c r="AA22" s="139"/>
    </row>
    <row r="23" spans="1:27" ht="15.75">
      <c r="A23" s="637" t="s">
        <v>823</v>
      </c>
      <c r="B23" s="790"/>
      <c r="C23" s="629"/>
      <c r="D23" s="630"/>
      <c r="E23" s="631">
        <v>10000</v>
      </c>
      <c r="F23" s="629"/>
      <c r="G23" s="632"/>
      <c r="H23" s="629"/>
      <c r="I23" s="629">
        <f>E23</f>
        <v>10000</v>
      </c>
      <c r="K23" s="6"/>
      <c r="L23" s="6"/>
      <c r="M23" s="139"/>
      <c r="X23" s="139"/>
      <c r="Y23" s="139"/>
      <c r="Z23" s="139"/>
      <c r="AA23" s="139"/>
    </row>
    <row r="24" spans="1:27" ht="15.75">
      <c r="A24" s="637" t="s">
        <v>824</v>
      </c>
      <c r="B24" s="790"/>
      <c r="C24" s="631">
        <v>125</v>
      </c>
      <c r="D24" s="630">
        <v>4</v>
      </c>
      <c r="E24" s="629"/>
      <c r="F24" s="631"/>
      <c r="G24" s="632"/>
      <c r="H24" s="629"/>
      <c r="I24" s="629">
        <f>C24*D24</f>
        <v>500</v>
      </c>
      <c r="K24" s="6"/>
      <c r="L24" s="6"/>
      <c r="M24" s="139"/>
      <c r="X24" s="139"/>
      <c r="Y24" s="139"/>
      <c r="Z24" s="139"/>
      <c r="AA24" s="139"/>
    </row>
    <row r="25" spans="1:27" ht="15.75">
      <c r="A25" s="626" t="s">
        <v>826</v>
      </c>
      <c r="B25" s="790"/>
      <c r="C25" s="629"/>
      <c r="D25" s="630"/>
      <c r="E25" s="631"/>
      <c r="F25" s="629"/>
      <c r="G25" s="632"/>
      <c r="H25" s="629"/>
      <c r="I25" s="629"/>
      <c r="K25" s="6"/>
      <c r="L25" s="6"/>
      <c r="M25" s="139"/>
      <c r="X25" s="139"/>
      <c r="Y25" s="139"/>
      <c r="Z25" s="139"/>
      <c r="AA25" s="139"/>
    </row>
    <row r="26" spans="1:27" ht="15.75">
      <c r="A26" s="637" t="s">
        <v>827</v>
      </c>
      <c r="B26" s="788" t="str">
        <f>HYPERLINK("https://www.verizon.com/smallbusiness/products/business-internet/broadband-packages/","Verizon")</f>
        <v>Verizon</v>
      </c>
      <c r="C26" s="631">
        <v>32.5</v>
      </c>
      <c r="D26" s="630">
        <v>4</v>
      </c>
      <c r="E26" s="631">
        <v>149</v>
      </c>
      <c r="F26" s="631"/>
      <c r="G26" s="674">
        <f>$L$9+$L$7</f>
        <v>9</v>
      </c>
      <c r="H26" s="629"/>
      <c r="I26" s="629">
        <f>C26*G26*D26+F26</f>
        <v>1170</v>
      </c>
      <c r="K26" s="6"/>
      <c r="L26" s="6"/>
      <c r="M26" s="139"/>
      <c r="X26" s="139"/>
      <c r="Y26" s="139"/>
      <c r="Z26" s="139"/>
      <c r="AA26" s="139"/>
    </row>
    <row r="27" spans="1:27" ht="15.75">
      <c r="A27" s="637" t="s">
        <v>829</v>
      </c>
      <c r="B27" s="788" t="str">
        <f>HYPERLINK("http://www.verizonenterprise.com/products/networking/sdn-nfv/virtual-network-services/","Verizon")</f>
        <v>Verizon</v>
      </c>
      <c r="C27" s="631">
        <v>60</v>
      </c>
      <c r="D27" s="630">
        <v>4</v>
      </c>
      <c r="E27" s="629"/>
      <c r="F27" s="629"/>
      <c r="G27" s="632"/>
      <c r="H27" s="629"/>
      <c r="I27" s="629">
        <f>C27*D27+F27</f>
        <v>240</v>
      </c>
      <c r="K27" s="6"/>
      <c r="L27" s="6"/>
      <c r="M27" s="139"/>
      <c r="X27" s="139"/>
      <c r="Y27" s="139"/>
      <c r="Z27" s="139"/>
      <c r="AA27" s="139"/>
    </row>
    <row r="28" spans="1:27" ht="15.75">
      <c r="A28" s="637" t="s">
        <v>830</v>
      </c>
      <c r="B28" s="788" t="str">
        <f>HYPERLINK("https://store.nest.com/products/NC2100ES","Nest Security")</f>
        <v>Nest Security</v>
      </c>
      <c r="C28" s="629"/>
      <c r="D28" s="630"/>
      <c r="E28" s="631">
        <v>994</v>
      </c>
      <c r="F28" s="632"/>
      <c r="G28" s="632"/>
      <c r="H28" s="629"/>
      <c r="I28" s="629">
        <f>E28</f>
        <v>994</v>
      </c>
      <c r="K28" s="6"/>
      <c r="L28" s="6"/>
      <c r="M28" s="139"/>
      <c r="X28" s="139"/>
      <c r="Y28" s="139"/>
      <c r="Z28" s="139"/>
      <c r="AA28" s="139"/>
    </row>
    <row r="29" spans="1:27" ht="15.75">
      <c r="A29" s="637" t="s">
        <v>831</v>
      </c>
      <c r="B29" s="787"/>
      <c r="C29" s="629">
        <f>12000/12</f>
        <v>1000</v>
      </c>
      <c r="D29" s="630">
        <v>4</v>
      </c>
      <c r="E29" s="629"/>
      <c r="F29" s="629"/>
      <c r="G29" s="632"/>
      <c r="H29" s="629"/>
      <c r="I29" s="629">
        <f>C29*D29</f>
        <v>4000</v>
      </c>
      <c r="K29" s="6"/>
      <c r="L29" s="6"/>
      <c r="M29" s="139"/>
      <c r="X29" s="139"/>
      <c r="Y29" s="139"/>
      <c r="Z29" s="139"/>
      <c r="AA29" s="139"/>
    </row>
    <row r="30" spans="1:27" ht="15.75">
      <c r="A30" s="637" t="s">
        <v>832</v>
      </c>
      <c r="B30" s="655"/>
      <c r="C30" s="629"/>
      <c r="D30" s="630"/>
      <c r="E30" s="629"/>
      <c r="F30" s="629"/>
      <c r="G30" s="632"/>
      <c r="H30" s="629"/>
      <c r="I30" s="629">
        <f>(SUM(I7:I12)+I21+I24)*'OM Assumptions'!$B$44</f>
        <v>3411.9465000000005</v>
      </c>
      <c r="K30" s="6"/>
      <c r="L30" s="6"/>
      <c r="M30" s="139"/>
      <c r="X30" s="139"/>
      <c r="Y30" s="139"/>
      <c r="Z30" s="139"/>
      <c r="AA30" s="139"/>
    </row>
    <row r="31" spans="1:27" ht="15.75">
      <c r="A31" s="626" t="s">
        <v>834</v>
      </c>
      <c r="B31" s="655"/>
      <c r="C31" s="629"/>
      <c r="D31" s="632"/>
      <c r="E31" s="629"/>
      <c r="F31" s="632"/>
      <c r="G31" s="632"/>
      <c r="H31" s="629"/>
      <c r="I31" s="678">
        <f>SUM(I7:I30)</f>
        <v>142381.87649999998</v>
      </c>
      <c r="K31" s="6"/>
      <c r="L31" s="6"/>
      <c r="M31" s="139"/>
      <c r="X31" s="139"/>
      <c r="Y31" s="139"/>
      <c r="Z31" s="139"/>
      <c r="AA31" s="139"/>
    </row>
    <row r="32" spans="1:27" ht="15.75">
      <c r="A32" s="139"/>
      <c r="B32" s="139"/>
      <c r="C32" s="680"/>
      <c r="D32" s="139"/>
      <c r="E32" s="680"/>
      <c r="F32" s="139"/>
      <c r="G32" s="139"/>
      <c r="H32" s="680"/>
      <c r="I32" s="680"/>
      <c r="J32" s="139"/>
      <c r="K32" s="139"/>
      <c r="L32" s="139"/>
      <c r="M32" s="139"/>
      <c r="X32" s="139"/>
      <c r="Y32" s="139"/>
      <c r="Z32" s="139"/>
      <c r="AA32" s="139"/>
    </row>
    <row r="33" spans="1:27" ht="15.75">
      <c r="A33" s="1379" t="s">
        <v>4</v>
      </c>
      <c r="B33" s="1345"/>
      <c r="C33" s="1345"/>
      <c r="D33" s="1345"/>
      <c r="E33" s="1345"/>
      <c r="F33" s="1345"/>
      <c r="G33" s="1345"/>
      <c r="H33" s="1345"/>
      <c r="I33" s="1346"/>
      <c r="J33" s="139"/>
      <c r="K33" s="139"/>
      <c r="L33" s="139"/>
      <c r="M33" s="139"/>
      <c r="X33" s="139"/>
      <c r="Y33" s="139"/>
      <c r="Z33" s="139"/>
      <c r="AA33" s="139"/>
    </row>
    <row r="34" spans="1:27" ht="15.75">
      <c r="A34" s="1378"/>
      <c r="B34" s="1361"/>
      <c r="C34" s="1361"/>
      <c r="D34" s="1361"/>
      <c r="E34" s="1361"/>
      <c r="F34" s="1361"/>
      <c r="G34" s="1361"/>
      <c r="H34" s="1361"/>
      <c r="I34" s="1320"/>
      <c r="J34" s="139"/>
      <c r="K34" s="139"/>
      <c r="L34" s="139"/>
      <c r="M34" s="139"/>
      <c r="X34" s="139"/>
      <c r="Y34" s="139"/>
      <c r="Z34" s="139"/>
      <c r="AA34" s="139"/>
    </row>
    <row r="35" spans="1:27" ht="15.75">
      <c r="A35" s="488"/>
      <c r="B35" s="620" t="s">
        <v>683</v>
      </c>
      <c r="C35" s="683" t="s">
        <v>783</v>
      </c>
      <c r="D35" s="685" t="s">
        <v>658</v>
      </c>
      <c r="E35" s="683" t="s">
        <v>785</v>
      </c>
      <c r="F35" s="685" t="s">
        <v>786</v>
      </c>
      <c r="G35" s="685" t="s">
        <v>787</v>
      </c>
      <c r="H35" s="683" t="s">
        <v>788</v>
      </c>
      <c r="I35" s="683" t="s">
        <v>520</v>
      </c>
      <c r="J35" s="139"/>
      <c r="K35" s="139"/>
      <c r="L35" s="139"/>
      <c r="M35" s="139"/>
      <c r="X35" s="139"/>
      <c r="Y35" s="139"/>
      <c r="Z35" s="139"/>
      <c r="AA35" s="139"/>
    </row>
    <row r="36" spans="1:27" ht="15.75">
      <c r="A36" s="626" t="s">
        <v>790</v>
      </c>
      <c r="B36" s="787"/>
      <c r="C36" s="687"/>
      <c r="D36" s="688"/>
      <c r="E36" s="687"/>
      <c r="F36" s="688"/>
      <c r="G36" s="689"/>
      <c r="H36" s="687"/>
      <c r="I36" s="629"/>
      <c r="J36" s="139"/>
      <c r="K36" s="139"/>
      <c r="L36" s="139"/>
      <c r="M36" s="139"/>
      <c r="X36" s="139"/>
      <c r="Y36" s="139"/>
      <c r="Z36" s="139"/>
      <c r="AA36" s="139"/>
    </row>
    <row r="37" spans="1:27" ht="15.75">
      <c r="A37" s="637" t="s">
        <v>793</v>
      </c>
      <c r="B37" s="788" t="str">
        <f>HYPERLINK("https://www.microsoft.com/en-us/dynamics365/pricing","Microsoft Dynamics")</f>
        <v>Microsoft Dynamics</v>
      </c>
      <c r="C37" s="687">
        <f t="shared" ref="C37:C60" si="8">C7</f>
        <v>600</v>
      </c>
      <c r="D37" s="688">
        <v>12</v>
      </c>
      <c r="E37" s="687"/>
      <c r="F37" s="687"/>
      <c r="G37" s="689">
        <f t="shared" ref="G37:G40" si="9">$L$10</f>
        <v>23</v>
      </c>
      <c r="H37" s="687">
        <f>C37*G37*'OM Assumptions'!$B$43*D37</f>
        <v>8280</v>
      </c>
      <c r="I37" s="629">
        <f t="shared" ref="I37:I38" si="10">C37*G37*D37+E37+H37</f>
        <v>173880</v>
      </c>
      <c r="J37" s="139"/>
      <c r="K37" s="139"/>
      <c r="L37" s="139"/>
      <c r="M37" s="139"/>
      <c r="X37" s="139"/>
      <c r="Y37" s="139"/>
      <c r="Z37" s="139"/>
      <c r="AA37" s="139"/>
    </row>
    <row r="38" spans="1:27" ht="15.75">
      <c r="A38" s="637" t="s">
        <v>796</v>
      </c>
      <c r="B38" s="789" t="str">
        <f>HYPERLINK("https://products.office.com/en-us/business/office-365-enterprise-e3-business-software","Microsoft")</f>
        <v>Microsoft</v>
      </c>
      <c r="C38" s="687">
        <f t="shared" si="8"/>
        <v>20</v>
      </c>
      <c r="D38" s="688">
        <v>12</v>
      </c>
      <c r="E38" s="687"/>
      <c r="F38" s="687"/>
      <c r="G38" s="689">
        <f t="shared" si="9"/>
        <v>23</v>
      </c>
      <c r="H38" s="687"/>
      <c r="I38" s="629">
        <f t="shared" si="10"/>
        <v>5520</v>
      </c>
      <c r="J38" s="139"/>
      <c r="K38" s="139"/>
      <c r="L38" s="139"/>
      <c r="M38" s="139"/>
      <c r="X38" s="139"/>
      <c r="Y38" s="139"/>
      <c r="Z38" s="139"/>
      <c r="AA38" s="139"/>
    </row>
    <row r="39" spans="1:27" ht="15.75">
      <c r="A39" s="637" t="s">
        <v>798</v>
      </c>
      <c r="B39" s="788" t="str">
        <f>HYPERLINK("https://www.avg.com/en-us/internet-security-business-edition","AVG Software")</f>
        <v>AVG Software</v>
      </c>
      <c r="C39" s="687">
        <f t="shared" si="8"/>
        <v>50.39</v>
      </c>
      <c r="D39" s="688">
        <v>12</v>
      </c>
      <c r="E39" s="687"/>
      <c r="F39" s="687"/>
      <c r="G39" s="689">
        <f t="shared" si="9"/>
        <v>23</v>
      </c>
      <c r="H39" s="687"/>
      <c r="I39" s="629">
        <f>C39*F39*G39</f>
        <v>0</v>
      </c>
      <c r="J39" s="139"/>
      <c r="K39" s="139"/>
      <c r="L39" s="139"/>
      <c r="M39" s="139"/>
      <c r="X39" s="139"/>
      <c r="Y39" s="139"/>
      <c r="Z39" s="139"/>
      <c r="AA39" s="139"/>
    </row>
    <row r="40" spans="1:27" ht="15.75">
      <c r="A40" s="637" t="s">
        <v>803</v>
      </c>
      <c r="B40" s="788" t="str">
        <f>HYPERLINK("https://gsuite.google.com/pricing.html?tab_activeEl=tabset-companies","Google")</f>
        <v>Google</v>
      </c>
      <c r="C40" s="687">
        <f t="shared" si="8"/>
        <v>10</v>
      </c>
      <c r="D40" s="688">
        <v>12</v>
      </c>
      <c r="E40" s="687"/>
      <c r="F40" s="687"/>
      <c r="G40" s="689">
        <f t="shared" si="9"/>
        <v>23</v>
      </c>
      <c r="H40" s="687"/>
      <c r="I40" s="629">
        <f>C40*D40*G40</f>
        <v>2760</v>
      </c>
      <c r="J40" s="139"/>
      <c r="K40" s="139"/>
      <c r="L40" s="139"/>
      <c r="M40" s="139"/>
      <c r="X40" s="139"/>
      <c r="Y40" s="139"/>
      <c r="Z40" s="139"/>
      <c r="AA40" s="139"/>
    </row>
    <row r="41" spans="1:27" ht="15.75">
      <c r="A41" s="637" t="s">
        <v>804</v>
      </c>
      <c r="B41" s="788" t="str">
        <f>HYPERLINK("https://dharmamerchantservices.com/business-2-business-processing/","Dharma Merchant Services")</f>
        <v>Dharma Merchant Services</v>
      </c>
      <c r="C41" s="687">
        <f t="shared" si="8"/>
        <v>20</v>
      </c>
      <c r="D41" s="688">
        <v>12</v>
      </c>
      <c r="E41" s="687"/>
      <c r="F41" s="687"/>
      <c r="G41" s="688"/>
      <c r="H41" s="687"/>
      <c r="I41" s="629">
        <f t="shared" ref="I41:I42" si="11">C41*D41</f>
        <v>240</v>
      </c>
      <c r="J41" s="139"/>
      <c r="K41" s="139"/>
      <c r="L41" s="139"/>
      <c r="M41" s="139"/>
      <c r="X41" s="139"/>
      <c r="Y41" s="139"/>
      <c r="Z41" s="139"/>
      <c r="AA41" s="139"/>
    </row>
    <row r="42" spans="1:27" ht="15.75">
      <c r="A42" s="637" t="s">
        <v>805</v>
      </c>
      <c r="B42" s="788" t="str">
        <f>HYPERLINK("http://www.delivrd.com/#pricing","Delivrd")</f>
        <v>Delivrd</v>
      </c>
      <c r="C42" s="687">
        <f t="shared" si="8"/>
        <v>49.99</v>
      </c>
      <c r="D42" s="688">
        <v>12</v>
      </c>
      <c r="E42" s="687"/>
      <c r="F42" s="687"/>
      <c r="G42" s="688"/>
      <c r="H42" s="687"/>
      <c r="I42" s="629">
        <f t="shared" si="11"/>
        <v>599.88</v>
      </c>
      <c r="J42" s="139"/>
      <c r="K42" s="139"/>
      <c r="L42" s="139"/>
      <c r="M42" s="139"/>
      <c r="X42" s="139"/>
      <c r="Y42" s="139"/>
      <c r="Z42" s="139"/>
      <c r="AA42" s="139"/>
    </row>
    <row r="43" spans="1:27" ht="15.75">
      <c r="A43" s="626" t="s">
        <v>807</v>
      </c>
      <c r="B43" s="790"/>
      <c r="C43" s="687">
        <f t="shared" si="8"/>
        <v>0</v>
      </c>
      <c r="D43" s="688"/>
      <c r="E43" s="687"/>
      <c r="F43" s="687"/>
      <c r="G43" s="688"/>
      <c r="H43" s="687"/>
      <c r="I43" s="629"/>
      <c r="J43" s="139"/>
      <c r="K43" s="139"/>
      <c r="L43" s="139"/>
      <c r="M43" s="139"/>
      <c r="X43" s="139"/>
      <c r="Y43" s="139"/>
      <c r="Z43" s="139"/>
      <c r="AA43" s="139"/>
    </row>
    <row r="44" spans="1:27" ht="15.75">
      <c r="A44" s="637" t="s">
        <v>809</v>
      </c>
      <c r="B44" s="787"/>
      <c r="C44" s="687">
        <f t="shared" si="8"/>
        <v>0</v>
      </c>
      <c r="D44" s="688"/>
      <c r="E44" s="690">
        <v>1500</v>
      </c>
      <c r="F44" s="687"/>
      <c r="G44" s="689">
        <f t="shared" ref="G44:G45" si="12">$L$10-G14</f>
        <v>0</v>
      </c>
      <c r="H44" s="687"/>
      <c r="I44" s="629">
        <f>E44*G44</f>
        <v>0</v>
      </c>
      <c r="J44" s="139"/>
      <c r="K44" s="139"/>
      <c r="L44" s="139"/>
      <c r="M44" s="139"/>
      <c r="X44" s="139"/>
      <c r="Y44" s="139"/>
      <c r="Z44" s="139"/>
      <c r="AA44" s="139"/>
    </row>
    <row r="45" spans="1:27" ht="15.75">
      <c r="A45" s="637" t="s">
        <v>811</v>
      </c>
      <c r="B45" s="787"/>
      <c r="C45" s="687">
        <f t="shared" si="8"/>
        <v>0</v>
      </c>
      <c r="D45" s="688"/>
      <c r="E45" s="690">
        <v>249</v>
      </c>
      <c r="F45" s="687"/>
      <c r="G45" s="689">
        <f t="shared" si="12"/>
        <v>0</v>
      </c>
      <c r="H45" s="687"/>
      <c r="I45" s="629">
        <f>F45*G45</f>
        <v>0</v>
      </c>
      <c r="J45" s="139"/>
      <c r="K45" s="139"/>
      <c r="L45" s="139"/>
      <c r="M45" s="139"/>
      <c r="X45" s="139"/>
      <c r="Y45" s="139"/>
      <c r="Z45" s="139"/>
      <c r="AA45" s="139"/>
    </row>
    <row r="46" spans="1:27" ht="15.75">
      <c r="A46" s="637" t="s">
        <v>813</v>
      </c>
      <c r="B46" s="787"/>
      <c r="C46" s="687">
        <f t="shared" si="8"/>
        <v>0</v>
      </c>
      <c r="D46" s="688"/>
      <c r="E46" s="690">
        <v>1000</v>
      </c>
      <c r="F46" s="687"/>
      <c r="G46" s="691">
        <f t="shared" ref="G46:G47" si="13">$L$9+$L$7-G16</f>
        <v>0</v>
      </c>
      <c r="H46" s="687"/>
      <c r="I46" s="629">
        <f>E46*G46</f>
        <v>0</v>
      </c>
      <c r="J46" s="139"/>
      <c r="K46" s="139"/>
      <c r="L46" s="139"/>
      <c r="M46" s="139"/>
      <c r="N46" s="139"/>
      <c r="X46" s="139"/>
      <c r="Y46" s="139"/>
      <c r="Z46" s="139"/>
      <c r="AA46" s="139"/>
    </row>
    <row r="47" spans="1:27" ht="15.75">
      <c r="A47" s="637" t="s">
        <v>815</v>
      </c>
      <c r="B47" s="787"/>
      <c r="C47" s="687">
        <f t="shared" si="8"/>
        <v>0</v>
      </c>
      <c r="D47" s="688"/>
      <c r="E47" s="690">
        <v>750</v>
      </c>
      <c r="F47" s="692"/>
      <c r="G47" s="691">
        <f t="shared" si="13"/>
        <v>0</v>
      </c>
      <c r="H47" s="687"/>
      <c r="I47" s="629">
        <f>E47*(G47/3)</f>
        <v>0</v>
      </c>
      <c r="J47" s="139"/>
      <c r="K47" s="139"/>
      <c r="L47" s="139"/>
      <c r="M47" s="139"/>
      <c r="N47" s="139"/>
      <c r="O47" s="139"/>
      <c r="P47" s="139"/>
      <c r="Q47" s="139"/>
      <c r="R47" s="139"/>
      <c r="S47" s="139"/>
      <c r="T47" s="139"/>
      <c r="U47" s="139"/>
      <c r="V47" s="139"/>
      <c r="W47" s="139"/>
      <c r="X47" s="139"/>
      <c r="Y47" s="139"/>
      <c r="Z47" s="139"/>
      <c r="AA47" s="139"/>
    </row>
    <row r="48" spans="1:27" ht="15.75">
      <c r="A48" s="637" t="s">
        <v>817</v>
      </c>
      <c r="B48" s="787"/>
      <c r="C48" s="687">
        <f t="shared" si="8"/>
        <v>0</v>
      </c>
      <c r="D48" s="688"/>
      <c r="E48" s="690">
        <v>0</v>
      </c>
      <c r="F48" s="687"/>
      <c r="G48" s="688"/>
      <c r="H48" s="687"/>
      <c r="I48" s="629">
        <f t="shared" ref="I48:I50" si="14">E48</f>
        <v>0</v>
      </c>
      <c r="J48" s="139"/>
      <c r="K48" s="139"/>
      <c r="L48" s="139"/>
      <c r="M48" s="139"/>
      <c r="N48" s="139"/>
      <c r="O48" s="139"/>
      <c r="P48" s="139"/>
      <c r="Q48" s="139"/>
      <c r="R48" s="139"/>
      <c r="S48" s="139"/>
      <c r="T48" s="139"/>
      <c r="U48" s="139"/>
      <c r="V48" s="139"/>
      <c r="W48" s="139"/>
      <c r="X48" s="139"/>
      <c r="Y48" s="139"/>
      <c r="Z48" s="139"/>
      <c r="AA48" s="139"/>
    </row>
    <row r="49" spans="1:27" ht="15.75">
      <c r="A49" s="637" t="s">
        <v>819</v>
      </c>
      <c r="B49" s="787"/>
      <c r="C49" s="687">
        <f t="shared" si="8"/>
        <v>0</v>
      </c>
      <c r="D49" s="688"/>
      <c r="E49" s="690">
        <v>0</v>
      </c>
      <c r="F49" s="687"/>
      <c r="G49" s="688"/>
      <c r="H49" s="687"/>
      <c r="I49" s="629">
        <f t="shared" si="14"/>
        <v>0</v>
      </c>
      <c r="J49" s="139"/>
      <c r="K49" s="139"/>
      <c r="L49" s="139"/>
      <c r="M49" s="139"/>
      <c r="N49" s="139"/>
      <c r="O49" s="139"/>
      <c r="P49" s="139"/>
      <c r="Q49" s="139"/>
      <c r="R49" s="139"/>
      <c r="S49" s="139"/>
      <c r="T49" s="139"/>
      <c r="U49" s="139"/>
      <c r="V49" s="139"/>
      <c r="W49" s="139"/>
      <c r="X49" s="139"/>
      <c r="Y49" s="139"/>
      <c r="Z49" s="139"/>
      <c r="AA49" s="139"/>
    </row>
    <row r="50" spans="1:27" ht="15.75">
      <c r="A50" s="637" t="s">
        <v>820</v>
      </c>
      <c r="B50" s="787"/>
      <c r="C50" s="687">
        <f t="shared" si="8"/>
        <v>0</v>
      </c>
      <c r="D50" s="688"/>
      <c r="E50" s="690">
        <v>0</v>
      </c>
      <c r="F50" s="687"/>
      <c r="G50" s="688"/>
      <c r="H50" s="687"/>
      <c r="I50" s="629">
        <f t="shared" si="14"/>
        <v>0</v>
      </c>
      <c r="J50" s="139"/>
      <c r="K50" s="139"/>
      <c r="L50" s="139"/>
      <c r="M50" s="139"/>
      <c r="N50" s="139"/>
      <c r="O50" s="139"/>
      <c r="P50" s="139"/>
      <c r="Q50" s="139"/>
      <c r="R50" s="139"/>
      <c r="S50" s="139"/>
      <c r="T50" s="139"/>
      <c r="U50" s="139"/>
      <c r="V50" s="139"/>
      <c r="W50" s="139"/>
      <c r="X50" s="139"/>
      <c r="Y50" s="139"/>
      <c r="Z50" s="139"/>
      <c r="AA50" s="139"/>
    </row>
    <row r="51" spans="1:27" ht="15.75">
      <c r="A51" s="637" t="s">
        <v>821</v>
      </c>
      <c r="B51" s="790"/>
      <c r="C51" s="687">
        <f t="shared" si="8"/>
        <v>45</v>
      </c>
      <c r="D51" s="688">
        <v>12</v>
      </c>
      <c r="E51" s="687"/>
      <c r="F51" s="687"/>
      <c r="G51" s="688"/>
      <c r="H51" s="687"/>
      <c r="I51" s="629">
        <f>E51+C51*D51</f>
        <v>540</v>
      </c>
      <c r="J51" s="139"/>
      <c r="K51" s="139"/>
      <c r="L51" s="139"/>
      <c r="M51" s="139"/>
      <c r="N51" s="139"/>
      <c r="O51" s="139"/>
      <c r="P51" s="139"/>
      <c r="Q51" s="139"/>
      <c r="R51" s="139"/>
      <c r="S51" s="139"/>
      <c r="T51" s="139"/>
      <c r="U51" s="139"/>
      <c r="V51" s="139"/>
      <c r="W51" s="139"/>
      <c r="X51" s="139"/>
      <c r="Y51" s="139"/>
      <c r="Z51" s="139"/>
      <c r="AA51" s="139"/>
    </row>
    <row r="52" spans="1:27" ht="15.75">
      <c r="A52" s="626" t="s">
        <v>822</v>
      </c>
      <c r="B52" s="790"/>
      <c r="C52" s="687">
        <f t="shared" si="8"/>
        <v>0</v>
      </c>
      <c r="D52" s="688"/>
      <c r="E52" s="687"/>
      <c r="F52" s="690"/>
      <c r="G52" s="688"/>
      <c r="H52" s="687"/>
      <c r="I52" s="629"/>
      <c r="J52" s="139"/>
      <c r="K52" s="139"/>
      <c r="L52" s="139"/>
      <c r="M52" s="139"/>
      <c r="N52" s="139"/>
      <c r="O52" s="139"/>
      <c r="P52" s="139"/>
      <c r="Q52" s="139"/>
      <c r="R52" s="139"/>
      <c r="S52" s="139"/>
      <c r="T52" s="139"/>
      <c r="U52" s="139"/>
      <c r="V52" s="139"/>
      <c r="W52" s="139"/>
      <c r="X52" s="139"/>
      <c r="Y52" s="139"/>
      <c r="Z52" s="139"/>
      <c r="AA52" s="139"/>
    </row>
    <row r="53" spans="1:27" ht="15.75">
      <c r="A53" s="637" t="s">
        <v>823</v>
      </c>
      <c r="B53" s="790"/>
      <c r="C53" s="687">
        <f t="shared" si="8"/>
        <v>0</v>
      </c>
      <c r="D53" s="688"/>
      <c r="E53" s="690">
        <v>0</v>
      </c>
      <c r="F53" s="687"/>
      <c r="G53" s="688"/>
      <c r="H53" s="687"/>
      <c r="I53" s="629">
        <f>E53</f>
        <v>0</v>
      </c>
      <c r="J53" s="139"/>
      <c r="K53" s="139"/>
      <c r="L53" s="139"/>
      <c r="M53" s="139"/>
      <c r="N53" s="139"/>
      <c r="O53" s="139"/>
      <c r="P53" s="139"/>
      <c r="Q53" s="139"/>
      <c r="R53" s="139"/>
      <c r="S53" s="139"/>
      <c r="T53" s="139"/>
      <c r="U53" s="139"/>
      <c r="V53" s="139"/>
      <c r="W53" s="139"/>
      <c r="X53" s="139"/>
      <c r="Y53" s="139"/>
      <c r="Z53" s="139"/>
      <c r="AA53" s="139"/>
    </row>
    <row r="54" spans="1:27" ht="15.75">
      <c r="A54" s="637" t="s">
        <v>824</v>
      </c>
      <c r="B54" s="790"/>
      <c r="C54" s="687">
        <f t="shared" si="8"/>
        <v>125</v>
      </c>
      <c r="D54" s="688">
        <v>12</v>
      </c>
      <c r="E54" s="687"/>
      <c r="F54" s="687"/>
      <c r="G54" s="688"/>
      <c r="H54" s="687"/>
      <c r="I54" s="629">
        <f>C54*D54</f>
        <v>1500</v>
      </c>
      <c r="J54" s="139"/>
      <c r="K54" s="139"/>
      <c r="L54" s="139"/>
      <c r="M54" s="139"/>
      <c r="N54" s="139"/>
      <c r="O54" s="139"/>
      <c r="P54" s="139"/>
      <c r="Q54" s="139"/>
      <c r="R54" s="139"/>
      <c r="S54" s="139"/>
      <c r="T54" s="139"/>
      <c r="U54" s="139"/>
      <c r="V54" s="139"/>
      <c r="W54" s="139"/>
      <c r="X54" s="139"/>
      <c r="Y54" s="139"/>
      <c r="Z54" s="139"/>
      <c r="AA54" s="139"/>
    </row>
    <row r="55" spans="1:27" ht="15.75">
      <c r="A55" s="626" t="s">
        <v>826</v>
      </c>
      <c r="B55" s="790"/>
      <c r="C55" s="687">
        <f t="shared" si="8"/>
        <v>0</v>
      </c>
      <c r="D55" s="688"/>
      <c r="E55" s="687"/>
      <c r="F55" s="687"/>
      <c r="G55" s="688"/>
      <c r="H55" s="687"/>
      <c r="I55" s="629"/>
      <c r="J55" s="139"/>
      <c r="K55" s="139"/>
      <c r="L55" s="139"/>
      <c r="M55" s="139"/>
      <c r="N55" s="139"/>
      <c r="O55" s="139"/>
      <c r="P55" s="139"/>
      <c r="Q55" s="139"/>
      <c r="R55" s="139"/>
      <c r="S55" s="139"/>
      <c r="T55" s="139"/>
      <c r="U55" s="139"/>
      <c r="V55" s="139"/>
      <c r="W55" s="139"/>
      <c r="X55" s="139"/>
      <c r="Y55" s="139"/>
      <c r="Z55" s="139"/>
      <c r="AA55" s="139"/>
    </row>
    <row r="56" spans="1:27" ht="15.75">
      <c r="A56" s="637" t="s">
        <v>827</v>
      </c>
      <c r="B56" s="788" t="str">
        <f>HYPERLINK("https://www.verizon.com/smallbusiness/products/business-internet/broadband-packages/","Verizon")</f>
        <v>Verizon</v>
      </c>
      <c r="C56" s="687">
        <f t="shared" si="8"/>
        <v>32.5</v>
      </c>
      <c r="D56" s="689">
        <v>12</v>
      </c>
      <c r="E56" s="687"/>
      <c r="F56" s="687"/>
      <c r="G56" s="691">
        <f>$L$9+$L$7</f>
        <v>9</v>
      </c>
      <c r="H56" s="687"/>
      <c r="I56" s="629">
        <f>C56*G56*D56+F56</f>
        <v>3510</v>
      </c>
      <c r="J56" s="139"/>
      <c r="K56" s="139"/>
      <c r="L56" s="139"/>
      <c r="M56" s="139"/>
      <c r="N56" s="139"/>
      <c r="O56" s="139"/>
      <c r="P56" s="139"/>
      <c r="Q56" s="139"/>
      <c r="R56" s="139"/>
      <c r="S56" s="139"/>
      <c r="T56" s="139"/>
      <c r="U56" s="139"/>
      <c r="V56" s="139"/>
      <c r="W56" s="139"/>
      <c r="X56" s="139"/>
      <c r="Y56" s="139"/>
      <c r="Z56" s="139"/>
      <c r="AA56" s="139"/>
    </row>
    <row r="57" spans="1:27" ht="15.75">
      <c r="A57" s="637" t="s">
        <v>829</v>
      </c>
      <c r="B57" s="788" t="str">
        <f>HYPERLINK("http://www.verizonenterprise.com/products/networking/sdn-nfv/virtual-network-services/","Verizon")</f>
        <v>Verizon</v>
      </c>
      <c r="C57" s="687">
        <f t="shared" si="8"/>
        <v>60</v>
      </c>
      <c r="D57" s="689">
        <v>12</v>
      </c>
      <c r="E57" s="687"/>
      <c r="F57" s="687"/>
      <c r="G57" s="688"/>
      <c r="H57" s="687"/>
      <c r="I57" s="629">
        <f>C57*D57+F57</f>
        <v>720</v>
      </c>
      <c r="J57" s="139"/>
      <c r="K57" s="139"/>
      <c r="L57" s="139"/>
      <c r="M57" s="139"/>
      <c r="N57" s="139"/>
      <c r="O57" s="139"/>
      <c r="P57" s="139"/>
      <c r="Q57" s="139"/>
      <c r="R57" s="139"/>
      <c r="S57" s="139"/>
      <c r="T57" s="139"/>
      <c r="U57" s="139"/>
      <c r="V57" s="139"/>
      <c r="W57" s="139"/>
      <c r="X57" s="139"/>
      <c r="Y57" s="139"/>
      <c r="Z57" s="139"/>
      <c r="AA57" s="139"/>
    </row>
    <row r="58" spans="1:27" ht="15.75">
      <c r="A58" s="637" t="s">
        <v>830</v>
      </c>
      <c r="B58" s="788" t="str">
        <f>HYPERLINK("https://store.nest.com/products/NC2100ES","Nest Security")</f>
        <v>Nest Security</v>
      </c>
      <c r="C58" s="687">
        <f t="shared" si="8"/>
        <v>0</v>
      </c>
      <c r="D58" s="688"/>
      <c r="E58" s="690">
        <v>0</v>
      </c>
      <c r="F58" s="687"/>
      <c r="G58" s="688"/>
      <c r="H58" s="687"/>
      <c r="I58" s="629">
        <f>E58</f>
        <v>0</v>
      </c>
      <c r="J58" s="139"/>
      <c r="K58" s="139"/>
      <c r="L58" s="139"/>
      <c r="M58" s="139"/>
      <c r="N58" s="139"/>
      <c r="O58" s="139"/>
      <c r="P58" s="139"/>
      <c r="Q58" s="139"/>
      <c r="R58" s="139"/>
      <c r="S58" s="139"/>
      <c r="T58" s="139"/>
      <c r="U58" s="139"/>
      <c r="V58" s="139"/>
      <c r="W58" s="139"/>
      <c r="X58" s="139"/>
      <c r="Y58" s="139"/>
      <c r="Z58" s="139"/>
      <c r="AA58" s="139"/>
    </row>
    <row r="59" spans="1:27" ht="15.75">
      <c r="A59" s="637" t="s">
        <v>831</v>
      </c>
      <c r="B59" s="787"/>
      <c r="C59" s="687">
        <f t="shared" si="8"/>
        <v>1000</v>
      </c>
      <c r="D59" s="689">
        <v>12</v>
      </c>
      <c r="E59" s="687"/>
      <c r="F59" s="687"/>
      <c r="G59" s="688"/>
      <c r="H59" s="687"/>
      <c r="I59" s="629">
        <f>C59*D59</f>
        <v>12000</v>
      </c>
      <c r="J59" s="139"/>
      <c r="K59" s="139"/>
      <c r="L59" s="139"/>
      <c r="M59" s="139"/>
      <c r="N59" s="139"/>
      <c r="O59" s="139"/>
      <c r="P59" s="139"/>
      <c r="Q59" s="139"/>
      <c r="R59" s="139"/>
      <c r="S59" s="139"/>
      <c r="T59" s="139"/>
      <c r="U59" s="139"/>
      <c r="V59" s="139"/>
      <c r="W59" s="139"/>
      <c r="X59" s="139"/>
      <c r="Y59" s="139"/>
      <c r="Z59" s="139"/>
      <c r="AA59" s="139"/>
    </row>
    <row r="60" spans="1:27" ht="15.75">
      <c r="A60" s="637" t="s">
        <v>832</v>
      </c>
      <c r="B60" s="790"/>
      <c r="C60" s="687">
        <f t="shared" si="8"/>
        <v>0</v>
      </c>
      <c r="D60" s="688"/>
      <c r="E60" s="687"/>
      <c r="F60" s="687"/>
      <c r="G60" s="688"/>
      <c r="H60" s="687"/>
      <c r="I60" s="629">
        <f>(SUM(I37:I42)+I51+I54)*'OM Assumptions'!$B$44</f>
        <v>9251.9940000000006</v>
      </c>
      <c r="J60" s="139"/>
      <c r="K60" s="139"/>
      <c r="L60" s="139"/>
      <c r="M60" s="139"/>
      <c r="N60" s="139"/>
      <c r="O60" s="139"/>
      <c r="P60" s="139"/>
      <c r="Q60" s="139"/>
      <c r="R60" s="139"/>
      <c r="S60" s="139"/>
      <c r="T60" s="139"/>
      <c r="U60" s="139"/>
      <c r="V60" s="139"/>
      <c r="W60" s="139"/>
      <c r="X60" s="139"/>
      <c r="Y60" s="139"/>
      <c r="Z60" s="139"/>
      <c r="AA60" s="139"/>
    </row>
    <row r="61" spans="1:27" ht="15.75">
      <c r="A61" s="698" t="s">
        <v>835</v>
      </c>
      <c r="B61" s="655"/>
      <c r="C61" s="687"/>
      <c r="D61" s="688"/>
      <c r="E61" s="687"/>
      <c r="F61" s="688"/>
      <c r="G61" s="688"/>
      <c r="H61" s="687"/>
      <c r="I61" s="683">
        <f>SUM(I37:I60)</f>
        <v>210521.87400000001</v>
      </c>
      <c r="J61" s="139"/>
      <c r="K61" s="139"/>
      <c r="L61" s="139"/>
      <c r="M61" s="139"/>
      <c r="N61" s="139"/>
      <c r="O61" s="139"/>
      <c r="P61" s="139"/>
      <c r="Q61" s="139"/>
      <c r="R61" s="139"/>
      <c r="S61" s="139"/>
      <c r="T61" s="139"/>
      <c r="U61" s="139"/>
      <c r="V61" s="139"/>
      <c r="W61" s="139"/>
      <c r="X61" s="139"/>
      <c r="Y61" s="139"/>
      <c r="Z61" s="139"/>
      <c r="AA61" s="139"/>
    </row>
    <row r="62" spans="1:27" ht="15.75">
      <c r="A62" s="139"/>
      <c r="B62" s="699"/>
      <c r="C62" s="700"/>
      <c r="D62" s="699"/>
      <c r="E62" s="700"/>
      <c r="F62" s="699"/>
      <c r="G62" s="699"/>
      <c r="H62" s="700"/>
      <c r="I62" s="701"/>
      <c r="J62" s="139"/>
      <c r="K62" s="139"/>
      <c r="L62" s="139"/>
      <c r="M62" s="139"/>
      <c r="N62" s="139"/>
      <c r="O62" s="139"/>
      <c r="P62" s="139"/>
      <c r="Q62" s="139"/>
      <c r="R62" s="139"/>
      <c r="S62" s="139"/>
      <c r="T62" s="139"/>
      <c r="U62" s="139"/>
      <c r="V62" s="139"/>
      <c r="W62" s="139"/>
      <c r="X62" s="139"/>
      <c r="Y62" s="139"/>
      <c r="Z62" s="139"/>
      <c r="AA62" s="139"/>
    </row>
    <row r="63" spans="1:27" ht="15.75">
      <c r="A63" s="1379" t="s">
        <v>61</v>
      </c>
      <c r="B63" s="1345"/>
      <c r="C63" s="1345"/>
      <c r="D63" s="1345"/>
      <c r="E63" s="1345"/>
      <c r="F63" s="1345"/>
      <c r="G63" s="1345"/>
      <c r="H63" s="1345"/>
      <c r="I63" s="1346"/>
      <c r="J63" s="139"/>
      <c r="K63" s="139"/>
      <c r="L63" s="139"/>
      <c r="M63" s="139"/>
      <c r="N63" s="139"/>
      <c r="O63" s="139"/>
      <c r="P63" s="139"/>
      <c r="Q63" s="139"/>
      <c r="R63" s="139"/>
      <c r="S63" s="139"/>
      <c r="T63" s="139"/>
      <c r="U63" s="139"/>
      <c r="V63" s="139"/>
      <c r="W63" s="139"/>
      <c r="X63" s="139"/>
      <c r="Y63" s="139"/>
      <c r="Z63" s="139"/>
      <c r="AA63" s="139"/>
    </row>
    <row r="64" spans="1:27" ht="15.75">
      <c r="A64" s="1378"/>
      <c r="B64" s="1361"/>
      <c r="C64" s="1361"/>
      <c r="D64" s="1361"/>
      <c r="E64" s="1361"/>
      <c r="F64" s="1361"/>
      <c r="G64" s="1361"/>
      <c r="H64" s="1361"/>
      <c r="I64" s="1320"/>
      <c r="J64" s="139"/>
      <c r="K64" s="139"/>
      <c r="L64" s="139"/>
      <c r="M64" s="139"/>
      <c r="N64" s="139"/>
      <c r="O64" s="139"/>
      <c r="P64" s="139"/>
      <c r="Q64" s="139"/>
      <c r="R64" s="139"/>
      <c r="S64" s="139"/>
      <c r="T64" s="139"/>
      <c r="U64" s="139"/>
      <c r="V64" s="139"/>
      <c r="W64" s="139"/>
      <c r="X64" s="139"/>
      <c r="Y64" s="139"/>
      <c r="Z64" s="139"/>
      <c r="AA64" s="139"/>
    </row>
    <row r="65" spans="1:27" ht="15.75">
      <c r="A65" s="488"/>
      <c r="B65" s="620" t="s">
        <v>683</v>
      </c>
      <c r="C65" s="683" t="s">
        <v>783</v>
      </c>
      <c r="D65" s="685" t="s">
        <v>836</v>
      </c>
      <c r="E65" s="683" t="s">
        <v>785</v>
      </c>
      <c r="F65" s="685" t="s">
        <v>786</v>
      </c>
      <c r="G65" s="685" t="s">
        <v>787</v>
      </c>
      <c r="H65" s="683" t="s">
        <v>788</v>
      </c>
      <c r="I65" s="683" t="s">
        <v>520</v>
      </c>
      <c r="J65" s="139"/>
      <c r="K65" s="139"/>
      <c r="L65" s="139"/>
      <c r="M65" s="139"/>
      <c r="N65" s="139"/>
      <c r="O65" s="139"/>
      <c r="P65" s="139"/>
      <c r="Q65" s="139"/>
      <c r="R65" s="139"/>
      <c r="S65" s="139"/>
      <c r="T65" s="139"/>
      <c r="U65" s="139"/>
      <c r="V65" s="139"/>
      <c r="W65" s="139"/>
      <c r="X65" s="139"/>
      <c r="Y65" s="139"/>
      <c r="Z65" s="139"/>
      <c r="AA65" s="139"/>
    </row>
    <row r="66" spans="1:27" ht="15.75">
      <c r="A66" s="626" t="s">
        <v>790</v>
      </c>
      <c r="B66" s="787"/>
      <c r="C66" s="687"/>
      <c r="D66" s="688"/>
      <c r="E66" s="687"/>
      <c r="F66" s="688"/>
      <c r="G66" s="689"/>
      <c r="H66" s="687"/>
      <c r="I66" s="629"/>
      <c r="J66" s="139"/>
      <c r="K66" s="139"/>
      <c r="L66" s="139"/>
      <c r="M66" s="139"/>
      <c r="N66" s="139"/>
      <c r="O66" s="139"/>
      <c r="P66" s="139"/>
      <c r="Q66" s="139"/>
      <c r="R66" s="139"/>
      <c r="S66" s="139"/>
      <c r="T66" s="139"/>
      <c r="U66" s="139"/>
      <c r="V66" s="139"/>
      <c r="W66" s="139"/>
      <c r="X66" s="139"/>
      <c r="Y66" s="139"/>
      <c r="Z66" s="139"/>
      <c r="AA66" s="139"/>
    </row>
    <row r="67" spans="1:27" ht="15.75">
      <c r="A67" s="637" t="s">
        <v>793</v>
      </c>
      <c r="B67" s="788" t="str">
        <f>HYPERLINK("https://www.microsoft.com/en-us/dynamics365/pricing","Microsoft Dynamics")</f>
        <v>Microsoft Dynamics</v>
      </c>
      <c r="C67" s="687">
        <f t="shared" ref="C67:C90" si="15">C7</f>
        <v>600</v>
      </c>
      <c r="D67" s="688">
        <f t="shared" ref="D67:D90" si="16">D37</f>
        <v>12</v>
      </c>
      <c r="E67" s="687"/>
      <c r="F67" s="688"/>
      <c r="G67" s="689">
        <f t="shared" ref="G67:G70" si="17">$M$10</f>
        <v>27</v>
      </c>
      <c r="H67" s="687">
        <f>C67*G67*'OM Assumptions'!$B$43*D67</f>
        <v>9720</v>
      </c>
      <c r="I67" s="629">
        <f t="shared" ref="I67:I68" si="18">C67*G67*D67+E67+H67</f>
        <v>204120</v>
      </c>
      <c r="J67" s="139"/>
      <c r="K67" s="139"/>
      <c r="L67" s="139"/>
      <c r="M67" s="139"/>
      <c r="N67" s="139"/>
      <c r="O67" s="139"/>
      <c r="P67" s="139"/>
      <c r="Q67" s="139"/>
      <c r="R67" s="139"/>
      <c r="S67" s="139"/>
      <c r="T67" s="139"/>
      <c r="U67" s="139"/>
      <c r="V67" s="139"/>
      <c r="W67" s="139"/>
      <c r="X67" s="139"/>
      <c r="Y67" s="139"/>
      <c r="Z67" s="139"/>
      <c r="AA67" s="139"/>
    </row>
    <row r="68" spans="1:27" ht="15.75">
      <c r="A68" s="637" t="s">
        <v>796</v>
      </c>
      <c r="B68" s="789" t="str">
        <f>HYPERLINK("https://products.office.com/en-us/business/office-365-enterprise-e3-business-software","Microsoft")</f>
        <v>Microsoft</v>
      </c>
      <c r="C68" s="687">
        <f t="shared" si="15"/>
        <v>20</v>
      </c>
      <c r="D68" s="688">
        <f t="shared" si="16"/>
        <v>12</v>
      </c>
      <c r="E68" s="687"/>
      <c r="F68" s="688"/>
      <c r="G68" s="689">
        <f t="shared" si="17"/>
        <v>27</v>
      </c>
      <c r="H68" s="687"/>
      <c r="I68" s="629">
        <f t="shared" si="18"/>
        <v>6480</v>
      </c>
      <c r="J68" s="139"/>
      <c r="K68" s="139"/>
      <c r="L68" s="139"/>
      <c r="M68" s="139"/>
      <c r="N68" s="139"/>
      <c r="O68" s="139"/>
      <c r="P68" s="139"/>
      <c r="Q68" s="139"/>
      <c r="R68" s="139"/>
      <c r="S68" s="139"/>
      <c r="T68" s="139"/>
      <c r="U68" s="139"/>
      <c r="V68" s="139"/>
      <c r="W68" s="139"/>
      <c r="X68" s="139"/>
      <c r="Y68" s="139"/>
      <c r="Z68" s="139"/>
      <c r="AA68" s="139"/>
    </row>
    <row r="69" spans="1:27" ht="15.75">
      <c r="A69" s="637" t="s">
        <v>798</v>
      </c>
      <c r="B69" s="788" t="str">
        <f>HYPERLINK("https://www.avg.com/en-us/internet-security-business-edition","AVG Software")</f>
        <v>AVG Software</v>
      </c>
      <c r="C69" s="687">
        <f t="shared" si="15"/>
        <v>50.39</v>
      </c>
      <c r="D69" s="688">
        <f t="shared" si="16"/>
        <v>12</v>
      </c>
      <c r="E69" s="687"/>
      <c r="F69" s="688"/>
      <c r="G69" s="689">
        <f t="shared" si="17"/>
        <v>27</v>
      </c>
      <c r="H69" s="687"/>
      <c r="I69" s="629">
        <f>C69*F69*G69</f>
        <v>0</v>
      </c>
      <c r="J69" s="139"/>
      <c r="K69" s="139"/>
      <c r="L69" s="139"/>
      <c r="M69" s="139"/>
      <c r="N69" s="139"/>
      <c r="O69" s="139"/>
      <c r="P69" s="139"/>
      <c r="Q69" s="139"/>
      <c r="R69" s="139"/>
      <c r="S69" s="139"/>
      <c r="T69" s="139"/>
      <c r="U69" s="139"/>
      <c r="V69" s="139"/>
      <c r="W69" s="139"/>
      <c r="X69" s="139"/>
      <c r="Y69" s="139"/>
      <c r="Z69" s="139"/>
      <c r="AA69" s="139"/>
    </row>
    <row r="70" spans="1:27" ht="15.75">
      <c r="A70" s="637" t="s">
        <v>803</v>
      </c>
      <c r="B70" s="788" t="str">
        <f>HYPERLINK("https://gsuite.google.com/pricing.html?tab_activeEl=tabset-companies","Google")</f>
        <v>Google</v>
      </c>
      <c r="C70" s="687">
        <f t="shared" si="15"/>
        <v>10</v>
      </c>
      <c r="D70" s="688">
        <f t="shared" si="16"/>
        <v>12</v>
      </c>
      <c r="E70" s="687"/>
      <c r="F70" s="688"/>
      <c r="G70" s="689">
        <f t="shared" si="17"/>
        <v>27</v>
      </c>
      <c r="H70" s="687"/>
      <c r="I70" s="629">
        <f>C70*D70*G70</f>
        <v>3240</v>
      </c>
      <c r="J70" s="139"/>
      <c r="K70" s="139"/>
      <c r="L70" s="139"/>
      <c r="M70" s="139"/>
      <c r="N70" s="139"/>
      <c r="O70" s="139"/>
      <c r="P70" s="139"/>
      <c r="Q70" s="139"/>
      <c r="R70" s="139"/>
      <c r="S70" s="139"/>
      <c r="T70" s="139"/>
      <c r="U70" s="139"/>
      <c r="V70" s="139"/>
      <c r="W70" s="139"/>
      <c r="X70" s="139"/>
      <c r="Y70" s="139"/>
      <c r="Z70" s="139"/>
      <c r="AA70" s="139"/>
    </row>
    <row r="71" spans="1:27" ht="15.75">
      <c r="A71" s="637" t="s">
        <v>804</v>
      </c>
      <c r="B71" s="788" t="str">
        <f>HYPERLINK("https://dharmamerchantservices.com/business-2-business-processing/","Dharma Merchant Services")</f>
        <v>Dharma Merchant Services</v>
      </c>
      <c r="C71" s="687">
        <f t="shared" si="15"/>
        <v>20</v>
      </c>
      <c r="D71" s="688">
        <f t="shared" si="16"/>
        <v>12</v>
      </c>
      <c r="E71" s="687"/>
      <c r="F71" s="688"/>
      <c r="G71" s="688"/>
      <c r="H71" s="687"/>
      <c r="I71" s="629">
        <f t="shared" ref="I71:I72" si="19">C71*D71</f>
        <v>240</v>
      </c>
      <c r="J71" s="139"/>
      <c r="K71" s="139"/>
      <c r="L71" s="139"/>
      <c r="M71" s="139"/>
      <c r="N71" s="139"/>
      <c r="O71" s="139"/>
      <c r="P71" s="139"/>
      <c r="Q71" s="139"/>
      <c r="R71" s="139"/>
      <c r="S71" s="139"/>
      <c r="T71" s="139"/>
      <c r="U71" s="139"/>
      <c r="V71" s="139"/>
      <c r="W71" s="139"/>
      <c r="X71" s="139"/>
      <c r="Y71" s="139"/>
      <c r="Z71" s="139"/>
      <c r="AA71" s="139"/>
    </row>
    <row r="72" spans="1:27" ht="15.75">
      <c r="A72" s="637" t="s">
        <v>805</v>
      </c>
      <c r="B72" s="788" t="str">
        <f>HYPERLINK("http://www.delivrd.com/#pricing","Delivrd")</f>
        <v>Delivrd</v>
      </c>
      <c r="C72" s="687">
        <f t="shared" si="15"/>
        <v>49.99</v>
      </c>
      <c r="D72" s="688">
        <f t="shared" si="16"/>
        <v>12</v>
      </c>
      <c r="E72" s="687"/>
      <c r="F72" s="688"/>
      <c r="G72" s="688"/>
      <c r="H72" s="687"/>
      <c r="I72" s="629">
        <f t="shared" si="19"/>
        <v>599.88</v>
      </c>
      <c r="J72" s="139"/>
      <c r="K72" s="139"/>
      <c r="L72" s="139"/>
      <c r="M72" s="139"/>
      <c r="N72" s="139"/>
      <c r="O72" s="139"/>
      <c r="P72" s="139"/>
      <c r="Q72" s="139"/>
      <c r="R72" s="139"/>
      <c r="S72" s="139"/>
      <c r="T72" s="139"/>
      <c r="U72" s="139"/>
      <c r="V72" s="139"/>
      <c r="W72" s="139"/>
      <c r="X72" s="139"/>
      <c r="Y72" s="139"/>
      <c r="Z72" s="139"/>
      <c r="AA72" s="139"/>
    </row>
    <row r="73" spans="1:27" ht="15.75">
      <c r="A73" s="626" t="s">
        <v>807</v>
      </c>
      <c r="B73" s="790"/>
      <c r="C73" s="687">
        <f t="shared" si="15"/>
        <v>0</v>
      </c>
      <c r="D73" s="688">
        <f t="shared" si="16"/>
        <v>0</v>
      </c>
      <c r="E73" s="687"/>
      <c r="F73" s="688"/>
      <c r="G73" s="688"/>
      <c r="H73" s="687"/>
      <c r="I73" s="629"/>
      <c r="J73" s="139"/>
      <c r="K73" s="139"/>
      <c r="L73" s="139"/>
      <c r="M73" s="139"/>
      <c r="N73" s="139"/>
      <c r="O73" s="139"/>
      <c r="P73" s="139"/>
      <c r="Q73" s="139"/>
      <c r="R73" s="139"/>
      <c r="S73" s="139"/>
      <c r="T73" s="139"/>
      <c r="U73" s="139"/>
      <c r="V73" s="139"/>
      <c r="W73" s="139"/>
      <c r="X73" s="139"/>
      <c r="Y73" s="139"/>
      <c r="Z73" s="139"/>
      <c r="AA73" s="139"/>
    </row>
    <row r="74" spans="1:27" ht="15.75">
      <c r="A74" s="637" t="s">
        <v>809</v>
      </c>
      <c r="B74" s="787"/>
      <c r="C74" s="687">
        <f t="shared" si="15"/>
        <v>0</v>
      </c>
      <c r="D74" s="688">
        <f t="shared" si="16"/>
        <v>0</v>
      </c>
      <c r="E74" s="690">
        <v>1500</v>
      </c>
      <c r="F74" s="688"/>
      <c r="G74" s="689">
        <f>$M$10-G37</f>
        <v>4</v>
      </c>
      <c r="H74" s="687"/>
      <c r="I74" s="629">
        <f t="shared" ref="I74:I76" si="20">E74*G74</f>
        <v>6000</v>
      </c>
      <c r="J74" s="139"/>
      <c r="K74" s="139"/>
      <c r="L74" s="139"/>
      <c r="M74" s="139"/>
      <c r="N74" s="139"/>
      <c r="O74" s="139"/>
      <c r="P74" s="139"/>
      <c r="Q74" s="139"/>
      <c r="R74" s="139"/>
      <c r="S74" s="139"/>
      <c r="T74" s="139"/>
      <c r="U74" s="139"/>
      <c r="V74" s="139"/>
      <c r="W74" s="139"/>
      <c r="X74" s="139"/>
      <c r="Y74" s="139"/>
      <c r="Z74" s="139"/>
      <c r="AA74" s="139"/>
    </row>
    <row r="75" spans="1:27" ht="15.75">
      <c r="A75" s="637" t="s">
        <v>811</v>
      </c>
      <c r="B75" s="787"/>
      <c r="C75" s="687">
        <f t="shared" si="15"/>
        <v>0</v>
      </c>
      <c r="D75" s="688">
        <f t="shared" si="16"/>
        <v>0</v>
      </c>
      <c r="E75" s="690">
        <v>249</v>
      </c>
      <c r="F75" s="688"/>
      <c r="G75" s="689">
        <f>$M$10-G37</f>
        <v>4</v>
      </c>
      <c r="H75" s="687"/>
      <c r="I75" s="629">
        <f t="shared" si="20"/>
        <v>996</v>
      </c>
      <c r="J75" s="139"/>
      <c r="K75" s="139"/>
      <c r="L75" s="139"/>
      <c r="M75" s="139"/>
      <c r="N75" s="139"/>
      <c r="O75" s="139"/>
      <c r="P75" s="139"/>
      <c r="Q75" s="139"/>
      <c r="R75" s="139"/>
      <c r="S75" s="139"/>
      <c r="T75" s="139"/>
      <c r="U75" s="139"/>
      <c r="V75" s="139"/>
      <c r="W75" s="139"/>
      <c r="X75" s="139"/>
      <c r="Y75" s="139"/>
      <c r="Z75" s="139"/>
      <c r="AA75" s="139"/>
    </row>
    <row r="76" spans="1:27" ht="15.75">
      <c r="A76" s="637" t="s">
        <v>813</v>
      </c>
      <c r="B76" s="787"/>
      <c r="C76" s="687">
        <f t="shared" si="15"/>
        <v>0</v>
      </c>
      <c r="D76" s="688">
        <f t="shared" si="16"/>
        <v>0</v>
      </c>
      <c r="E76" s="690">
        <v>1000</v>
      </c>
      <c r="F76" s="688"/>
      <c r="G76" s="709">
        <f>$M$9+$M$7-G56</f>
        <v>0</v>
      </c>
      <c r="H76" s="687"/>
      <c r="I76" s="629">
        <f t="shared" si="20"/>
        <v>0</v>
      </c>
      <c r="J76" s="139"/>
      <c r="K76" s="139"/>
      <c r="L76" s="139"/>
      <c r="M76" s="139"/>
      <c r="N76" s="139"/>
      <c r="O76" s="139"/>
      <c r="P76" s="139"/>
      <c r="Q76" s="139"/>
      <c r="R76" s="139"/>
      <c r="S76" s="139"/>
      <c r="T76" s="139"/>
      <c r="U76" s="139"/>
      <c r="V76" s="139"/>
      <c r="W76" s="139"/>
      <c r="X76" s="139"/>
      <c r="Y76" s="139"/>
      <c r="Z76" s="139"/>
      <c r="AA76" s="139"/>
    </row>
    <row r="77" spans="1:27" ht="15.75">
      <c r="A77" s="637" t="s">
        <v>815</v>
      </c>
      <c r="B77" s="787"/>
      <c r="C77" s="687">
        <f t="shared" si="15"/>
        <v>0</v>
      </c>
      <c r="D77" s="688">
        <f t="shared" si="16"/>
        <v>0</v>
      </c>
      <c r="E77" s="690">
        <v>750</v>
      </c>
      <c r="F77" s="710"/>
      <c r="G77" s="709">
        <f>$M$9+$M$7-G56</f>
        <v>0</v>
      </c>
      <c r="H77" s="687"/>
      <c r="I77" s="629">
        <f>E77*(G77/3)</f>
        <v>0</v>
      </c>
      <c r="J77" s="139"/>
      <c r="K77" s="139"/>
      <c r="L77" s="139"/>
      <c r="M77" s="139"/>
      <c r="N77" s="139"/>
      <c r="O77" s="139"/>
      <c r="P77" s="139"/>
      <c r="Q77" s="139"/>
      <c r="R77" s="139"/>
      <c r="S77" s="139"/>
      <c r="T77" s="139"/>
      <c r="U77" s="139"/>
      <c r="V77" s="139"/>
      <c r="W77" s="139"/>
      <c r="X77" s="139"/>
      <c r="Y77" s="139"/>
      <c r="Z77" s="139"/>
      <c r="AA77" s="139"/>
    </row>
    <row r="78" spans="1:27" ht="15.75">
      <c r="A78" s="637" t="s">
        <v>817</v>
      </c>
      <c r="B78" s="787"/>
      <c r="C78" s="687">
        <f t="shared" si="15"/>
        <v>0</v>
      </c>
      <c r="D78" s="688">
        <f t="shared" si="16"/>
        <v>0</v>
      </c>
      <c r="E78" s="690">
        <v>0</v>
      </c>
      <c r="F78" s="688"/>
      <c r="G78" s="688"/>
      <c r="H78" s="687"/>
      <c r="I78" s="629">
        <f t="shared" ref="I78:I80" si="21">E78</f>
        <v>0</v>
      </c>
      <c r="J78" s="139"/>
      <c r="K78" s="139"/>
      <c r="L78" s="139"/>
      <c r="M78" s="139"/>
      <c r="N78" s="139"/>
      <c r="O78" s="139"/>
      <c r="P78" s="139"/>
      <c r="Q78" s="139"/>
      <c r="R78" s="139"/>
      <c r="S78" s="139"/>
      <c r="T78" s="139"/>
      <c r="U78" s="139"/>
      <c r="V78" s="139"/>
      <c r="W78" s="139"/>
      <c r="X78" s="139"/>
      <c r="Y78" s="139"/>
      <c r="Z78" s="139"/>
      <c r="AA78" s="139"/>
    </row>
    <row r="79" spans="1:27" ht="15.75">
      <c r="A79" s="637" t="s">
        <v>819</v>
      </c>
      <c r="B79" s="787"/>
      <c r="C79" s="687">
        <f t="shared" si="15"/>
        <v>0</v>
      </c>
      <c r="D79" s="688">
        <f t="shared" si="16"/>
        <v>0</v>
      </c>
      <c r="E79" s="690">
        <v>0</v>
      </c>
      <c r="F79" s="688"/>
      <c r="G79" s="688"/>
      <c r="H79" s="687"/>
      <c r="I79" s="629">
        <f t="shared" si="21"/>
        <v>0</v>
      </c>
      <c r="J79" s="139"/>
      <c r="K79" s="139"/>
      <c r="L79" s="139"/>
      <c r="M79" s="139"/>
      <c r="N79" s="139"/>
      <c r="O79" s="139"/>
      <c r="P79" s="139"/>
      <c r="Q79" s="139"/>
      <c r="R79" s="139"/>
      <c r="S79" s="139"/>
      <c r="T79" s="139"/>
      <c r="U79" s="139"/>
      <c r="V79" s="139"/>
      <c r="W79" s="139"/>
      <c r="X79" s="139"/>
      <c r="Y79" s="139"/>
      <c r="Z79" s="139"/>
      <c r="AA79" s="139"/>
    </row>
    <row r="80" spans="1:27" ht="15.75">
      <c r="A80" s="637" t="s">
        <v>820</v>
      </c>
      <c r="B80" s="787"/>
      <c r="C80" s="687">
        <f t="shared" si="15"/>
        <v>0</v>
      </c>
      <c r="D80" s="688">
        <f t="shared" si="16"/>
        <v>0</v>
      </c>
      <c r="E80" s="690">
        <v>0</v>
      </c>
      <c r="F80" s="688"/>
      <c r="G80" s="688"/>
      <c r="H80" s="687"/>
      <c r="I80" s="629">
        <f t="shared" si="21"/>
        <v>0</v>
      </c>
      <c r="J80" s="139"/>
      <c r="K80" s="139"/>
      <c r="L80" s="139"/>
      <c r="M80" s="139"/>
      <c r="N80" s="139"/>
      <c r="O80" s="139"/>
      <c r="P80" s="139"/>
      <c r="Q80" s="139"/>
      <c r="R80" s="139"/>
      <c r="S80" s="139"/>
      <c r="T80" s="139"/>
      <c r="U80" s="139"/>
      <c r="V80" s="139"/>
      <c r="W80" s="139"/>
      <c r="X80" s="139"/>
      <c r="Y80" s="139"/>
      <c r="Z80" s="139"/>
      <c r="AA80" s="139"/>
    </row>
    <row r="81" spans="1:27" ht="15.75">
      <c r="A81" s="637" t="s">
        <v>821</v>
      </c>
      <c r="B81" s="790"/>
      <c r="C81" s="687">
        <f t="shared" si="15"/>
        <v>45</v>
      </c>
      <c r="D81" s="688">
        <f t="shared" si="16"/>
        <v>12</v>
      </c>
      <c r="E81" s="687"/>
      <c r="F81" s="688"/>
      <c r="G81" s="688"/>
      <c r="H81" s="687"/>
      <c r="I81" s="629">
        <f>E81+C81*D81</f>
        <v>540</v>
      </c>
      <c r="J81" s="139"/>
      <c r="K81" s="139"/>
      <c r="L81" s="139"/>
      <c r="M81" s="139"/>
      <c r="N81" s="139"/>
      <c r="O81" s="139"/>
      <c r="P81" s="139"/>
      <c r="Q81" s="139"/>
      <c r="R81" s="139"/>
      <c r="S81" s="139"/>
      <c r="T81" s="139"/>
      <c r="U81" s="139"/>
      <c r="V81" s="139"/>
      <c r="W81" s="139"/>
      <c r="X81" s="139"/>
      <c r="Y81" s="139"/>
      <c r="Z81" s="139"/>
      <c r="AA81" s="139"/>
    </row>
    <row r="82" spans="1:27" ht="15.75">
      <c r="A82" s="626" t="s">
        <v>822</v>
      </c>
      <c r="B82" s="790"/>
      <c r="C82" s="687">
        <f t="shared" si="15"/>
        <v>0</v>
      </c>
      <c r="D82" s="688">
        <f t="shared" si="16"/>
        <v>0</v>
      </c>
      <c r="E82" s="687"/>
      <c r="F82" s="688"/>
      <c r="G82" s="688"/>
      <c r="H82" s="687"/>
      <c r="I82" s="629"/>
      <c r="J82" s="139"/>
      <c r="K82" s="139"/>
      <c r="L82" s="139"/>
      <c r="M82" s="139"/>
      <c r="N82" s="139"/>
      <c r="O82" s="139"/>
      <c r="P82" s="139"/>
      <c r="Q82" s="139"/>
      <c r="R82" s="139"/>
      <c r="S82" s="139"/>
      <c r="T82" s="139"/>
      <c r="U82" s="139"/>
      <c r="V82" s="139"/>
      <c r="W82" s="139"/>
      <c r="X82" s="139"/>
      <c r="Y82" s="139"/>
      <c r="Z82" s="139"/>
      <c r="AA82" s="139"/>
    </row>
    <row r="83" spans="1:27" ht="15.75">
      <c r="A83" s="637" t="s">
        <v>823</v>
      </c>
      <c r="B83" s="790"/>
      <c r="C83" s="687">
        <f t="shared" si="15"/>
        <v>0</v>
      </c>
      <c r="D83" s="688">
        <f t="shared" si="16"/>
        <v>0</v>
      </c>
      <c r="E83" s="690">
        <v>0</v>
      </c>
      <c r="F83" s="687">
        <f>F53</f>
        <v>0</v>
      </c>
      <c r="G83" s="688"/>
      <c r="H83" s="687"/>
      <c r="I83" s="629">
        <f>E83</f>
        <v>0</v>
      </c>
      <c r="J83" s="139"/>
      <c r="K83" s="139"/>
      <c r="L83" s="139"/>
      <c r="M83" s="139"/>
      <c r="N83" s="139"/>
      <c r="O83" s="139"/>
      <c r="P83" s="139"/>
      <c r="Q83" s="139"/>
      <c r="R83" s="139"/>
      <c r="S83" s="139"/>
      <c r="T83" s="139"/>
      <c r="U83" s="139"/>
      <c r="V83" s="139"/>
      <c r="W83" s="139"/>
      <c r="X83" s="139"/>
      <c r="Y83" s="139"/>
      <c r="Z83" s="139"/>
      <c r="AA83" s="139"/>
    </row>
    <row r="84" spans="1:27" ht="15.75">
      <c r="A84" s="637" t="s">
        <v>824</v>
      </c>
      <c r="B84" s="790"/>
      <c r="C84" s="687">
        <f t="shared" si="15"/>
        <v>125</v>
      </c>
      <c r="D84" s="688">
        <f t="shared" si="16"/>
        <v>12</v>
      </c>
      <c r="E84" s="687"/>
      <c r="F84" s="688"/>
      <c r="G84" s="688"/>
      <c r="H84" s="687"/>
      <c r="I84" s="629">
        <f>C84*D84</f>
        <v>1500</v>
      </c>
      <c r="J84" s="139"/>
      <c r="K84" s="139"/>
      <c r="L84" s="139"/>
      <c r="M84" s="139"/>
      <c r="N84" s="139"/>
      <c r="O84" s="139"/>
      <c r="P84" s="139"/>
      <c r="Q84" s="139"/>
      <c r="R84" s="139"/>
      <c r="S84" s="139"/>
      <c r="T84" s="139"/>
      <c r="U84" s="139"/>
      <c r="V84" s="139"/>
      <c r="W84" s="139"/>
      <c r="X84" s="139"/>
      <c r="Y84" s="139"/>
      <c r="Z84" s="139"/>
      <c r="AA84" s="139"/>
    </row>
    <row r="85" spans="1:27" ht="15.75">
      <c r="A85" s="626" t="s">
        <v>826</v>
      </c>
      <c r="B85" s="790"/>
      <c r="C85" s="687">
        <f t="shared" si="15"/>
        <v>0</v>
      </c>
      <c r="D85" s="688">
        <f t="shared" si="16"/>
        <v>0</v>
      </c>
      <c r="E85" s="687"/>
      <c r="F85" s="688"/>
      <c r="G85" s="688"/>
      <c r="H85" s="687"/>
      <c r="I85" s="629"/>
      <c r="J85" s="139"/>
      <c r="K85" s="139"/>
      <c r="L85" s="139"/>
      <c r="M85" s="139"/>
      <c r="N85" s="139"/>
      <c r="O85" s="139"/>
      <c r="P85" s="139"/>
      <c r="Q85" s="139"/>
      <c r="R85" s="139"/>
      <c r="S85" s="139"/>
      <c r="T85" s="139"/>
      <c r="U85" s="139"/>
      <c r="V85" s="139"/>
      <c r="W85" s="139"/>
      <c r="X85" s="139"/>
      <c r="Y85" s="139"/>
      <c r="Z85" s="139"/>
      <c r="AA85" s="139"/>
    </row>
    <row r="86" spans="1:27" ht="15.75">
      <c r="A86" s="637" t="s">
        <v>827</v>
      </c>
      <c r="B86" s="788" t="str">
        <f>HYPERLINK("https://www.verizon.com/smallbusiness/products/business-internet/broadband-packages/","Verizon")</f>
        <v>Verizon</v>
      </c>
      <c r="C86" s="687">
        <f t="shared" si="15"/>
        <v>32.5</v>
      </c>
      <c r="D86" s="688">
        <f t="shared" si="16"/>
        <v>12</v>
      </c>
      <c r="E86" s="687"/>
      <c r="F86" s="688"/>
      <c r="G86" s="709">
        <f>$M$9+$M$7</f>
        <v>9</v>
      </c>
      <c r="H86" s="687"/>
      <c r="I86" s="629">
        <f>C86*G86*D86+F86</f>
        <v>3510</v>
      </c>
      <c r="J86" s="139"/>
      <c r="K86" s="139"/>
      <c r="L86" s="139"/>
      <c r="M86" s="139"/>
      <c r="N86" s="139"/>
      <c r="O86" s="139"/>
      <c r="P86" s="139"/>
      <c r="Q86" s="139"/>
      <c r="R86" s="139"/>
      <c r="S86" s="139"/>
      <c r="T86" s="139"/>
      <c r="U86" s="139"/>
      <c r="V86" s="139"/>
      <c r="W86" s="139"/>
      <c r="X86" s="139"/>
      <c r="Y86" s="139"/>
      <c r="Z86" s="139"/>
      <c r="AA86" s="139"/>
    </row>
    <row r="87" spans="1:27" ht="15.75">
      <c r="A87" s="637" t="s">
        <v>829</v>
      </c>
      <c r="B87" s="788" t="str">
        <f>HYPERLINK("http://www.verizonenterprise.com/products/networking/sdn-nfv/virtual-network-services/","Verizon")</f>
        <v>Verizon</v>
      </c>
      <c r="C87" s="687">
        <f t="shared" si="15"/>
        <v>60</v>
      </c>
      <c r="D87" s="688">
        <f t="shared" si="16"/>
        <v>12</v>
      </c>
      <c r="E87" s="687"/>
      <c r="F87" s="688"/>
      <c r="G87" s="688"/>
      <c r="H87" s="687"/>
      <c r="I87" s="629">
        <f>C87*D87+F87</f>
        <v>720</v>
      </c>
      <c r="J87" s="139"/>
      <c r="K87" s="139"/>
      <c r="L87" s="139"/>
      <c r="M87" s="139"/>
      <c r="N87" s="139"/>
      <c r="O87" s="139"/>
      <c r="P87" s="139"/>
      <c r="Q87" s="139"/>
      <c r="R87" s="139"/>
      <c r="S87" s="139"/>
      <c r="T87" s="139"/>
      <c r="U87" s="139"/>
      <c r="V87" s="139"/>
      <c r="W87" s="139"/>
      <c r="X87" s="139"/>
      <c r="Y87" s="139"/>
      <c r="Z87" s="139"/>
      <c r="AA87" s="139"/>
    </row>
    <row r="88" spans="1:27" ht="15.75">
      <c r="A88" s="637" t="s">
        <v>830</v>
      </c>
      <c r="B88" s="788" t="str">
        <f>HYPERLINK("https://store.nest.com/products/NC2100ES","Nest Security")</f>
        <v>Nest Security</v>
      </c>
      <c r="C88" s="687">
        <f t="shared" si="15"/>
        <v>0</v>
      </c>
      <c r="D88" s="688">
        <f t="shared" si="16"/>
        <v>0</v>
      </c>
      <c r="E88" s="690">
        <v>0</v>
      </c>
      <c r="F88" s="688"/>
      <c r="G88" s="688"/>
      <c r="H88" s="687"/>
      <c r="I88" s="629">
        <f>E88</f>
        <v>0</v>
      </c>
      <c r="J88" s="139"/>
      <c r="K88" s="139"/>
      <c r="L88" s="139"/>
      <c r="M88" s="139"/>
      <c r="N88" s="139"/>
      <c r="O88" s="139"/>
      <c r="P88" s="139"/>
      <c r="Q88" s="139"/>
      <c r="R88" s="139"/>
      <c r="S88" s="139"/>
      <c r="T88" s="139"/>
      <c r="U88" s="139"/>
      <c r="V88" s="139"/>
      <c r="W88" s="139"/>
      <c r="X88" s="139"/>
      <c r="Y88" s="139"/>
      <c r="Z88" s="139"/>
      <c r="AA88" s="139"/>
    </row>
    <row r="89" spans="1:27" ht="15.75">
      <c r="A89" s="637" t="s">
        <v>831</v>
      </c>
      <c r="B89" s="787"/>
      <c r="C89" s="687">
        <f t="shared" si="15"/>
        <v>1000</v>
      </c>
      <c r="D89" s="688">
        <f t="shared" si="16"/>
        <v>12</v>
      </c>
      <c r="E89" s="687"/>
      <c r="F89" s="688"/>
      <c r="G89" s="688"/>
      <c r="H89" s="687"/>
      <c r="I89" s="629">
        <f>C89*D89</f>
        <v>12000</v>
      </c>
      <c r="J89" s="139"/>
      <c r="K89" s="139"/>
      <c r="L89" s="139"/>
      <c r="M89" s="139"/>
      <c r="N89" s="139"/>
      <c r="O89" s="139"/>
      <c r="P89" s="139"/>
      <c r="Q89" s="139"/>
      <c r="R89" s="139"/>
      <c r="S89" s="139"/>
      <c r="T89" s="139"/>
      <c r="U89" s="139"/>
      <c r="V89" s="139"/>
      <c r="W89" s="139"/>
      <c r="X89" s="139"/>
      <c r="Y89" s="139"/>
      <c r="Z89" s="139"/>
      <c r="AA89" s="139"/>
    </row>
    <row r="90" spans="1:27" ht="15.75">
      <c r="A90" s="637" t="s">
        <v>832</v>
      </c>
      <c r="B90" s="790"/>
      <c r="C90" s="687">
        <f t="shared" si="15"/>
        <v>0</v>
      </c>
      <c r="D90" s="688">
        <f t="shared" si="16"/>
        <v>0</v>
      </c>
      <c r="E90" s="687"/>
      <c r="F90" s="688"/>
      <c r="G90" s="688"/>
      <c r="H90" s="687"/>
      <c r="I90" s="629">
        <f>(SUM(I67:I72)+I81+I84)*'OM Assumptions'!$B$44</f>
        <v>10835.994000000001</v>
      </c>
      <c r="J90" s="139"/>
      <c r="K90" s="139"/>
      <c r="L90" s="139"/>
      <c r="M90" s="139"/>
      <c r="N90" s="139"/>
      <c r="O90" s="139"/>
      <c r="P90" s="139"/>
      <c r="Q90" s="139"/>
      <c r="R90" s="139"/>
      <c r="S90" s="139"/>
      <c r="T90" s="139"/>
      <c r="U90" s="139"/>
      <c r="V90" s="139"/>
      <c r="W90" s="139"/>
      <c r="X90" s="139"/>
      <c r="Y90" s="139"/>
      <c r="Z90" s="139"/>
      <c r="AA90" s="139"/>
    </row>
    <row r="91" spans="1:27" ht="15.75">
      <c r="A91" s="698" t="s">
        <v>835</v>
      </c>
      <c r="B91" s="790"/>
      <c r="C91" s="687"/>
      <c r="D91" s="688"/>
      <c r="E91" s="687"/>
      <c r="F91" s="688"/>
      <c r="G91" s="688"/>
      <c r="H91" s="687"/>
      <c r="I91" s="683">
        <f>SUM(I67:I90)</f>
        <v>250781.87400000001</v>
      </c>
      <c r="J91" s="139"/>
      <c r="K91" s="139"/>
      <c r="L91" s="139"/>
      <c r="M91" s="139"/>
      <c r="N91" s="139"/>
      <c r="O91" s="139"/>
      <c r="P91" s="139"/>
      <c r="Q91" s="139"/>
      <c r="R91" s="139"/>
      <c r="S91" s="139"/>
      <c r="T91" s="139"/>
      <c r="U91" s="139"/>
      <c r="V91" s="139"/>
      <c r="W91" s="139"/>
      <c r="X91" s="139"/>
      <c r="Y91" s="139"/>
      <c r="Z91" s="139"/>
      <c r="AA91" s="139"/>
    </row>
    <row r="92" spans="1:27" ht="15.75">
      <c r="A92" s="139"/>
      <c r="B92" s="699"/>
      <c r="C92" s="700"/>
      <c r="D92" s="699"/>
      <c r="E92" s="700"/>
      <c r="F92" s="699"/>
      <c r="G92" s="699"/>
      <c r="H92" s="700"/>
      <c r="I92" s="701"/>
      <c r="J92" s="139"/>
      <c r="K92" s="139"/>
      <c r="L92" s="139"/>
      <c r="M92" s="139"/>
      <c r="N92" s="139"/>
      <c r="O92" s="139"/>
      <c r="P92" s="139"/>
      <c r="Q92" s="139"/>
      <c r="R92" s="139"/>
      <c r="S92" s="139"/>
      <c r="T92" s="139"/>
      <c r="U92" s="139"/>
      <c r="V92" s="139"/>
      <c r="W92" s="139"/>
      <c r="X92" s="139"/>
      <c r="Y92" s="139"/>
      <c r="Z92" s="139"/>
      <c r="AA92" s="139"/>
    </row>
    <row r="93" spans="1:27" ht="15.75">
      <c r="A93" s="1375" t="s">
        <v>63</v>
      </c>
      <c r="B93" s="1297"/>
      <c r="C93" s="1297"/>
      <c r="D93" s="1297"/>
      <c r="E93" s="1297"/>
      <c r="F93" s="1297"/>
      <c r="G93" s="1297"/>
      <c r="H93" s="1297"/>
      <c r="I93" s="1297"/>
      <c r="J93" s="139"/>
      <c r="K93" s="139"/>
      <c r="L93" s="139"/>
      <c r="M93" s="139"/>
      <c r="N93" s="139"/>
      <c r="O93" s="139"/>
      <c r="P93" s="139"/>
      <c r="Q93" s="139"/>
      <c r="R93" s="139"/>
      <c r="S93" s="139"/>
      <c r="T93" s="139"/>
      <c r="U93" s="139"/>
      <c r="V93" s="139"/>
      <c r="W93" s="139"/>
      <c r="X93" s="139"/>
      <c r="Y93" s="139"/>
      <c r="Z93" s="139"/>
      <c r="AA93" s="139"/>
    </row>
    <row r="94" spans="1:27" ht="15.75">
      <c r="A94" s="1297"/>
      <c r="B94" s="1297"/>
      <c r="C94" s="1297"/>
      <c r="D94" s="1297"/>
      <c r="E94" s="1297"/>
      <c r="F94" s="1297"/>
      <c r="G94" s="1297"/>
      <c r="H94" s="1297"/>
      <c r="I94" s="1297"/>
      <c r="J94" s="139"/>
      <c r="K94" s="139"/>
      <c r="L94" s="139"/>
      <c r="M94" s="139"/>
      <c r="N94" s="139"/>
      <c r="O94" s="139"/>
      <c r="P94" s="139"/>
      <c r="Q94" s="139"/>
      <c r="R94" s="139"/>
      <c r="S94" s="139"/>
      <c r="T94" s="139"/>
      <c r="U94" s="139"/>
      <c r="V94" s="139"/>
      <c r="W94" s="139"/>
      <c r="X94" s="139"/>
      <c r="Y94" s="139"/>
      <c r="Z94" s="139"/>
      <c r="AA94" s="139"/>
    </row>
    <row r="95" spans="1:27" ht="15.75">
      <c r="A95" s="488"/>
      <c r="B95" s="620" t="s">
        <v>683</v>
      </c>
      <c r="C95" s="683" t="s">
        <v>783</v>
      </c>
      <c r="D95" s="685" t="s">
        <v>836</v>
      </c>
      <c r="E95" s="683" t="s">
        <v>785</v>
      </c>
      <c r="F95" s="685" t="s">
        <v>786</v>
      </c>
      <c r="G95" s="685" t="s">
        <v>787</v>
      </c>
      <c r="H95" s="683" t="s">
        <v>788</v>
      </c>
      <c r="I95" s="683" t="s">
        <v>520</v>
      </c>
      <c r="J95" s="139"/>
      <c r="K95" s="139"/>
      <c r="L95" s="139"/>
      <c r="M95" s="139"/>
      <c r="N95" s="139"/>
      <c r="O95" s="139"/>
      <c r="P95" s="139"/>
      <c r="Q95" s="139"/>
      <c r="R95" s="139"/>
      <c r="S95" s="139"/>
      <c r="T95" s="139"/>
      <c r="U95" s="139"/>
      <c r="V95" s="139"/>
      <c r="W95" s="139"/>
      <c r="X95" s="139"/>
      <c r="Y95" s="139"/>
      <c r="Z95" s="139"/>
      <c r="AA95" s="139"/>
    </row>
    <row r="96" spans="1:27" ht="15.75">
      <c r="A96" s="626" t="s">
        <v>790</v>
      </c>
      <c r="B96" s="627"/>
      <c r="C96" s="687"/>
      <c r="D96" s="688"/>
      <c r="E96" s="687"/>
      <c r="F96" s="688"/>
      <c r="G96" s="688"/>
      <c r="H96" s="687"/>
      <c r="I96" s="629"/>
      <c r="J96" s="139"/>
      <c r="K96" s="139"/>
      <c r="L96" s="139"/>
      <c r="M96" s="139"/>
      <c r="N96" s="139"/>
      <c r="O96" s="139"/>
      <c r="P96" s="139"/>
      <c r="Q96" s="139"/>
      <c r="R96" s="139"/>
      <c r="S96" s="139"/>
      <c r="T96" s="139"/>
      <c r="U96" s="139"/>
      <c r="V96" s="139"/>
      <c r="W96" s="139"/>
      <c r="X96" s="139"/>
      <c r="Y96" s="139"/>
      <c r="Z96" s="139"/>
      <c r="AA96" s="139"/>
    </row>
    <row r="97" spans="1:27" ht="15.75">
      <c r="A97" s="637" t="s">
        <v>793</v>
      </c>
      <c r="B97" s="788" t="str">
        <f>HYPERLINK("https://www.microsoft.com/en-us/dynamics365/pricing","Microsoft Dynamics")</f>
        <v>Microsoft Dynamics</v>
      </c>
      <c r="C97" s="687">
        <f t="shared" ref="C97:C120" si="22">C7</f>
        <v>600</v>
      </c>
      <c r="D97" s="688">
        <f t="shared" ref="D97:D120" si="23">D37</f>
        <v>12</v>
      </c>
      <c r="E97" s="687"/>
      <c r="F97" s="688"/>
      <c r="G97" s="689">
        <f t="shared" ref="G97:G100" si="24">$N$10</f>
        <v>32</v>
      </c>
      <c r="H97" s="687">
        <f>C97*G97*'OM Assumptions'!$B$43*D97</f>
        <v>11520</v>
      </c>
      <c r="I97" s="629">
        <f t="shared" ref="I97:I98" si="25">C97*G97*D97+E97+H97</f>
        <v>241920</v>
      </c>
      <c r="J97" s="139"/>
      <c r="K97" s="139"/>
      <c r="L97" s="139"/>
      <c r="M97" s="139"/>
      <c r="N97" s="139"/>
      <c r="O97" s="139"/>
      <c r="P97" s="139"/>
      <c r="Q97" s="139"/>
      <c r="R97" s="139"/>
      <c r="S97" s="139"/>
      <c r="T97" s="139"/>
      <c r="U97" s="139"/>
      <c r="V97" s="139"/>
      <c r="W97" s="139"/>
      <c r="X97" s="139"/>
      <c r="Y97" s="139"/>
      <c r="Z97" s="139"/>
      <c r="AA97" s="139"/>
    </row>
    <row r="98" spans="1:27" ht="15.75">
      <c r="A98" s="637" t="s">
        <v>796</v>
      </c>
      <c r="B98" s="789" t="str">
        <f>HYPERLINK("https://products.office.com/en-us/business/office-365-enterprise-e3-business-software","Microsoft")</f>
        <v>Microsoft</v>
      </c>
      <c r="C98" s="687">
        <f t="shared" si="22"/>
        <v>20</v>
      </c>
      <c r="D98" s="688">
        <f t="shared" si="23"/>
        <v>12</v>
      </c>
      <c r="E98" s="687"/>
      <c r="F98" s="688"/>
      <c r="G98" s="689">
        <f t="shared" si="24"/>
        <v>32</v>
      </c>
      <c r="H98" s="687"/>
      <c r="I98" s="629">
        <f t="shared" si="25"/>
        <v>7680</v>
      </c>
      <c r="J98" s="139"/>
      <c r="K98" s="139"/>
      <c r="L98" s="139"/>
      <c r="M98" s="139"/>
      <c r="N98" s="139"/>
      <c r="O98" s="139"/>
      <c r="P98" s="139"/>
      <c r="Q98" s="139"/>
      <c r="R98" s="139"/>
      <c r="S98" s="139"/>
      <c r="T98" s="139"/>
      <c r="U98" s="139"/>
      <c r="V98" s="139"/>
      <c r="W98" s="139"/>
      <c r="X98" s="139"/>
      <c r="Y98" s="139"/>
      <c r="Z98" s="139"/>
      <c r="AA98" s="139"/>
    </row>
    <row r="99" spans="1:27" ht="15.75">
      <c r="A99" s="637" t="s">
        <v>798</v>
      </c>
      <c r="B99" s="788" t="str">
        <f>HYPERLINK("https://www.avg.com/en-us/internet-security-business-edition","AVG Software")</f>
        <v>AVG Software</v>
      </c>
      <c r="C99" s="687">
        <f t="shared" si="22"/>
        <v>50.39</v>
      </c>
      <c r="D99" s="688">
        <f t="shared" si="23"/>
        <v>12</v>
      </c>
      <c r="E99" s="687"/>
      <c r="F99" s="688"/>
      <c r="G99" s="689">
        <f t="shared" si="24"/>
        <v>32</v>
      </c>
      <c r="H99" s="687"/>
      <c r="I99" s="629">
        <f>C99*F99*G99</f>
        <v>0</v>
      </c>
      <c r="J99" s="139"/>
      <c r="K99" s="139"/>
      <c r="L99" s="139"/>
      <c r="M99" s="139"/>
      <c r="N99" s="139"/>
      <c r="O99" s="139"/>
      <c r="P99" s="139"/>
      <c r="Q99" s="139"/>
      <c r="R99" s="139"/>
      <c r="S99" s="139"/>
      <c r="T99" s="139"/>
      <c r="U99" s="139"/>
      <c r="V99" s="139"/>
      <c r="W99" s="139"/>
      <c r="X99" s="139"/>
      <c r="Y99" s="139"/>
      <c r="Z99" s="139"/>
      <c r="AA99" s="139"/>
    </row>
    <row r="100" spans="1:27" ht="15.75">
      <c r="A100" s="637" t="s">
        <v>803</v>
      </c>
      <c r="B100" s="788" t="str">
        <f>HYPERLINK("https://gsuite.google.com/pricing.html?tab_activeEl=tabset-companies","Google")</f>
        <v>Google</v>
      </c>
      <c r="C100" s="687">
        <f t="shared" si="22"/>
        <v>10</v>
      </c>
      <c r="D100" s="688">
        <f t="shared" si="23"/>
        <v>12</v>
      </c>
      <c r="E100" s="687"/>
      <c r="F100" s="688"/>
      <c r="G100" s="689">
        <f t="shared" si="24"/>
        <v>32</v>
      </c>
      <c r="H100" s="687"/>
      <c r="I100" s="629">
        <f>C100*D100*G100</f>
        <v>3840</v>
      </c>
      <c r="J100" s="139"/>
      <c r="K100" s="139"/>
      <c r="L100" s="139"/>
      <c r="M100" s="139"/>
      <c r="N100" s="139"/>
      <c r="O100" s="139"/>
      <c r="P100" s="139"/>
      <c r="Q100" s="139"/>
      <c r="R100" s="139"/>
      <c r="S100" s="139"/>
      <c r="T100" s="139"/>
      <c r="U100" s="139"/>
      <c r="V100" s="139"/>
      <c r="W100" s="139"/>
      <c r="X100" s="139"/>
      <c r="Y100" s="139"/>
      <c r="Z100" s="139"/>
      <c r="AA100" s="139"/>
    </row>
    <row r="101" spans="1:27" ht="15.75">
      <c r="A101" s="637" t="s">
        <v>804</v>
      </c>
      <c r="B101" s="788" t="str">
        <f>HYPERLINK("https://dharmamerchantservices.com/business-2-business-processing/","Dharma Merchant Services")</f>
        <v>Dharma Merchant Services</v>
      </c>
      <c r="C101" s="687">
        <f t="shared" si="22"/>
        <v>20</v>
      </c>
      <c r="D101" s="688">
        <f t="shared" si="23"/>
        <v>12</v>
      </c>
      <c r="E101" s="687"/>
      <c r="F101" s="688"/>
      <c r="G101" s="688"/>
      <c r="H101" s="687"/>
      <c r="I101" s="629">
        <f t="shared" ref="I101:I102" si="26">C101*D101</f>
        <v>240</v>
      </c>
      <c r="J101" s="139"/>
      <c r="K101" s="139"/>
      <c r="L101" s="139"/>
      <c r="M101" s="139"/>
      <c r="N101" s="139"/>
      <c r="O101" s="139"/>
      <c r="P101" s="139"/>
      <c r="Q101" s="139"/>
      <c r="R101" s="139"/>
      <c r="S101" s="139"/>
      <c r="T101" s="139"/>
      <c r="U101" s="139"/>
      <c r="V101" s="139"/>
      <c r="W101" s="139"/>
      <c r="X101" s="139"/>
      <c r="Y101" s="139"/>
      <c r="Z101" s="139"/>
      <c r="AA101" s="139"/>
    </row>
    <row r="102" spans="1:27" ht="15.75">
      <c r="A102" s="637" t="s">
        <v>805</v>
      </c>
      <c r="B102" s="788" t="str">
        <f>HYPERLINK("http://www.delivrd.com/#pricing","Delivrd")</f>
        <v>Delivrd</v>
      </c>
      <c r="C102" s="687">
        <f t="shared" si="22"/>
        <v>49.99</v>
      </c>
      <c r="D102" s="688">
        <f t="shared" si="23"/>
        <v>12</v>
      </c>
      <c r="E102" s="687"/>
      <c r="F102" s="688"/>
      <c r="G102" s="688"/>
      <c r="H102" s="687"/>
      <c r="I102" s="629">
        <f t="shared" si="26"/>
        <v>599.88</v>
      </c>
      <c r="J102" s="139"/>
      <c r="K102" s="139"/>
      <c r="L102" s="139"/>
      <c r="M102" s="139"/>
      <c r="N102" s="139"/>
      <c r="O102" s="139"/>
      <c r="P102" s="139"/>
      <c r="Q102" s="139"/>
      <c r="R102" s="139"/>
      <c r="S102" s="139"/>
      <c r="T102" s="139"/>
      <c r="U102" s="139"/>
      <c r="V102" s="139"/>
      <c r="W102" s="139"/>
      <c r="X102" s="139"/>
      <c r="Y102" s="139"/>
      <c r="Z102" s="139"/>
      <c r="AA102" s="139"/>
    </row>
    <row r="103" spans="1:27" ht="15.75">
      <c r="A103" s="626" t="s">
        <v>807</v>
      </c>
      <c r="B103" s="790"/>
      <c r="C103" s="687">
        <f t="shared" si="22"/>
        <v>0</v>
      </c>
      <c r="D103" s="688">
        <f t="shared" si="23"/>
        <v>0</v>
      </c>
      <c r="E103" s="687"/>
      <c r="F103" s="688"/>
      <c r="G103" s="688"/>
      <c r="H103" s="687"/>
      <c r="I103" s="629"/>
      <c r="J103" s="139"/>
      <c r="K103" s="139"/>
      <c r="L103" s="139"/>
      <c r="M103" s="139"/>
      <c r="N103" s="139"/>
      <c r="O103" s="139"/>
      <c r="P103" s="139"/>
      <c r="Q103" s="139"/>
      <c r="R103" s="139"/>
      <c r="S103" s="139"/>
      <c r="T103" s="139"/>
      <c r="U103" s="139"/>
      <c r="V103" s="139"/>
      <c r="W103" s="139"/>
      <c r="X103" s="139"/>
      <c r="Y103" s="139"/>
      <c r="Z103" s="139"/>
      <c r="AA103" s="139"/>
    </row>
    <row r="104" spans="1:27" ht="15.75">
      <c r="A104" s="637" t="s">
        <v>809</v>
      </c>
      <c r="B104" s="787"/>
      <c r="C104" s="687">
        <f t="shared" si="22"/>
        <v>0</v>
      </c>
      <c r="D104" s="688">
        <f t="shared" si="23"/>
        <v>0</v>
      </c>
      <c r="E104" s="690">
        <v>1500</v>
      </c>
      <c r="F104" s="688"/>
      <c r="G104" s="689">
        <f>$N$10-G67</f>
        <v>5</v>
      </c>
      <c r="H104" s="687"/>
      <c r="I104" s="629">
        <f t="shared" ref="I104:I106" si="27">E104*G104</f>
        <v>7500</v>
      </c>
      <c r="J104" s="139"/>
      <c r="K104" s="139"/>
      <c r="L104" s="139"/>
      <c r="M104" s="139"/>
      <c r="N104" s="139"/>
      <c r="O104" s="139"/>
      <c r="P104" s="139"/>
      <c r="Q104" s="139"/>
      <c r="R104" s="139"/>
      <c r="S104" s="139"/>
      <c r="T104" s="139"/>
      <c r="U104" s="139"/>
      <c r="V104" s="139"/>
      <c r="W104" s="139"/>
      <c r="X104" s="139"/>
      <c r="Y104" s="139"/>
      <c r="Z104" s="139"/>
      <c r="AA104" s="139"/>
    </row>
    <row r="105" spans="1:27" ht="15.75">
      <c r="A105" s="637" t="s">
        <v>811</v>
      </c>
      <c r="B105" s="787"/>
      <c r="C105" s="687">
        <f t="shared" si="22"/>
        <v>0</v>
      </c>
      <c r="D105" s="688">
        <f t="shared" si="23"/>
        <v>0</v>
      </c>
      <c r="E105" s="690">
        <v>249</v>
      </c>
      <c r="F105" s="688"/>
      <c r="G105" s="689">
        <f>$N$10-G67</f>
        <v>5</v>
      </c>
      <c r="H105" s="687"/>
      <c r="I105" s="629">
        <f t="shared" si="27"/>
        <v>1245</v>
      </c>
      <c r="J105" s="139"/>
      <c r="K105" s="139"/>
      <c r="L105" s="139"/>
      <c r="M105" s="139"/>
      <c r="N105" s="139"/>
      <c r="O105" s="139"/>
      <c r="P105" s="139"/>
      <c r="Q105" s="139"/>
      <c r="R105" s="139"/>
      <c r="S105" s="139"/>
      <c r="T105" s="139"/>
      <c r="U105" s="139"/>
      <c r="V105" s="139"/>
      <c r="W105" s="139"/>
      <c r="X105" s="139"/>
      <c r="Y105" s="139"/>
      <c r="Z105" s="139"/>
      <c r="AA105" s="139"/>
    </row>
    <row r="106" spans="1:27" ht="15.75">
      <c r="A106" s="637" t="s">
        <v>813</v>
      </c>
      <c r="B106" s="787"/>
      <c r="C106" s="687">
        <f t="shared" si="22"/>
        <v>0</v>
      </c>
      <c r="D106" s="688">
        <f t="shared" si="23"/>
        <v>0</v>
      </c>
      <c r="E106" s="690">
        <v>1000</v>
      </c>
      <c r="F106" s="688"/>
      <c r="G106" s="691">
        <f>$N$7+$N$9-G86</f>
        <v>3</v>
      </c>
      <c r="H106" s="687"/>
      <c r="I106" s="629">
        <f t="shared" si="27"/>
        <v>3000</v>
      </c>
      <c r="J106" s="139"/>
      <c r="K106" s="139"/>
      <c r="L106" s="139"/>
      <c r="M106" s="139"/>
      <c r="N106" s="139"/>
      <c r="O106" s="139"/>
      <c r="P106" s="139"/>
      <c r="Q106" s="139"/>
      <c r="R106" s="139"/>
      <c r="S106" s="139"/>
      <c r="T106" s="139"/>
      <c r="U106" s="139"/>
      <c r="V106" s="139"/>
      <c r="W106" s="139"/>
      <c r="X106" s="139"/>
      <c r="Y106" s="139"/>
      <c r="Z106" s="139"/>
      <c r="AA106" s="139"/>
    </row>
    <row r="107" spans="1:27" ht="15.75">
      <c r="A107" s="637" t="s">
        <v>815</v>
      </c>
      <c r="B107" s="787"/>
      <c r="C107" s="687">
        <f t="shared" si="22"/>
        <v>0</v>
      </c>
      <c r="D107" s="688">
        <f t="shared" si="23"/>
        <v>0</v>
      </c>
      <c r="E107" s="690">
        <v>750</v>
      </c>
      <c r="F107" s="710"/>
      <c r="G107" s="691">
        <f>$N$7+$N$9-G86</f>
        <v>3</v>
      </c>
      <c r="H107" s="687"/>
      <c r="I107" s="629">
        <f>E107*(G107/3)</f>
        <v>750</v>
      </c>
      <c r="J107" s="139"/>
      <c r="K107" s="139"/>
      <c r="L107" s="139"/>
      <c r="M107" s="139"/>
      <c r="N107" s="139"/>
      <c r="O107" s="139"/>
      <c r="P107" s="139"/>
      <c r="Q107" s="139"/>
      <c r="R107" s="139"/>
      <c r="S107" s="139"/>
      <c r="T107" s="139"/>
      <c r="U107" s="139"/>
      <c r="V107" s="139"/>
      <c r="W107" s="139"/>
      <c r="X107" s="139"/>
      <c r="Y107" s="139"/>
      <c r="Z107" s="139"/>
      <c r="AA107" s="139"/>
    </row>
    <row r="108" spans="1:27" ht="15.75">
      <c r="A108" s="637" t="s">
        <v>817</v>
      </c>
      <c r="B108" s="787"/>
      <c r="C108" s="687">
        <f t="shared" si="22"/>
        <v>0</v>
      </c>
      <c r="D108" s="688">
        <f t="shared" si="23"/>
        <v>0</v>
      </c>
      <c r="E108" s="690">
        <v>0</v>
      </c>
      <c r="F108" s="688"/>
      <c r="G108" s="688"/>
      <c r="H108" s="687"/>
      <c r="I108" s="629">
        <f t="shared" ref="I108:I110" si="28">E108</f>
        <v>0</v>
      </c>
      <c r="J108" s="139"/>
      <c r="K108" s="139"/>
      <c r="L108" s="139"/>
      <c r="M108" s="139"/>
      <c r="N108" s="139"/>
      <c r="O108" s="139"/>
      <c r="P108" s="139"/>
      <c r="Q108" s="139"/>
      <c r="R108" s="139"/>
      <c r="S108" s="139"/>
      <c r="T108" s="139"/>
      <c r="U108" s="139"/>
      <c r="V108" s="139"/>
      <c r="W108" s="139"/>
      <c r="X108" s="139"/>
      <c r="Y108" s="139"/>
      <c r="Z108" s="139"/>
      <c r="AA108" s="139"/>
    </row>
    <row r="109" spans="1:27" ht="15.75">
      <c r="A109" s="637" t="s">
        <v>819</v>
      </c>
      <c r="B109" s="787"/>
      <c r="C109" s="687">
        <f t="shared" si="22"/>
        <v>0</v>
      </c>
      <c r="D109" s="688">
        <f t="shared" si="23"/>
        <v>0</v>
      </c>
      <c r="E109" s="690">
        <v>0</v>
      </c>
      <c r="F109" s="688"/>
      <c r="G109" s="688"/>
      <c r="H109" s="687"/>
      <c r="I109" s="629">
        <f t="shared" si="28"/>
        <v>0</v>
      </c>
      <c r="J109" s="139"/>
      <c r="K109" s="139"/>
      <c r="L109" s="139"/>
      <c r="M109" s="139"/>
      <c r="N109" s="139"/>
      <c r="O109" s="139"/>
      <c r="P109" s="139"/>
      <c r="Q109" s="139"/>
      <c r="R109" s="139"/>
      <c r="S109" s="139"/>
      <c r="T109" s="139"/>
      <c r="U109" s="139"/>
      <c r="V109" s="139"/>
      <c r="W109" s="139"/>
      <c r="X109" s="139"/>
      <c r="Y109" s="139"/>
      <c r="Z109" s="139"/>
      <c r="AA109" s="139"/>
    </row>
    <row r="110" spans="1:27" ht="15.75">
      <c r="A110" s="637" t="s">
        <v>820</v>
      </c>
      <c r="B110" s="787"/>
      <c r="C110" s="687">
        <f t="shared" si="22"/>
        <v>0</v>
      </c>
      <c r="D110" s="688">
        <f t="shared" si="23"/>
        <v>0</v>
      </c>
      <c r="E110" s="690">
        <v>0</v>
      </c>
      <c r="F110" s="688"/>
      <c r="G110" s="688"/>
      <c r="H110" s="687"/>
      <c r="I110" s="629">
        <f t="shared" si="28"/>
        <v>0</v>
      </c>
      <c r="J110" s="139"/>
      <c r="K110" s="139"/>
      <c r="L110" s="139"/>
      <c r="M110" s="139"/>
      <c r="N110" s="139"/>
      <c r="O110" s="139"/>
      <c r="P110" s="139"/>
      <c r="Q110" s="139"/>
      <c r="R110" s="139"/>
      <c r="S110" s="139"/>
      <c r="T110" s="139"/>
      <c r="U110" s="139"/>
      <c r="V110" s="139"/>
      <c r="W110" s="139"/>
      <c r="X110" s="139"/>
      <c r="Y110" s="139"/>
      <c r="Z110" s="139"/>
      <c r="AA110" s="139"/>
    </row>
    <row r="111" spans="1:27" ht="15.75">
      <c r="A111" s="637" t="s">
        <v>821</v>
      </c>
      <c r="B111" s="790"/>
      <c r="C111" s="687">
        <f t="shared" si="22"/>
        <v>45</v>
      </c>
      <c r="D111" s="688">
        <f t="shared" si="23"/>
        <v>12</v>
      </c>
      <c r="E111" s="687"/>
      <c r="F111" s="688"/>
      <c r="G111" s="688"/>
      <c r="H111" s="687"/>
      <c r="I111" s="629">
        <f>E111+C111*D111</f>
        <v>540</v>
      </c>
      <c r="J111" s="139"/>
      <c r="K111" s="139"/>
      <c r="L111" s="139"/>
      <c r="M111" s="139"/>
      <c r="N111" s="139"/>
      <c r="O111" s="139"/>
      <c r="P111" s="139"/>
      <c r="Q111" s="139"/>
      <c r="R111" s="139"/>
      <c r="S111" s="139"/>
      <c r="T111" s="139"/>
      <c r="U111" s="139"/>
      <c r="V111" s="139"/>
      <c r="W111" s="139"/>
      <c r="X111" s="139"/>
      <c r="Y111" s="139"/>
      <c r="Z111" s="139"/>
      <c r="AA111" s="139"/>
    </row>
    <row r="112" spans="1:27" ht="15.75">
      <c r="A112" s="626" t="s">
        <v>822</v>
      </c>
      <c r="B112" s="790"/>
      <c r="C112" s="687">
        <f t="shared" si="22"/>
        <v>0</v>
      </c>
      <c r="D112" s="688">
        <f t="shared" si="23"/>
        <v>0</v>
      </c>
      <c r="E112" s="687"/>
      <c r="F112" s="688"/>
      <c r="G112" s="688"/>
      <c r="H112" s="687"/>
      <c r="I112" s="629"/>
      <c r="J112" s="139"/>
      <c r="K112" s="139"/>
      <c r="L112" s="139"/>
      <c r="M112" s="139"/>
      <c r="N112" s="139"/>
      <c r="O112" s="139"/>
      <c r="P112" s="139"/>
      <c r="Q112" s="139"/>
      <c r="R112" s="139"/>
      <c r="S112" s="139"/>
      <c r="T112" s="139"/>
      <c r="U112" s="139"/>
      <c r="V112" s="139"/>
      <c r="W112" s="139"/>
      <c r="X112" s="139"/>
      <c r="Y112" s="139"/>
      <c r="Z112" s="139"/>
      <c r="AA112" s="139"/>
    </row>
    <row r="113" spans="1:27" ht="15.75">
      <c r="A113" s="637" t="s">
        <v>823</v>
      </c>
      <c r="B113" s="790"/>
      <c r="C113" s="687">
        <f t="shared" si="22"/>
        <v>0</v>
      </c>
      <c r="D113" s="688">
        <f t="shared" si="23"/>
        <v>0</v>
      </c>
      <c r="E113" s="690">
        <v>0</v>
      </c>
      <c r="F113" s="688"/>
      <c r="G113" s="688"/>
      <c r="H113" s="687"/>
      <c r="I113" s="629">
        <f>E113</f>
        <v>0</v>
      </c>
      <c r="J113" s="139"/>
      <c r="K113" s="139"/>
      <c r="L113" s="139"/>
      <c r="M113" s="139"/>
      <c r="N113" s="139"/>
      <c r="O113" s="139"/>
      <c r="P113" s="139"/>
      <c r="Q113" s="139"/>
      <c r="R113" s="139"/>
      <c r="S113" s="139"/>
      <c r="T113" s="139"/>
      <c r="U113" s="139"/>
      <c r="V113" s="139"/>
      <c r="W113" s="139"/>
      <c r="X113" s="139"/>
      <c r="Y113" s="139"/>
      <c r="Z113" s="139"/>
      <c r="AA113" s="139"/>
    </row>
    <row r="114" spans="1:27" ht="15.75">
      <c r="A114" s="637" t="s">
        <v>824</v>
      </c>
      <c r="B114" s="790"/>
      <c r="C114" s="687">
        <f t="shared" si="22"/>
        <v>125</v>
      </c>
      <c r="D114" s="688">
        <f t="shared" si="23"/>
        <v>12</v>
      </c>
      <c r="E114" s="687"/>
      <c r="F114" s="688"/>
      <c r="G114" s="688"/>
      <c r="H114" s="687"/>
      <c r="I114" s="629">
        <f>C114*D114</f>
        <v>1500</v>
      </c>
      <c r="J114" s="139"/>
      <c r="K114" s="139"/>
      <c r="L114" s="139"/>
      <c r="M114" s="139"/>
      <c r="N114" s="139"/>
      <c r="O114" s="139"/>
      <c r="P114" s="139"/>
      <c r="Q114" s="139"/>
      <c r="R114" s="139"/>
      <c r="S114" s="139"/>
      <c r="T114" s="139"/>
      <c r="U114" s="139"/>
      <c r="V114" s="139"/>
      <c r="W114" s="139"/>
      <c r="X114" s="139"/>
      <c r="Y114" s="139"/>
      <c r="Z114" s="139"/>
      <c r="AA114" s="139"/>
    </row>
    <row r="115" spans="1:27" ht="15.75">
      <c r="A115" s="626" t="s">
        <v>826</v>
      </c>
      <c r="B115" s="790"/>
      <c r="C115" s="687">
        <f t="shared" si="22"/>
        <v>0</v>
      </c>
      <c r="D115" s="688">
        <f t="shared" si="23"/>
        <v>0</v>
      </c>
      <c r="E115" s="687"/>
      <c r="F115" s="688"/>
      <c r="G115" s="688"/>
      <c r="H115" s="687"/>
      <c r="I115" s="629"/>
      <c r="J115" s="139"/>
      <c r="K115" s="139"/>
      <c r="L115" s="139"/>
      <c r="M115" s="139"/>
      <c r="N115" s="139"/>
      <c r="O115" s="139"/>
      <c r="P115" s="139"/>
      <c r="Q115" s="139"/>
      <c r="R115" s="139"/>
      <c r="S115" s="139"/>
      <c r="T115" s="139"/>
      <c r="U115" s="139"/>
      <c r="V115" s="139"/>
      <c r="W115" s="139"/>
      <c r="X115" s="139"/>
      <c r="Y115" s="139"/>
      <c r="Z115" s="139"/>
      <c r="AA115" s="139"/>
    </row>
    <row r="116" spans="1:27" ht="15.75">
      <c r="A116" s="637" t="s">
        <v>827</v>
      </c>
      <c r="B116" s="788" t="str">
        <f>HYPERLINK("https://www.verizon.com/smallbusiness/products/business-internet/broadband-packages/","Verizon")</f>
        <v>Verizon</v>
      </c>
      <c r="C116" s="687">
        <f t="shared" si="22"/>
        <v>32.5</v>
      </c>
      <c r="D116" s="688">
        <f t="shared" si="23"/>
        <v>12</v>
      </c>
      <c r="E116" s="687"/>
      <c r="F116" s="688"/>
      <c r="G116" s="691">
        <f>$N$7+$N$9</f>
        <v>12</v>
      </c>
      <c r="H116" s="687"/>
      <c r="I116" s="629">
        <f>C116*G116*D116+F116</f>
        <v>4680</v>
      </c>
      <c r="J116" s="139"/>
      <c r="K116" s="139"/>
      <c r="L116" s="139"/>
      <c r="M116" s="139"/>
      <c r="N116" s="139"/>
      <c r="O116" s="139"/>
      <c r="P116" s="139"/>
      <c r="Q116" s="139"/>
      <c r="R116" s="139"/>
      <c r="S116" s="139"/>
      <c r="T116" s="139"/>
      <c r="U116" s="139"/>
      <c r="V116" s="139"/>
      <c r="W116" s="139"/>
      <c r="X116" s="139"/>
      <c r="Y116" s="139"/>
      <c r="Z116" s="139"/>
      <c r="AA116" s="139"/>
    </row>
    <row r="117" spans="1:27" ht="15.75">
      <c r="A117" s="637" t="s">
        <v>829</v>
      </c>
      <c r="B117" s="788" t="str">
        <f>HYPERLINK("http://www.verizonenterprise.com/products/networking/sdn-nfv/virtual-network-services/","Verizon")</f>
        <v>Verizon</v>
      </c>
      <c r="C117" s="687">
        <f t="shared" si="22"/>
        <v>60</v>
      </c>
      <c r="D117" s="688">
        <f t="shared" si="23"/>
        <v>12</v>
      </c>
      <c r="E117" s="687"/>
      <c r="F117" s="688"/>
      <c r="G117" s="688"/>
      <c r="H117" s="687"/>
      <c r="I117" s="629">
        <f>C117*D117+F117</f>
        <v>720</v>
      </c>
      <c r="J117" s="139"/>
      <c r="K117" s="139"/>
      <c r="L117" s="139"/>
      <c r="M117" s="139"/>
      <c r="N117" s="139"/>
      <c r="O117" s="139"/>
      <c r="P117" s="139"/>
      <c r="Q117" s="139"/>
      <c r="R117" s="139"/>
      <c r="S117" s="139"/>
      <c r="T117" s="139"/>
      <c r="U117" s="139"/>
      <c r="V117" s="139"/>
      <c r="W117" s="139"/>
      <c r="X117" s="139"/>
      <c r="Y117" s="139"/>
      <c r="Z117" s="139"/>
      <c r="AA117" s="139"/>
    </row>
    <row r="118" spans="1:27" ht="15.75">
      <c r="A118" s="637" t="s">
        <v>830</v>
      </c>
      <c r="B118" s="788" t="str">
        <f>HYPERLINK("https://store.nest.com/products/NC2100ES","Nest Security")</f>
        <v>Nest Security</v>
      </c>
      <c r="C118" s="687">
        <f t="shared" si="22"/>
        <v>0</v>
      </c>
      <c r="D118" s="688">
        <f t="shared" si="23"/>
        <v>0</v>
      </c>
      <c r="E118" s="690">
        <v>994</v>
      </c>
      <c r="F118" s="688"/>
      <c r="G118" s="688"/>
      <c r="H118" s="687"/>
      <c r="I118" s="629">
        <f>E118</f>
        <v>994</v>
      </c>
      <c r="J118" s="139"/>
      <c r="K118" s="139"/>
      <c r="L118" s="139"/>
      <c r="M118" s="139"/>
      <c r="N118" s="139"/>
      <c r="O118" s="139"/>
      <c r="P118" s="139"/>
      <c r="Q118" s="139"/>
      <c r="R118" s="139"/>
      <c r="S118" s="139"/>
      <c r="T118" s="139"/>
      <c r="U118" s="139"/>
      <c r="V118" s="139"/>
      <c r="W118" s="139"/>
      <c r="X118" s="139"/>
      <c r="Y118" s="139"/>
      <c r="Z118" s="139"/>
      <c r="AA118" s="139"/>
    </row>
    <row r="119" spans="1:27" ht="15.75">
      <c r="A119" s="637" t="s">
        <v>831</v>
      </c>
      <c r="B119" s="787"/>
      <c r="C119" s="687">
        <f t="shared" si="22"/>
        <v>1000</v>
      </c>
      <c r="D119" s="688">
        <f t="shared" si="23"/>
        <v>12</v>
      </c>
      <c r="E119" s="687"/>
      <c r="F119" s="688"/>
      <c r="G119" s="688"/>
      <c r="H119" s="687"/>
      <c r="I119" s="629">
        <f>C119*D119</f>
        <v>12000</v>
      </c>
      <c r="J119" s="139"/>
      <c r="K119" s="139"/>
      <c r="L119" s="139"/>
      <c r="M119" s="139"/>
      <c r="N119" s="139"/>
      <c r="O119" s="139"/>
      <c r="P119" s="139"/>
      <c r="Q119" s="139"/>
      <c r="R119" s="139"/>
      <c r="S119" s="139"/>
      <c r="T119" s="139"/>
      <c r="U119" s="139"/>
      <c r="V119" s="139"/>
      <c r="W119" s="139"/>
      <c r="X119" s="139"/>
      <c r="Y119" s="139"/>
      <c r="Z119" s="139"/>
      <c r="AA119" s="139"/>
    </row>
    <row r="120" spans="1:27" ht="15.75">
      <c r="A120" s="637" t="s">
        <v>832</v>
      </c>
      <c r="B120" s="790"/>
      <c r="C120" s="687">
        <f t="shared" si="22"/>
        <v>0</v>
      </c>
      <c r="D120" s="688">
        <f t="shared" si="23"/>
        <v>0</v>
      </c>
      <c r="E120" s="687"/>
      <c r="F120" s="688"/>
      <c r="G120" s="688"/>
      <c r="H120" s="687"/>
      <c r="I120" s="629">
        <f>(SUM(I97:I102)+I111+I114)*'OM Assumptions'!$B$44</f>
        <v>12815.994000000001</v>
      </c>
      <c r="J120" s="139"/>
      <c r="K120" s="139"/>
      <c r="L120" s="139"/>
      <c r="M120" s="139"/>
      <c r="N120" s="139"/>
      <c r="O120" s="139"/>
      <c r="P120" s="139"/>
      <c r="Q120" s="139"/>
      <c r="R120" s="139"/>
      <c r="S120" s="139"/>
      <c r="T120" s="139"/>
      <c r="U120" s="139"/>
      <c r="V120" s="139"/>
      <c r="W120" s="139"/>
      <c r="X120" s="139"/>
      <c r="Y120" s="139"/>
      <c r="Z120" s="139"/>
      <c r="AA120" s="139"/>
    </row>
    <row r="121" spans="1:27" ht="15.75">
      <c r="A121" s="698" t="s">
        <v>835</v>
      </c>
      <c r="B121" s="655"/>
      <c r="C121" s="687"/>
      <c r="D121" s="688"/>
      <c r="E121" s="687"/>
      <c r="F121" s="688"/>
      <c r="G121" s="688"/>
      <c r="H121" s="687"/>
      <c r="I121" s="683">
        <f>SUM(I97:I120)</f>
        <v>300024.87400000001</v>
      </c>
      <c r="J121" s="139"/>
      <c r="K121" s="139"/>
      <c r="L121" s="139"/>
      <c r="M121" s="139"/>
      <c r="N121" s="139"/>
      <c r="O121" s="139"/>
      <c r="P121" s="139"/>
      <c r="Q121" s="139"/>
      <c r="R121" s="139"/>
      <c r="S121" s="139"/>
      <c r="T121" s="139"/>
      <c r="U121" s="139"/>
      <c r="V121" s="139"/>
      <c r="W121" s="139"/>
      <c r="X121" s="139"/>
      <c r="Y121" s="139"/>
      <c r="Z121" s="139"/>
      <c r="AA121" s="139"/>
    </row>
    <row r="122" spans="1:27" ht="15.75">
      <c r="A122" s="139"/>
      <c r="B122" s="699"/>
      <c r="C122" s="700"/>
      <c r="D122" s="699"/>
      <c r="E122" s="700"/>
      <c r="F122" s="699"/>
      <c r="G122" s="699"/>
      <c r="H122" s="700"/>
      <c r="I122" s="701"/>
      <c r="J122" s="139"/>
      <c r="K122" s="139"/>
      <c r="L122" s="139"/>
      <c r="M122" s="139"/>
      <c r="N122" s="139"/>
      <c r="O122" s="139"/>
      <c r="P122" s="139"/>
      <c r="Q122" s="139"/>
      <c r="R122" s="139"/>
      <c r="S122" s="139"/>
      <c r="T122" s="139"/>
      <c r="U122" s="139"/>
      <c r="V122" s="139"/>
      <c r="W122" s="139"/>
      <c r="X122" s="139"/>
      <c r="Y122" s="139"/>
      <c r="Z122" s="139"/>
      <c r="AA122" s="139"/>
    </row>
    <row r="123" spans="1:27" ht="15.75">
      <c r="A123" s="1375" t="s">
        <v>65</v>
      </c>
      <c r="B123" s="1297"/>
      <c r="C123" s="1297"/>
      <c r="D123" s="1297"/>
      <c r="E123" s="1297"/>
      <c r="F123" s="1297"/>
      <c r="G123" s="1297"/>
      <c r="H123" s="1297"/>
      <c r="I123" s="1297"/>
      <c r="J123" s="139"/>
      <c r="K123" s="139"/>
      <c r="L123" s="139"/>
      <c r="M123" s="139"/>
      <c r="N123" s="139"/>
      <c r="O123" s="139"/>
      <c r="P123" s="139"/>
      <c r="Q123" s="139"/>
      <c r="R123" s="139"/>
      <c r="S123" s="139"/>
      <c r="T123" s="139"/>
      <c r="U123" s="139"/>
      <c r="V123" s="139"/>
      <c r="W123" s="139"/>
      <c r="X123" s="139"/>
      <c r="Y123" s="139"/>
      <c r="Z123" s="139"/>
      <c r="AA123" s="139"/>
    </row>
    <row r="124" spans="1:27" ht="15.75">
      <c r="A124" s="1297"/>
      <c r="B124" s="1297"/>
      <c r="C124" s="1297"/>
      <c r="D124" s="1297"/>
      <c r="E124" s="1297"/>
      <c r="F124" s="1297"/>
      <c r="G124" s="1297"/>
      <c r="H124" s="1297"/>
      <c r="I124" s="1297"/>
      <c r="J124" s="139"/>
      <c r="K124" s="139"/>
      <c r="L124" s="139"/>
      <c r="M124" s="139"/>
      <c r="N124" s="139"/>
      <c r="O124" s="139"/>
      <c r="P124" s="139"/>
      <c r="Q124" s="139"/>
      <c r="R124" s="139"/>
      <c r="S124" s="139"/>
      <c r="T124" s="139"/>
      <c r="U124" s="139"/>
      <c r="V124" s="139"/>
      <c r="W124" s="139"/>
      <c r="X124" s="139"/>
      <c r="Y124" s="139"/>
      <c r="Z124" s="139"/>
      <c r="AA124" s="139"/>
    </row>
    <row r="125" spans="1:27" ht="15.75">
      <c r="A125" s="715" t="s">
        <v>65</v>
      </c>
      <c r="B125" s="620" t="s">
        <v>683</v>
      </c>
      <c r="C125" s="683" t="s">
        <v>783</v>
      </c>
      <c r="D125" s="685" t="s">
        <v>836</v>
      </c>
      <c r="E125" s="683" t="s">
        <v>785</v>
      </c>
      <c r="F125" s="685" t="s">
        <v>786</v>
      </c>
      <c r="G125" s="685" t="s">
        <v>787</v>
      </c>
      <c r="H125" s="683" t="s">
        <v>788</v>
      </c>
      <c r="I125" s="683" t="s">
        <v>520</v>
      </c>
      <c r="J125" s="139"/>
      <c r="K125" s="139"/>
      <c r="L125" s="139"/>
      <c r="M125" s="139"/>
      <c r="N125" s="139"/>
      <c r="O125" s="139"/>
      <c r="P125" s="139"/>
      <c r="Q125" s="139"/>
      <c r="R125" s="139"/>
      <c r="S125" s="139"/>
      <c r="T125" s="139"/>
      <c r="U125" s="139"/>
      <c r="V125" s="139"/>
      <c r="W125" s="139"/>
      <c r="X125" s="139"/>
      <c r="Y125" s="139"/>
      <c r="Z125" s="139"/>
      <c r="AA125" s="139"/>
    </row>
    <row r="126" spans="1:27" ht="15.75">
      <c r="A126" s="626" t="s">
        <v>790</v>
      </c>
      <c r="B126" s="787"/>
      <c r="C126" s="687"/>
      <c r="D126" s="688"/>
      <c r="E126" s="687"/>
      <c r="F126" s="688"/>
      <c r="G126" s="688"/>
      <c r="H126" s="687"/>
      <c r="I126" s="629"/>
      <c r="J126" s="139"/>
      <c r="K126" s="139"/>
      <c r="L126" s="139"/>
      <c r="M126" s="139"/>
      <c r="N126" s="139"/>
      <c r="O126" s="139"/>
      <c r="P126" s="139"/>
      <c r="Q126" s="139"/>
      <c r="R126" s="139"/>
      <c r="S126" s="139"/>
      <c r="T126" s="139"/>
      <c r="U126" s="139"/>
      <c r="V126" s="139"/>
      <c r="W126" s="139"/>
      <c r="X126" s="139"/>
      <c r="Y126" s="139"/>
      <c r="Z126" s="139"/>
      <c r="AA126" s="139"/>
    </row>
    <row r="127" spans="1:27" ht="15.75">
      <c r="A127" s="637" t="s">
        <v>793</v>
      </c>
      <c r="B127" s="788" t="str">
        <f>HYPERLINK("https://www.microsoft.com/en-us/dynamics365/pricing","Microsoft Dynamics")</f>
        <v>Microsoft Dynamics</v>
      </c>
      <c r="C127" s="687">
        <f t="shared" ref="C127:C150" si="29">C7</f>
        <v>600</v>
      </c>
      <c r="D127" s="688">
        <f t="shared" ref="D127:D150" si="30">D37</f>
        <v>12</v>
      </c>
      <c r="E127" s="687"/>
      <c r="F127" s="688"/>
      <c r="G127" s="689">
        <f t="shared" ref="G127:G130" si="31">$O$10</f>
        <v>47</v>
      </c>
      <c r="H127" s="687">
        <f>C127*G127*'OM Assumptions'!$B$43*D127</f>
        <v>16920</v>
      </c>
      <c r="I127" s="629">
        <f t="shared" ref="I127:I128" si="32">C127*G127*D127+E127+H127</f>
        <v>355320</v>
      </c>
      <c r="J127" s="139"/>
      <c r="K127" s="139"/>
      <c r="L127" s="139"/>
      <c r="M127" s="139"/>
      <c r="N127" s="139"/>
      <c r="O127" s="139"/>
      <c r="P127" s="139"/>
      <c r="Q127" s="139"/>
      <c r="R127" s="139"/>
      <c r="S127" s="139"/>
      <c r="T127" s="139"/>
      <c r="U127" s="139"/>
      <c r="V127" s="139"/>
      <c r="W127" s="139"/>
      <c r="X127" s="139"/>
      <c r="Y127" s="139"/>
      <c r="Z127" s="139"/>
      <c r="AA127" s="139"/>
    </row>
    <row r="128" spans="1:27" ht="15.75">
      <c r="A128" s="637" t="s">
        <v>796</v>
      </c>
      <c r="B128" s="789" t="str">
        <f>HYPERLINK("https://products.office.com/en-us/business/office-365-enterprise-e3-business-software","Microsoft")</f>
        <v>Microsoft</v>
      </c>
      <c r="C128" s="687">
        <f t="shared" si="29"/>
        <v>20</v>
      </c>
      <c r="D128" s="688">
        <f t="shared" si="30"/>
        <v>12</v>
      </c>
      <c r="E128" s="687"/>
      <c r="F128" s="688"/>
      <c r="G128" s="689">
        <f t="shared" si="31"/>
        <v>47</v>
      </c>
      <c r="H128" s="687"/>
      <c r="I128" s="629">
        <f t="shared" si="32"/>
        <v>11280</v>
      </c>
      <c r="J128" s="139"/>
      <c r="K128" s="139"/>
      <c r="L128" s="139"/>
      <c r="M128" s="139"/>
      <c r="N128" s="139"/>
      <c r="O128" s="139"/>
      <c r="P128" s="139"/>
      <c r="Q128" s="139"/>
      <c r="R128" s="139"/>
      <c r="S128" s="139"/>
      <c r="T128" s="139"/>
      <c r="U128" s="139"/>
      <c r="V128" s="139"/>
      <c r="W128" s="139"/>
      <c r="X128" s="139"/>
      <c r="Y128" s="139"/>
      <c r="Z128" s="139"/>
      <c r="AA128" s="139"/>
    </row>
    <row r="129" spans="1:27" ht="15.75">
      <c r="A129" s="637" t="s">
        <v>798</v>
      </c>
      <c r="B129" s="788" t="str">
        <f>HYPERLINK("https://www.avg.com/en-us/internet-security-business-edition","AVG Software")</f>
        <v>AVG Software</v>
      </c>
      <c r="C129" s="687">
        <f t="shared" si="29"/>
        <v>50.39</v>
      </c>
      <c r="D129" s="688">
        <f t="shared" si="30"/>
        <v>12</v>
      </c>
      <c r="E129" s="687"/>
      <c r="F129" s="688"/>
      <c r="G129" s="689">
        <f t="shared" si="31"/>
        <v>47</v>
      </c>
      <c r="H129" s="687"/>
      <c r="I129" s="629">
        <f>C129*F129*G129</f>
        <v>0</v>
      </c>
      <c r="J129" s="139"/>
      <c r="K129" s="139"/>
      <c r="L129" s="139"/>
      <c r="M129" s="139"/>
      <c r="N129" s="139"/>
      <c r="O129" s="139"/>
      <c r="P129" s="139"/>
      <c r="Q129" s="139"/>
      <c r="R129" s="139"/>
      <c r="S129" s="139"/>
      <c r="T129" s="139"/>
      <c r="U129" s="139"/>
      <c r="V129" s="139"/>
      <c r="W129" s="139"/>
      <c r="X129" s="139"/>
      <c r="Y129" s="139"/>
      <c r="Z129" s="139"/>
      <c r="AA129" s="139"/>
    </row>
    <row r="130" spans="1:27" ht="15.75">
      <c r="A130" s="637" t="s">
        <v>803</v>
      </c>
      <c r="B130" s="788" t="str">
        <f>HYPERLINK("https://gsuite.google.com/pricing.html?tab_activeEl=tabset-companies","Google")</f>
        <v>Google</v>
      </c>
      <c r="C130" s="687">
        <f t="shared" si="29"/>
        <v>10</v>
      </c>
      <c r="D130" s="688">
        <f t="shared" si="30"/>
        <v>12</v>
      </c>
      <c r="E130" s="687"/>
      <c r="F130" s="688"/>
      <c r="G130" s="689">
        <f t="shared" si="31"/>
        <v>47</v>
      </c>
      <c r="H130" s="687"/>
      <c r="I130" s="629">
        <f>C130*D130*G130</f>
        <v>5640</v>
      </c>
      <c r="J130" s="139"/>
      <c r="K130" s="139"/>
      <c r="L130" s="139"/>
      <c r="M130" s="139"/>
      <c r="N130" s="139"/>
      <c r="O130" s="139"/>
      <c r="P130" s="139"/>
      <c r="Q130" s="139"/>
      <c r="R130" s="139"/>
      <c r="S130" s="139"/>
      <c r="T130" s="139"/>
      <c r="U130" s="139"/>
      <c r="V130" s="139"/>
      <c r="W130" s="139"/>
      <c r="X130" s="139"/>
      <c r="Y130" s="139"/>
      <c r="Z130" s="139"/>
      <c r="AA130" s="139"/>
    </row>
    <row r="131" spans="1:27" ht="15.75">
      <c r="A131" s="637" t="s">
        <v>804</v>
      </c>
      <c r="B131" s="788" t="str">
        <f>HYPERLINK("https://dharmamerchantservices.com/business-2-business-processing/","Dharma Merchant Services")</f>
        <v>Dharma Merchant Services</v>
      </c>
      <c r="C131" s="687">
        <f t="shared" si="29"/>
        <v>20</v>
      </c>
      <c r="D131" s="688">
        <f t="shared" si="30"/>
        <v>12</v>
      </c>
      <c r="E131" s="687"/>
      <c r="F131" s="688"/>
      <c r="G131" s="688"/>
      <c r="H131" s="687"/>
      <c r="I131" s="629">
        <f t="shared" ref="I131:I132" si="33">C131*D131</f>
        <v>240</v>
      </c>
      <c r="J131" s="139"/>
      <c r="K131" s="139"/>
      <c r="L131" s="139"/>
      <c r="M131" s="139"/>
      <c r="N131" s="139"/>
      <c r="O131" s="139"/>
      <c r="P131" s="139"/>
      <c r="Q131" s="139"/>
      <c r="R131" s="139"/>
      <c r="S131" s="139"/>
      <c r="T131" s="139"/>
      <c r="U131" s="139"/>
      <c r="V131" s="139"/>
      <c r="W131" s="139"/>
      <c r="X131" s="139"/>
      <c r="Y131" s="139"/>
      <c r="Z131" s="139"/>
      <c r="AA131" s="139"/>
    </row>
    <row r="132" spans="1:27" ht="15.75">
      <c r="A132" s="637" t="s">
        <v>805</v>
      </c>
      <c r="B132" s="788" t="str">
        <f>HYPERLINK("http://www.delivrd.com/#pricing","Delivrd")</f>
        <v>Delivrd</v>
      </c>
      <c r="C132" s="687">
        <f t="shared" si="29"/>
        <v>49.99</v>
      </c>
      <c r="D132" s="688">
        <f t="shared" si="30"/>
        <v>12</v>
      </c>
      <c r="E132" s="687"/>
      <c r="F132" s="688"/>
      <c r="G132" s="688"/>
      <c r="H132" s="687"/>
      <c r="I132" s="629">
        <f t="shared" si="33"/>
        <v>599.88</v>
      </c>
      <c r="J132" s="139"/>
      <c r="K132" s="139"/>
      <c r="L132" s="139"/>
      <c r="M132" s="139"/>
      <c r="N132" s="139"/>
      <c r="O132" s="139"/>
      <c r="P132" s="139"/>
      <c r="Q132" s="139"/>
      <c r="R132" s="139"/>
      <c r="S132" s="139"/>
      <c r="T132" s="139"/>
      <c r="U132" s="139"/>
      <c r="V132" s="139"/>
      <c r="W132" s="139"/>
      <c r="X132" s="139"/>
      <c r="Y132" s="139"/>
      <c r="Z132" s="139"/>
      <c r="AA132" s="139"/>
    </row>
    <row r="133" spans="1:27" ht="15.75">
      <c r="A133" s="626" t="s">
        <v>807</v>
      </c>
      <c r="B133" s="790"/>
      <c r="C133" s="687">
        <f t="shared" si="29"/>
        <v>0</v>
      </c>
      <c r="D133" s="688">
        <f t="shared" si="30"/>
        <v>0</v>
      </c>
      <c r="E133" s="687"/>
      <c r="F133" s="688"/>
      <c r="G133" s="688"/>
      <c r="H133" s="687"/>
      <c r="I133" s="629"/>
      <c r="J133" s="139"/>
      <c r="K133" s="139"/>
      <c r="L133" s="139"/>
      <c r="M133" s="139"/>
      <c r="N133" s="139"/>
      <c r="O133" s="139"/>
      <c r="P133" s="139"/>
      <c r="Q133" s="139"/>
      <c r="R133" s="139"/>
      <c r="S133" s="139"/>
      <c r="T133" s="139"/>
      <c r="U133" s="139"/>
      <c r="V133" s="139"/>
      <c r="W133" s="139"/>
      <c r="X133" s="139"/>
      <c r="Y133" s="139"/>
      <c r="Z133" s="139"/>
      <c r="AA133" s="139"/>
    </row>
    <row r="134" spans="1:27" ht="15.75">
      <c r="A134" s="637" t="s">
        <v>809</v>
      </c>
      <c r="B134" s="787"/>
      <c r="C134" s="687">
        <f t="shared" si="29"/>
        <v>0</v>
      </c>
      <c r="D134" s="688">
        <f t="shared" si="30"/>
        <v>0</v>
      </c>
      <c r="E134" s="690">
        <v>1500</v>
      </c>
      <c r="F134" s="688"/>
      <c r="G134" s="689">
        <f t="shared" ref="G134:G135" si="34">$O$10-G97</f>
        <v>15</v>
      </c>
      <c r="H134" s="687"/>
      <c r="I134" s="629">
        <f t="shared" ref="I134:I136" si="35">E134*G134</f>
        <v>22500</v>
      </c>
      <c r="J134" s="139"/>
      <c r="K134" s="139"/>
      <c r="L134" s="139"/>
      <c r="M134" s="139"/>
      <c r="N134" s="139"/>
      <c r="O134" s="139"/>
      <c r="P134" s="139"/>
      <c r="Q134" s="139"/>
      <c r="R134" s="139"/>
      <c r="S134" s="139"/>
      <c r="T134" s="139"/>
      <c r="U134" s="139"/>
      <c r="V134" s="139"/>
      <c r="W134" s="139"/>
      <c r="X134" s="139"/>
      <c r="Y134" s="139"/>
      <c r="Z134" s="139"/>
      <c r="AA134" s="139"/>
    </row>
    <row r="135" spans="1:27" ht="15.75">
      <c r="A135" s="637" t="s">
        <v>811</v>
      </c>
      <c r="B135" s="787"/>
      <c r="C135" s="687">
        <f t="shared" si="29"/>
        <v>0</v>
      </c>
      <c r="D135" s="688">
        <f t="shared" si="30"/>
        <v>0</v>
      </c>
      <c r="E135" s="690">
        <v>249</v>
      </c>
      <c r="F135" s="688"/>
      <c r="G135" s="689">
        <f t="shared" si="34"/>
        <v>15</v>
      </c>
      <c r="H135" s="687"/>
      <c r="I135" s="629">
        <f t="shared" si="35"/>
        <v>3735</v>
      </c>
      <c r="J135" s="139"/>
      <c r="K135" s="139"/>
      <c r="L135" s="139"/>
      <c r="M135" s="139"/>
      <c r="N135" s="139"/>
      <c r="O135" s="139"/>
      <c r="P135" s="139"/>
      <c r="Q135" s="139"/>
      <c r="R135" s="139"/>
      <c r="S135" s="139"/>
      <c r="T135" s="139"/>
      <c r="U135" s="139"/>
      <c r="V135" s="139"/>
      <c r="W135" s="139"/>
      <c r="X135" s="139"/>
      <c r="Y135" s="139"/>
      <c r="Z135" s="139"/>
      <c r="AA135" s="139"/>
    </row>
    <row r="136" spans="1:27" ht="15.75">
      <c r="A136" s="637" t="s">
        <v>813</v>
      </c>
      <c r="B136" s="787"/>
      <c r="C136" s="687">
        <f t="shared" si="29"/>
        <v>0</v>
      </c>
      <c r="D136" s="688">
        <f t="shared" si="30"/>
        <v>0</v>
      </c>
      <c r="E136" s="690">
        <v>1000</v>
      </c>
      <c r="F136" s="688"/>
      <c r="G136" s="709">
        <f>$O$7+$O$9-G116</f>
        <v>5</v>
      </c>
      <c r="H136" s="687"/>
      <c r="I136" s="629">
        <f t="shared" si="35"/>
        <v>5000</v>
      </c>
      <c r="J136" s="139"/>
      <c r="K136" s="139"/>
      <c r="L136" s="139"/>
      <c r="M136" s="139"/>
      <c r="N136" s="139"/>
      <c r="O136" s="139"/>
      <c r="P136" s="139"/>
      <c r="Q136" s="139"/>
      <c r="R136" s="139"/>
      <c r="S136" s="139"/>
      <c r="T136" s="139"/>
      <c r="U136" s="139"/>
      <c r="V136" s="139"/>
      <c r="W136" s="139"/>
      <c r="X136" s="139"/>
      <c r="Y136" s="139"/>
      <c r="Z136" s="139"/>
      <c r="AA136" s="139"/>
    </row>
    <row r="137" spans="1:27" ht="15.75">
      <c r="A137" s="637" t="s">
        <v>815</v>
      </c>
      <c r="B137" s="787"/>
      <c r="C137" s="687">
        <f t="shared" si="29"/>
        <v>0</v>
      </c>
      <c r="D137" s="688">
        <f t="shared" si="30"/>
        <v>0</v>
      </c>
      <c r="E137" s="690">
        <v>750</v>
      </c>
      <c r="F137" s="710"/>
      <c r="G137" s="709">
        <f>$O$7+$O$9-G116</f>
        <v>5</v>
      </c>
      <c r="H137" s="687">
        <v>2500</v>
      </c>
      <c r="I137" s="629">
        <f>E137*(G137/3)</f>
        <v>1250</v>
      </c>
      <c r="J137" s="139"/>
      <c r="K137" s="139"/>
      <c r="L137" s="139"/>
      <c r="M137" s="139"/>
      <c r="N137" s="139"/>
      <c r="O137" s="139"/>
      <c r="P137" s="139"/>
      <c r="Q137" s="139"/>
      <c r="R137" s="139"/>
      <c r="S137" s="139"/>
      <c r="T137" s="139"/>
      <c r="U137" s="139"/>
      <c r="V137" s="139"/>
      <c r="W137" s="139"/>
      <c r="X137" s="139"/>
      <c r="Y137" s="139"/>
      <c r="Z137" s="139"/>
      <c r="AA137" s="139"/>
    </row>
    <row r="138" spans="1:27" ht="15.75">
      <c r="A138" s="637" t="s">
        <v>817</v>
      </c>
      <c r="B138" s="787"/>
      <c r="C138" s="687">
        <f t="shared" si="29"/>
        <v>0</v>
      </c>
      <c r="D138" s="688">
        <f t="shared" si="30"/>
        <v>0</v>
      </c>
      <c r="E138" s="690">
        <v>0</v>
      </c>
      <c r="F138" s="688"/>
      <c r="G138" s="688"/>
      <c r="H138" s="687"/>
      <c r="I138" s="629">
        <f t="shared" ref="I138:I140" si="36">E138</f>
        <v>0</v>
      </c>
      <c r="J138" s="139"/>
      <c r="K138" s="139"/>
      <c r="L138" s="139"/>
      <c r="M138" s="139"/>
      <c r="N138" s="139"/>
      <c r="O138" s="139"/>
      <c r="P138" s="139"/>
      <c r="Q138" s="139"/>
      <c r="R138" s="139"/>
      <c r="S138" s="139"/>
      <c r="T138" s="139"/>
      <c r="U138" s="139"/>
      <c r="V138" s="139"/>
      <c r="W138" s="139"/>
      <c r="X138" s="139"/>
      <c r="Y138" s="139"/>
      <c r="Z138" s="139"/>
      <c r="AA138" s="139"/>
    </row>
    <row r="139" spans="1:27" ht="15.75">
      <c r="A139" s="637" t="s">
        <v>819</v>
      </c>
      <c r="B139" s="787"/>
      <c r="C139" s="687">
        <f t="shared" si="29"/>
        <v>0</v>
      </c>
      <c r="D139" s="688">
        <f t="shared" si="30"/>
        <v>0</v>
      </c>
      <c r="E139" s="690">
        <v>0</v>
      </c>
      <c r="F139" s="688"/>
      <c r="G139" s="688"/>
      <c r="H139" s="687"/>
      <c r="I139" s="629">
        <f t="shared" si="36"/>
        <v>0</v>
      </c>
      <c r="J139" s="139"/>
      <c r="K139" s="139"/>
      <c r="L139" s="139"/>
      <c r="M139" s="139"/>
      <c r="N139" s="139"/>
      <c r="O139" s="139"/>
      <c r="P139" s="139"/>
      <c r="Q139" s="139"/>
      <c r="R139" s="139"/>
      <c r="S139" s="139"/>
      <c r="T139" s="139"/>
      <c r="U139" s="139"/>
      <c r="V139" s="139"/>
      <c r="W139" s="139"/>
      <c r="X139" s="139"/>
      <c r="Y139" s="139"/>
      <c r="Z139" s="139"/>
      <c r="AA139" s="139"/>
    </row>
    <row r="140" spans="1:27" ht="15.75">
      <c r="A140" s="637" t="s">
        <v>820</v>
      </c>
      <c r="B140" s="787"/>
      <c r="C140" s="687">
        <f t="shared" si="29"/>
        <v>0</v>
      </c>
      <c r="D140" s="688">
        <f t="shared" si="30"/>
        <v>0</v>
      </c>
      <c r="E140" s="690">
        <v>0</v>
      </c>
      <c r="F140" s="688"/>
      <c r="G140" s="688"/>
      <c r="H140" s="687"/>
      <c r="I140" s="629">
        <f t="shared" si="36"/>
        <v>0</v>
      </c>
      <c r="J140" s="139"/>
      <c r="K140" s="139"/>
      <c r="L140" s="139"/>
      <c r="M140" s="139"/>
      <c r="N140" s="139"/>
      <c r="O140" s="139"/>
      <c r="P140" s="139"/>
      <c r="Q140" s="139"/>
      <c r="R140" s="139"/>
      <c r="S140" s="139"/>
      <c r="T140" s="139"/>
      <c r="U140" s="139"/>
      <c r="V140" s="139"/>
      <c r="W140" s="139"/>
      <c r="X140" s="139"/>
      <c r="Y140" s="139"/>
      <c r="Z140" s="139"/>
      <c r="AA140" s="139"/>
    </row>
    <row r="141" spans="1:27" ht="15.75">
      <c r="A141" s="637" t="s">
        <v>821</v>
      </c>
      <c r="B141" s="790"/>
      <c r="C141" s="687">
        <f t="shared" si="29"/>
        <v>45</v>
      </c>
      <c r="D141" s="688">
        <f t="shared" si="30"/>
        <v>12</v>
      </c>
      <c r="E141" s="687"/>
      <c r="F141" s="688"/>
      <c r="G141" s="688"/>
      <c r="H141" s="687"/>
      <c r="I141" s="629">
        <f>E141+C141*D141</f>
        <v>540</v>
      </c>
      <c r="J141" s="139"/>
      <c r="K141" s="139"/>
      <c r="L141" s="139"/>
      <c r="M141" s="139"/>
      <c r="N141" s="139"/>
      <c r="O141" s="139"/>
      <c r="P141" s="139"/>
      <c r="Q141" s="139"/>
      <c r="R141" s="139"/>
      <c r="S141" s="139"/>
      <c r="T141" s="139"/>
      <c r="U141" s="139"/>
      <c r="V141" s="139"/>
      <c r="W141" s="139"/>
      <c r="X141" s="139"/>
      <c r="Y141" s="139"/>
      <c r="Z141" s="139"/>
      <c r="AA141" s="139"/>
    </row>
    <row r="142" spans="1:27" ht="15.75">
      <c r="A142" s="626" t="s">
        <v>822</v>
      </c>
      <c r="B142" s="790"/>
      <c r="C142" s="687">
        <f t="shared" si="29"/>
        <v>0</v>
      </c>
      <c r="D142" s="688">
        <f t="shared" si="30"/>
        <v>0</v>
      </c>
      <c r="E142" s="687"/>
      <c r="F142" s="688"/>
      <c r="G142" s="688"/>
      <c r="H142" s="687"/>
      <c r="I142" s="629"/>
      <c r="J142" s="139"/>
      <c r="K142" s="139"/>
      <c r="L142" s="139"/>
      <c r="M142" s="139"/>
      <c r="N142" s="139"/>
      <c r="O142" s="139"/>
      <c r="P142" s="139"/>
      <c r="Q142" s="139"/>
      <c r="R142" s="139"/>
      <c r="S142" s="139"/>
      <c r="T142" s="139"/>
      <c r="U142" s="139"/>
      <c r="V142" s="139"/>
      <c r="W142" s="139"/>
      <c r="X142" s="139"/>
      <c r="Y142" s="139"/>
      <c r="Z142" s="139"/>
      <c r="AA142" s="139"/>
    </row>
    <row r="143" spans="1:27" ht="15.75">
      <c r="A143" s="637" t="s">
        <v>823</v>
      </c>
      <c r="B143" s="790"/>
      <c r="C143" s="687">
        <f t="shared" si="29"/>
        <v>0</v>
      </c>
      <c r="D143" s="688">
        <f t="shared" si="30"/>
        <v>0</v>
      </c>
      <c r="E143" s="690">
        <v>0</v>
      </c>
      <c r="F143" s="688"/>
      <c r="G143" s="688"/>
      <c r="H143" s="687"/>
      <c r="I143" s="629">
        <f>E143</f>
        <v>0</v>
      </c>
      <c r="J143" s="139"/>
      <c r="K143" s="139"/>
      <c r="L143" s="139"/>
      <c r="M143" s="139"/>
      <c r="N143" s="139"/>
      <c r="O143" s="139"/>
      <c r="P143" s="139"/>
      <c r="Q143" s="139"/>
      <c r="R143" s="139"/>
      <c r="S143" s="139"/>
      <c r="T143" s="139"/>
      <c r="U143" s="139"/>
      <c r="V143" s="139"/>
      <c r="W143" s="139"/>
      <c r="X143" s="139"/>
      <c r="Y143" s="139"/>
      <c r="Z143" s="139"/>
      <c r="AA143" s="139"/>
    </row>
    <row r="144" spans="1:27" ht="15.75">
      <c r="A144" s="637" t="s">
        <v>824</v>
      </c>
      <c r="B144" s="790"/>
      <c r="C144" s="687">
        <f t="shared" si="29"/>
        <v>125</v>
      </c>
      <c r="D144" s="688">
        <f t="shared" si="30"/>
        <v>12</v>
      </c>
      <c r="E144" s="687"/>
      <c r="F144" s="688"/>
      <c r="G144" s="688"/>
      <c r="H144" s="687"/>
      <c r="I144" s="629">
        <f>C144*D144</f>
        <v>1500</v>
      </c>
      <c r="J144" s="139"/>
      <c r="K144" s="139"/>
      <c r="L144" s="139"/>
      <c r="M144" s="139"/>
      <c r="N144" s="139"/>
      <c r="O144" s="139"/>
      <c r="P144" s="139"/>
      <c r="Q144" s="139"/>
      <c r="R144" s="139"/>
      <c r="S144" s="139"/>
      <c r="T144" s="139"/>
      <c r="U144" s="139"/>
      <c r="V144" s="139"/>
      <c r="W144" s="139"/>
      <c r="X144" s="139"/>
      <c r="Y144" s="139"/>
      <c r="Z144" s="139"/>
      <c r="AA144" s="139"/>
    </row>
    <row r="145" spans="1:27" ht="15.75">
      <c r="A145" s="626" t="s">
        <v>826</v>
      </c>
      <c r="B145" s="790"/>
      <c r="C145" s="687">
        <f t="shared" si="29"/>
        <v>0</v>
      </c>
      <c r="D145" s="688">
        <f t="shared" si="30"/>
        <v>0</v>
      </c>
      <c r="E145" s="687"/>
      <c r="F145" s="688"/>
      <c r="G145" s="688"/>
      <c r="H145" s="687"/>
      <c r="I145" s="629"/>
      <c r="J145" s="139"/>
      <c r="K145" s="139"/>
      <c r="L145" s="139"/>
      <c r="M145" s="139"/>
      <c r="N145" s="139"/>
      <c r="O145" s="139"/>
      <c r="P145" s="139"/>
      <c r="Q145" s="139"/>
      <c r="R145" s="139"/>
      <c r="S145" s="139"/>
      <c r="T145" s="139"/>
      <c r="U145" s="139"/>
      <c r="V145" s="139"/>
      <c r="W145" s="139"/>
      <c r="X145" s="139"/>
      <c r="Y145" s="139"/>
      <c r="Z145" s="139"/>
      <c r="AA145" s="139"/>
    </row>
    <row r="146" spans="1:27" ht="15.75">
      <c r="A146" s="637" t="s">
        <v>827</v>
      </c>
      <c r="B146" s="788" t="str">
        <f>HYPERLINK("https://www.verizon.com/smallbusiness/products/business-internet/broadband-packages/","Verizon")</f>
        <v>Verizon</v>
      </c>
      <c r="C146" s="687">
        <f t="shared" si="29"/>
        <v>32.5</v>
      </c>
      <c r="D146" s="688">
        <f t="shared" si="30"/>
        <v>12</v>
      </c>
      <c r="E146" s="687"/>
      <c r="F146" s="688"/>
      <c r="G146" s="709">
        <f>$O$7+$O$9</f>
        <v>17</v>
      </c>
      <c r="H146" s="687"/>
      <c r="I146" s="629">
        <f>C146*G146*D146+F146</f>
        <v>6630</v>
      </c>
      <c r="J146" s="139"/>
      <c r="K146" s="139"/>
      <c r="L146" s="139"/>
      <c r="M146" s="139"/>
      <c r="N146" s="139"/>
      <c r="O146" s="139"/>
      <c r="P146" s="139"/>
      <c r="Q146" s="139"/>
      <c r="R146" s="139"/>
      <c r="S146" s="139"/>
      <c r="T146" s="139"/>
      <c r="U146" s="139"/>
      <c r="V146" s="139"/>
      <c r="W146" s="139"/>
      <c r="X146" s="139"/>
      <c r="Y146" s="139"/>
      <c r="Z146" s="139"/>
      <c r="AA146" s="139"/>
    </row>
    <row r="147" spans="1:27" ht="15.75">
      <c r="A147" s="637" t="s">
        <v>829</v>
      </c>
      <c r="B147" s="788" t="str">
        <f>HYPERLINK("http://www.verizonenterprise.com/products/networking/sdn-nfv/virtual-network-services/","Verizon")</f>
        <v>Verizon</v>
      </c>
      <c r="C147" s="687">
        <f t="shared" si="29"/>
        <v>60</v>
      </c>
      <c r="D147" s="688">
        <f t="shared" si="30"/>
        <v>12</v>
      </c>
      <c r="E147" s="687"/>
      <c r="F147" s="688"/>
      <c r="G147" s="688"/>
      <c r="H147" s="687"/>
      <c r="I147" s="629">
        <f>C147*D147+F147</f>
        <v>720</v>
      </c>
      <c r="J147" s="139"/>
      <c r="K147" s="139"/>
      <c r="L147" s="139"/>
      <c r="M147" s="139"/>
      <c r="N147" s="139"/>
      <c r="O147" s="139"/>
      <c r="P147" s="139"/>
      <c r="Q147" s="139"/>
      <c r="R147" s="139"/>
      <c r="S147" s="139"/>
      <c r="T147" s="139"/>
      <c r="U147" s="139"/>
      <c r="V147" s="139"/>
      <c r="W147" s="139"/>
      <c r="X147" s="139"/>
      <c r="Y147" s="139"/>
      <c r="Z147" s="139"/>
      <c r="AA147" s="139"/>
    </row>
    <row r="148" spans="1:27" ht="15.75">
      <c r="A148" s="637" t="s">
        <v>830</v>
      </c>
      <c r="B148" s="788" t="str">
        <f>HYPERLINK("https://store.nest.com/products/NC2100ES","Nest Security")</f>
        <v>Nest Security</v>
      </c>
      <c r="C148" s="687">
        <f t="shared" si="29"/>
        <v>0</v>
      </c>
      <c r="D148" s="688">
        <f t="shared" si="30"/>
        <v>0</v>
      </c>
      <c r="E148" s="690">
        <v>0</v>
      </c>
      <c r="F148" s="688"/>
      <c r="G148" s="688"/>
      <c r="H148" s="687"/>
      <c r="I148" s="629">
        <f>E148</f>
        <v>0</v>
      </c>
      <c r="J148" s="139"/>
      <c r="K148" s="139"/>
      <c r="L148" s="139"/>
      <c r="M148" s="139"/>
      <c r="N148" s="139"/>
      <c r="O148" s="139"/>
      <c r="P148" s="139"/>
      <c r="Q148" s="139"/>
      <c r="R148" s="139"/>
      <c r="S148" s="139"/>
      <c r="T148" s="139"/>
      <c r="U148" s="139"/>
      <c r="V148" s="139"/>
      <c r="W148" s="139"/>
      <c r="X148" s="139"/>
      <c r="Y148" s="139"/>
      <c r="Z148" s="139"/>
      <c r="AA148" s="139"/>
    </row>
    <row r="149" spans="1:27" ht="15.75">
      <c r="A149" s="637" t="s">
        <v>831</v>
      </c>
      <c r="B149" s="787"/>
      <c r="C149" s="687">
        <f t="shared" si="29"/>
        <v>1000</v>
      </c>
      <c r="D149" s="688">
        <f t="shared" si="30"/>
        <v>12</v>
      </c>
      <c r="E149" s="687"/>
      <c r="F149" s="688"/>
      <c r="G149" s="688"/>
      <c r="H149" s="687"/>
      <c r="I149" s="629">
        <f>C149*D149</f>
        <v>12000</v>
      </c>
      <c r="J149" s="139"/>
      <c r="K149" s="139"/>
      <c r="L149" s="139"/>
      <c r="M149" s="139"/>
      <c r="N149" s="139"/>
      <c r="O149" s="139"/>
      <c r="P149" s="139"/>
      <c r="Q149" s="139"/>
      <c r="R149" s="139"/>
      <c r="S149" s="139"/>
      <c r="T149" s="139"/>
      <c r="U149" s="139"/>
      <c r="V149" s="139"/>
      <c r="W149" s="139"/>
      <c r="X149" s="139"/>
      <c r="Y149" s="139"/>
      <c r="Z149" s="139"/>
      <c r="AA149" s="139"/>
    </row>
    <row r="150" spans="1:27" ht="15.75">
      <c r="A150" s="637" t="s">
        <v>832</v>
      </c>
      <c r="B150" s="790"/>
      <c r="C150" s="687">
        <f t="shared" si="29"/>
        <v>0</v>
      </c>
      <c r="D150" s="688">
        <f t="shared" si="30"/>
        <v>0</v>
      </c>
      <c r="E150" s="687"/>
      <c r="F150" s="688"/>
      <c r="G150" s="688"/>
      <c r="H150" s="687"/>
      <c r="I150" s="629">
        <f>(SUM(I127:I132)+I141+I144)*'OM Assumptions'!$B$44</f>
        <v>18755.994000000002</v>
      </c>
      <c r="J150" s="139"/>
      <c r="K150" s="139"/>
      <c r="L150" s="139"/>
      <c r="M150" s="139"/>
      <c r="N150" s="139"/>
      <c r="O150" s="139"/>
      <c r="P150" s="139"/>
      <c r="Q150" s="139"/>
      <c r="R150" s="139"/>
      <c r="S150" s="139"/>
      <c r="T150" s="139"/>
      <c r="U150" s="139"/>
      <c r="V150" s="139"/>
      <c r="W150" s="139"/>
      <c r="X150" s="139"/>
      <c r="Y150" s="139"/>
      <c r="Z150" s="139"/>
      <c r="AA150" s="139"/>
    </row>
    <row r="151" spans="1:27" ht="15.75">
      <c r="A151" s="698" t="s">
        <v>835</v>
      </c>
      <c r="B151" s="790"/>
      <c r="C151" s="687"/>
      <c r="D151" s="688"/>
      <c r="E151" s="687"/>
      <c r="F151" s="688"/>
      <c r="G151" s="688"/>
      <c r="H151" s="687"/>
      <c r="I151" s="683">
        <f>SUM(I127:I150)</f>
        <v>445710.87400000001</v>
      </c>
      <c r="J151" s="139"/>
      <c r="K151" s="139"/>
      <c r="L151" s="139"/>
      <c r="M151" s="139"/>
      <c r="N151" s="139"/>
      <c r="O151" s="139"/>
      <c r="P151" s="139"/>
      <c r="Q151" s="139"/>
      <c r="R151" s="139"/>
      <c r="S151" s="139"/>
      <c r="T151" s="139"/>
      <c r="U151" s="139"/>
      <c r="V151" s="139"/>
      <c r="W151" s="139"/>
      <c r="X151" s="139"/>
      <c r="Y151" s="139"/>
      <c r="Z151" s="139"/>
      <c r="AA151" s="139"/>
    </row>
    <row r="152" spans="1:27" ht="15.75">
      <c r="A152" s="139"/>
      <c r="B152" s="699"/>
      <c r="C152" s="700"/>
      <c r="D152" s="699"/>
      <c r="E152" s="700"/>
      <c r="F152" s="699"/>
      <c r="G152" s="699"/>
      <c r="H152" s="700"/>
      <c r="I152" s="701"/>
      <c r="J152" s="139"/>
      <c r="K152" s="139"/>
      <c r="L152" s="139"/>
      <c r="M152" s="139"/>
      <c r="N152" s="139"/>
      <c r="O152" s="139"/>
      <c r="P152" s="139"/>
      <c r="Q152" s="139"/>
      <c r="R152" s="139"/>
      <c r="S152" s="139"/>
      <c r="T152" s="139"/>
      <c r="U152" s="139"/>
      <c r="V152" s="139"/>
      <c r="W152" s="139"/>
      <c r="X152" s="139"/>
      <c r="Y152" s="139"/>
      <c r="Z152" s="139"/>
      <c r="AA152" s="139"/>
    </row>
    <row r="153" spans="1:27" ht="15.75">
      <c r="A153" s="1375" t="s">
        <v>67</v>
      </c>
      <c r="B153" s="1297"/>
      <c r="C153" s="1297"/>
      <c r="D153" s="1297"/>
      <c r="E153" s="1297"/>
      <c r="F153" s="1297"/>
      <c r="G153" s="1297"/>
      <c r="H153" s="1297"/>
      <c r="I153" s="1297"/>
      <c r="J153" s="139"/>
      <c r="K153" s="139"/>
      <c r="L153" s="139"/>
      <c r="M153" s="139"/>
      <c r="N153" s="139"/>
      <c r="O153" s="139"/>
      <c r="P153" s="139"/>
      <c r="Q153" s="139"/>
      <c r="R153" s="139"/>
      <c r="S153" s="139"/>
      <c r="T153" s="139"/>
      <c r="U153" s="139"/>
      <c r="V153" s="139"/>
      <c r="W153" s="139"/>
      <c r="X153" s="139"/>
      <c r="Y153" s="139"/>
      <c r="Z153" s="139"/>
      <c r="AA153" s="139"/>
    </row>
    <row r="154" spans="1:27" ht="15.75">
      <c r="A154" s="1297"/>
      <c r="B154" s="1297"/>
      <c r="C154" s="1297"/>
      <c r="D154" s="1297"/>
      <c r="E154" s="1297"/>
      <c r="F154" s="1297"/>
      <c r="G154" s="1297"/>
      <c r="H154" s="1297"/>
      <c r="I154" s="1297"/>
      <c r="J154" s="139"/>
      <c r="K154" s="139"/>
      <c r="L154" s="139"/>
      <c r="M154" s="139"/>
      <c r="N154" s="139"/>
      <c r="O154" s="139"/>
      <c r="P154" s="139"/>
      <c r="Q154" s="139"/>
      <c r="R154" s="139"/>
      <c r="S154" s="139"/>
      <c r="T154" s="139"/>
      <c r="U154" s="139"/>
      <c r="V154" s="139"/>
      <c r="W154" s="139"/>
      <c r="X154" s="139"/>
      <c r="Y154" s="139"/>
      <c r="Z154" s="139"/>
      <c r="AA154" s="139"/>
    </row>
    <row r="155" spans="1:27" ht="15.75">
      <c r="A155" s="715"/>
      <c r="B155" s="620" t="s">
        <v>683</v>
      </c>
      <c r="C155" s="683" t="s">
        <v>783</v>
      </c>
      <c r="D155" s="685" t="s">
        <v>836</v>
      </c>
      <c r="E155" s="683" t="s">
        <v>785</v>
      </c>
      <c r="F155" s="685" t="s">
        <v>786</v>
      </c>
      <c r="G155" s="685" t="s">
        <v>787</v>
      </c>
      <c r="H155" s="683" t="s">
        <v>788</v>
      </c>
      <c r="I155" s="683" t="s">
        <v>520</v>
      </c>
      <c r="J155" s="139"/>
      <c r="K155" s="139"/>
      <c r="L155" s="139"/>
      <c r="M155" s="139"/>
      <c r="N155" s="139"/>
      <c r="O155" s="139"/>
      <c r="P155" s="139"/>
      <c r="Q155" s="139"/>
      <c r="R155" s="139"/>
      <c r="S155" s="139"/>
      <c r="T155" s="139"/>
      <c r="U155" s="139"/>
      <c r="V155" s="139"/>
      <c r="W155" s="139"/>
      <c r="X155" s="139"/>
      <c r="Y155" s="139"/>
      <c r="Z155" s="139"/>
      <c r="AA155" s="139"/>
    </row>
    <row r="156" spans="1:27" ht="15.75">
      <c r="A156" s="626" t="s">
        <v>790</v>
      </c>
      <c r="B156" s="787"/>
      <c r="C156" s="687"/>
      <c r="D156" s="688"/>
      <c r="E156" s="687"/>
      <c r="F156" s="688"/>
      <c r="G156" s="688"/>
      <c r="H156" s="687"/>
      <c r="I156" s="629"/>
      <c r="J156" s="139"/>
      <c r="K156" s="139"/>
      <c r="L156" s="139"/>
      <c r="M156" s="139"/>
      <c r="N156" s="139"/>
      <c r="O156" s="139"/>
      <c r="P156" s="139"/>
      <c r="Q156" s="139"/>
      <c r="R156" s="139"/>
      <c r="S156" s="139"/>
      <c r="T156" s="139"/>
      <c r="U156" s="139"/>
      <c r="V156" s="139"/>
      <c r="W156" s="139"/>
      <c r="X156" s="139"/>
      <c r="Y156" s="139"/>
      <c r="Z156" s="139"/>
      <c r="AA156" s="139"/>
    </row>
    <row r="157" spans="1:27" ht="15.75">
      <c r="A157" s="637" t="s">
        <v>793</v>
      </c>
      <c r="B157" s="788" t="str">
        <f>HYPERLINK("https://www.microsoft.com/en-us/dynamics365/pricing","Microsoft Dynamics")</f>
        <v>Microsoft Dynamics</v>
      </c>
      <c r="C157" s="687">
        <f t="shared" ref="C157:C180" si="37">C7</f>
        <v>600</v>
      </c>
      <c r="D157" s="688">
        <f t="shared" ref="D157:D180" si="38">D37</f>
        <v>12</v>
      </c>
      <c r="E157" s="687"/>
      <c r="F157" s="688"/>
      <c r="G157" s="688">
        <f t="shared" ref="G157:G160" si="39">$P$10</f>
        <v>52</v>
      </c>
      <c r="H157" s="687">
        <f>C157*G157*'OM Assumptions'!$B$43*D157</f>
        <v>18720</v>
      </c>
      <c r="I157" s="629">
        <f t="shared" ref="I157:I158" si="40">C157*G157*D157+E157+H157</f>
        <v>393120</v>
      </c>
      <c r="J157" s="139"/>
      <c r="K157" s="139"/>
      <c r="L157" s="139"/>
      <c r="M157" s="139"/>
      <c r="N157" s="139"/>
      <c r="O157" s="139"/>
      <c r="P157" s="139"/>
      <c r="Q157" s="139"/>
      <c r="R157" s="139"/>
      <c r="S157" s="139"/>
      <c r="T157" s="139"/>
      <c r="U157" s="139"/>
      <c r="V157" s="139"/>
      <c r="W157" s="139"/>
      <c r="X157" s="139"/>
      <c r="Y157" s="139"/>
      <c r="Z157" s="139"/>
      <c r="AA157" s="139"/>
    </row>
    <row r="158" spans="1:27" ht="15.75">
      <c r="A158" s="637" t="s">
        <v>796</v>
      </c>
      <c r="B158" s="789" t="str">
        <f>HYPERLINK("https://products.office.com/en-us/business/office-365-enterprise-e3-business-software","Microsoft")</f>
        <v>Microsoft</v>
      </c>
      <c r="C158" s="687">
        <f t="shared" si="37"/>
        <v>20</v>
      </c>
      <c r="D158" s="688">
        <f t="shared" si="38"/>
        <v>12</v>
      </c>
      <c r="E158" s="687"/>
      <c r="F158" s="688"/>
      <c r="G158" s="688">
        <f t="shared" si="39"/>
        <v>52</v>
      </c>
      <c r="H158" s="687"/>
      <c r="I158" s="629">
        <f t="shared" si="40"/>
        <v>12480</v>
      </c>
      <c r="J158" s="139"/>
      <c r="K158" s="139"/>
      <c r="L158" s="139"/>
      <c r="M158" s="139"/>
      <c r="N158" s="139"/>
      <c r="O158" s="139"/>
      <c r="P158" s="139"/>
      <c r="Q158" s="139"/>
      <c r="R158" s="139"/>
      <c r="S158" s="139"/>
      <c r="T158" s="139"/>
      <c r="U158" s="139"/>
      <c r="V158" s="139"/>
      <c r="W158" s="139"/>
      <c r="X158" s="139"/>
      <c r="Y158" s="139"/>
      <c r="Z158" s="139"/>
      <c r="AA158" s="139"/>
    </row>
    <row r="159" spans="1:27" ht="15.75">
      <c r="A159" s="637" t="s">
        <v>798</v>
      </c>
      <c r="B159" s="788" t="str">
        <f>HYPERLINK("https://www.avg.com/en-us/internet-security-business-edition","AVG Software")</f>
        <v>AVG Software</v>
      </c>
      <c r="C159" s="687">
        <f t="shared" si="37"/>
        <v>50.39</v>
      </c>
      <c r="D159" s="688">
        <f t="shared" si="38"/>
        <v>12</v>
      </c>
      <c r="E159" s="687"/>
      <c r="F159" s="688"/>
      <c r="G159" s="688">
        <f t="shared" si="39"/>
        <v>52</v>
      </c>
      <c r="H159" s="687"/>
      <c r="I159" s="629">
        <f>C159*F159*G159</f>
        <v>0</v>
      </c>
      <c r="J159" s="139"/>
      <c r="K159" s="139"/>
      <c r="L159" s="139"/>
      <c r="M159" s="139"/>
      <c r="N159" s="139"/>
      <c r="O159" s="139"/>
      <c r="P159" s="139"/>
      <c r="Q159" s="139"/>
      <c r="R159" s="139"/>
      <c r="S159" s="139"/>
      <c r="T159" s="139"/>
      <c r="U159" s="139"/>
      <c r="V159" s="139"/>
      <c r="W159" s="139"/>
      <c r="X159" s="139"/>
      <c r="Y159" s="139"/>
      <c r="Z159" s="139"/>
      <c r="AA159" s="139"/>
    </row>
    <row r="160" spans="1:27" ht="15.75">
      <c r="A160" s="637" t="s">
        <v>803</v>
      </c>
      <c r="B160" s="788" t="str">
        <f>HYPERLINK("https://gsuite.google.com/pricing.html?tab_activeEl=tabset-companies","Google")</f>
        <v>Google</v>
      </c>
      <c r="C160" s="687">
        <f t="shared" si="37"/>
        <v>10</v>
      </c>
      <c r="D160" s="688">
        <f t="shared" si="38"/>
        <v>12</v>
      </c>
      <c r="E160" s="687"/>
      <c r="F160" s="688"/>
      <c r="G160" s="688">
        <f t="shared" si="39"/>
        <v>52</v>
      </c>
      <c r="H160" s="687"/>
      <c r="I160" s="629">
        <f>C160*D160*G160</f>
        <v>6240</v>
      </c>
      <c r="J160" s="139"/>
      <c r="K160" s="139"/>
      <c r="L160" s="139"/>
      <c r="M160" s="139"/>
      <c r="N160" s="139"/>
      <c r="O160" s="139"/>
      <c r="P160" s="139"/>
      <c r="Q160" s="139"/>
      <c r="R160" s="139"/>
      <c r="S160" s="139"/>
      <c r="T160" s="139"/>
      <c r="U160" s="139"/>
      <c r="V160" s="139"/>
      <c r="W160" s="139"/>
      <c r="X160" s="139"/>
      <c r="Y160" s="139"/>
      <c r="Z160" s="139"/>
      <c r="AA160" s="139"/>
    </row>
    <row r="161" spans="1:27" ht="15.75">
      <c r="A161" s="637" t="s">
        <v>804</v>
      </c>
      <c r="B161" s="788" t="str">
        <f>HYPERLINK("https://dharmamerchantservices.com/business-2-business-processing/","Dharma Merchant Services")</f>
        <v>Dharma Merchant Services</v>
      </c>
      <c r="C161" s="687">
        <f t="shared" si="37"/>
        <v>20</v>
      </c>
      <c r="D161" s="688">
        <f t="shared" si="38"/>
        <v>12</v>
      </c>
      <c r="E161" s="687"/>
      <c r="F161" s="688"/>
      <c r="G161" s="688"/>
      <c r="H161" s="687"/>
      <c r="I161" s="629">
        <f t="shared" ref="I161:I162" si="41">C161*D161</f>
        <v>240</v>
      </c>
      <c r="J161" s="139"/>
      <c r="K161" s="139"/>
      <c r="L161" s="139"/>
      <c r="M161" s="139"/>
      <c r="N161" s="139"/>
      <c r="O161" s="139"/>
      <c r="P161" s="139"/>
      <c r="Q161" s="139"/>
      <c r="R161" s="139"/>
      <c r="S161" s="139"/>
      <c r="T161" s="139"/>
      <c r="U161" s="139"/>
      <c r="V161" s="139"/>
      <c r="W161" s="139"/>
      <c r="X161" s="139"/>
      <c r="Y161" s="139"/>
      <c r="Z161" s="139"/>
      <c r="AA161" s="139"/>
    </row>
    <row r="162" spans="1:27" ht="15.75">
      <c r="A162" s="637" t="s">
        <v>805</v>
      </c>
      <c r="B162" s="788" t="str">
        <f>HYPERLINK("http://www.delivrd.com/#pricing","Delivrd")</f>
        <v>Delivrd</v>
      </c>
      <c r="C162" s="687">
        <f t="shared" si="37"/>
        <v>49.99</v>
      </c>
      <c r="D162" s="688">
        <f t="shared" si="38"/>
        <v>12</v>
      </c>
      <c r="E162" s="687"/>
      <c r="F162" s="688"/>
      <c r="G162" s="688"/>
      <c r="H162" s="687"/>
      <c r="I162" s="629">
        <f t="shared" si="41"/>
        <v>599.88</v>
      </c>
      <c r="J162" s="139"/>
      <c r="K162" s="139"/>
      <c r="L162" s="139"/>
      <c r="M162" s="139"/>
      <c r="N162" s="139"/>
      <c r="O162" s="139"/>
      <c r="P162" s="139"/>
      <c r="Q162" s="139"/>
      <c r="R162" s="139"/>
      <c r="S162" s="139"/>
      <c r="T162" s="139"/>
      <c r="U162" s="139"/>
      <c r="V162" s="139"/>
      <c r="W162" s="139"/>
      <c r="X162" s="139"/>
      <c r="Y162" s="139"/>
      <c r="Z162" s="139"/>
      <c r="AA162" s="139"/>
    </row>
    <row r="163" spans="1:27" ht="15.75">
      <c r="A163" s="626" t="s">
        <v>807</v>
      </c>
      <c r="B163" s="790"/>
      <c r="C163" s="687">
        <f t="shared" si="37"/>
        <v>0</v>
      </c>
      <c r="D163" s="688">
        <f t="shared" si="38"/>
        <v>0</v>
      </c>
      <c r="E163" s="687"/>
      <c r="F163" s="688"/>
      <c r="G163" s="688"/>
      <c r="H163" s="687"/>
      <c r="I163" s="629"/>
      <c r="J163" s="139"/>
      <c r="K163" s="139"/>
      <c r="L163" s="139"/>
      <c r="M163" s="139"/>
      <c r="N163" s="139"/>
      <c r="O163" s="139"/>
      <c r="P163" s="139"/>
      <c r="Q163" s="139"/>
      <c r="R163" s="139"/>
      <c r="S163" s="139"/>
      <c r="T163" s="139"/>
      <c r="U163" s="139"/>
      <c r="V163" s="139"/>
      <c r="W163" s="139"/>
      <c r="X163" s="139"/>
      <c r="Y163" s="139"/>
      <c r="Z163" s="139"/>
      <c r="AA163" s="139"/>
    </row>
    <row r="164" spans="1:27" ht="15.75">
      <c r="A164" s="637" t="s">
        <v>809</v>
      </c>
      <c r="B164" s="787"/>
      <c r="C164" s="687">
        <f t="shared" si="37"/>
        <v>0</v>
      </c>
      <c r="D164" s="688">
        <f t="shared" si="38"/>
        <v>0</v>
      </c>
      <c r="E164" s="690">
        <v>1500</v>
      </c>
      <c r="F164" s="688"/>
      <c r="G164" s="688">
        <f>$P$10-G127</f>
        <v>5</v>
      </c>
      <c r="H164" s="687"/>
      <c r="I164" s="629">
        <f t="shared" ref="I164:I166" si="42">E164*G164</f>
        <v>7500</v>
      </c>
      <c r="J164" s="139"/>
      <c r="K164" s="139"/>
      <c r="L164" s="139"/>
      <c r="M164" s="139"/>
      <c r="N164" s="139"/>
      <c r="O164" s="139"/>
      <c r="P164" s="139"/>
      <c r="Q164" s="139"/>
      <c r="R164" s="139"/>
      <c r="S164" s="139"/>
      <c r="T164" s="139"/>
      <c r="U164" s="139"/>
      <c r="V164" s="139"/>
      <c r="W164" s="139"/>
      <c r="X164" s="139"/>
      <c r="Y164" s="139"/>
      <c r="Z164" s="139"/>
      <c r="AA164" s="139"/>
    </row>
    <row r="165" spans="1:27" ht="15.75">
      <c r="A165" s="637" t="s">
        <v>811</v>
      </c>
      <c r="B165" s="787"/>
      <c r="C165" s="687">
        <f t="shared" si="37"/>
        <v>0</v>
      </c>
      <c r="D165" s="688">
        <f t="shared" si="38"/>
        <v>0</v>
      </c>
      <c r="E165" s="690">
        <v>249</v>
      </c>
      <c r="F165" s="688"/>
      <c r="G165" s="688">
        <f>$P$10-G127</f>
        <v>5</v>
      </c>
      <c r="H165" s="687"/>
      <c r="I165" s="629">
        <f t="shared" si="42"/>
        <v>1245</v>
      </c>
      <c r="J165" s="139"/>
      <c r="K165" s="139"/>
      <c r="L165" s="139"/>
      <c r="M165" s="139"/>
      <c r="N165" s="139"/>
      <c r="O165" s="139"/>
      <c r="P165" s="139"/>
      <c r="Q165" s="139"/>
      <c r="R165" s="139"/>
      <c r="S165" s="139"/>
      <c r="T165" s="139"/>
      <c r="U165" s="139"/>
      <c r="V165" s="139"/>
      <c r="W165" s="139"/>
      <c r="X165" s="139"/>
      <c r="Y165" s="139"/>
      <c r="Z165" s="139"/>
      <c r="AA165" s="139"/>
    </row>
    <row r="166" spans="1:27" ht="15.75">
      <c r="A166" s="637" t="s">
        <v>813</v>
      </c>
      <c r="B166" s="787"/>
      <c r="C166" s="687">
        <f t="shared" si="37"/>
        <v>0</v>
      </c>
      <c r="D166" s="688">
        <f t="shared" si="38"/>
        <v>0</v>
      </c>
      <c r="E166" s="690">
        <v>1000</v>
      </c>
      <c r="F166" s="688"/>
      <c r="G166" s="709">
        <f>$P$7+$P$9-G146</f>
        <v>1</v>
      </c>
      <c r="H166" s="687"/>
      <c r="I166" s="629">
        <f t="shared" si="42"/>
        <v>1000</v>
      </c>
      <c r="J166" s="139"/>
      <c r="K166" s="139"/>
      <c r="L166" s="139"/>
      <c r="M166" s="139"/>
      <c r="N166" s="139"/>
      <c r="O166" s="139"/>
      <c r="P166" s="139"/>
      <c r="Q166" s="139"/>
      <c r="R166" s="139"/>
      <c r="S166" s="139"/>
      <c r="T166" s="139"/>
      <c r="U166" s="139"/>
      <c r="V166" s="139"/>
      <c r="W166" s="139"/>
      <c r="X166" s="139"/>
      <c r="Y166" s="139"/>
      <c r="Z166" s="139"/>
      <c r="AA166" s="139"/>
    </row>
    <row r="167" spans="1:27" ht="15.75">
      <c r="A167" s="637" t="s">
        <v>815</v>
      </c>
      <c r="B167" s="787"/>
      <c r="C167" s="687">
        <f t="shared" si="37"/>
        <v>0</v>
      </c>
      <c r="D167" s="688">
        <f t="shared" si="38"/>
        <v>0</v>
      </c>
      <c r="E167" s="690">
        <v>750</v>
      </c>
      <c r="F167" s="710"/>
      <c r="G167" s="709">
        <f>$P$7+$P$9-G146</f>
        <v>1</v>
      </c>
      <c r="H167" s="687">
        <v>2500</v>
      </c>
      <c r="I167" s="629">
        <f>E167*(G167/3)</f>
        <v>250</v>
      </c>
      <c r="J167" s="139"/>
      <c r="K167" s="139"/>
      <c r="L167" s="139"/>
      <c r="M167" s="139"/>
      <c r="N167" s="139"/>
      <c r="O167" s="139"/>
      <c r="P167" s="139"/>
      <c r="Q167" s="139"/>
      <c r="R167" s="139"/>
      <c r="S167" s="139"/>
      <c r="T167" s="139"/>
      <c r="U167" s="139"/>
      <c r="V167" s="139"/>
      <c r="W167" s="139"/>
      <c r="X167" s="139"/>
      <c r="Y167" s="139"/>
      <c r="Z167" s="139"/>
      <c r="AA167" s="139"/>
    </row>
    <row r="168" spans="1:27" ht="15.75">
      <c r="A168" s="637" t="s">
        <v>817</v>
      </c>
      <c r="B168" s="787"/>
      <c r="C168" s="687">
        <f t="shared" si="37"/>
        <v>0</v>
      </c>
      <c r="D168" s="688">
        <f t="shared" si="38"/>
        <v>0</v>
      </c>
      <c r="E168" s="690">
        <v>0</v>
      </c>
      <c r="F168" s="688"/>
      <c r="G168" s="688"/>
      <c r="H168" s="687"/>
      <c r="I168" s="629">
        <f t="shared" ref="I168:I170" si="43">E168</f>
        <v>0</v>
      </c>
      <c r="J168" s="139"/>
      <c r="K168" s="139"/>
      <c r="L168" s="139"/>
      <c r="M168" s="139"/>
      <c r="N168" s="139"/>
      <c r="O168" s="139"/>
      <c r="P168" s="139"/>
      <c r="Q168" s="139"/>
      <c r="R168" s="139"/>
      <c r="S168" s="139"/>
      <c r="T168" s="139"/>
      <c r="U168" s="139"/>
      <c r="V168" s="139"/>
      <c r="W168" s="139"/>
      <c r="X168" s="139"/>
      <c r="Y168" s="139"/>
      <c r="Z168" s="139"/>
      <c r="AA168" s="139"/>
    </row>
    <row r="169" spans="1:27" ht="15.75">
      <c r="A169" s="637" t="s">
        <v>819</v>
      </c>
      <c r="B169" s="787"/>
      <c r="C169" s="687">
        <f t="shared" si="37"/>
        <v>0</v>
      </c>
      <c r="D169" s="688">
        <f t="shared" si="38"/>
        <v>0</v>
      </c>
      <c r="E169" s="690">
        <v>0</v>
      </c>
      <c r="F169" s="688"/>
      <c r="G169" s="688"/>
      <c r="H169" s="687"/>
      <c r="I169" s="629">
        <f t="shared" si="43"/>
        <v>0</v>
      </c>
      <c r="J169" s="139"/>
      <c r="K169" s="139"/>
      <c r="L169" s="139"/>
      <c r="M169" s="139"/>
      <c r="N169" s="139"/>
      <c r="O169" s="139"/>
      <c r="P169" s="139"/>
      <c r="Q169" s="139"/>
      <c r="R169" s="139"/>
      <c r="S169" s="139"/>
      <c r="T169" s="139"/>
      <c r="U169" s="139"/>
      <c r="V169" s="139"/>
      <c r="W169" s="139"/>
      <c r="X169" s="139"/>
      <c r="Y169" s="139"/>
      <c r="Z169" s="139"/>
      <c r="AA169" s="139"/>
    </row>
    <row r="170" spans="1:27" ht="15.75">
      <c r="A170" s="637" t="s">
        <v>820</v>
      </c>
      <c r="B170" s="787"/>
      <c r="C170" s="687">
        <f t="shared" si="37"/>
        <v>0</v>
      </c>
      <c r="D170" s="688">
        <f t="shared" si="38"/>
        <v>0</v>
      </c>
      <c r="E170" s="690">
        <v>0</v>
      </c>
      <c r="F170" s="688"/>
      <c r="G170" s="688"/>
      <c r="H170" s="687"/>
      <c r="I170" s="629">
        <f t="shared" si="43"/>
        <v>0</v>
      </c>
      <c r="J170" s="139"/>
      <c r="K170" s="139"/>
      <c r="L170" s="139"/>
      <c r="M170" s="139"/>
      <c r="N170" s="139"/>
      <c r="O170" s="139"/>
      <c r="P170" s="139"/>
      <c r="Q170" s="139"/>
      <c r="R170" s="139"/>
      <c r="S170" s="139"/>
      <c r="T170" s="139"/>
      <c r="U170" s="139"/>
      <c r="V170" s="139"/>
      <c r="W170" s="139"/>
      <c r="X170" s="139"/>
      <c r="Y170" s="139"/>
      <c r="Z170" s="139"/>
      <c r="AA170" s="139"/>
    </row>
    <row r="171" spans="1:27" ht="15.75">
      <c r="A171" s="637" t="s">
        <v>821</v>
      </c>
      <c r="B171" s="790"/>
      <c r="C171" s="687">
        <f t="shared" si="37"/>
        <v>45</v>
      </c>
      <c r="D171" s="688">
        <f t="shared" si="38"/>
        <v>12</v>
      </c>
      <c r="E171" s="687"/>
      <c r="F171" s="688"/>
      <c r="G171" s="688"/>
      <c r="H171" s="687"/>
      <c r="I171" s="629">
        <f>E171+C171*D171</f>
        <v>540</v>
      </c>
      <c r="J171" s="139"/>
      <c r="K171" s="139"/>
      <c r="L171" s="139"/>
      <c r="M171" s="139"/>
      <c r="N171" s="139"/>
      <c r="O171" s="139"/>
      <c r="P171" s="139"/>
      <c r="Q171" s="139"/>
      <c r="R171" s="139"/>
      <c r="S171" s="139"/>
      <c r="T171" s="139"/>
      <c r="U171" s="139"/>
      <c r="V171" s="139"/>
      <c r="W171" s="139"/>
      <c r="X171" s="139"/>
      <c r="Y171" s="139"/>
      <c r="Z171" s="139"/>
      <c r="AA171" s="139"/>
    </row>
    <row r="172" spans="1:27" ht="15.75">
      <c r="A172" s="626" t="s">
        <v>822</v>
      </c>
      <c r="B172" s="790"/>
      <c r="C172" s="687">
        <f t="shared" si="37"/>
        <v>0</v>
      </c>
      <c r="D172" s="688">
        <f t="shared" si="38"/>
        <v>0</v>
      </c>
      <c r="E172" s="687"/>
      <c r="F172" s="688"/>
      <c r="G172" s="688"/>
      <c r="H172" s="687"/>
      <c r="I172" s="629"/>
      <c r="J172" s="139"/>
      <c r="K172" s="139"/>
      <c r="L172" s="139"/>
      <c r="M172" s="139"/>
      <c r="N172" s="139"/>
      <c r="O172" s="139"/>
      <c r="P172" s="139"/>
      <c r="Q172" s="139"/>
      <c r="R172" s="139"/>
      <c r="S172" s="139"/>
      <c r="T172" s="139"/>
      <c r="U172" s="139"/>
      <c r="V172" s="139"/>
      <c r="W172" s="139"/>
      <c r="X172" s="139"/>
      <c r="Y172" s="139"/>
      <c r="Z172" s="139"/>
      <c r="AA172" s="139"/>
    </row>
    <row r="173" spans="1:27" ht="15.75">
      <c r="A173" s="637" t="s">
        <v>823</v>
      </c>
      <c r="B173" s="790"/>
      <c r="C173" s="687">
        <f t="shared" si="37"/>
        <v>0</v>
      </c>
      <c r="D173" s="688">
        <f t="shared" si="38"/>
        <v>0</v>
      </c>
      <c r="E173" s="690">
        <v>0</v>
      </c>
      <c r="F173" s="688"/>
      <c r="G173" s="688"/>
      <c r="H173" s="687"/>
      <c r="I173" s="629">
        <f>E173</f>
        <v>0</v>
      </c>
      <c r="J173" s="139"/>
      <c r="K173" s="139"/>
      <c r="L173" s="139"/>
      <c r="M173" s="139"/>
      <c r="N173" s="139"/>
      <c r="O173" s="139"/>
      <c r="P173" s="139"/>
      <c r="Q173" s="139"/>
      <c r="R173" s="139"/>
      <c r="S173" s="139"/>
      <c r="T173" s="139"/>
      <c r="U173" s="139"/>
      <c r="V173" s="139"/>
      <c r="W173" s="139"/>
      <c r="X173" s="139"/>
      <c r="Y173" s="139"/>
      <c r="Z173" s="139"/>
      <c r="AA173" s="139"/>
    </row>
    <row r="174" spans="1:27" ht="15.75">
      <c r="A174" s="637" t="s">
        <v>824</v>
      </c>
      <c r="B174" s="790"/>
      <c r="C174" s="687">
        <f t="shared" si="37"/>
        <v>125</v>
      </c>
      <c r="D174" s="688">
        <f t="shared" si="38"/>
        <v>12</v>
      </c>
      <c r="E174" s="687"/>
      <c r="F174" s="688"/>
      <c r="G174" s="688"/>
      <c r="H174" s="687"/>
      <c r="I174" s="629">
        <f>C174*D174</f>
        <v>1500</v>
      </c>
      <c r="J174" s="139"/>
      <c r="K174" s="139"/>
      <c r="L174" s="139"/>
      <c r="M174" s="139"/>
      <c r="N174" s="139"/>
      <c r="O174" s="139"/>
      <c r="P174" s="139"/>
      <c r="Q174" s="139"/>
      <c r="R174" s="139"/>
      <c r="S174" s="139"/>
      <c r="T174" s="139"/>
      <c r="U174" s="139"/>
      <c r="V174" s="139"/>
      <c r="W174" s="139"/>
      <c r="X174" s="139"/>
      <c r="Y174" s="139"/>
      <c r="Z174" s="139"/>
      <c r="AA174" s="139"/>
    </row>
    <row r="175" spans="1:27" ht="15.75">
      <c r="A175" s="626" t="s">
        <v>826</v>
      </c>
      <c r="B175" s="790"/>
      <c r="C175" s="687">
        <f t="shared" si="37"/>
        <v>0</v>
      </c>
      <c r="D175" s="688">
        <f t="shared" si="38"/>
        <v>0</v>
      </c>
      <c r="E175" s="687"/>
      <c r="F175" s="688"/>
      <c r="G175" s="688"/>
      <c r="H175" s="687"/>
      <c r="I175" s="629"/>
      <c r="J175" s="139"/>
      <c r="K175" s="139"/>
      <c r="L175" s="139"/>
      <c r="M175" s="139"/>
      <c r="N175" s="139"/>
      <c r="O175" s="139"/>
      <c r="P175" s="139"/>
      <c r="Q175" s="139"/>
      <c r="R175" s="139"/>
      <c r="S175" s="139"/>
      <c r="T175" s="139"/>
      <c r="U175" s="139"/>
      <c r="V175" s="139"/>
      <c r="W175" s="139"/>
      <c r="X175" s="139"/>
      <c r="Y175" s="139"/>
      <c r="Z175" s="139"/>
      <c r="AA175" s="139"/>
    </row>
    <row r="176" spans="1:27" ht="15.75">
      <c r="A176" s="637" t="s">
        <v>827</v>
      </c>
      <c r="B176" s="788" t="str">
        <f>HYPERLINK("https://www.verizon.com/smallbusiness/products/business-internet/broadband-packages/","Verizon")</f>
        <v>Verizon</v>
      </c>
      <c r="C176" s="687">
        <f t="shared" si="37"/>
        <v>32.5</v>
      </c>
      <c r="D176" s="688">
        <f t="shared" si="38"/>
        <v>12</v>
      </c>
      <c r="E176" s="687"/>
      <c r="F176" s="688"/>
      <c r="G176" s="709">
        <f>$P$7+$P$9</f>
        <v>18</v>
      </c>
      <c r="H176" s="687"/>
      <c r="I176" s="629">
        <f>C176*G176*D176+F176</f>
        <v>7020</v>
      </c>
      <c r="J176" s="139"/>
      <c r="K176" s="139"/>
      <c r="L176" s="139"/>
      <c r="M176" s="139"/>
      <c r="N176" s="139"/>
      <c r="O176" s="139"/>
      <c r="P176" s="139"/>
      <c r="Q176" s="139"/>
      <c r="R176" s="139"/>
      <c r="S176" s="139"/>
      <c r="T176" s="139"/>
      <c r="U176" s="139"/>
      <c r="V176" s="139"/>
      <c r="W176" s="139"/>
      <c r="X176" s="139"/>
      <c r="Y176" s="139"/>
      <c r="Z176" s="139"/>
      <c r="AA176" s="139"/>
    </row>
    <row r="177" spans="1:27" ht="15.75">
      <c r="A177" s="637" t="s">
        <v>829</v>
      </c>
      <c r="B177" s="788" t="str">
        <f>HYPERLINK("http://www.verizonenterprise.com/products/networking/sdn-nfv/virtual-network-services/","Verizon")</f>
        <v>Verizon</v>
      </c>
      <c r="C177" s="687">
        <f t="shared" si="37"/>
        <v>60</v>
      </c>
      <c r="D177" s="688">
        <f t="shared" si="38"/>
        <v>12</v>
      </c>
      <c r="E177" s="687"/>
      <c r="F177" s="688"/>
      <c r="G177" s="688"/>
      <c r="H177" s="687"/>
      <c r="I177" s="629">
        <f>C177*D177+F177</f>
        <v>720</v>
      </c>
      <c r="J177" s="139"/>
      <c r="K177" s="139"/>
      <c r="L177" s="139"/>
      <c r="M177" s="139"/>
      <c r="N177" s="139"/>
      <c r="O177" s="139"/>
      <c r="P177" s="139"/>
      <c r="Q177" s="139"/>
      <c r="R177" s="139"/>
      <c r="S177" s="139"/>
      <c r="T177" s="139"/>
      <c r="U177" s="139"/>
      <c r="V177" s="139"/>
      <c r="W177" s="139"/>
      <c r="X177" s="139"/>
      <c r="Y177" s="139"/>
      <c r="Z177" s="139"/>
      <c r="AA177" s="139"/>
    </row>
    <row r="178" spans="1:27" ht="15.75">
      <c r="A178" s="637" t="s">
        <v>830</v>
      </c>
      <c r="B178" s="788" t="str">
        <f>HYPERLINK("https://store.nest.com/products/NC2100ES","Nest Security")</f>
        <v>Nest Security</v>
      </c>
      <c r="C178" s="687">
        <f t="shared" si="37"/>
        <v>0</v>
      </c>
      <c r="D178" s="688">
        <f t="shared" si="38"/>
        <v>0</v>
      </c>
      <c r="E178" s="690">
        <v>0</v>
      </c>
      <c r="F178" s="688"/>
      <c r="G178" s="688"/>
      <c r="H178" s="687"/>
      <c r="I178" s="629">
        <f>E178</f>
        <v>0</v>
      </c>
      <c r="J178" s="139"/>
      <c r="K178" s="139"/>
      <c r="L178" s="139"/>
      <c r="M178" s="139"/>
      <c r="N178" s="139"/>
      <c r="O178" s="139"/>
      <c r="P178" s="139"/>
      <c r="Q178" s="139"/>
      <c r="R178" s="139"/>
      <c r="S178" s="139"/>
      <c r="T178" s="139"/>
      <c r="U178" s="139"/>
      <c r="V178" s="139"/>
      <c r="W178" s="139"/>
      <c r="X178" s="139"/>
      <c r="Y178" s="139"/>
      <c r="Z178" s="139"/>
      <c r="AA178" s="139"/>
    </row>
    <row r="179" spans="1:27" ht="15.75">
      <c r="A179" s="637" t="s">
        <v>831</v>
      </c>
      <c r="B179" s="627"/>
      <c r="C179" s="687">
        <f t="shared" si="37"/>
        <v>1000</v>
      </c>
      <c r="D179" s="688">
        <f t="shared" si="38"/>
        <v>12</v>
      </c>
      <c r="E179" s="687"/>
      <c r="F179" s="688"/>
      <c r="G179" s="688"/>
      <c r="H179" s="687"/>
      <c r="I179" s="629">
        <f>C179*D179</f>
        <v>12000</v>
      </c>
      <c r="J179" s="139"/>
      <c r="K179" s="139"/>
      <c r="L179" s="139"/>
      <c r="M179" s="139"/>
      <c r="N179" s="139"/>
      <c r="O179" s="139"/>
      <c r="P179" s="139"/>
      <c r="Q179" s="139"/>
      <c r="R179" s="139"/>
      <c r="S179" s="139"/>
      <c r="T179" s="139"/>
      <c r="U179" s="139"/>
      <c r="V179" s="139"/>
      <c r="W179" s="139"/>
      <c r="X179" s="139"/>
      <c r="Y179" s="139"/>
      <c r="Z179" s="139"/>
      <c r="AA179" s="139"/>
    </row>
    <row r="180" spans="1:27" ht="15.75">
      <c r="A180" s="637" t="s">
        <v>832</v>
      </c>
      <c r="B180" s="655"/>
      <c r="C180" s="687">
        <f t="shared" si="37"/>
        <v>0</v>
      </c>
      <c r="D180" s="688">
        <f t="shared" si="38"/>
        <v>0</v>
      </c>
      <c r="E180" s="687"/>
      <c r="F180" s="710"/>
      <c r="G180" s="710"/>
      <c r="H180" s="692"/>
      <c r="I180" s="629">
        <f>(SUM(I157:I162)+I171+I174)*'OM Assumptions'!$B$44</f>
        <v>20735.994000000002</v>
      </c>
      <c r="J180" s="139"/>
      <c r="K180" s="139"/>
      <c r="L180" s="139"/>
      <c r="M180" s="139"/>
      <c r="N180" s="139"/>
      <c r="O180" s="139"/>
      <c r="P180" s="139"/>
      <c r="Q180" s="139"/>
      <c r="R180" s="139"/>
      <c r="S180" s="139"/>
      <c r="T180" s="139"/>
      <c r="U180" s="139"/>
      <c r="V180" s="139"/>
      <c r="W180" s="139"/>
      <c r="X180" s="139"/>
      <c r="Y180" s="139"/>
      <c r="Z180" s="139"/>
      <c r="AA180" s="139"/>
    </row>
    <row r="181" spans="1:27" ht="15.75">
      <c r="A181" s="698" t="s">
        <v>835</v>
      </c>
      <c r="B181" s="655"/>
      <c r="C181" s="687"/>
      <c r="D181" s="688"/>
      <c r="E181" s="687"/>
      <c r="F181" s="688"/>
      <c r="G181" s="688"/>
      <c r="H181" s="687"/>
      <c r="I181" s="683">
        <f>SUM(I157:I180)</f>
        <v>465190.87400000001</v>
      </c>
      <c r="J181" s="139"/>
      <c r="K181" s="139"/>
      <c r="L181" s="139"/>
      <c r="M181" s="139"/>
      <c r="N181" s="139"/>
      <c r="O181" s="139"/>
      <c r="P181" s="139"/>
      <c r="Q181" s="139"/>
      <c r="R181" s="139"/>
      <c r="S181" s="139"/>
      <c r="T181" s="139"/>
      <c r="U181" s="139"/>
      <c r="V181" s="139"/>
      <c r="W181" s="139"/>
      <c r="X181" s="139"/>
      <c r="Y181" s="139"/>
      <c r="Z181" s="139"/>
      <c r="AA181" s="139"/>
    </row>
    <row r="182" spans="1:27" ht="15.75">
      <c r="A182" s="139"/>
      <c r="B182" s="139"/>
      <c r="C182" s="680"/>
      <c r="D182" s="139"/>
      <c r="E182" s="680"/>
      <c r="F182" s="139"/>
      <c r="G182" s="139"/>
      <c r="H182" s="680"/>
      <c r="I182" s="680"/>
      <c r="J182" s="139"/>
      <c r="K182" s="139"/>
      <c r="L182" s="139"/>
      <c r="M182" s="139"/>
      <c r="N182" s="139"/>
      <c r="O182" s="139"/>
      <c r="P182" s="139"/>
      <c r="Q182" s="139"/>
      <c r="R182" s="139"/>
      <c r="S182" s="139"/>
      <c r="T182" s="139"/>
      <c r="U182" s="139"/>
      <c r="V182" s="139"/>
      <c r="W182" s="139"/>
      <c r="X182" s="139"/>
      <c r="Y182" s="139"/>
      <c r="Z182" s="139"/>
      <c r="AA182" s="139"/>
    </row>
    <row r="183" spans="1:27" ht="15.75">
      <c r="A183" s="716"/>
      <c r="B183" s="346"/>
      <c r="C183" s="717"/>
      <c r="D183" s="346"/>
      <c r="E183" s="717"/>
      <c r="F183" s="346"/>
      <c r="G183" s="346"/>
      <c r="H183" s="717"/>
      <c r="I183" s="717"/>
      <c r="J183" s="346"/>
      <c r="K183" s="346"/>
      <c r="L183" s="139"/>
      <c r="M183" s="139"/>
      <c r="N183" s="139"/>
      <c r="O183" s="139"/>
      <c r="P183" s="139"/>
      <c r="Q183" s="139"/>
      <c r="R183" s="139"/>
      <c r="S183" s="139"/>
      <c r="T183" s="139"/>
      <c r="U183" s="139"/>
      <c r="V183" s="139"/>
      <c r="W183" s="139"/>
      <c r="X183" s="139"/>
      <c r="Y183" s="139"/>
      <c r="Z183" s="139"/>
      <c r="AA183" s="139"/>
    </row>
    <row r="184" spans="1:27" ht="15.75">
      <c r="A184" s="716"/>
      <c r="B184" s="346"/>
      <c r="C184" s="717"/>
      <c r="D184" s="346"/>
      <c r="E184" s="717"/>
      <c r="F184" s="346"/>
      <c r="G184" s="346"/>
      <c r="H184" s="717"/>
      <c r="I184" s="717"/>
      <c r="J184" s="346"/>
      <c r="K184" s="346"/>
      <c r="L184" s="139"/>
      <c r="M184" s="139"/>
      <c r="N184" s="139"/>
      <c r="O184" s="139"/>
      <c r="P184" s="139"/>
      <c r="Q184" s="139"/>
      <c r="R184" s="139"/>
      <c r="S184" s="139"/>
      <c r="T184" s="139"/>
      <c r="U184" s="139"/>
      <c r="V184" s="139"/>
      <c r="W184" s="139"/>
      <c r="X184" s="139"/>
      <c r="Y184" s="139"/>
      <c r="Z184" s="139"/>
      <c r="AA184" s="139"/>
    </row>
    <row r="185" spans="1:27" ht="15.75">
      <c r="A185" s="716"/>
      <c r="B185" s="346"/>
      <c r="C185" s="717"/>
      <c r="D185" s="346"/>
      <c r="E185" s="717"/>
      <c r="F185" s="346"/>
      <c r="G185" s="346"/>
      <c r="H185" s="717"/>
      <c r="I185" s="717"/>
      <c r="J185" s="346"/>
      <c r="K185" s="346"/>
      <c r="L185" s="139"/>
      <c r="M185" s="139"/>
      <c r="N185" s="139"/>
      <c r="O185" s="139"/>
      <c r="P185" s="139"/>
      <c r="Q185" s="139"/>
      <c r="R185" s="139"/>
      <c r="S185" s="139"/>
      <c r="T185" s="139"/>
      <c r="U185" s="139"/>
      <c r="V185" s="139"/>
      <c r="W185" s="139"/>
      <c r="X185" s="139"/>
      <c r="Y185" s="139"/>
      <c r="Z185" s="139"/>
      <c r="AA185" s="139"/>
    </row>
    <row r="186" spans="1:27" ht="15.75">
      <c r="A186" s="716"/>
      <c r="B186" s="346"/>
      <c r="C186" s="717"/>
      <c r="D186" s="346"/>
      <c r="E186" s="717"/>
      <c r="F186" s="346"/>
      <c r="G186" s="346"/>
      <c r="H186" s="717"/>
      <c r="I186" s="717"/>
      <c r="J186" s="346"/>
      <c r="K186" s="346"/>
      <c r="L186" s="139"/>
      <c r="M186" s="139"/>
      <c r="N186" s="139"/>
      <c r="O186" s="139"/>
      <c r="P186" s="139"/>
      <c r="Q186" s="139"/>
      <c r="R186" s="139"/>
      <c r="S186" s="139"/>
      <c r="T186" s="139"/>
      <c r="U186" s="139"/>
      <c r="V186" s="139"/>
      <c r="W186" s="139"/>
      <c r="X186" s="139"/>
      <c r="Y186" s="139"/>
      <c r="Z186" s="139"/>
      <c r="AA186" s="139"/>
    </row>
    <row r="187" spans="1:27" ht="15.75">
      <c r="A187" s="716"/>
      <c r="B187" s="346"/>
      <c r="C187" s="717"/>
      <c r="D187" s="346"/>
      <c r="E187" s="717"/>
      <c r="F187" s="346"/>
      <c r="G187" s="346"/>
      <c r="H187" s="717"/>
      <c r="I187" s="717"/>
      <c r="J187" s="346"/>
      <c r="K187" s="346"/>
      <c r="L187" s="139"/>
      <c r="M187" s="139"/>
      <c r="N187" s="139"/>
      <c r="O187" s="139"/>
      <c r="P187" s="139"/>
      <c r="Q187" s="139"/>
      <c r="R187" s="139"/>
      <c r="S187" s="139"/>
      <c r="T187" s="139"/>
      <c r="U187" s="139"/>
      <c r="V187" s="139"/>
      <c r="W187" s="139"/>
      <c r="X187" s="139"/>
      <c r="Y187" s="139"/>
      <c r="Z187" s="139"/>
      <c r="AA187" s="139"/>
    </row>
    <row r="188" spans="1:27" ht="15.75">
      <c r="A188" s="716"/>
      <c r="B188" s="346"/>
      <c r="C188" s="717"/>
      <c r="D188" s="346"/>
      <c r="E188" s="717"/>
      <c r="F188" s="346"/>
      <c r="G188" s="346"/>
      <c r="H188" s="717"/>
      <c r="I188" s="717"/>
      <c r="J188" s="346"/>
      <c r="K188" s="346"/>
      <c r="L188" s="139"/>
      <c r="M188" s="139"/>
      <c r="N188" s="139"/>
      <c r="O188" s="139"/>
      <c r="P188" s="139"/>
      <c r="Q188" s="139"/>
      <c r="R188" s="139"/>
      <c r="S188" s="139"/>
      <c r="T188" s="139"/>
      <c r="U188" s="139"/>
      <c r="V188" s="139"/>
      <c r="W188" s="139"/>
      <c r="X188" s="139"/>
      <c r="Y188" s="139"/>
      <c r="Z188" s="139"/>
      <c r="AA188" s="139"/>
    </row>
    <row r="189" spans="1:27" ht="15.75">
      <c r="A189" s="716"/>
      <c r="B189" s="346"/>
      <c r="C189" s="717"/>
      <c r="D189" s="346"/>
      <c r="E189" s="717"/>
      <c r="F189" s="346"/>
      <c r="G189" s="346"/>
      <c r="H189" s="717"/>
      <c r="I189" s="717"/>
      <c r="J189" s="346"/>
      <c r="K189" s="346"/>
      <c r="L189" s="139"/>
      <c r="M189" s="139"/>
      <c r="N189" s="139"/>
      <c r="O189" s="139"/>
      <c r="P189" s="139"/>
      <c r="Q189" s="139"/>
      <c r="R189" s="139"/>
      <c r="S189" s="139"/>
      <c r="T189" s="139"/>
      <c r="U189" s="139"/>
      <c r="V189" s="139"/>
      <c r="W189" s="139"/>
      <c r="X189" s="139"/>
      <c r="Y189" s="139"/>
      <c r="Z189" s="139"/>
      <c r="AA189" s="139"/>
    </row>
    <row r="190" spans="1:27" ht="15.75">
      <c r="A190" s="716"/>
      <c r="B190" s="346"/>
      <c r="C190" s="717"/>
      <c r="D190" s="346"/>
      <c r="E190" s="717"/>
      <c r="F190" s="346"/>
      <c r="G190" s="346"/>
      <c r="H190" s="717"/>
      <c r="I190" s="717"/>
      <c r="J190" s="346"/>
      <c r="K190" s="346"/>
      <c r="L190" s="139"/>
      <c r="M190" s="139"/>
      <c r="N190" s="139"/>
      <c r="O190" s="139"/>
      <c r="P190" s="139"/>
      <c r="Q190" s="139"/>
      <c r="R190" s="139"/>
      <c r="S190" s="139"/>
      <c r="T190" s="139"/>
      <c r="U190" s="139"/>
      <c r="V190" s="139"/>
      <c r="W190" s="139"/>
      <c r="X190" s="139"/>
      <c r="Y190" s="139"/>
      <c r="Z190" s="139"/>
      <c r="AA190" s="139"/>
    </row>
    <row r="191" spans="1:27" ht="15.75">
      <c r="A191" s="716"/>
      <c r="B191" s="346"/>
      <c r="C191" s="717"/>
      <c r="D191" s="346"/>
      <c r="E191" s="717"/>
      <c r="F191" s="346"/>
      <c r="G191" s="346"/>
      <c r="H191" s="717"/>
      <c r="I191" s="717"/>
      <c r="J191" s="346"/>
      <c r="K191" s="346"/>
      <c r="L191" s="139"/>
      <c r="M191" s="139"/>
      <c r="N191" s="139"/>
      <c r="O191" s="139"/>
      <c r="P191" s="139"/>
      <c r="Q191" s="139"/>
      <c r="R191" s="139"/>
      <c r="S191" s="139"/>
      <c r="T191" s="139"/>
      <c r="U191" s="139"/>
      <c r="V191" s="139"/>
      <c r="W191" s="139"/>
      <c r="X191" s="139"/>
      <c r="Y191" s="139"/>
      <c r="Z191" s="139"/>
      <c r="AA191" s="139"/>
    </row>
    <row r="192" spans="1:27" ht="15.75">
      <c r="A192" s="716"/>
      <c r="B192" s="346"/>
      <c r="C192" s="717"/>
      <c r="D192" s="346"/>
      <c r="E192" s="717"/>
      <c r="F192" s="346"/>
      <c r="G192" s="346"/>
      <c r="H192" s="717"/>
      <c r="I192" s="717"/>
      <c r="J192" s="346"/>
      <c r="K192" s="346"/>
      <c r="L192" s="139"/>
      <c r="M192" s="139"/>
      <c r="N192" s="139"/>
      <c r="O192" s="139"/>
      <c r="P192" s="139"/>
      <c r="Q192" s="139"/>
      <c r="R192" s="139"/>
      <c r="S192" s="139"/>
      <c r="T192" s="139"/>
      <c r="U192" s="139"/>
      <c r="V192" s="139"/>
      <c r="W192" s="139"/>
      <c r="X192" s="139"/>
      <c r="Y192" s="139"/>
      <c r="Z192" s="139"/>
      <c r="AA192" s="139"/>
    </row>
    <row r="193" spans="1:27" ht="15.75">
      <c r="A193" s="716"/>
      <c r="B193" s="346"/>
      <c r="C193" s="717"/>
      <c r="D193" s="346"/>
      <c r="E193" s="717"/>
      <c r="F193" s="346"/>
      <c r="G193" s="346"/>
      <c r="H193" s="717"/>
      <c r="I193" s="717"/>
      <c r="J193" s="346"/>
      <c r="K193" s="346"/>
      <c r="L193" s="139"/>
      <c r="M193" s="139"/>
      <c r="N193" s="139"/>
      <c r="O193" s="139"/>
      <c r="P193" s="139"/>
      <c r="Q193" s="139"/>
      <c r="R193" s="139"/>
      <c r="S193" s="139"/>
      <c r="T193" s="139"/>
      <c r="U193" s="139"/>
      <c r="V193" s="139"/>
      <c r="W193" s="139"/>
      <c r="X193" s="139"/>
      <c r="Y193" s="139"/>
      <c r="Z193" s="139"/>
      <c r="AA193" s="139"/>
    </row>
    <row r="194" spans="1:27" ht="15.75">
      <c r="A194" s="716"/>
      <c r="B194" s="346"/>
      <c r="C194" s="717"/>
      <c r="D194" s="346"/>
      <c r="E194" s="717"/>
      <c r="F194" s="346"/>
      <c r="G194" s="346"/>
      <c r="H194" s="717"/>
      <c r="I194" s="717"/>
      <c r="J194" s="346"/>
      <c r="K194" s="346"/>
      <c r="L194" s="139"/>
      <c r="M194" s="139"/>
      <c r="N194" s="139"/>
      <c r="O194" s="139"/>
      <c r="P194" s="139"/>
      <c r="Q194" s="139"/>
      <c r="R194" s="139"/>
      <c r="S194" s="139"/>
      <c r="T194" s="139"/>
      <c r="U194" s="139"/>
      <c r="V194" s="139"/>
      <c r="W194" s="139"/>
      <c r="X194" s="139"/>
      <c r="Y194" s="139"/>
      <c r="Z194" s="139"/>
      <c r="AA194" s="139"/>
    </row>
    <row r="195" spans="1:27" ht="15.75">
      <c r="A195" s="716"/>
      <c r="B195" s="346"/>
      <c r="C195" s="717"/>
      <c r="D195" s="346"/>
      <c r="E195" s="717"/>
      <c r="F195" s="346"/>
      <c r="G195" s="346"/>
      <c r="H195" s="717"/>
      <c r="I195" s="717"/>
      <c r="J195" s="346"/>
      <c r="K195" s="346"/>
      <c r="L195" s="139"/>
      <c r="M195" s="139"/>
      <c r="N195" s="139"/>
      <c r="O195" s="139"/>
      <c r="P195" s="139"/>
      <c r="Q195" s="139"/>
      <c r="R195" s="139"/>
      <c r="S195" s="139"/>
      <c r="T195" s="139"/>
      <c r="U195" s="139"/>
      <c r="V195" s="139"/>
      <c r="W195" s="139"/>
      <c r="X195" s="139"/>
      <c r="Y195" s="139"/>
      <c r="Z195" s="139"/>
      <c r="AA195" s="139"/>
    </row>
    <row r="196" spans="1:27" ht="15.75">
      <c r="A196" s="716"/>
      <c r="B196" s="346"/>
      <c r="C196" s="717"/>
      <c r="D196" s="346"/>
      <c r="E196" s="717"/>
      <c r="F196" s="346"/>
      <c r="G196" s="346"/>
      <c r="H196" s="717"/>
      <c r="I196" s="717"/>
      <c r="J196" s="346"/>
      <c r="K196" s="346"/>
      <c r="L196" s="139"/>
      <c r="M196" s="139"/>
      <c r="N196" s="139"/>
      <c r="O196" s="139"/>
      <c r="P196" s="139"/>
      <c r="Q196" s="139"/>
      <c r="R196" s="139"/>
      <c r="S196" s="139"/>
      <c r="T196" s="139"/>
      <c r="U196" s="139"/>
      <c r="V196" s="139"/>
      <c r="W196" s="139"/>
      <c r="X196" s="139"/>
      <c r="Y196" s="139"/>
      <c r="Z196" s="139"/>
      <c r="AA196" s="139"/>
    </row>
    <row r="197" spans="1:27" ht="15.75">
      <c r="A197" s="716"/>
      <c r="B197" s="346"/>
      <c r="C197" s="717"/>
      <c r="D197" s="346"/>
      <c r="E197" s="717"/>
      <c r="F197" s="346"/>
      <c r="G197" s="346"/>
      <c r="H197" s="717"/>
      <c r="I197" s="717"/>
      <c r="J197" s="346"/>
      <c r="K197" s="346"/>
      <c r="L197" s="139"/>
      <c r="M197" s="139"/>
      <c r="N197" s="139"/>
      <c r="O197" s="139"/>
      <c r="P197" s="139"/>
      <c r="Q197" s="139"/>
      <c r="R197" s="139"/>
      <c r="S197" s="139"/>
      <c r="T197" s="139"/>
      <c r="U197" s="139"/>
      <c r="V197" s="139"/>
      <c r="W197" s="139"/>
      <c r="X197" s="139"/>
      <c r="Y197" s="139"/>
      <c r="Z197" s="139"/>
      <c r="AA197" s="139"/>
    </row>
    <row r="198" spans="1:27" ht="15.75">
      <c r="A198" s="716"/>
      <c r="B198" s="346"/>
      <c r="C198" s="717"/>
      <c r="D198" s="346"/>
      <c r="E198" s="717"/>
      <c r="F198" s="346"/>
      <c r="G198" s="346"/>
      <c r="H198" s="717"/>
      <c r="I198" s="717"/>
      <c r="J198" s="346"/>
      <c r="K198" s="346"/>
      <c r="L198" s="139"/>
      <c r="M198" s="139"/>
      <c r="N198" s="139"/>
      <c r="O198" s="139"/>
      <c r="P198" s="139"/>
      <c r="Q198" s="139"/>
      <c r="R198" s="139"/>
      <c r="S198" s="139"/>
      <c r="T198" s="139"/>
      <c r="U198" s="139"/>
      <c r="V198" s="139"/>
      <c r="W198" s="139"/>
      <c r="X198" s="139"/>
      <c r="Y198" s="139"/>
      <c r="Z198" s="139"/>
      <c r="AA198" s="139"/>
    </row>
    <row r="199" spans="1:27" ht="15.75">
      <c r="A199" s="716"/>
      <c r="B199" s="346"/>
      <c r="C199" s="717"/>
      <c r="D199" s="346"/>
      <c r="E199" s="717"/>
      <c r="F199" s="346"/>
      <c r="G199" s="346"/>
      <c r="H199" s="717"/>
      <c r="I199" s="717"/>
      <c r="J199" s="346"/>
      <c r="K199" s="346"/>
      <c r="L199" s="139"/>
      <c r="M199" s="139"/>
      <c r="N199" s="139"/>
      <c r="O199" s="139"/>
      <c r="P199" s="139"/>
      <c r="Q199" s="139"/>
      <c r="R199" s="139"/>
      <c r="S199" s="139"/>
      <c r="T199" s="139"/>
      <c r="U199" s="139"/>
      <c r="V199" s="139"/>
      <c r="W199" s="139"/>
      <c r="X199" s="139"/>
      <c r="Y199" s="139"/>
      <c r="Z199" s="139"/>
      <c r="AA199" s="139"/>
    </row>
    <row r="200" spans="1:27" ht="15.75">
      <c r="A200" s="716"/>
      <c r="B200" s="346"/>
      <c r="C200" s="717"/>
      <c r="D200" s="346"/>
      <c r="E200" s="717"/>
      <c r="F200" s="346"/>
      <c r="G200" s="346"/>
      <c r="H200" s="717"/>
      <c r="I200" s="717"/>
      <c r="J200" s="346"/>
      <c r="K200" s="346"/>
      <c r="L200" s="139"/>
      <c r="M200" s="139"/>
      <c r="N200" s="139"/>
      <c r="O200" s="139"/>
      <c r="P200" s="139"/>
      <c r="Q200" s="139"/>
      <c r="R200" s="139"/>
      <c r="S200" s="139"/>
      <c r="T200" s="139"/>
      <c r="U200" s="139"/>
      <c r="V200" s="139"/>
      <c r="W200" s="139"/>
      <c r="X200" s="139"/>
      <c r="Y200" s="139"/>
      <c r="Z200" s="139"/>
      <c r="AA200" s="139"/>
    </row>
    <row r="201" spans="1:27" ht="15.75">
      <c r="A201" s="716"/>
      <c r="B201" s="346"/>
      <c r="C201" s="717"/>
      <c r="D201" s="346"/>
      <c r="E201" s="717"/>
      <c r="F201" s="346"/>
      <c r="G201" s="346"/>
      <c r="H201" s="717"/>
      <c r="I201" s="717"/>
      <c r="J201" s="346"/>
      <c r="K201" s="346"/>
      <c r="L201" s="139"/>
      <c r="M201" s="139"/>
      <c r="N201" s="139"/>
      <c r="O201" s="139"/>
      <c r="P201" s="139"/>
      <c r="Q201" s="139"/>
      <c r="R201" s="139"/>
      <c r="S201" s="139"/>
      <c r="T201" s="139"/>
      <c r="U201" s="139"/>
      <c r="V201" s="139"/>
      <c r="W201" s="139"/>
      <c r="X201" s="139"/>
      <c r="Y201" s="139"/>
      <c r="Z201" s="139"/>
      <c r="AA201" s="139"/>
    </row>
    <row r="202" spans="1:27" ht="15.75">
      <c r="A202" s="716"/>
      <c r="B202" s="346"/>
      <c r="C202" s="717"/>
      <c r="D202" s="346"/>
      <c r="E202" s="717"/>
      <c r="F202" s="346"/>
      <c r="G202" s="346"/>
      <c r="H202" s="717"/>
      <c r="I202" s="717"/>
      <c r="J202" s="346"/>
      <c r="K202" s="346"/>
      <c r="L202" s="139"/>
      <c r="M202" s="139"/>
      <c r="N202" s="139"/>
      <c r="O202" s="139"/>
      <c r="P202" s="139"/>
      <c r="Q202" s="139"/>
      <c r="R202" s="139"/>
      <c r="S202" s="139"/>
      <c r="T202" s="139"/>
      <c r="U202" s="139"/>
      <c r="V202" s="139"/>
      <c r="W202" s="139"/>
      <c r="X202" s="139"/>
      <c r="Y202" s="139"/>
      <c r="Z202" s="139"/>
      <c r="AA202" s="139"/>
    </row>
    <row r="203" spans="1:27" ht="15.75">
      <c r="A203" s="716"/>
      <c r="B203" s="346"/>
      <c r="C203" s="717"/>
      <c r="D203" s="346"/>
      <c r="E203" s="717"/>
      <c r="F203" s="346"/>
      <c r="G203" s="346"/>
      <c r="H203" s="717"/>
      <c r="I203" s="717"/>
      <c r="J203" s="346"/>
      <c r="K203" s="346"/>
      <c r="L203" s="139"/>
      <c r="M203" s="139"/>
      <c r="N203" s="139"/>
      <c r="O203" s="139"/>
      <c r="P203" s="139"/>
      <c r="Q203" s="139"/>
      <c r="R203" s="139"/>
      <c r="S203" s="139"/>
      <c r="T203" s="139"/>
      <c r="U203" s="139"/>
      <c r="V203" s="139"/>
      <c r="W203" s="139"/>
      <c r="X203" s="139"/>
      <c r="Y203" s="139"/>
      <c r="Z203" s="139"/>
      <c r="AA203" s="139"/>
    </row>
    <row r="204" spans="1:27" ht="15.75">
      <c r="A204" s="716"/>
      <c r="B204" s="346"/>
      <c r="C204" s="717"/>
      <c r="D204" s="346"/>
      <c r="E204" s="717"/>
      <c r="F204" s="346"/>
      <c r="G204" s="346"/>
      <c r="H204" s="717"/>
      <c r="I204" s="717"/>
      <c r="J204" s="346"/>
      <c r="K204" s="346"/>
      <c r="L204" s="139"/>
      <c r="M204" s="139"/>
      <c r="N204" s="139"/>
      <c r="O204" s="139"/>
      <c r="P204" s="139"/>
      <c r="Q204" s="139"/>
      <c r="R204" s="139"/>
      <c r="S204" s="139"/>
      <c r="T204" s="139"/>
      <c r="U204" s="139"/>
      <c r="V204" s="139"/>
      <c r="W204" s="139"/>
      <c r="X204" s="139"/>
      <c r="Y204" s="139"/>
      <c r="Z204" s="139"/>
      <c r="AA204" s="139"/>
    </row>
    <row r="205" spans="1:27" ht="15.75">
      <c r="A205" s="716"/>
      <c r="B205" s="346"/>
      <c r="C205" s="717"/>
      <c r="D205" s="346"/>
      <c r="E205" s="717"/>
      <c r="F205" s="346"/>
      <c r="G205" s="346"/>
      <c r="H205" s="717"/>
      <c r="I205" s="717"/>
      <c r="J205" s="346"/>
      <c r="K205" s="346"/>
      <c r="L205" s="139"/>
      <c r="M205" s="139"/>
      <c r="N205" s="139"/>
      <c r="O205" s="139"/>
      <c r="P205" s="139"/>
      <c r="Q205" s="139"/>
      <c r="R205" s="139"/>
      <c r="S205" s="139"/>
      <c r="T205" s="139"/>
      <c r="U205" s="139"/>
      <c r="V205" s="139"/>
      <c r="W205" s="139"/>
      <c r="X205" s="139"/>
      <c r="Y205" s="139"/>
      <c r="Z205" s="139"/>
      <c r="AA205" s="139"/>
    </row>
    <row r="206" spans="1:27" ht="15.75">
      <c r="A206" s="716"/>
      <c r="B206" s="346"/>
      <c r="C206" s="717"/>
      <c r="D206" s="346"/>
      <c r="E206" s="717"/>
      <c r="F206" s="346"/>
      <c r="G206" s="346"/>
      <c r="H206" s="717"/>
      <c r="I206" s="717"/>
      <c r="J206" s="346"/>
      <c r="K206" s="346"/>
      <c r="L206" s="139"/>
      <c r="M206" s="139"/>
      <c r="N206" s="139"/>
      <c r="O206" s="139"/>
      <c r="P206" s="139"/>
      <c r="Q206" s="139"/>
      <c r="R206" s="139"/>
      <c r="S206" s="139"/>
      <c r="T206" s="139"/>
      <c r="U206" s="139"/>
      <c r="V206" s="139"/>
      <c r="W206" s="139"/>
      <c r="X206" s="139"/>
      <c r="Y206" s="139"/>
      <c r="Z206" s="139"/>
      <c r="AA206" s="139"/>
    </row>
    <row r="207" spans="1:27" ht="15.75">
      <c r="A207" s="716"/>
      <c r="B207" s="346"/>
      <c r="C207" s="717"/>
      <c r="D207" s="346"/>
      <c r="E207" s="717"/>
      <c r="F207" s="346"/>
      <c r="G207" s="346"/>
      <c r="H207" s="717"/>
      <c r="I207" s="717"/>
      <c r="J207" s="346"/>
      <c r="K207" s="346"/>
      <c r="L207" s="139"/>
      <c r="M207" s="139"/>
      <c r="N207" s="139"/>
      <c r="O207" s="139"/>
      <c r="P207" s="139"/>
      <c r="Q207" s="139"/>
      <c r="R207" s="139"/>
      <c r="S207" s="139"/>
      <c r="T207" s="139"/>
      <c r="U207" s="139"/>
      <c r="V207" s="139"/>
      <c r="W207" s="139"/>
      <c r="X207" s="139"/>
      <c r="Y207" s="139"/>
      <c r="Z207" s="139"/>
      <c r="AA207" s="139"/>
    </row>
    <row r="208" spans="1:27" ht="15.75">
      <c r="A208" s="716"/>
      <c r="B208" s="346"/>
      <c r="C208" s="717"/>
      <c r="D208" s="346"/>
      <c r="E208" s="717"/>
      <c r="F208" s="346"/>
      <c r="G208" s="346"/>
      <c r="H208" s="717"/>
      <c r="I208" s="717"/>
      <c r="J208" s="346"/>
      <c r="K208" s="346"/>
      <c r="L208" s="139"/>
      <c r="M208" s="139"/>
      <c r="N208" s="139"/>
      <c r="O208" s="139"/>
      <c r="P208" s="139"/>
      <c r="Q208" s="139"/>
      <c r="R208" s="139"/>
      <c r="S208" s="139"/>
      <c r="T208" s="139"/>
      <c r="U208" s="139"/>
      <c r="V208" s="139"/>
      <c r="W208" s="139"/>
      <c r="X208" s="139"/>
      <c r="Y208" s="139"/>
      <c r="Z208" s="139"/>
      <c r="AA208" s="139"/>
    </row>
    <row r="209" spans="1:27" ht="15.75">
      <c r="A209" s="716"/>
      <c r="B209" s="346"/>
      <c r="C209" s="717"/>
      <c r="D209" s="346"/>
      <c r="E209" s="717"/>
      <c r="F209" s="346"/>
      <c r="G209" s="346"/>
      <c r="H209" s="717"/>
      <c r="I209" s="717"/>
      <c r="J209" s="346"/>
      <c r="K209" s="346"/>
      <c r="L209" s="139"/>
      <c r="M209" s="139"/>
      <c r="N209" s="139"/>
      <c r="O209" s="139"/>
      <c r="P209" s="139"/>
      <c r="Q209" s="139"/>
      <c r="R209" s="139"/>
      <c r="S209" s="139"/>
      <c r="T209" s="139"/>
      <c r="U209" s="139"/>
      <c r="V209" s="139"/>
      <c r="W209" s="139"/>
      <c r="X209" s="139"/>
      <c r="Y209" s="139"/>
      <c r="Z209" s="139"/>
      <c r="AA209" s="139"/>
    </row>
    <row r="210" spans="1:27" ht="15.75">
      <c r="A210" s="716"/>
      <c r="B210" s="346"/>
      <c r="C210" s="717"/>
      <c r="D210" s="346"/>
      <c r="E210" s="717"/>
      <c r="F210" s="346"/>
      <c r="G210" s="346"/>
      <c r="H210" s="717"/>
      <c r="I210" s="717"/>
      <c r="J210" s="346"/>
      <c r="K210" s="346"/>
      <c r="L210" s="139"/>
      <c r="M210" s="139"/>
      <c r="N210" s="139"/>
      <c r="O210" s="139"/>
      <c r="P210" s="139"/>
      <c r="Q210" s="139"/>
      <c r="R210" s="139"/>
      <c r="S210" s="139"/>
      <c r="T210" s="139"/>
      <c r="U210" s="139"/>
      <c r="V210" s="139"/>
      <c r="W210" s="139"/>
      <c r="X210" s="139"/>
      <c r="Y210" s="139"/>
      <c r="Z210" s="139"/>
      <c r="AA210" s="139"/>
    </row>
    <row r="211" spans="1:27" ht="15.75">
      <c r="A211" s="716"/>
      <c r="B211" s="346"/>
      <c r="C211" s="717"/>
      <c r="D211" s="346"/>
      <c r="E211" s="717"/>
      <c r="F211" s="346"/>
      <c r="G211" s="346"/>
      <c r="H211" s="717"/>
      <c r="I211" s="717"/>
      <c r="J211" s="346"/>
      <c r="K211" s="346"/>
      <c r="L211" s="139"/>
      <c r="M211" s="139"/>
      <c r="N211" s="139"/>
      <c r="O211" s="139"/>
      <c r="P211" s="139"/>
      <c r="Q211" s="139"/>
      <c r="R211" s="139"/>
      <c r="S211" s="139"/>
      <c r="T211" s="139"/>
      <c r="U211" s="139"/>
      <c r="V211" s="139"/>
      <c r="W211" s="139"/>
      <c r="X211" s="139"/>
      <c r="Y211" s="139"/>
      <c r="Z211" s="139"/>
      <c r="AA211" s="139"/>
    </row>
    <row r="212" spans="1:27" ht="15.75">
      <c r="A212" s="716"/>
      <c r="B212" s="346"/>
      <c r="C212" s="717"/>
      <c r="D212" s="346"/>
      <c r="E212" s="717"/>
      <c r="F212" s="346"/>
      <c r="G212" s="346"/>
      <c r="H212" s="717"/>
      <c r="I212" s="717"/>
      <c r="J212" s="346"/>
      <c r="K212" s="346"/>
      <c r="L212" s="139"/>
      <c r="M212" s="139"/>
      <c r="N212" s="139"/>
      <c r="O212" s="139"/>
      <c r="P212" s="139"/>
      <c r="Q212" s="139"/>
      <c r="R212" s="139"/>
      <c r="S212" s="139"/>
      <c r="T212" s="139"/>
      <c r="U212" s="139"/>
      <c r="V212" s="139"/>
      <c r="W212" s="139"/>
      <c r="X212" s="139"/>
      <c r="Y212" s="139"/>
      <c r="Z212" s="139"/>
      <c r="AA212" s="139"/>
    </row>
    <row r="213" spans="1:27" ht="15.75">
      <c r="A213" s="716"/>
      <c r="B213" s="346"/>
      <c r="C213" s="717"/>
      <c r="D213" s="346"/>
      <c r="E213" s="717"/>
      <c r="F213" s="346"/>
      <c r="G213" s="346"/>
      <c r="H213" s="717"/>
      <c r="I213" s="717"/>
      <c r="J213" s="346"/>
      <c r="K213" s="346"/>
      <c r="L213" s="139"/>
      <c r="M213" s="139"/>
      <c r="N213" s="139"/>
      <c r="O213" s="139"/>
      <c r="P213" s="139"/>
      <c r="Q213" s="139"/>
      <c r="R213" s="139"/>
      <c r="S213" s="139"/>
      <c r="T213" s="139"/>
      <c r="U213" s="139"/>
      <c r="V213" s="139"/>
      <c r="W213" s="139"/>
      <c r="X213" s="139"/>
      <c r="Y213" s="139"/>
      <c r="Z213" s="139"/>
      <c r="AA213" s="139"/>
    </row>
    <row r="214" spans="1:27" ht="15.75">
      <c r="A214" s="716"/>
      <c r="B214" s="346"/>
      <c r="C214" s="717"/>
      <c r="D214" s="346"/>
      <c r="E214" s="717"/>
      <c r="F214" s="346"/>
      <c r="G214" s="346"/>
      <c r="H214" s="717"/>
      <c r="I214" s="717"/>
      <c r="J214" s="346"/>
      <c r="K214" s="346"/>
      <c r="L214" s="139"/>
      <c r="M214" s="139"/>
      <c r="N214" s="139"/>
      <c r="O214" s="139"/>
      <c r="P214" s="139"/>
      <c r="Q214" s="139"/>
      <c r="R214" s="139"/>
      <c r="S214" s="139"/>
      <c r="T214" s="139"/>
      <c r="U214" s="139"/>
      <c r="V214" s="139"/>
      <c r="W214" s="139"/>
      <c r="X214" s="139"/>
      <c r="Y214" s="139"/>
      <c r="Z214" s="139"/>
      <c r="AA214" s="139"/>
    </row>
    <row r="215" spans="1:27" ht="15.75">
      <c r="A215" s="139"/>
      <c r="B215" s="139"/>
      <c r="C215" s="139"/>
      <c r="D215" s="139"/>
      <c r="E215" s="139"/>
      <c r="F215" s="139"/>
      <c r="G215" s="139"/>
      <c r="H215" s="139"/>
      <c r="I215" s="139"/>
      <c r="J215" s="139"/>
      <c r="K215" s="139"/>
      <c r="L215" s="139"/>
      <c r="M215" s="139"/>
      <c r="N215" s="139"/>
      <c r="O215" s="139"/>
      <c r="P215" s="139"/>
    </row>
    <row r="216" spans="1:27" ht="15.75">
      <c r="A216" s="139"/>
      <c r="B216" s="139"/>
      <c r="C216" s="139"/>
      <c r="D216" s="139"/>
      <c r="E216" s="139"/>
      <c r="F216" s="139"/>
      <c r="G216" s="139"/>
      <c r="H216" s="139"/>
      <c r="I216" s="139"/>
      <c r="J216" s="139"/>
      <c r="K216" s="139"/>
      <c r="L216" s="139"/>
      <c r="M216" s="139"/>
      <c r="N216" s="139"/>
      <c r="O216" s="139"/>
      <c r="P216" s="139"/>
    </row>
    <row r="217" spans="1:27" ht="15.75">
      <c r="A217" s="139"/>
      <c r="B217" s="139"/>
      <c r="C217" s="139"/>
      <c r="D217" s="139"/>
      <c r="E217" s="139"/>
      <c r="F217" s="139"/>
      <c r="G217" s="139"/>
      <c r="H217" s="139"/>
      <c r="I217" s="139"/>
      <c r="J217" s="139"/>
      <c r="K217" s="139"/>
      <c r="L217" s="139"/>
      <c r="M217" s="139"/>
      <c r="N217" s="139"/>
      <c r="O217" s="139"/>
      <c r="P217" s="139"/>
    </row>
    <row r="218" spans="1:27" ht="15.75">
      <c r="A218" s="139"/>
      <c r="B218" s="139"/>
      <c r="C218" s="139"/>
      <c r="D218" s="139"/>
      <c r="E218" s="139"/>
      <c r="F218" s="139"/>
      <c r="G218" s="139"/>
      <c r="H218" s="139"/>
      <c r="I218" s="139"/>
      <c r="J218" s="139"/>
      <c r="K218" s="139"/>
      <c r="L218" s="139"/>
      <c r="M218" s="139"/>
      <c r="N218" s="139"/>
      <c r="O218" s="139"/>
      <c r="P218" s="139"/>
    </row>
    <row r="219" spans="1:27" ht="15.75">
      <c r="A219" s="139"/>
      <c r="B219" s="139"/>
      <c r="C219" s="139"/>
      <c r="D219" s="139"/>
      <c r="E219" s="139"/>
      <c r="F219" s="139"/>
      <c r="G219" s="139"/>
      <c r="H219" s="139"/>
      <c r="I219" s="139"/>
      <c r="J219" s="139"/>
      <c r="K219" s="139"/>
      <c r="L219" s="139"/>
      <c r="M219" s="139"/>
      <c r="N219" s="139"/>
      <c r="O219" s="139"/>
      <c r="P219" s="139"/>
    </row>
    <row r="220" spans="1:27" ht="15.75">
      <c r="A220" s="139"/>
      <c r="B220" s="139"/>
      <c r="C220" s="139"/>
      <c r="D220" s="139"/>
      <c r="E220" s="139"/>
      <c r="F220" s="139"/>
      <c r="G220" s="139"/>
      <c r="H220" s="139"/>
      <c r="I220" s="139"/>
      <c r="J220" s="139"/>
      <c r="K220" s="139"/>
      <c r="L220" s="139"/>
      <c r="M220" s="139"/>
      <c r="N220" s="139"/>
      <c r="O220" s="139"/>
      <c r="P220" s="139"/>
    </row>
    <row r="221" spans="1:27" ht="15.75">
      <c r="A221" s="139"/>
      <c r="B221" s="139"/>
      <c r="C221" s="139"/>
      <c r="D221" s="139"/>
      <c r="E221" s="139"/>
      <c r="F221" s="139"/>
      <c r="G221" s="139"/>
      <c r="H221" s="139"/>
      <c r="I221" s="139"/>
      <c r="J221" s="139"/>
      <c r="K221" s="139"/>
      <c r="L221" s="139"/>
      <c r="M221" s="139"/>
      <c r="N221" s="139"/>
      <c r="O221" s="139"/>
      <c r="P221" s="139"/>
    </row>
    <row r="222" spans="1:27" ht="15.75">
      <c r="A222" s="139"/>
      <c r="B222" s="139"/>
      <c r="C222" s="139"/>
      <c r="D222" s="139"/>
      <c r="E222" s="139"/>
      <c r="F222" s="139"/>
      <c r="G222" s="139"/>
      <c r="H222" s="139"/>
      <c r="I222" s="139"/>
      <c r="J222" s="139"/>
      <c r="K222" s="139"/>
      <c r="L222" s="139"/>
      <c r="M222" s="139"/>
      <c r="N222" s="139"/>
      <c r="O222" s="139"/>
      <c r="P222" s="139"/>
    </row>
    <row r="223" spans="1:27" ht="15.75">
      <c r="A223" s="139"/>
      <c r="B223" s="139"/>
      <c r="C223" s="139"/>
      <c r="D223" s="139"/>
      <c r="E223" s="139"/>
      <c r="F223" s="139"/>
      <c r="G223" s="139"/>
      <c r="H223" s="139"/>
      <c r="I223" s="139"/>
      <c r="J223" s="139"/>
      <c r="K223" s="139"/>
      <c r="L223" s="139"/>
      <c r="M223" s="139"/>
      <c r="N223" s="139"/>
      <c r="O223" s="139"/>
      <c r="P223" s="139"/>
    </row>
    <row r="224" spans="1:27" ht="15.75">
      <c r="A224" s="139"/>
      <c r="B224" s="139"/>
      <c r="C224" s="139"/>
      <c r="D224" s="139"/>
      <c r="E224" s="139"/>
      <c r="F224" s="139"/>
      <c r="G224" s="139"/>
      <c r="H224" s="139"/>
      <c r="I224" s="139"/>
      <c r="J224" s="139"/>
      <c r="K224" s="139"/>
      <c r="L224" s="139"/>
      <c r="M224" s="139"/>
      <c r="N224" s="139"/>
      <c r="O224" s="139"/>
      <c r="P224" s="139"/>
    </row>
    <row r="225" spans="1:16" ht="15.75">
      <c r="A225" s="139"/>
      <c r="B225" s="139"/>
      <c r="C225" s="139"/>
      <c r="D225" s="139"/>
      <c r="E225" s="139"/>
      <c r="F225" s="139"/>
      <c r="G225" s="139"/>
      <c r="H225" s="139"/>
      <c r="I225" s="139"/>
      <c r="J225" s="139"/>
      <c r="K225" s="139"/>
      <c r="L225" s="139"/>
      <c r="M225" s="139"/>
      <c r="N225" s="139"/>
      <c r="O225" s="139"/>
      <c r="P225" s="139"/>
    </row>
    <row r="226" spans="1:16" ht="15.75">
      <c r="A226" s="139"/>
      <c r="B226" s="139"/>
      <c r="C226" s="139"/>
      <c r="D226" s="139"/>
      <c r="E226" s="139"/>
      <c r="F226" s="139"/>
      <c r="G226" s="139"/>
      <c r="H226" s="139"/>
      <c r="I226" s="139"/>
      <c r="J226" s="139"/>
      <c r="K226" s="139"/>
      <c r="L226" s="139"/>
      <c r="M226" s="139"/>
      <c r="N226" s="139"/>
      <c r="O226" s="139"/>
      <c r="P226" s="139"/>
    </row>
    <row r="227" spans="1:16" ht="15.75">
      <c r="A227" s="139"/>
      <c r="B227" s="139"/>
      <c r="C227" s="139"/>
      <c r="D227" s="139"/>
      <c r="E227" s="139"/>
      <c r="F227" s="139"/>
      <c r="G227" s="139"/>
      <c r="H227" s="139"/>
      <c r="I227" s="139"/>
      <c r="J227" s="139"/>
      <c r="K227" s="139"/>
      <c r="L227" s="139"/>
      <c r="M227" s="139"/>
      <c r="N227" s="139"/>
      <c r="O227" s="139"/>
      <c r="P227" s="139"/>
    </row>
    <row r="228" spans="1:16" ht="15.75">
      <c r="A228" s="139"/>
      <c r="B228" s="139"/>
      <c r="C228" s="139"/>
      <c r="D228" s="139"/>
      <c r="E228" s="139"/>
      <c r="F228" s="139"/>
      <c r="G228" s="139"/>
      <c r="H228" s="139"/>
      <c r="I228" s="139"/>
      <c r="J228" s="139"/>
      <c r="K228" s="139"/>
      <c r="L228" s="139"/>
      <c r="M228" s="139"/>
      <c r="N228" s="139"/>
      <c r="O228" s="139"/>
      <c r="P228" s="139"/>
    </row>
    <row r="229" spans="1:16" ht="15.75">
      <c r="A229" s="139"/>
      <c r="B229" s="139"/>
      <c r="C229" s="139"/>
      <c r="D229" s="139"/>
      <c r="E229" s="139"/>
      <c r="F229" s="139"/>
      <c r="G229" s="139"/>
      <c r="H229" s="139"/>
      <c r="I229" s="139"/>
      <c r="J229" s="139"/>
      <c r="K229" s="139"/>
      <c r="L229" s="139"/>
      <c r="M229" s="139"/>
      <c r="N229" s="139"/>
      <c r="O229" s="139"/>
      <c r="P229" s="139"/>
    </row>
    <row r="230" spans="1:16" ht="15.75">
      <c r="A230" s="139"/>
      <c r="B230" s="139"/>
      <c r="C230" s="139"/>
      <c r="D230" s="139"/>
      <c r="E230" s="139"/>
      <c r="F230" s="139"/>
      <c r="G230" s="139"/>
      <c r="H230" s="139"/>
      <c r="I230" s="139"/>
      <c r="J230" s="139"/>
      <c r="K230" s="139"/>
      <c r="L230" s="139"/>
      <c r="M230" s="139"/>
      <c r="N230" s="139"/>
      <c r="O230" s="139"/>
      <c r="P230" s="139"/>
    </row>
    <row r="231" spans="1:16" ht="15.75">
      <c r="A231" s="139"/>
      <c r="B231" s="139"/>
      <c r="C231" s="139"/>
      <c r="D231" s="139"/>
      <c r="E231" s="139"/>
      <c r="F231" s="139"/>
      <c r="G231" s="139"/>
      <c r="H231" s="139"/>
      <c r="I231" s="139"/>
      <c r="J231" s="139"/>
      <c r="K231" s="139"/>
      <c r="L231" s="139"/>
      <c r="M231" s="139"/>
      <c r="N231" s="139"/>
      <c r="O231" s="139"/>
      <c r="P231" s="139"/>
    </row>
    <row r="232" spans="1:16" ht="15.75">
      <c r="A232" s="139"/>
      <c r="B232" s="139"/>
      <c r="C232" s="139"/>
      <c r="D232" s="139"/>
      <c r="E232" s="139"/>
      <c r="F232" s="139"/>
      <c r="G232" s="139"/>
      <c r="H232" s="139"/>
      <c r="I232" s="139"/>
      <c r="J232" s="139"/>
      <c r="K232" s="139"/>
      <c r="L232" s="139"/>
      <c r="M232" s="139"/>
      <c r="N232" s="139"/>
      <c r="O232" s="139"/>
      <c r="P232" s="139"/>
    </row>
    <row r="233" spans="1:16" ht="15.75">
      <c r="A233" s="139"/>
      <c r="B233" s="139"/>
      <c r="C233" s="139"/>
      <c r="D233" s="139"/>
      <c r="E233" s="139"/>
      <c r="F233" s="139"/>
      <c r="G233" s="139"/>
      <c r="H233" s="139"/>
      <c r="I233" s="139"/>
      <c r="J233" s="139"/>
      <c r="K233" s="139"/>
      <c r="L233" s="139"/>
      <c r="M233" s="139"/>
      <c r="N233" s="139"/>
      <c r="O233" s="139"/>
      <c r="P233" s="139"/>
    </row>
    <row r="234" spans="1:16" ht="15.75">
      <c r="A234" s="139"/>
      <c r="B234" s="139"/>
      <c r="C234" s="139"/>
      <c r="D234" s="139"/>
      <c r="E234" s="139"/>
      <c r="F234" s="139"/>
      <c r="G234" s="139"/>
      <c r="H234" s="139"/>
      <c r="I234" s="139"/>
      <c r="J234" s="139"/>
      <c r="K234" s="139"/>
      <c r="L234" s="139"/>
      <c r="M234" s="139"/>
      <c r="N234" s="139"/>
      <c r="O234" s="139"/>
      <c r="P234" s="139"/>
    </row>
    <row r="235" spans="1:16" ht="15.75">
      <c r="A235" s="139"/>
      <c r="B235" s="139"/>
      <c r="C235" s="139"/>
      <c r="D235" s="139"/>
      <c r="E235" s="139"/>
      <c r="F235" s="139"/>
      <c r="G235" s="139"/>
      <c r="H235" s="139"/>
      <c r="I235" s="139"/>
      <c r="J235" s="139"/>
      <c r="K235" s="139"/>
      <c r="L235" s="139"/>
      <c r="M235" s="139"/>
      <c r="N235" s="139"/>
      <c r="O235" s="139"/>
      <c r="P235" s="139"/>
    </row>
    <row r="236" spans="1:16" ht="15.75">
      <c r="A236" s="139"/>
      <c r="B236" s="139"/>
      <c r="C236" s="139"/>
      <c r="D236" s="139"/>
      <c r="E236" s="139"/>
      <c r="F236" s="139"/>
      <c r="G236" s="139"/>
      <c r="H236" s="139"/>
      <c r="I236" s="139"/>
      <c r="J236" s="139"/>
      <c r="K236" s="139"/>
      <c r="L236" s="139"/>
      <c r="M236" s="139"/>
      <c r="N236" s="139"/>
      <c r="O236" s="139"/>
      <c r="P236" s="139"/>
    </row>
    <row r="237" spans="1:16" ht="15.75">
      <c r="A237" s="139"/>
      <c r="B237" s="139"/>
      <c r="C237" s="139"/>
      <c r="D237" s="139"/>
      <c r="E237" s="139"/>
      <c r="F237" s="139"/>
      <c r="G237" s="139"/>
      <c r="H237" s="139"/>
      <c r="I237" s="139"/>
      <c r="J237" s="139"/>
      <c r="K237" s="139"/>
      <c r="L237" s="139"/>
      <c r="M237" s="139"/>
      <c r="N237" s="139"/>
      <c r="O237" s="139"/>
      <c r="P237" s="139"/>
    </row>
    <row r="238" spans="1:16" ht="15.75">
      <c r="A238" s="139"/>
      <c r="B238" s="139"/>
      <c r="C238" s="139"/>
      <c r="D238" s="139"/>
      <c r="E238" s="139"/>
      <c r="F238" s="139"/>
      <c r="G238" s="139"/>
      <c r="H238" s="139"/>
      <c r="I238" s="139"/>
      <c r="J238" s="139"/>
      <c r="K238" s="139"/>
      <c r="L238" s="139"/>
      <c r="M238" s="139"/>
      <c r="N238" s="139"/>
      <c r="O238" s="139"/>
      <c r="P238" s="139"/>
    </row>
    <row r="239" spans="1:16" ht="15.75">
      <c r="A239" s="139"/>
      <c r="B239" s="139"/>
      <c r="C239" s="139"/>
      <c r="D239" s="139"/>
      <c r="E239" s="139"/>
      <c r="F239" s="139"/>
      <c r="G239" s="139"/>
      <c r="H239" s="139"/>
      <c r="I239" s="139"/>
      <c r="J239" s="139"/>
      <c r="K239" s="139"/>
      <c r="L239" s="139"/>
      <c r="M239" s="139"/>
      <c r="N239" s="139"/>
      <c r="O239" s="139"/>
      <c r="P239" s="139"/>
    </row>
    <row r="240" spans="1:16" ht="15.75">
      <c r="A240" s="139"/>
      <c r="B240" s="139"/>
      <c r="C240" s="139"/>
      <c r="D240" s="139"/>
      <c r="E240" s="139"/>
      <c r="F240" s="139"/>
      <c r="G240" s="139"/>
      <c r="H240" s="139"/>
      <c r="I240" s="139"/>
      <c r="J240" s="139"/>
      <c r="K240" s="139"/>
      <c r="L240" s="139"/>
      <c r="M240" s="139"/>
      <c r="N240" s="139"/>
      <c r="O240" s="139"/>
      <c r="P240" s="139"/>
    </row>
    <row r="241" spans="1:16" ht="15.75">
      <c r="A241" s="139"/>
      <c r="B241" s="139"/>
      <c r="C241" s="139"/>
      <c r="D241" s="139"/>
      <c r="E241" s="139"/>
      <c r="F241" s="139"/>
      <c r="G241" s="139"/>
      <c r="H241" s="139"/>
      <c r="I241" s="139"/>
      <c r="J241" s="139"/>
      <c r="K241" s="139"/>
      <c r="L241" s="139"/>
      <c r="M241" s="139"/>
      <c r="N241" s="139"/>
      <c r="O241" s="139"/>
      <c r="P241" s="139"/>
    </row>
    <row r="242" spans="1:16" ht="15.75">
      <c r="A242" s="139"/>
      <c r="B242" s="139"/>
      <c r="C242" s="139"/>
      <c r="D242" s="139"/>
      <c r="E242" s="139"/>
      <c r="F242" s="139"/>
      <c r="G242" s="139"/>
      <c r="H242" s="139"/>
      <c r="I242" s="139"/>
      <c r="J242" s="139"/>
      <c r="K242" s="139"/>
      <c r="L242" s="139"/>
      <c r="M242" s="139"/>
      <c r="N242" s="139"/>
      <c r="O242" s="139"/>
      <c r="P242" s="139"/>
    </row>
    <row r="243" spans="1:16" ht="15.75">
      <c r="A243" s="139"/>
      <c r="B243" s="139"/>
      <c r="C243" s="139"/>
      <c r="D243" s="139"/>
      <c r="E243" s="139"/>
      <c r="F243" s="139"/>
      <c r="G243" s="139"/>
      <c r="H243" s="139"/>
      <c r="I243" s="139"/>
      <c r="J243" s="139"/>
      <c r="K243" s="139"/>
      <c r="L243" s="139"/>
      <c r="M243" s="139"/>
      <c r="N243" s="139"/>
      <c r="O243" s="139"/>
      <c r="P243" s="139"/>
    </row>
    <row r="244" spans="1:16" ht="15.75">
      <c r="A244" s="139"/>
      <c r="B244" s="139"/>
      <c r="C244" s="139"/>
      <c r="D244" s="139"/>
      <c r="E244" s="139"/>
      <c r="F244" s="139"/>
      <c r="G244" s="139"/>
      <c r="H244" s="139"/>
      <c r="I244" s="139"/>
      <c r="J244" s="139"/>
      <c r="K244" s="139"/>
      <c r="L244" s="139"/>
      <c r="M244" s="139"/>
      <c r="N244" s="139"/>
      <c r="O244" s="139"/>
      <c r="P244" s="139"/>
    </row>
    <row r="245" spans="1:16" ht="15.75">
      <c r="A245" s="139"/>
      <c r="B245" s="139"/>
      <c r="C245" s="139"/>
      <c r="D245" s="139"/>
      <c r="E245" s="139"/>
      <c r="F245" s="139"/>
      <c r="G245" s="139"/>
      <c r="H245" s="139"/>
      <c r="I245" s="139"/>
      <c r="J245" s="139"/>
      <c r="K245" s="139"/>
      <c r="L245" s="139"/>
      <c r="M245" s="139"/>
      <c r="N245" s="139"/>
      <c r="O245" s="139"/>
      <c r="P245" s="139"/>
    </row>
    <row r="246" spans="1:16" ht="15.75">
      <c r="A246" s="139"/>
      <c r="B246" s="139"/>
      <c r="C246" s="139"/>
      <c r="D246" s="139"/>
      <c r="E246" s="139"/>
      <c r="F246" s="139"/>
      <c r="G246" s="139"/>
      <c r="H246" s="139"/>
      <c r="I246" s="139"/>
      <c r="J246" s="139"/>
      <c r="K246" s="139"/>
      <c r="L246" s="139"/>
      <c r="M246" s="139"/>
      <c r="N246" s="139"/>
      <c r="O246" s="139"/>
      <c r="P246" s="139"/>
    </row>
    <row r="247" spans="1:16" ht="15.75">
      <c r="A247" s="139"/>
      <c r="B247" s="139"/>
      <c r="C247" s="139"/>
      <c r="D247" s="139"/>
      <c r="E247" s="139"/>
      <c r="F247" s="139"/>
      <c r="G247" s="139"/>
      <c r="H247" s="139"/>
      <c r="I247" s="139"/>
      <c r="J247" s="139"/>
      <c r="K247" s="139"/>
      <c r="L247" s="139"/>
      <c r="M247" s="139"/>
      <c r="N247" s="139"/>
      <c r="O247" s="139"/>
      <c r="P247" s="139"/>
    </row>
    <row r="248" spans="1:16" ht="15.75">
      <c r="A248" s="139"/>
      <c r="B248" s="139"/>
      <c r="C248" s="139"/>
      <c r="D248" s="139"/>
      <c r="E248" s="139"/>
      <c r="F248" s="139"/>
      <c r="G248" s="139"/>
      <c r="H248" s="139"/>
      <c r="I248" s="139"/>
      <c r="J248" s="139"/>
      <c r="K248" s="139"/>
      <c r="L248" s="139"/>
      <c r="M248" s="139"/>
      <c r="N248" s="139"/>
      <c r="O248" s="139"/>
      <c r="P248" s="139"/>
    </row>
    <row r="249" spans="1:16" ht="15.75">
      <c r="A249" s="139"/>
      <c r="B249" s="139"/>
      <c r="C249" s="139"/>
      <c r="D249" s="139"/>
      <c r="E249" s="139"/>
      <c r="F249" s="139"/>
      <c r="G249" s="139"/>
      <c r="H249" s="139"/>
      <c r="I249" s="139"/>
      <c r="J249" s="139"/>
      <c r="K249" s="139"/>
      <c r="L249" s="139"/>
      <c r="M249" s="139"/>
      <c r="N249" s="139"/>
      <c r="O249" s="139"/>
      <c r="P249" s="139"/>
    </row>
    <row r="250" spans="1:16" ht="15.75">
      <c r="A250" s="139"/>
      <c r="B250" s="139"/>
      <c r="C250" s="139"/>
      <c r="D250" s="139"/>
      <c r="E250" s="139"/>
      <c r="F250" s="139"/>
      <c r="G250" s="139"/>
      <c r="H250" s="139"/>
      <c r="I250" s="139"/>
      <c r="J250" s="139"/>
      <c r="K250" s="139"/>
      <c r="L250" s="139"/>
      <c r="M250" s="139"/>
      <c r="N250" s="139"/>
      <c r="O250" s="139"/>
      <c r="P250" s="139"/>
    </row>
    <row r="251" spans="1:16" ht="15.75">
      <c r="A251" s="139"/>
      <c r="B251" s="139"/>
      <c r="C251" s="139"/>
      <c r="D251" s="139"/>
      <c r="E251" s="139"/>
      <c r="F251" s="139"/>
      <c r="G251" s="139"/>
      <c r="H251" s="139"/>
      <c r="I251" s="139"/>
      <c r="J251" s="139"/>
      <c r="K251" s="139"/>
      <c r="L251" s="139"/>
      <c r="M251" s="139"/>
      <c r="N251" s="139"/>
      <c r="O251" s="139"/>
      <c r="P251" s="139"/>
    </row>
    <row r="252" spans="1:16" ht="15.75">
      <c r="A252" s="139"/>
      <c r="B252" s="139"/>
      <c r="C252" s="139"/>
      <c r="D252" s="139"/>
      <c r="E252" s="139"/>
      <c r="F252" s="139"/>
      <c r="G252" s="139"/>
      <c r="H252" s="139"/>
      <c r="I252" s="139"/>
      <c r="J252" s="139"/>
      <c r="K252" s="139"/>
      <c r="L252" s="139"/>
      <c r="M252" s="139"/>
      <c r="N252" s="139"/>
      <c r="O252" s="139"/>
      <c r="P252" s="139"/>
    </row>
    <row r="253" spans="1:16" ht="15.75">
      <c r="A253" s="139"/>
      <c r="B253" s="139"/>
      <c r="C253" s="139"/>
      <c r="D253" s="139"/>
      <c r="E253" s="139"/>
      <c r="F253" s="139"/>
      <c r="G253" s="139"/>
      <c r="H253" s="139"/>
      <c r="I253" s="139"/>
      <c r="J253" s="139"/>
      <c r="K253" s="139"/>
      <c r="L253" s="139"/>
      <c r="M253" s="139"/>
      <c r="N253" s="139"/>
      <c r="O253" s="139"/>
      <c r="P253" s="139"/>
    </row>
    <row r="254" spans="1:16" ht="15.75">
      <c r="A254" s="139"/>
      <c r="B254" s="139"/>
      <c r="C254" s="139"/>
      <c r="D254" s="139"/>
      <c r="E254" s="139"/>
      <c r="F254" s="139"/>
      <c r="G254" s="139"/>
      <c r="H254" s="139"/>
      <c r="I254" s="139"/>
      <c r="J254" s="139"/>
      <c r="K254" s="139"/>
      <c r="L254" s="139"/>
      <c r="M254" s="139"/>
      <c r="N254" s="139"/>
      <c r="O254" s="139"/>
      <c r="P254" s="139"/>
    </row>
    <row r="255" spans="1:16" ht="15.75">
      <c r="A255" s="139"/>
      <c r="B255" s="139"/>
      <c r="C255" s="139"/>
      <c r="D255" s="139"/>
      <c r="E255" s="139"/>
      <c r="F255" s="139"/>
      <c r="G255" s="139"/>
      <c r="H255" s="139"/>
      <c r="I255" s="139"/>
      <c r="J255" s="139"/>
      <c r="K255" s="139"/>
      <c r="L255" s="139"/>
      <c r="M255" s="139"/>
      <c r="N255" s="139"/>
      <c r="O255" s="139"/>
      <c r="P255" s="139"/>
    </row>
    <row r="256" spans="1:16" ht="15.75">
      <c r="A256" s="139"/>
      <c r="B256" s="139"/>
      <c r="C256" s="139"/>
      <c r="D256" s="139"/>
      <c r="E256" s="139"/>
      <c r="F256" s="139"/>
      <c r="G256" s="139"/>
      <c r="H256" s="139"/>
      <c r="I256" s="139"/>
      <c r="J256" s="139"/>
      <c r="K256" s="139"/>
      <c r="L256" s="139"/>
      <c r="M256" s="139"/>
      <c r="N256" s="139"/>
      <c r="O256" s="139"/>
      <c r="P256" s="139"/>
    </row>
    <row r="257" spans="1:16" ht="15.75">
      <c r="A257" s="139"/>
      <c r="B257" s="139"/>
      <c r="C257" s="139"/>
      <c r="D257" s="139"/>
      <c r="E257" s="139"/>
      <c r="F257" s="139"/>
      <c r="G257" s="139"/>
      <c r="H257" s="139"/>
      <c r="I257" s="139"/>
      <c r="J257" s="139"/>
      <c r="K257" s="139"/>
      <c r="L257" s="139"/>
      <c r="M257" s="139"/>
      <c r="N257" s="139"/>
      <c r="O257" s="139"/>
      <c r="P257" s="139"/>
    </row>
    <row r="258" spans="1:16" ht="15.75">
      <c r="A258" s="139"/>
      <c r="B258" s="139"/>
      <c r="C258" s="139"/>
      <c r="D258" s="139"/>
      <c r="E258" s="139"/>
      <c r="F258" s="139"/>
      <c r="G258" s="139"/>
      <c r="H258" s="139"/>
      <c r="I258" s="139"/>
      <c r="J258" s="139"/>
      <c r="K258" s="139"/>
      <c r="L258" s="139"/>
      <c r="M258" s="139"/>
      <c r="N258" s="139"/>
      <c r="O258" s="139"/>
      <c r="P258" s="139"/>
    </row>
    <row r="259" spans="1:16" ht="15.75">
      <c r="A259" s="139"/>
      <c r="B259" s="139"/>
      <c r="C259" s="139"/>
      <c r="D259" s="139"/>
      <c r="E259" s="139"/>
      <c r="F259" s="139"/>
      <c r="G259" s="139"/>
      <c r="H259" s="139"/>
      <c r="I259" s="139"/>
      <c r="J259" s="139"/>
      <c r="K259" s="139"/>
      <c r="L259" s="139"/>
      <c r="M259" s="139"/>
      <c r="N259" s="139"/>
      <c r="O259" s="139"/>
      <c r="P259" s="139"/>
    </row>
    <row r="260" spans="1:16" ht="15.75">
      <c r="A260" s="139"/>
      <c r="B260" s="139"/>
      <c r="C260" s="139"/>
      <c r="D260" s="139"/>
      <c r="E260" s="139"/>
      <c r="F260" s="139"/>
      <c r="G260" s="139"/>
      <c r="H260" s="139"/>
      <c r="I260" s="139"/>
      <c r="J260" s="139"/>
      <c r="K260" s="139"/>
      <c r="L260" s="139"/>
      <c r="M260" s="139"/>
      <c r="N260" s="139"/>
      <c r="O260" s="139"/>
      <c r="P260" s="139"/>
    </row>
    <row r="261" spans="1:16" ht="15.75">
      <c r="A261" s="139"/>
      <c r="B261" s="139"/>
      <c r="C261" s="139"/>
      <c r="D261" s="139"/>
      <c r="E261" s="139"/>
      <c r="F261" s="139"/>
      <c r="G261" s="139"/>
      <c r="H261" s="139"/>
      <c r="I261" s="139"/>
      <c r="J261" s="139"/>
      <c r="K261" s="139"/>
      <c r="L261" s="139"/>
      <c r="M261" s="139"/>
      <c r="N261" s="139"/>
      <c r="O261" s="139"/>
      <c r="P261" s="139"/>
    </row>
    <row r="262" spans="1:16" ht="15.75">
      <c r="A262" s="139"/>
      <c r="B262" s="139"/>
      <c r="C262" s="139"/>
      <c r="D262" s="139"/>
      <c r="E262" s="139"/>
      <c r="F262" s="139"/>
      <c r="G262" s="139"/>
      <c r="H262" s="139"/>
      <c r="I262" s="139"/>
      <c r="J262" s="139"/>
      <c r="K262" s="139"/>
      <c r="L262" s="139"/>
      <c r="M262" s="139"/>
      <c r="N262" s="139"/>
      <c r="O262" s="139"/>
      <c r="P262" s="139"/>
    </row>
    <row r="263" spans="1:16" ht="15.75">
      <c r="A263" s="139"/>
      <c r="B263" s="139"/>
      <c r="C263" s="139"/>
      <c r="D263" s="139"/>
      <c r="E263" s="139"/>
      <c r="F263" s="139"/>
      <c r="G263" s="139"/>
      <c r="H263" s="139"/>
      <c r="I263" s="139"/>
      <c r="J263" s="139"/>
      <c r="K263" s="139"/>
      <c r="L263" s="139"/>
      <c r="M263" s="139"/>
      <c r="N263" s="139"/>
      <c r="O263" s="139"/>
      <c r="P263" s="139"/>
    </row>
    <row r="264" spans="1:16" ht="15.75">
      <c r="A264" s="139"/>
      <c r="B264" s="139"/>
      <c r="C264" s="139"/>
      <c r="D264" s="139"/>
      <c r="E264" s="139"/>
      <c r="F264" s="139"/>
      <c r="G264" s="139"/>
      <c r="H264" s="139"/>
      <c r="I264" s="139"/>
      <c r="J264" s="139"/>
      <c r="K264" s="139"/>
      <c r="L264" s="139"/>
      <c r="M264" s="139"/>
      <c r="N264" s="139"/>
      <c r="O264" s="139"/>
      <c r="P264" s="139"/>
    </row>
    <row r="265" spans="1:16" ht="15.75">
      <c r="A265" s="139"/>
      <c r="B265" s="139"/>
      <c r="C265" s="139"/>
      <c r="D265" s="139"/>
      <c r="E265" s="139"/>
      <c r="F265" s="139"/>
      <c r="G265" s="139"/>
      <c r="H265" s="139"/>
      <c r="I265" s="139"/>
      <c r="J265" s="139"/>
      <c r="K265" s="139"/>
      <c r="L265" s="139"/>
      <c r="M265" s="139"/>
      <c r="N265" s="139"/>
      <c r="O265" s="139"/>
      <c r="P265" s="139"/>
    </row>
    <row r="266" spans="1:16" ht="15.75">
      <c r="A266" s="139"/>
      <c r="B266" s="139"/>
      <c r="C266" s="139"/>
      <c r="D266" s="139"/>
      <c r="E266" s="139"/>
      <c r="F266" s="139"/>
      <c r="G266" s="139"/>
      <c r="H266" s="139"/>
      <c r="I266" s="139"/>
      <c r="J266" s="139"/>
      <c r="K266" s="139"/>
      <c r="L266" s="139"/>
      <c r="M266" s="139"/>
      <c r="N266" s="139"/>
      <c r="O266" s="139"/>
      <c r="P266" s="139"/>
    </row>
    <row r="267" spans="1:16" ht="15.75">
      <c r="A267" s="139"/>
      <c r="B267" s="139"/>
      <c r="C267" s="139"/>
      <c r="D267" s="139"/>
      <c r="E267" s="139"/>
      <c r="F267" s="139"/>
      <c r="G267" s="139"/>
      <c r="H267" s="139"/>
      <c r="I267" s="139"/>
      <c r="J267" s="139"/>
      <c r="K267" s="139"/>
      <c r="L267" s="139"/>
      <c r="M267" s="139"/>
      <c r="N267" s="139"/>
      <c r="O267" s="139"/>
      <c r="P267" s="139"/>
    </row>
    <row r="268" spans="1:16" ht="15.75">
      <c r="A268" s="139"/>
      <c r="B268" s="139"/>
      <c r="C268" s="139"/>
      <c r="D268" s="139"/>
      <c r="E268" s="139"/>
      <c r="F268" s="139"/>
      <c r="G268" s="139"/>
      <c r="H268" s="139"/>
      <c r="I268" s="139"/>
      <c r="J268" s="139"/>
      <c r="K268" s="139"/>
      <c r="L268" s="139"/>
      <c r="M268" s="139"/>
      <c r="N268" s="139"/>
      <c r="O268" s="139"/>
      <c r="P268" s="139"/>
    </row>
    <row r="269" spans="1:16" ht="15.75">
      <c r="A269" s="139"/>
      <c r="B269" s="139"/>
      <c r="C269" s="139"/>
      <c r="D269" s="139"/>
      <c r="E269" s="139"/>
      <c r="F269" s="139"/>
      <c r="G269" s="139"/>
      <c r="H269" s="139"/>
      <c r="I269" s="139"/>
      <c r="J269" s="139"/>
      <c r="K269" s="139"/>
      <c r="L269" s="139"/>
      <c r="M269" s="139"/>
      <c r="N269" s="139"/>
      <c r="O269" s="139"/>
      <c r="P269" s="139"/>
    </row>
    <row r="270" spans="1:16" ht="15.75">
      <c r="A270" s="139"/>
      <c r="B270" s="139"/>
      <c r="C270" s="139"/>
      <c r="D270" s="139"/>
      <c r="E270" s="139"/>
      <c r="F270" s="139"/>
      <c r="G270" s="139"/>
      <c r="H270" s="139"/>
      <c r="I270" s="139"/>
      <c r="J270" s="139"/>
      <c r="K270" s="139"/>
      <c r="L270" s="139"/>
      <c r="M270" s="139"/>
      <c r="N270" s="139"/>
      <c r="O270" s="139"/>
      <c r="P270" s="139"/>
    </row>
    <row r="271" spans="1:16" ht="15.75">
      <c r="A271" s="139"/>
      <c r="B271" s="139"/>
      <c r="C271" s="139"/>
      <c r="D271" s="139"/>
      <c r="E271" s="139"/>
      <c r="F271" s="139"/>
      <c r="G271" s="139"/>
      <c r="H271" s="139"/>
      <c r="I271" s="139"/>
      <c r="J271" s="139"/>
      <c r="K271" s="139"/>
      <c r="L271" s="139"/>
      <c r="M271" s="139"/>
      <c r="N271" s="139"/>
      <c r="O271" s="139"/>
      <c r="P271" s="139"/>
    </row>
    <row r="272" spans="1:16" ht="15.75">
      <c r="A272" s="139"/>
      <c r="B272" s="139"/>
      <c r="C272" s="139"/>
      <c r="D272" s="139"/>
      <c r="E272" s="139"/>
      <c r="F272" s="139"/>
      <c r="G272" s="139"/>
      <c r="H272" s="139"/>
      <c r="I272" s="139"/>
      <c r="J272" s="139"/>
      <c r="K272" s="139"/>
      <c r="L272" s="139"/>
      <c r="M272" s="139"/>
      <c r="N272" s="139"/>
      <c r="O272" s="139"/>
      <c r="P272" s="139"/>
    </row>
    <row r="273" spans="1:27" ht="15.75">
      <c r="A273" s="139"/>
      <c r="B273" s="139"/>
      <c r="C273" s="139"/>
      <c r="D273" s="139"/>
      <c r="E273" s="139"/>
      <c r="F273" s="139"/>
      <c r="G273" s="139"/>
      <c r="H273" s="139"/>
      <c r="I273" s="139"/>
      <c r="J273" s="139"/>
      <c r="K273" s="139"/>
      <c r="L273" s="139"/>
      <c r="M273" s="139"/>
      <c r="N273" s="139"/>
      <c r="O273" s="139"/>
      <c r="P273" s="139"/>
    </row>
    <row r="274" spans="1:27" ht="15.75">
      <c r="A274" s="139"/>
      <c r="B274" s="139"/>
      <c r="C274" s="139"/>
      <c r="D274" s="139"/>
      <c r="E274" s="139"/>
      <c r="F274" s="139"/>
      <c r="G274" s="139"/>
      <c r="H274" s="139"/>
      <c r="I274" s="139"/>
      <c r="J274" s="139"/>
      <c r="K274" s="139"/>
      <c r="L274" s="139"/>
      <c r="M274" s="139"/>
      <c r="N274" s="139"/>
      <c r="O274" s="139"/>
      <c r="P274" s="139"/>
    </row>
    <row r="275" spans="1:27" ht="15.75">
      <c r="A275" s="139"/>
      <c r="B275" s="139"/>
      <c r="C275" s="680"/>
      <c r="D275" s="139"/>
      <c r="E275" s="680"/>
      <c r="F275" s="139"/>
      <c r="G275" s="139"/>
      <c r="H275" s="680"/>
      <c r="I275" s="680"/>
      <c r="J275" s="139"/>
      <c r="K275" s="139"/>
      <c r="L275" s="139"/>
      <c r="M275" s="139"/>
      <c r="N275" s="139"/>
      <c r="O275" s="139"/>
      <c r="P275" s="139"/>
      <c r="Q275" s="139"/>
      <c r="R275" s="139"/>
      <c r="S275" s="139"/>
      <c r="T275" s="139"/>
      <c r="U275" s="139"/>
      <c r="V275" s="139"/>
      <c r="W275" s="139"/>
      <c r="X275" s="139"/>
      <c r="Y275" s="139"/>
      <c r="Z275" s="139"/>
      <c r="AA275" s="139"/>
    </row>
    <row r="276" spans="1:27" ht="15.75">
      <c r="A276" s="139"/>
      <c r="B276" s="139"/>
      <c r="C276" s="680"/>
      <c r="D276" s="139"/>
      <c r="E276" s="680"/>
      <c r="F276" s="139"/>
      <c r="G276" s="139"/>
      <c r="H276" s="680"/>
      <c r="I276" s="680"/>
      <c r="J276" s="139"/>
      <c r="K276" s="139"/>
      <c r="L276" s="139"/>
      <c r="M276" s="139"/>
      <c r="N276" s="139"/>
      <c r="O276" s="139"/>
      <c r="P276" s="139"/>
      <c r="Q276" s="139"/>
      <c r="R276" s="139"/>
      <c r="S276" s="139"/>
      <c r="T276" s="139"/>
      <c r="U276" s="139"/>
      <c r="V276" s="139"/>
      <c r="W276" s="139"/>
      <c r="X276" s="139"/>
      <c r="Y276" s="139"/>
      <c r="Z276" s="139"/>
      <c r="AA276" s="139"/>
    </row>
    <row r="277" spans="1:27" ht="15.75">
      <c r="A277" s="139"/>
      <c r="B277" s="139"/>
      <c r="C277" s="680"/>
      <c r="D277" s="139"/>
      <c r="E277" s="680"/>
      <c r="F277" s="139"/>
      <c r="G277" s="139"/>
      <c r="H277" s="680"/>
      <c r="I277" s="680"/>
      <c r="J277" s="139"/>
      <c r="K277" s="139"/>
      <c r="L277" s="139"/>
      <c r="M277" s="139"/>
      <c r="N277" s="139"/>
      <c r="O277" s="139"/>
      <c r="P277" s="139"/>
      <c r="Q277" s="139"/>
      <c r="R277" s="139"/>
      <c r="S277" s="139"/>
      <c r="T277" s="139"/>
      <c r="U277" s="139"/>
      <c r="V277" s="139"/>
      <c r="W277" s="139"/>
      <c r="X277" s="139"/>
      <c r="Y277" s="139"/>
      <c r="Z277" s="139"/>
      <c r="AA277" s="139"/>
    </row>
    <row r="278" spans="1:27" ht="15.75">
      <c r="A278" s="139"/>
      <c r="B278" s="139"/>
      <c r="C278" s="680"/>
      <c r="D278" s="139"/>
      <c r="E278" s="680"/>
      <c r="F278" s="139"/>
      <c r="G278" s="139"/>
      <c r="H278" s="680"/>
      <c r="I278" s="680"/>
      <c r="J278" s="139"/>
      <c r="K278" s="139"/>
      <c r="L278" s="139"/>
      <c r="M278" s="139"/>
      <c r="N278" s="139"/>
      <c r="O278" s="139"/>
      <c r="P278" s="139"/>
      <c r="Q278" s="139"/>
      <c r="R278" s="139"/>
      <c r="S278" s="139"/>
      <c r="T278" s="139"/>
      <c r="U278" s="139"/>
      <c r="V278" s="139"/>
      <c r="W278" s="139"/>
      <c r="X278" s="139"/>
      <c r="Y278" s="139"/>
      <c r="Z278" s="139"/>
      <c r="AA278" s="139"/>
    </row>
    <row r="279" spans="1:27" ht="15.75">
      <c r="A279" s="139"/>
      <c r="B279" s="139"/>
      <c r="C279" s="680"/>
      <c r="D279" s="139"/>
      <c r="E279" s="680"/>
      <c r="F279" s="139"/>
      <c r="G279" s="139"/>
      <c r="H279" s="680"/>
      <c r="I279" s="680"/>
      <c r="J279" s="139"/>
      <c r="K279" s="139"/>
      <c r="L279" s="139"/>
      <c r="M279" s="139"/>
      <c r="N279" s="139"/>
      <c r="O279" s="139"/>
      <c r="P279" s="139"/>
      <c r="Q279" s="139"/>
      <c r="R279" s="139"/>
      <c r="S279" s="139"/>
      <c r="T279" s="139"/>
      <c r="U279" s="139"/>
      <c r="V279" s="139"/>
      <c r="W279" s="139"/>
      <c r="X279" s="139"/>
      <c r="Y279" s="139"/>
      <c r="Z279" s="139"/>
      <c r="AA279" s="139"/>
    </row>
    <row r="280" spans="1:27" ht="15.75">
      <c r="A280" s="139"/>
      <c r="B280" s="139"/>
      <c r="C280" s="680"/>
      <c r="D280" s="139"/>
      <c r="E280" s="680"/>
      <c r="F280" s="139"/>
      <c r="G280" s="139"/>
      <c r="H280" s="680"/>
      <c r="I280" s="680"/>
      <c r="J280" s="139"/>
      <c r="K280" s="139"/>
      <c r="L280" s="139"/>
      <c r="M280" s="139"/>
      <c r="N280" s="139"/>
      <c r="O280" s="139"/>
      <c r="P280" s="139"/>
      <c r="Q280" s="139"/>
      <c r="R280" s="139"/>
      <c r="S280" s="139"/>
      <c r="T280" s="139"/>
      <c r="U280" s="139"/>
      <c r="V280" s="139"/>
      <c r="W280" s="139"/>
      <c r="X280" s="139"/>
      <c r="Y280" s="139"/>
      <c r="Z280" s="139"/>
      <c r="AA280" s="139"/>
    </row>
    <row r="281" spans="1:27" ht="15.75">
      <c r="A281" s="139"/>
      <c r="B281" s="139"/>
      <c r="C281" s="680"/>
      <c r="D281" s="139"/>
      <c r="E281" s="680"/>
      <c r="F281" s="139"/>
      <c r="G281" s="139"/>
      <c r="H281" s="680"/>
      <c r="I281" s="680"/>
      <c r="J281" s="139"/>
      <c r="K281" s="139"/>
      <c r="L281" s="139"/>
      <c r="M281" s="139"/>
      <c r="N281" s="139"/>
      <c r="O281" s="139"/>
      <c r="P281" s="139"/>
      <c r="Q281" s="139"/>
      <c r="R281" s="139"/>
      <c r="S281" s="139"/>
      <c r="T281" s="139"/>
      <c r="U281" s="139"/>
      <c r="V281" s="139"/>
      <c r="W281" s="139"/>
      <c r="X281" s="139"/>
      <c r="Y281" s="139"/>
      <c r="Z281" s="139"/>
      <c r="AA281" s="139"/>
    </row>
    <row r="282" spans="1:27" ht="15.75">
      <c r="A282" s="139"/>
      <c r="B282" s="139"/>
      <c r="C282" s="680"/>
      <c r="D282" s="139"/>
      <c r="E282" s="680"/>
      <c r="F282" s="139"/>
      <c r="G282" s="139"/>
      <c r="H282" s="680"/>
      <c r="I282" s="680"/>
      <c r="J282" s="139"/>
      <c r="K282" s="139"/>
      <c r="L282" s="139"/>
      <c r="M282" s="139"/>
      <c r="N282" s="139"/>
      <c r="O282" s="139"/>
      <c r="P282" s="139"/>
      <c r="Q282" s="139"/>
      <c r="R282" s="139"/>
      <c r="S282" s="139"/>
      <c r="T282" s="139"/>
      <c r="U282" s="139"/>
      <c r="V282" s="139"/>
      <c r="W282" s="139"/>
      <c r="X282" s="139"/>
      <c r="Y282" s="139"/>
      <c r="Z282" s="139"/>
      <c r="AA282" s="139"/>
    </row>
    <row r="283" spans="1:27" ht="15.75">
      <c r="A283" s="139"/>
      <c r="B283" s="139"/>
      <c r="C283" s="680"/>
      <c r="D283" s="139"/>
      <c r="E283" s="680"/>
      <c r="F283" s="139"/>
      <c r="G283" s="139"/>
      <c r="H283" s="680"/>
      <c r="I283" s="680"/>
      <c r="J283" s="139"/>
      <c r="K283" s="139"/>
      <c r="L283" s="139"/>
      <c r="M283" s="139"/>
      <c r="N283" s="139"/>
      <c r="O283" s="139"/>
      <c r="P283" s="139"/>
      <c r="Q283" s="139"/>
      <c r="R283" s="139"/>
      <c r="S283" s="139"/>
      <c r="T283" s="139"/>
      <c r="U283" s="139"/>
      <c r="V283" s="139"/>
      <c r="W283" s="139"/>
      <c r="X283" s="139"/>
      <c r="Y283" s="139"/>
      <c r="Z283" s="139"/>
      <c r="AA283" s="139"/>
    </row>
    <row r="284" spans="1:27" ht="15.75">
      <c r="A284" s="139"/>
      <c r="B284" s="139"/>
      <c r="C284" s="680"/>
      <c r="D284" s="139"/>
      <c r="E284" s="680"/>
      <c r="F284" s="139"/>
      <c r="G284" s="139"/>
      <c r="H284" s="680"/>
      <c r="I284" s="680"/>
      <c r="J284" s="139"/>
      <c r="K284" s="139"/>
      <c r="L284" s="139"/>
      <c r="M284" s="139"/>
      <c r="N284" s="139"/>
      <c r="O284" s="139"/>
      <c r="P284" s="139"/>
      <c r="Q284" s="139"/>
      <c r="R284" s="139"/>
      <c r="S284" s="139"/>
      <c r="T284" s="139"/>
      <c r="U284" s="139"/>
      <c r="V284" s="139"/>
      <c r="W284" s="139"/>
      <c r="X284" s="139"/>
      <c r="Y284" s="139"/>
      <c r="Z284" s="139"/>
      <c r="AA284" s="139"/>
    </row>
    <row r="285" spans="1:27" ht="15.75">
      <c r="A285" s="139"/>
      <c r="B285" s="139"/>
      <c r="C285" s="680"/>
      <c r="D285" s="139"/>
      <c r="E285" s="680"/>
      <c r="F285" s="139"/>
      <c r="G285" s="139"/>
      <c r="H285" s="680"/>
      <c r="I285" s="680"/>
      <c r="J285" s="139"/>
      <c r="K285" s="139"/>
      <c r="L285" s="139"/>
      <c r="M285" s="139"/>
      <c r="N285" s="139"/>
      <c r="O285" s="139"/>
      <c r="P285" s="139"/>
      <c r="Q285" s="139"/>
      <c r="R285" s="139"/>
      <c r="S285" s="139"/>
      <c r="T285" s="139"/>
      <c r="U285" s="139"/>
      <c r="V285" s="139"/>
      <c r="W285" s="139"/>
      <c r="X285" s="139"/>
      <c r="Y285" s="139"/>
      <c r="Z285" s="139"/>
      <c r="AA285" s="139"/>
    </row>
    <row r="286" spans="1:27" ht="15.75">
      <c r="A286" s="139"/>
      <c r="B286" s="139"/>
      <c r="C286" s="680"/>
      <c r="D286" s="139"/>
      <c r="E286" s="680"/>
      <c r="F286" s="139"/>
      <c r="G286" s="139"/>
      <c r="H286" s="680"/>
      <c r="I286" s="680"/>
      <c r="J286" s="139"/>
      <c r="K286" s="139"/>
      <c r="L286" s="139"/>
      <c r="M286" s="139"/>
      <c r="N286" s="139"/>
      <c r="O286" s="139"/>
      <c r="P286" s="139"/>
      <c r="Q286" s="139"/>
      <c r="R286" s="139"/>
      <c r="S286" s="139"/>
      <c r="T286" s="139"/>
      <c r="U286" s="139"/>
      <c r="V286" s="139"/>
      <c r="W286" s="139"/>
      <c r="X286" s="139"/>
      <c r="Y286" s="139"/>
      <c r="Z286" s="139"/>
      <c r="AA286" s="139"/>
    </row>
    <row r="287" spans="1:27" ht="15.75">
      <c r="A287" s="139"/>
      <c r="B287" s="139"/>
      <c r="C287" s="680"/>
      <c r="D287" s="139"/>
      <c r="E287" s="680"/>
      <c r="F287" s="139"/>
      <c r="G287" s="139"/>
      <c r="H287" s="680"/>
      <c r="I287" s="680"/>
      <c r="J287" s="139"/>
      <c r="K287" s="139"/>
      <c r="L287" s="139"/>
      <c r="M287" s="139"/>
      <c r="N287" s="139"/>
      <c r="O287" s="139"/>
      <c r="P287" s="139"/>
      <c r="Q287" s="139"/>
      <c r="R287" s="139"/>
      <c r="S287" s="139"/>
      <c r="T287" s="139"/>
      <c r="U287" s="139"/>
      <c r="V287" s="139"/>
      <c r="W287" s="139"/>
      <c r="X287" s="139"/>
      <c r="Y287" s="139"/>
      <c r="Z287" s="139"/>
      <c r="AA287" s="139"/>
    </row>
    <row r="288" spans="1:27" ht="15.75">
      <c r="A288" s="139"/>
      <c r="B288" s="139"/>
      <c r="C288" s="680"/>
      <c r="D288" s="139"/>
      <c r="E288" s="680"/>
      <c r="F288" s="139"/>
      <c r="G288" s="139"/>
      <c r="H288" s="680"/>
      <c r="I288" s="680"/>
      <c r="J288" s="139"/>
      <c r="K288" s="139"/>
      <c r="L288" s="139"/>
      <c r="M288" s="139"/>
      <c r="N288" s="139"/>
      <c r="O288" s="139"/>
      <c r="P288" s="139"/>
      <c r="Q288" s="139"/>
      <c r="R288" s="139"/>
      <c r="S288" s="139"/>
      <c r="T288" s="139"/>
      <c r="U288" s="139"/>
      <c r="V288" s="139"/>
      <c r="W288" s="139"/>
      <c r="X288" s="139"/>
      <c r="Y288" s="139"/>
      <c r="Z288" s="139"/>
      <c r="AA288" s="139"/>
    </row>
    <row r="289" spans="1:27" ht="15.75">
      <c r="A289" s="139"/>
      <c r="B289" s="139"/>
      <c r="C289" s="680"/>
      <c r="D289" s="139"/>
      <c r="E289" s="680"/>
      <c r="F289" s="139"/>
      <c r="G289" s="139"/>
      <c r="H289" s="680"/>
      <c r="I289" s="680"/>
      <c r="J289" s="139"/>
      <c r="K289" s="139"/>
      <c r="L289" s="139"/>
      <c r="M289" s="139"/>
      <c r="N289" s="139"/>
      <c r="O289" s="139"/>
      <c r="P289" s="139"/>
      <c r="Q289" s="139"/>
      <c r="R289" s="139"/>
      <c r="S289" s="139"/>
      <c r="T289" s="139"/>
      <c r="U289" s="139"/>
      <c r="V289" s="139"/>
      <c r="W289" s="139"/>
      <c r="X289" s="139"/>
      <c r="Y289" s="139"/>
      <c r="Z289" s="139"/>
      <c r="AA289" s="139"/>
    </row>
    <row r="290" spans="1:27" ht="15.75">
      <c r="A290" s="139"/>
      <c r="B290" s="139"/>
      <c r="C290" s="680"/>
      <c r="D290" s="139"/>
      <c r="E290" s="680"/>
      <c r="F290" s="139"/>
      <c r="G290" s="139"/>
      <c r="H290" s="680"/>
      <c r="I290" s="680"/>
      <c r="J290" s="139"/>
      <c r="K290" s="139"/>
      <c r="L290" s="139"/>
      <c r="M290" s="139"/>
      <c r="N290" s="139"/>
      <c r="O290" s="139"/>
      <c r="P290" s="139"/>
      <c r="Q290" s="139"/>
      <c r="R290" s="139"/>
      <c r="S290" s="139"/>
      <c r="T290" s="139"/>
      <c r="U290" s="139"/>
      <c r="V290" s="139"/>
      <c r="W290" s="139"/>
      <c r="X290" s="139"/>
      <c r="Y290" s="139"/>
      <c r="Z290" s="139"/>
      <c r="AA290" s="139"/>
    </row>
    <row r="291" spans="1:27" ht="15.75">
      <c r="A291" s="139"/>
      <c r="B291" s="139"/>
      <c r="C291" s="680"/>
      <c r="D291" s="139"/>
      <c r="E291" s="680"/>
      <c r="F291" s="139"/>
      <c r="G291" s="139"/>
      <c r="H291" s="680"/>
      <c r="I291" s="680"/>
      <c r="J291" s="139"/>
      <c r="K291" s="139"/>
      <c r="L291" s="139"/>
      <c r="M291" s="139"/>
      <c r="N291" s="139"/>
      <c r="O291" s="139"/>
      <c r="P291" s="139"/>
      <c r="Q291" s="139"/>
      <c r="R291" s="139"/>
      <c r="S291" s="139"/>
      <c r="T291" s="139"/>
      <c r="U291" s="139"/>
      <c r="V291" s="139"/>
      <c r="W291" s="139"/>
      <c r="X291" s="139"/>
      <c r="Y291" s="139"/>
      <c r="Z291" s="139"/>
      <c r="AA291" s="139"/>
    </row>
    <row r="292" spans="1:27" ht="15.75">
      <c r="A292" s="139"/>
      <c r="B292" s="139"/>
      <c r="C292" s="680"/>
      <c r="D292" s="139"/>
      <c r="E292" s="680"/>
      <c r="F292" s="139"/>
      <c r="G292" s="139"/>
      <c r="H292" s="680"/>
      <c r="I292" s="680"/>
      <c r="J292" s="139"/>
      <c r="K292" s="139"/>
      <c r="L292" s="139"/>
      <c r="M292" s="139"/>
      <c r="N292" s="139"/>
      <c r="O292" s="139"/>
      <c r="P292" s="139"/>
      <c r="Q292" s="139"/>
      <c r="R292" s="139"/>
      <c r="S292" s="139"/>
      <c r="T292" s="139"/>
      <c r="U292" s="139"/>
      <c r="V292" s="139"/>
      <c r="W292" s="139"/>
      <c r="X292" s="139"/>
      <c r="Y292" s="139"/>
      <c r="Z292" s="139"/>
      <c r="AA292" s="139"/>
    </row>
    <row r="293" spans="1:27" ht="15.75">
      <c r="A293" s="139"/>
      <c r="B293" s="139"/>
      <c r="C293" s="680"/>
      <c r="D293" s="139"/>
      <c r="E293" s="680"/>
      <c r="F293" s="139"/>
      <c r="G293" s="139"/>
      <c r="H293" s="680"/>
      <c r="I293" s="680"/>
      <c r="J293" s="139"/>
      <c r="K293" s="139"/>
      <c r="L293" s="139"/>
      <c r="M293" s="139"/>
      <c r="N293" s="139"/>
      <c r="O293" s="139"/>
      <c r="P293" s="139"/>
      <c r="Q293" s="139"/>
      <c r="R293" s="139"/>
      <c r="S293" s="139"/>
      <c r="T293" s="139"/>
      <c r="U293" s="139"/>
      <c r="V293" s="139"/>
      <c r="W293" s="139"/>
      <c r="X293" s="139"/>
      <c r="Y293" s="139"/>
      <c r="Z293" s="139"/>
      <c r="AA293" s="139"/>
    </row>
    <row r="294" spans="1:27" ht="15.75">
      <c r="A294" s="139"/>
      <c r="B294" s="139"/>
      <c r="C294" s="680"/>
      <c r="D294" s="139"/>
      <c r="E294" s="680"/>
      <c r="F294" s="139"/>
      <c r="G294" s="139"/>
      <c r="H294" s="680"/>
      <c r="I294" s="680"/>
      <c r="J294" s="139"/>
      <c r="K294" s="139"/>
      <c r="L294" s="139"/>
      <c r="M294" s="139"/>
      <c r="N294" s="139"/>
      <c r="O294" s="139"/>
      <c r="P294" s="139"/>
      <c r="Q294" s="139"/>
      <c r="R294" s="139"/>
      <c r="S294" s="139"/>
      <c r="T294" s="139"/>
      <c r="U294" s="139"/>
      <c r="V294" s="139"/>
      <c r="W294" s="139"/>
      <c r="X294" s="139"/>
      <c r="Y294" s="139"/>
      <c r="Z294" s="139"/>
      <c r="AA294" s="139"/>
    </row>
    <row r="295" spans="1:27" ht="15.75">
      <c r="A295" s="139"/>
      <c r="B295" s="139"/>
      <c r="C295" s="680"/>
      <c r="D295" s="139"/>
      <c r="E295" s="680"/>
      <c r="F295" s="139"/>
      <c r="G295" s="139"/>
      <c r="H295" s="680"/>
      <c r="I295" s="680"/>
      <c r="J295" s="139"/>
      <c r="K295" s="139"/>
      <c r="L295" s="139"/>
      <c r="M295" s="139"/>
      <c r="N295" s="139"/>
      <c r="O295" s="139"/>
      <c r="P295" s="139"/>
      <c r="Q295" s="139"/>
      <c r="R295" s="139"/>
      <c r="S295" s="139"/>
      <c r="T295" s="139"/>
      <c r="U295" s="139"/>
      <c r="V295" s="139"/>
      <c r="W295" s="139"/>
      <c r="X295" s="139"/>
      <c r="Y295" s="139"/>
      <c r="Z295" s="139"/>
      <c r="AA295" s="139"/>
    </row>
    <row r="296" spans="1:27" ht="15.75">
      <c r="A296" s="139"/>
      <c r="B296" s="139"/>
      <c r="C296" s="680"/>
      <c r="D296" s="139"/>
      <c r="E296" s="680"/>
      <c r="F296" s="139"/>
      <c r="G296" s="139"/>
      <c r="H296" s="680"/>
      <c r="I296" s="680"/>
      <c r="J296" s="139"/>
      <c r="K296" s="139"/>
      <c r="L296" s="139"/>
      <c r="M296" s="139"/>
      <c r="N296" s="139"/>
      <c r="O296" s="139"/>
      <c r="P296" s="139"/>
      <c r="Q296" s="139"/>
      <c r="R296" s="139"/>
      <c r="S296" s="139"/>
      <c r="T296" s="139"/>
      <c r="U296" s="139"/>
      <c r="V296" s="139"/>
      <c r="W296" s="139"/>
      <c r="X296" s="139"/>
      <c r="Y296" s="139"/>
      <c r="Z296" s="139"/>
      <c r="AA296" s="139"/>
    </row>
    <row r="297" spans="1:27" ht="15.75">
      <c r="A297" s="139"/>
      <c r="B297" s="139"/>
      <c r="C297" s="680"/>
      <c r="D297" s="139"/>
      <c r="E297" s="680"/>
      <c r="F297" s="139"/>
      <c r="G297" s="139"/>
      <c r="H297" s="680"/>
      <c r="I297" s="680"/>
      <c r="J297" s="139"/>
      <c r="K297" s="139"/>
      <c r="L297" s="139"/>
      <c r="M297" s="139"/>
      <c r="N297" s="139"/>
      <c r="O297" s="139"/>
      <c r="P297" s="139"/>
      <c r="Q297" s="139"/>
      <c r="R297" s="139"/>
      <c r="S297" s="139"/>
      <c r="T297" s="139"/>
      <c r="U297" s="139"/>
      <c r="V297" s="139"/>
      <c r="W297" s="139"/>
      <c r="X297" s="139"/>
      <c r="Y297" s="139"/>
      <c r="Z297" s="139"/>
      <c r="AA297" s="139"/>
    </row>
    <row r="298" spans="1:27" ht="15.75">
      <c r="A298" s="139"/>
      <c r="B298" s="139"/>
      <c r="C298" s="680"/>
      <c r="D298" s="139"/>
      <c r="E298" s="680"/>
      <c r="F298" s="139"/>
      <c r="G298" s="139"/>
      <c r="H298" s="680"/>
      <c r="I298" s="680"/>
      <c r="J298" s="139"/>
      <c r="K298" s="139"/>
      <c r="L298" s="139"/>
      <c r="M298" s="139"/>
      <c r="N298" s="139"/>
      <c r="O298" s="139"/>
      <c r="P298" s="139"/>
      <c r="Q298" s="139"/>
      <c r="R298" s="139"/>
      <c r="S298" s="139"/>
      <c r="T298" s="139"/>
      <c r="U298" s="139"/>
      <c r="V298" s="139"/>
      <c r="W298" s="139"/>
      <c r="X298" s="139"/>
      <c r="Y298" s="139"/>
      <c r="Z298" s="139"/>
      <c r="AA298" s="139"/>
    </row>
    <row r="299" spans="1:27" ht="15.75">
      <c r="A299" s="139"/>
      <c r="B299" s="139"/>
      <c r="C299" s="680"/>
      <c r="D299" s="139"/>
      <c r="E299" s="680"/>
      <c r="F299" s="139"/>
      <c r="G299" s="139"/>
      <c r="H299" s="680"/>
      <c r="I299" s="680"/>
      <c r="J299" s="139"/>
      <c r="K299" s="139"/>
      <c r="L299" s="139"/>
      <c r="M299" s="139"/>
      <c r="N299" s="139"/>
      <c r="O299" s="139"/>
      <c r="P299" s="139"/>
      <c r="Q299" s="139"/>
      <c r="R299" s="139"/>
      <c r="S299" s="139"/>
      <c r="T299" s="139"/>
      <c r="U299" s="139"/>
      <c r="V299" s="139"/>
      <c r="W299" s="139"/>
      <c r="X299" s="139"/>
      <c r="Y299" s="139"/>
      <c r="Z299" s="139"/>
      <c r="AA299" s="139"/>
    </row>
    <row r="300" spans="1:27" ht="15.75">
      <c r="A300" s="139"/>
      <c r="B300" s="139"/>
      <c r="C300" s="680"/>
      <c r="D300" s="139"/>
      <c r="E300" s="680"/>
      <c r="F300" s="139"/>
      <c r="G300" s="139"/>
      <c r="H300" s="680"/>
      <c r="I300" s="680"/>
      <c r="J300" s="139"/>
      <c r="K300" s="139"/>
      <c r="L300" s="139"/>
      <c r="M300" s="139"/>
      <c r="N300" s="139"/>
      <c r="O300" s="139"/>
      <c r="P300" s="139"/>
      <c r="Q300" s="139"/>
      <c r="R300" s="139"/>
      <c r="S300" s="139"/>
      <c r="T300" s="139"/>
      <c r="U300" s="139"/>
      <c r="V300" s="139"/>
      <c r="W300" s="139"/>
      <c r="X300" s="139"/>
      <c r="Y300" s="139"/>
      <c r="Z300" s="139"/>
      <c r="AA300" s="139"/>
    </row>
    <row r="301" spans="1:27" ht="15.75">
      <c r="A301" s="139"/>
      <c r="B301" s="139"/>
      <c r="C301" s="680"/>
      <c r="D301" s="139"/>
      <c r="E301" s="680"/>
      <c r="F301" s="139"/>
      <c r="G301" s="139"/>
      <c r="H301" s="680"/>
      <c r="I301" s="680"/>
      <c r="J301" s="139"/>
      <c r="K301" s="139"/>
      <c r="L301" s="139"/>
      <c r="M301" s="139"/>
      <c r="N301" s="139"/>
      <c r="O301" s="139"/>
      <c r="P301" s="139"/>
      <c r="Q301" s="139"/>
      <c r="R301" s="139"/>
      <c r="S301" s="139"/>
      <c r="T301" s="139"/>
      <c r="U301" s="139"/>
      <c r="V301" s="139"/>
      <c r="W301" s="139"/>
      <c r="X301" s="139"/>
      <c r="Y301" s="139"/>
      <c r="Z301" s="139"/>
      <c r="AA301" s="139"/>
    </row>
    <row r="302" spans="1:27" ht="15.75">
      <c r="A302" s="139"/>
      <c r="B302" s="139"/>
      <c r="C302" s="680"/>
      <c r="D302" s="139"/>
      <c r="E302" s="680"/>
      <c r="F302" s="139"/>
      <c r="G302" s="139"/>
      <c r="H302" s="680"/>
      <c r="I302" s="680"/>
      <c r="J302" s="139"/>
      <c r="K302" s="139"/>
      <c r="L302" s="139"/>
      <c r="M302" s="139"/>
      <c r="N302" s="139"/>
      <c r="O302" s="139"/>
      <c r="P302" s="139"/>
      <c r="Q302" s="139"/>
      <c r="R302" s="139"/>
      <c r="S302" s="139"/>
      <c r="T302" s="139"/>
      <c r="U302" s="139"/>
      <c r="V302" s="139"/>
      <c r="W302" s="139"/>
      <c r="X302" s="139"/>
      <c r="Y302" s="139"/>
      <c r="Z302" s="139"/>
      <c r="AA302" s="139"/>
    </row>
    <row r="303" spans="1:27" ht="15.75">
      <c r="A303" s="139"/>
      <c r="B303" s="139"/>
      <c r="C303" s="680"/>
      <c r="D303" s="139"/>
      <c r="E303" s="680"/>
      <c r="F303" s="139"/>
      <c r="G303" s="139"/>
      <c r="H303" s="680"/>
      <c r="I303" s="680"/>
      <c r="J303" s="139"/>
      <c r="K303" s="139"/>
      <c r="L303" s="139"/>
      <c r="M303" s="139"/>
      <c r="N303" s="139"/>
      <c r="O303" s="139"/>
      <c r="P303" s="139"/>
      <c r="Q303" s="139"/>
      <c r="R303" s="139"/>
      <c r="S303" s="139"/>
      <c r="T303" s="139"/>
      <c r="U303" s="139"/>
      <c r="V303" s="139"/>
      <c r="W303" s="139"/>
      <c r="X303" s="139"/>
      <c r="Y303" s="139"/>
      <c r="Z303" s="139"/>
      <c r="AA303" s="139"/>
    </row>
    <row r="304" spans="1:27" ht="15.75">
      <c r="A304" s="139"/>
      <c r="B304" s="139"/>
      <c r="C304" s="680"/>
      <c r="D304" s="139"/>
      <c r="E304" s="680"/>
      <c r="F304" s="139"/>
      <c r="G304" s="139"/>
      <c r="H304" s="680"/>
      <c r="I304" s="680"/>
      <c r="J304" s="139"/>
      <c r="K304" s="139"/>
      <c r="L304" s="139"/>
      <c r="M304" s="139"/>
      <c r="N304" s="139"/>
      <c r="O304" s="139"/>
      <c r="P304" s="139"/>
      <c r="Q304" s="139"/>
      <c r="R304" s="139"/>
      <c r="S304" s="139"/>
      <c r="T304" s="139"/>
      <c r="U304" s="139"/>
      <c r="V304" s="139"/>
      <c r="W304" s="139"/>
      <c r="X304" s="139"/>
      <c r="Y304" s="139"/>
      <c r="Z304" s="139"/>
      <c r="AA304" s="139"/>
    </row>
    <row r="305" spans="1:27" ht="15.75">
      <c r="A305" s="139"/>
      <c r="B305" s="139"/>
      <c r="C305" s="680"/>
      <c r="D305" s="139"/>
      <c r="E305" s="680"/>
      <c r="F305" s="139"/>
      <c r="G305" s="139"/>
      <c r="H305" s="680"/>
      <c r="I305" s="680"/>
      <c r="J305" s="139"/>
      <c r="K305" s="139"/>
      <c r="L305" s="139"/>
      <c r="M305" s="139"/>
      <c r="N305" s="139"/>
      <c r="O305" s="139"/>
      <c r="P305" s="139"/>
      <c r="Q305" s="139"/>
      <c r="R305" s="139"/>
      <c r="S305" s="139"/>
      <c r="T305" s="139"/>
      <c r="U305" s="139"/>
      <c r="V305" s="139"/>
      <c r="W305" s="139"/>
      <c r="X305" s="139"/>
      <c r="Y305" s="139"/>
      <c r="Z305" s="139"/>
      <c r="AA305" s="139"/>
    </row>
    <row r="306" spans="1:27" ht="15.75">
      <c r="A306" s="139"/>
      <c r="B306" s="139"/>
      <c r="C306" s="680"/>
      <c r="D306" s="139"/>
      <c r="E306" s="680"/>
      <c r="F306" s="139"/>
      <c r="G306" s="139"/>
      <c r="H306" s="680"/>
      <c r="I306" s="680"/>
      <c r="J306" s="139"/>
      <c r="K306" s="139"/>
      <c r="L306" s="139"/>
      <c r="M306" s="139"/>
      <c r="N306" s="139"/>
      <c r="O306" s="139"/>
      <c r="P306" s="139"/>
      <c r="Q306" s="139"/>
      <c r="R306" s="139"/>
      <c r="S306" s="139"/>
      <c r="T306" s="139"/>
      <c r="U306" s="139"/>
      <c r="V306" s="139"/>
      <c r="W306" s="139"/>
      <c r="X306" s="139"/>
      <c r="Y306" s="139"/>
      <c r="Z306" s="139"/>
      <c r="AA306" s="139"/>
    </row>
    <row r="307" spans="1:27" ht="15.75">
      <c r="A307" s="139"/>
      <c r="B307" s="139"/>
      <c r="C307" s="680"/>
      <c r="D307" s="139"/>
      <c r="E307" s="680"/>
      <c r="F307" s="139"/>
      <c r="G307" s="139"/>
      <c r="H307" s="680"/>
      <c r="I307" s="680"/>
      <c r="J307" s="139"/>
      <c r="K307" s="139"/>
      <c r="L307" s="139"/>
      <c r="M307" s="139"/>
      <c r="N307" s="139"/>
      <c r="O307" s="139"/>
      <c r="P307" s="139"/>
      <c r="Q307" s="139"/>
      <c r="R307" s="139"/>
      <c r="S307" s="139"/>
      <c r="T307" s="139"/>
      <c r="U307" s="139"/>
      <c r="V307" s="139"/>
      <c r="W307" s="139"/>
      <c r="X307" s="139"/>
      <c r="Y307" s="139"/>
      <c r="Z307" s="139"/>
      <c r="AA307" s="139"/>
    </row>
    <row r="308" spans="1:27" ht="15.75">
      <c r="A308" s="139"/>
      <c r="B308" s="139"/>
      <c r="C308" s="680"/>
      <c r="D308" s="139"/>
      <c r="E308" s="680"/>
      <c r="F308" s="139"/>
      <c r="G308" s="139"/>
      <c r="H308" s="680"/>
      <c r="I308" s="680"/>
      <c r="J308" s="139"/>
      <c r="K308" s="139"/>
      <c r="L308" s="139"/>
      <c r="M308" s="139"/>
      <c r="N308" s="139"/>
      <c r="O308" s="139"/>
      <c r="P308" s="139"/>
      <c r="Q308" s="139"/>
      <c r="R308" s="139"/>
      <c r="S308" s="139"/>
      <c r="T308" s="139"/>
      <c r="U308" s="139"/>
      <c r="V308" s="139"/>
      <c r="W308" s="139"/>
      <c r="X308" s="139"/>
      <c r="Y308" s="139"/>
      <c r="Z308" s="139"/>
      <c r="AA308" s="139"/>
    </row>
    <row r="309" spans="1:27" ht="15.75">
      <c r="A309" s="139"/>
      <c r="B309" s="139"/>
      <c r="C309" s="680"/>
      <c r="D309" s="139"/>
      <c r="E309" s="680"/>
      <c r="F309" s="139"/>
      <c r="G309" s="139"/>
      <c r="H309" s="680"/>
      <c r="I309" s="680"/>
      <c r="J309" s="139"/>
      <c r="K309" s="139"/>
      <c r="L309" s="139"/>
      <c r="M309" s="139"/>
      <c r="N309" s="139"/>
      <c r="O309" s="139"/>
      <c r="P309" s="139"/>
      <c r="Q309" s="139"/>
      <c r="R309" s="139"/>
      <c r="S309" s="139"/>
      <c r="T309" s="139"/>
      <c r="U309" s="139"/>
      <c r="V309" s="139"/>
      <c r="W309" s="139"/>
      <c r="X309" s="139"/>
      <c r="Y309" s="139"/>
      <c r="Z309" s="139"/>
      <c r="AA309" s="139"/>
    </row>
    <row r="310" spans="1:27" ht="15.75">
      <c r="A310" s="139"/>
      <c r="B310" s="139"/>
      <c r="C310" s="680"/>
      <c r="D310" s="139"/>
      <c r="E310" s="680"/>
      <c r="F310" s="139"/>
      <c r="G310" s="139"/>
      <c r="H310" s="680"/>
      <c r="I310" s="680"/>
      <c r="J310" s="139"/>
      <c r="K310" s="139"/>
      <c r="L310" s="139"/>
      <c r="M310" s="139"/>
      <c r="N310" s="139"/>
      <c r="O310" s="139"/>
      <c r="P310" s="139"/>
      <c r="Q310" s="139"/>
      <c r="R310" s="139"/>
      <c r="S310" s="139"/>
      <c r="T310" s="139"/>
      <c r="U310" s="139"/>
      <c r="V310" s="139"/>
      <c r="W310" s="139"/>
      <c r="X310" s="139"/>
      <c r="Y310" s="139"/>
      <c r="Z310" s="139"/>
      <c r="AA310" s="139"/>
    </row>
    <row r="311" spans="1:27" ht="15.75">
      <c r="A311" s="139"/>
      <c r="B311" s="139"/>
      <c r="C311" s="680"/>
      <c r="D311" s="139"/>
      <c r="E311" s="680"/>
      <c r="F311" s="139"/>
      <c r="G311" s="139"/>
      <c r="H311" s="680"/>
      <c r="I311" s="680"/>
      <c r="J311" s="139"/>
      <c r="K311" s="139"/>
      <c r="L311" s="139"/>
      <c r="M311" s="139"/>
      <c r="N311" s="139"/>
      <c r="O311" s="139"/>
      <c r="P311" s="139"/>
      <c r="Q311" s="139"/>
      <c r="R311" s="139"/>
      <c r="S311" s="139"/>
      <c r="T311" s="139"/>
      <c r="U311" s="139"/>
      <c r="V311" s="139"/>
      <c r="W311" s="139"/>
      <c r="X311" s="139"/>
      <c r="Y311" s="139"/>
      <c r="Z311" s="139"/>
      <c r="AA311" s="139"/>
    </row>
    <row r="312" spans="1:27" ht="15.75">
      <c r="A312" s="139"/>
      <c r="B312" s="139"/>
      <c r="C312" s="680"/>
      <c r="D312" s="139"/>
      <c r="E312" s="680"/>
      <c r="F312" s="139"/>
      <c r="G312" s="139"/>
      <c r="H312" s="680"/>
      <c r="I312" s="680"/>
      <c r="J312" s="139"/>
      <c r="K312" s="139"/>
      <c r="L312" s="139"/>
      <c r="M312" s="139"/>
      <c r="N312" s="139"/>
      <c r="O312" s="139"/>
      <c r="P312" s="139"/>
      <c r="Q312" s="139"/>
      <c r="R312" s="139"/>
      <c r="S312" s="139"/>
      <c r="T312" s="139"/>
      <c r="U312" s="139"/>
      <c r="V312" s="139"/>
      <c r="W312" s="139"/>
      <c r="X312" s="139"/>
      <c r="Y312" s="139"/>
      <c r="Z312" s="139"/>
      <c r="AA312" s="139"/>
    </row>
    <row r="313" spans="1:27" ht="15.75">
      <c r="A313" s="139"/>
      <c r="B313" s="139"/>
      <c r="C313" s="680"/>
      <c r="D313" s="139"/>
      <c r="E313" s="680"/>
      <c r="F313" s="139"/>
      <c r="G313" s="139"/>
      <c r="H313" s="680"/>
      <c r="I313" s="680"/>
      <c r="J313" s="139"/>
      <c r="K313" s="139"/>
      <c r="L313" s="139"/>
      <c r="M313" s="139"/>
      <c r="N313" s="139"/>
      <c r="O313" s="139"/>
      <c r="P313" s="139"/>
      <c r="Q313" s="139"/>
      <c r="R313" s="139"/>
      <c r="S313" s="139"/>
      <c r="T313" s="139"/>
      <c r="U313" s="139"/>
      <c r="V313" s="139"/>
      <c r="W313" s="139"/>
      <c r="X313" s="139"/>
      <c r="Y313" s="139"/>
      <c r="Z313" s="139"/>
      <c r="AA313" s="139"/>
    </row>
    <row r="314" spans="1:27" ht="15.75">
      <c r="A314" s="139"/>
      <c r="B314" s="139"/>
      <c r="C314" s="680"/>
      <c r="D314" s="139"/>
      <c r="E314" s="680"/>
      <c r="F314" s="139"/>
      <c r="G314" s="139"/>
      <c r="H314" s="680"/>
      <c r="I314" s="680"/>
      <c r="J314" s="139"/>
      <c r="K314" s="139"/>
      <c r="L314" s="139"/>
      <c r="M314" s="139"/>
      <c r="N314" s="139"/>
      <c r="O314" s="139"/>
      <c r="P314" s="139"/>
      <c r="Q314" s="139"/>
      <c r="R314" s="139"/>
      <c r="S314" s="139"/>
      <c r="T314" s="139"/>
      <c r="U314" s="139"/>
      <c r="V314" s="139"/>
      <c r="W314" s="139"/>
      <c r="X314" s="139"/>
      <c r="Y314" s="139"/>
      <c r="Z314" s="139"/>
      <c r="AA314" s="139"/>
    </row>
    <row r="315" spans="1:27" ht="15.75">
      <c r="A315" s="139"/>
      <c r="B315" s="139"/>
      <c r="C315" s="680"/>
      <c r="D315" s="139"/>
      <c r="E315" s="680"/>
      <c r="F315" s="139"/>
      <c r="G315" s="139"/>
      <c r="H315" s="680"/>
      <c r="I315" s="680"/>
      <c r="J315" s="139"/>
      <c r="K315" s="139"/>
      <c r="L315" s="139"/>
      <c r="M315" s="139"/>
      <c r="N315" s="139"/>
      <c r="O315" s="139"/>
      <c r="P315" s="139"/>
      <c r="Q315" s="139"/>
      <c r="R315" s="139"/>
      <c r="S315" s="139"/>
      <c r="T315" s="139"/>
      <c r="U315" s="139"/>
      <c r="V315" s="139"/>
      <c r="W315" s="139"/>
      <c r="X315" s="139"/>
      <c r="Y315" s="139"/>
      <c r="Z315" s="139"/>
      <c r="AA315" s="139"/>
    </row>
    <row r="316" spans="1:27" ht="15.75">
      <c r="A316" s="139"/>
      <c r="B316" s="139"/>
      <c r="C316" s="680"/>
      <c r="D316" s="139"/>
      <c r="E316" s="680"/>
      <c r="F316" s="139"/>
      <c r="G316" s="139"/>
      <c r="H316" s="680"/>
      <c r="I316" s="680"/>
      <c r="J316" s="139"/>
      <c r="K316" s="139"/>
      <c r="L316" s="139"/>
      <c r="M316" s="139"/>
      <c r="N316" s="139"/>
      <c r="O316" s="139"/>
      <c r="P316" s="139"/>
      <c r="Q316" s="139"/>
      <c r="R316" s="139"/>
      <c r="S316" s="139"/>
      <c r="T316" s="139"/>
      <c r="U316" s="139"/>
      <c r="V316" s="139"/>
      <c r="W316" s="139"/>
      <c r="X316" s="139"/>
      <c r="Y316" s="139"/>
      <c r="Z316" s="139"/>
      <c r="AA316" s="139"/>
    </row>
    <row r="317" spans="1:27" ht="15.75">
      <c r="A317" s="139"/>
      <c r="B317" s="139"/>
      <c r="C317" s="680"/>
      <c r="D317" s="139"/>
      <c r="E317" s="680"/>
      <c r="F317" s="139"/>
      <c r="G317" s="139"/>
      <c r="H317" s="680"/>
      <c r="I317" s="680"/>
      <c r="J317" s="139"/>
      <c r="K317" s="139"/>
      <c r="L317" s="139"/>
      <c r="M317" s="139"/>
      <c r="N317" s="139"/>
      <c r="O317" s="139"/>
      <c r="P317" s="139"/>
      <c r="Q317" s="139"/>
      <c r="R317" s="139"/>
      <c r="S317" s="139"/>
      <c r="T317" s="139"/>
      <c r="U317" s="139"/>
      <c r="V317" s="139"/>
      <c r="W317" s="139"/>
      <c r="X317" s="139"/>
      <c r="Y317" s="139"/>
      <c r="Z317" s="139"/>
      <c r="AA317" s="139"/>
    </row>
    <row r="318" spans="1:27" ht="15.75">
      <c r="A318" s="139"/>
      <c r="B318" s="139"/>
      <c r="C318" s="680"/>
      <c r="D318" s="139"/>
      <c r="E318" s="680"/>
      <c r="F318" s="139"/>
      <c r="G318" s="139"/>
      <c r="H318" s="680"/>
      <c r="I318" s="680"/>
      <c r="J318" s="139"/>
      <c r="K318" s="139"/>
      <c r="L318" s="139"/>
      <c r="M318" s="139"/>
      <c r="N318" s="139"/>
      <c r="O318" s="139"/>
      <c r="P318" s="139"/>
      <c r="Q318" s="139"/>
      <c r="R318" s="139"/>
      <c r="S318" s="139"/>
      <c r="T318" s="139"/>
      <c r="U318" s="139"/>
      <c r="V318" s="139"/>
      <c r="W318" s="139"/>
      <c r="X318" s="139"/>
      <c r="Y318" s="139"/>
      <c r="Z318" s="139"/>
      <c r="AA318" s="139"/>
    </row>
    <row r="319" spans="1:27" ht="15.75">
      <c r="A319" s="139"/>
      <c r="B319" s="139"/>
      <c r="C319" s="680"/>
      <c r="D319" s="139"/>
      <c r="E319" s="680"/>
      <c r="F319" s="139"/>
      <c r="G319" s="139"/>
      <c r="H319" s="680"/>
      <c r="I319" s="680"/>
      <c r="J319" s="139"/>
      <c r="K319" s="139"/>
      <c r="L319" s="139"/>
      <c r="M319" s="139"/>
      <c r="N319" s="139"/>
      <c r="O319" s="139"/>
      <c r="P319" s="139"/>
      <c r="Q319" s="139"/>
      <c r="R319" s="139"/>
      <c r="S319" s="139"/>
      <c r="T319" s="139"/>
      <c r="U319" s="139"/>
      <c r="V319" s="139"/>
      <c r="W319" s="139"/>
      <c r="X319" s="139"/>
      <c r="Y319" s="139"/>
      <c r="Z319" s="139"/>
      <c r="AA319" s="139"/>
    </row>
    <row r="320" spans="1:27" ht="15.75">
      <c r="A320" s="139"/>
      <c r="B320" s="139"/>
      <c r="C320" s="680"/>
      <c r="D320" s="139"/>
      <c r="E320" s="680"/>
      <c r="F320" s="139"/>
      <c r="G320" s="139"/>
      <c r="H320" s="680"/>
      <c r="I320" s="680"/>
      <c r="J320" s="139"/>
      <c r="K320" s="139"/>
      <c r="L320" s="139"/>
      <c r="M320" s="139"/>
      <c r="N320" s="139"/>
      <c r="O320" s="139"/>
      <c r="P320" s="139"/>
      <c r="Q320" s="139"/>
      <c r="R320" s="139"/>
      <c r="S320" s="139"/>
      <c r="T320" s="139"/>
      <c r="U320" s="139"/>
      <c r="V320" s="139"/>
      <c r="W320" s="139"/>
      <c r="X320" s="139"/>
      <c r="Y320" s="139"/>
      <c r="Z320" s="139"/>
      <c r="AA320" s="139"/>
    </row>
    <row r="321" spans="1:27" ht="15.75">
      <c r="A321" s="139"/>
      <c r="B321" s="139"/>
      <c r="C321" s="680"/>
      <c r="D321" s="139"/>
      <c r="E321" s="680"/>
      <c r="F321" s="139"/>
      <c r="G321" s="139"/>
      <c r="H321" s="680"/>
      <c r="I321" s="680"/>
      <c r="J321" s="139"/>
      <c r="K321" s="139"/>
      <c r="L321" s="139"/>
      <c r="M321" s="139"/>
      <c r="N321" s="139"/>
      <c r="O321" s="139"/>
      <c r="P321" s="139"/>
      <c r="Q321" s="139"/>
      <c r="R321" s="139"/>
      <c r="S321" s="139"/>
      <c r="T321" s="139"/>
      <c r="U321" s="139"/>
      <c r="V321" s="139"/>
      <c r="W321" s="139"/>
      <c r="X321" s="139"/>
      <c r="Y321" s="139"/>
      <c r="Z321" s="139"/>
      <c r="AA321" s="139"/>
    </row>
    <row r="322" spans="1:27" ht="15.75">
      <c r="A322" s="139"/>
      <c r="B322" s="139"/>
      <c r="C322" s="680"/>
      <c r="D322" s="139"/>
      <c r="E322" s="680"/>
      <c r="F322" s="139"/>
      <c r="G322" s="139"/>
      <c r="H322" s="680"/>
      <c r="I322" s="680"/>
      <c r="J322" s="139"/>
      <c r="K322" s="139"/>
      <c r="L322" s="139"/>
      <c r="M322" s="139"/>
      <c r="N322" s="139"/>
      <c r="O322" s="139"/>
      <c r="P322" s="139"/>
      <c r="Q322" s="139"/>
      <c r="R322" s="139"/>
      <c r="S322" s="139"/>
      <c r="T322" s="139"/>
      <c r="U322" s="139"/>
      <c r="V322" s="139"/>
      <c r="W322" s="139"/>
      <c r="X322" s="139"/>
      <c r="Y322" s="139"/>
      <c r="Z322" s="139"/>
      <c r="AA322" s="139"/>
    </row>
    <row r="323" spans="1:27" ht="15.75">
      <c r="A323" s="139"/>
      <c r="B323" s="139"/>
      <c r="C323" s="680"/>
      <c r="D323" s="139"/>
      <c r="E323" s="680"/>
      <c r="F323" s="139"/>
      <c r="G323" s="139"/>
      <c r="H323" s="680"/>
      <c r="I323" s="680"/>
      <c r="J323" s="139"/>
      <c r="K323" s="139"/>
      <c r="L323" s="139"/>
      <c r="M323" s="139"/>
      <c r="N323" s="139"/>
      <c r="O323" s="139"/>
      <c r="P323" s="139"/>
      <c r="Q323" s="139"/>
      <c r="R323" s="139"/>
      <c r="S323" s="139"/>
      <c r="T323" s="139"/>
      <c r="U323" s="139"/>
      <c r="V323" s="139"/>
      <c r="W323" s="139"/>
      <c r="X323" s="139"/>
      <c r="Y323" s="139"/>
      <c r="Z323" s="139"/>
      <c r="AA323" s="139"/>
    </row>
    <row r="324" spans="1:27" ht="15.75">
      <c r="A324" s="139"/>
      <c r="B324" s="139"/>
      <c r="C324" s="680"/>
      <c r="D324" s="139"/>
      <c r="E324" s="680"/>
      <c r="F324" s="139"/>
      <c r="G324" s="139"/>
      <c r="H324" s="680"/>
      <c r="I324" s="680"/>
      <c r="J324" s="139"/>
      <c r="K324" s="139"/>
      <c r="L324" s="139"/>
      <c r="M324" s="139"/>
      <c r="N324" s="139"/>
      <c r="O324" s="139"/>
      <c r="P324" s="139"/>
      <c r="Q324" s="139"/>
      <c r="R324" s="139"/>
      <c r="S324" s="139"/>
      <c r="T324" s="139"/>
      <c r="U324" s="139"/>
      <c r="V324" s="139"/>
      <c r="W324" s="139"/>
      <c r="X324" s="139"/>
      <c r="Y324" s="139"/>
      <c r="Z324" s="139"/>
      <c r="AA324" s="139"/>
    </row>
    <row r="325" spans="1:27" ht="15.75">
      <c r="A325" s="139"/>
      <c r="B325" s="139"/>
      <c r="C325" s="680"/>
      <c r="D325" s="139"/>
      <c r="E325" s="680"/>
      <c r="F325" s="139"/>
      <c r="G325" s="139"/>
      <c r="H325" s="680"/>
      <c r="I325" s="680"/>
      <c r="J325" s="139"/>
      <c r="K325" s="139"/>
      <c r="L325" s="139"/>
      <c r="M325" s="139"/>
      <c r="N325" s="139"/>
      <c r="O325" s="139"/>
      <c r="P325" s="139"/>
      <c r="Q325" s="139"/>
      <c r="R325" s="139"/>
      <c r="S325" s="139"/>
      <c r="T325" s="139"/>
      <c r="U325" s="139"/>
      <c r="V325" s="139"/>
      <c r="W325" s="139"/>
      <c r="X325" s="139"/>
      <c r="Y325" s="139"/>
      <c r="Z325" s="139"/>
      <c r="AA325" s="139"/>
    </row>
    <row r="326" spans="1:27" ht="15.75">
      <c r="A326" s="139"/>
      <c r="B326" s="139"/>
      <c r="C326" s="680"/>
      <c r="D326" s="139"/>
      <c r="E326" s="680"/>
      <c r="F326" s="139"/>
      <c r="G326" s="139"/>
      <c r="H326" s="680"/>
      <c r="I326" s="680"/>
      <c r="J326" s="139"/>
      <c r="K326" s="139"/>
      <c r="L326" s="139"/>
      <c r="M326" s="139"/>
      <c r="N326" s="139"/>
      <c r="O326" s="139"/>
      <c r="P326" s="139"/>
      <c r="Q326" s="139"/>
      <c r="R326" s="139"/>
      <c r="S326" s="139"/>
      <c r="T326" s="139"/>
      <c r="U326" s="139"/>
      <c r="V326" s="139"/>
      <c r="W326" s="139"/>
      <c r="X326" s="139"/>
      <c r="Y326" s="139"/>
      <c r="Z326" s="139"/>
      <c r="AA326" s="139"/>
    </row>
    <row r="327" spans="1:27" ht="15.75">
      <c r="A327" s="139"/>
      <c r="B327" s="139"/>
      <c r="C327" s="680"/>
      <c r="D327" s="139"/>
      <c r="E327" s="680"/>
      <c r="F327" s="139"/>
      <c r="G327" s="139"/>
      <c r="H327" s="680"/>
      <c r="I327" s="680"/>
      <c r="J327" s="139"/>
      <c r="K327" s="139"/>
      <c r="L327" s="139"/>
      <c r="M327" s="139"/>
      <c r="N327" s="139"/>
      <c r="O327" s="139"/>
      <c r="P327" s="139"/>
      <c r="Q327" s="139"/>
      <c r="R327" s="139"/>
      <c r="S327" s="139"/>
      <c r="T327" s="139"/>
      <c r="U327" s="139"/>
      <c r="V327" s="139"/>
      <c r="W327" s="139"/>
      <c r="X327" s="139"/>
      <c r="Y327" s="139"/>
      <c r="Z327" s="139"/>
      <c r="AA327" s="139"/>
    </row>
    <row r="328" spans="1:27" ht="15.75">
      <c r="A328" s="139"/>
      <c r="B328" s="139"/>
      <c r="C328" s="680"/>
      <c r="D328" s="139"/>
      <c r="E328" s="680"/>
      <c r="F328" s="139"/>
      <c r="G328" s="139"/>
      <c r="H328" s="680"/>
      <c r="I328" s="680"/>
      <c r="J328" s="139"/>
      <c r="K328" s="139"/>
      <c r="L328" s="139"/>
      <c r="M328" s="139"/>
      <c r="N328" s="139"/>
      <c r="O328" s="139"/>
      <c r="P328" s="139"/>
      <c r="Q328" s="139"/>
      <c r="R328" s="139"/>
      <c r="S328" s="139"/>
      <c r="T328" s="139"/>
      <c r="U328" s="139"/>
      <c r="V328" s="139"/>
      <c r="W328" s="139"/>
      <c r="X328" s="139"/>
      <c r="Y328" s="139"/>
      <c r="Z328" s="139"/>
      <c r="AA328" s="139"/>
    </row>
    <row r="329" spans="1:27" ht="15.75">
      <c r="A329" s="139"/>
      <c r="B329" s="139"/>
      <c r="C329" s="680"/>
      <c r="D329" s="139"/>
      <c r="E329" s="680"/>
      <c r="F329" s="139"/>
      <c r="G329" s="139"/>
      <c r="H329" s="680"/>
      <c r="I329" s="680"/>
      <c r="J329" s="139"/>
      <c r="K329" s="139"/>
      <c r="L329" s="139"/>
      <c r="M329" s="139"/>
      <c r="N329" s="139"/>
      <c r="O329" s="139"/>
      <c r="P329" s="139"/>
      <c r="Q329" s="139"/>
      <c r="R329" s="139"/>
      <c r="S329" s="139"/>
      <c r="T329" s="139"/>
      <c r="U329" s="139"/>
      <c r="V329" s="139"/>
      <c r="W329" s="139"/>
      <c r="X329" s="139"/>
      <c r="Y329" s="139"/>
      <c r="Z329" s="139"/>
      <c r="AA329" s="139"/>
    </row>
    <row r="330" spans="1:27" ht="15.75">
      <c r="A330" s="139"/>
      <c r="B330" s="139"/>
      <c r="C330" s="680"/>
      <c r="D330" s="139"/>
      <c r="E330" s="680"/>
      <c r="F330" s="139"/>
      <c r="G330" s="139"/>
      <c r="H330" s="680"/>
      <c r="I330" s="680"/>
      <c r="J330" s="139"/>
      <c r="K330" s="139"/>
      <c r="L330" s="139"/>
      <c r="M330" s="139"/>
      <c r="N330" s="139"/>
      <c r="O330" s="139"/>
      <c r="P330" s="139"/>
      <c r="Q330" s="139"/>
      <c r="R330" s="139"/>
      <c r="S330" s="139"/>
      <c r="T330" s="139"/>
      <c r="U330" s="139"/>
      <c r="V330" s="139"/>
      <c r="W330" s="139"/>
      <c r="X330" s="139"/>
      <c r="Y330" s="139"/>
      <c r="Z330" s="139"/>
      <c r="AA330" s="139"/>
    </row>
    <row r="331" spans="1:27" ht="15.75">
      <c r="A331" s="139"/>
      <c r="B331" s="139"/>
      <c r="C331" s="680"/>
      <c r="D331" s="139"/>
      <c r="E331" s="680"/>
      <c r="F331" s="139"/>
      <c r="G331" s="139"/>
      <c r="H331" s="680"/>
      <c r="I331" s="680"/>
      <c r="J331" s="139"/>
      <c r="K331" s="139"/>
      <c r="L331" s="139"/>
      <c r="M331" s="139"/>
      <c r="N331" s="139"/>
      <c r="O331" s="139"/>
      <c r="P331" s="139"/>
      <c r="Q331" s="139"/>
      <c r="R331" s="139"/>
      <c r="S331" s="139"/>
      <c r="T331" s="139"/>
      <c r="U331" s="139"/>
      <c r="V331" s="139"/>
      <c r="W331" s="139"/>
      <c r="X331" s="139"/>
      <c r="Y331" s="139"/>
      <c r="Z331" s="139"/>
      <c r="AA331" s="139"/>
    </row>
    <row r="332" spans="1:27" ht="15.75">
      <c r="A332" s="139"/>
      <c r="B332" s="139"/>
      <c r="C332" s="680"/>
      <c r="D332" s="139"/>
      <c r="E332" s="680"/>
      <c r="F332" s="139"/>
      <c r="G332" s="139"/>
      <c r="H332" s="680"/>
      <c r="I332" s="680"/>
      <c r="J332" s="139"/>
      <c r="K332" s="139"/>
      <c r="L332" s="139"/>
      <c r="M332" s="139"/>
      <c r="N332" s="139"/>
      <c r="O332" s="139"/>
      <c r="P332" s="139"/>
      <c r="Q332" s="139"/>
      <c r="R332" s="139"/>
      <c r="S332" s="139"/>
      <c r="T332" s="139"/>
      <c r="U332" s="139"/>
      <c r="V332" s="139"/>
      <c r="W332" s="139"/>
      <c r="X332" s="139"/>
      <c r="Y332" s="139"/>
      <c r="Z332" s="139"/>
      <c r="AA332" s="139"/>
    </row>
    <row r="333" spans="1:27" ht="15.75">
      <c r="A333" s="139"/>
      <c r="B333" s="139"/>
      <c r="C333" s="680"/>
      <c r="D333" s="139"/>
      <c r="E333" s="680"/>
      <c r="F333" s="139"/>
      <c r="G333" s="139"/>
      <c r="H333" s="680"/>
      <c r="I333" s="680"/>
      <c r="J333" s="139"/>
      <c r="K333" s="139"/>
      <c r="L333" s="139"/>
      <c r="M333" s="139"/>
      <c r="N333" s="139"/>
      <c r="O333" s="139"/>
      <c r="P333" s="139"/>
      <c r="Q333" s="139"/>
      <c r="R333" s="139"/>
      <c r="S333" s="139"/>
      <c r="T333" s="139"/>
      <c r="U333" s="139"/>
      <c r="V333" s="139"/>
      <c r="W333" s="139"/>
      <c r="X333" s="139"/>
      <c r="Y333" s="139"/>
      <c r="Z333" s="139"/>
      <c r="AA333" s="139"/>
    </row>
    <row r="334" spans="1:27" ht="15.75">
      <c r="A334" s="139"/>
      <c r="B334" s="139"/>
      <c r="C334" s="680"/>
      <c r="D334" s="139"/>
      <c r="E334" s="680"/>
      <c r="F334" s="139"/>
      <c r="G334" s="139"/>
      <c r="H334" s="680"/>
      <c r="I334" s="680"/>
      <c r="J334" s="139"/>
      <c r="K334" s="139"/>
      <c r="L334" s="139"/>
      <c r="M334" s="139"/>
      <c r="N334" s="139"/>
      <c r="O334" s="139"/>
      <c r="P334" s="139"/>
      <c r="Q334" s="139"/>
      <c r="R334" s="139"/>
      <c r="S334" s="139"/>
      <c r="T334" s="139"/>
      <c r="U334" s="139"/>
      <c r="V334" s="139"/>
      <c r="W334" s="139"/>
      <c r="X334" s="139"/>
      <c r="Y334" s="139"/>
      <c r="Z334" s="139"/>
      <c r="AA334" s="139"/>
    </row>
    <row r="335" spans="1:27" ht="15.75">
      <c r="A335" s="139"/>
      <c r="B335" s="139"/>
      <c r="C335" s="680"/>
      <c r="D335" s="139"/>
      <c r="E335" s="680"/>
      <c r="F335" s="139"/>
      <c r="G335" s="139"/>
      <c r="H335" s="680"/>
      <c r="I335" s="680"/>
      <c r="J335" s="139"/>
      <c r="K335" s="139"/>
      <c r="L335" s="139"/>
      <c r="M335" s="139"/>
      <c r="N335" s="139"/>
      <c r="O335" s="139"/>
      <c r="P335" s="139"/>
      <c r="Q335" s="139"/>
      <c r="R335" s="139"/>
      <c r="S335" s="139"/>
      <c r="T335" s="139"/>
      <c r="U335" s="139"/>
      <c r="V335" s="139"/>
      <c r="W335" s="139"/>
      <c r="X335" s="139"/>
      <c r="Y335" s="139"/>
      <c r="Z335" s="139"/>
      <c r="AA335" s="139"/>
    </row>
    <row r="336" spans="1:27" ht="15.75">
      <c r="A336" s="139"/>
      <c r="B336" s="139"/>
      <c r="C336" s="680"/>
      <c r="D336" s="139"/>
      <c r="E336" s="680"/>
      <c r="F336" s="139"/>
      <c r="G336" s="139"/>
      <c r="H336" s="680"/>
      <c r="I336" s="680"/>
      <c r="J336" s="139"/>
      <c r="K336" s="139"/>
      <c r="L336" s="139"/>
      <c r="M336" s="139"/>
      <c r="N336" s="139"/>
      <c r="O336" s="139"/>
      <c r="P336" s="139"/>
      <c r="Q336" s="139"/>
      <c r="R336" s="139"/>
      <c r="S336" s="139"/>
      <c r="T336" s="139"/>
      <c r="U336" s="139"/>
      <c r="V336" s="139"/>
      <c r="W336" s="139"/>
      <c r="X336" s="139"/>
      <c r="Y336" s="139"/>
      <c r="Z336" s="139"/>
      <c r="AA336" s="139"/>
    </row>
    <row r="337" spans="1:27" ht="15.75">
      <c r="A337" s="139"/>
      <c r="B337" s="139"/>
      <c r="C337" s="680"/>
      <c r="D337" s="139"/>
      <c r="E337" s="680"/>
      <c r="F337" s="139"/>
      <c r="G337" s="139"/>
      <c r="H337" s="680"/>
      <c r="I337" s="680"/>
      <c r="J337" s="139"/>
      <c r="K337" s="139"/>
      <c r="L337" s="139"/>
      <c r="M337" s="139"/>
      <c r="N337" s="139"/>
      <c r="O337" s="139"/>
      <c r="P337" s="139"/>
      <c r="Q337" s="139"/>
      <c r="R337" s="139"/>
      <c r="S337" s="139"/>
      <c r="T337" s="139"/>
      <c r="U337" s="139"/>
      <c r="V337" s="139"/>
      <c r="W337" s="139"/>
      <c r="X337" s="139"/>
      <c r="Y337" s="139"/>
      <c r="Z337" s="139"/>
      <c r="AA337" s="139"/>
    </row>
    <row r="338" spans="1:27" ht="15.75">
      <c r="A338" s="139"/>
      <c r="B338" s="139"/>
      <c r="C338" s="680"/>
      <c r="D338" s="139"/>
      <c r="E338" s="680"/>
      <c r="F338" s="139"/>
      <c r="G338" s="139"/>
      <c r="H338" s="680"/>
      <c r="I338" s="680"/>
      <c r="J338" s="139"/>
      <c r="K338" s="139"/>
      <c r="L338" s="139"/>
      <c r="M338" s="139"/>
      <c r="N338" s="139"/>
      <c r="O338" s="139"/>
      <c r="P338" s="139"/>
      <c r="Q338" s="139"/>
      <c r="R338" s="139"/>
      <c r="S338" s="139"/>
      <c r="T338" s="139"/>
      <c r="U338" s="139"/>
      <c r="V338" s="139"/>
      <c r="W338" s="139"/>
      <c r="X338" s="139"/>
      <c r="Y338" s="139"/>
      <c r="Z338" s="139"/>
      <c r="AA338" s="139"/>
    </row>
    <row r="339" spans="1:27" ht="15.75">
      <c r="A339" s="139"/>
      <c r="B339" s="139"/>
      <c r="C339" s="680"/>
      <c r="D339" s="139"/>
      <c r="E339" s="680"/>
      <c r="F339" s="139"/>
      <c r="G339" s="139"/>
      <c r="H339" s="680"/>
      <c r="I339" s="680"/>
      <c r="J339" s="139"/>
      <c r="K339" s="139"/>
      <c r="L339" s="139"/>
      <c r="M339" s="139"/>
      <c r="N339" s="139"/>
      <c r="O339" s="139"/>
      <c r="P339" s="139"/>
      <c r="Q339" s="139"/>
      <c r="R339" s="139"/>
      <c r="S339" s="139"/>
      <c r="T339" s="139"/>
      <c r="U339" s="139"/>
      <c r="V339" s="139"/>
      <c r="W339" s="139"/>
      <c r="X339" s="139"/>
      <c r="Y339" s="139"/>
      <c r="Z339" s="139"/>
      <c r="AA339" s="139"/>
    </row>
    <row r="340" spans="1:27" ht="15.75">
      <c r="A340" s="139"/>
      <c r="B340" s="139"/>
      <c r="C340" s="680"/>
      <c r="D340" s="139"/>
      <c r="E340" s="680"/>
      <c r="F340" s="139"/>
      <c r="G340" s="139"/>
      <c r="H340" s="680"/>
      <c r="I340" s="680"/>
      <c r="J340" s="139"/>
      <c r="K340" s="139"/>
      <c r="L340" s="139"/>
      <c r="M340" s="139"/>
      <c r="N340" s="139"/>
      <c r="O340" s="139"/>
      <c r="P340" s="139"/>
      <c r="Q340" s="139"/>
      <c r="R340" s="139"/>
      <c r="S340" s="139"/>
      <c r="T340" s="139"/>
      <c r="U340" s="139"/>
      <c r="V340" s="139"/>
      <c r="W340" s="139"/>
      <c r="X340" s="139"/>
      <c r="Y340" s="139"/>
      <c r="Z340" s="139"/>
      <c r="AA340" s="139"/>
    </row>
    <row r="341" spans="1:27" ht="15.75">
      <c r="A341" s="139"/>
      <c r="B341" s="139"/>
      <c r="C341" s="680"/>
      <c r="D341" s="139"/>
      <c r="E341" s="680"/>
      <c r="F341" s="139"/>
      <c r="G341" s="139"/>
      <c r="H341" s="680"/>
      <c r="I341" s="680"/>
      <c r="J341" s="139"/>
      <c r="K341" s="139"/>
      <c r="L341" s="139"/>
      <c r="M341" s="139"/>
      <c r="N341" s="139"/>
      <c r="O341" s="139"/>
      <c r="P341" s="139"/>
      <c r="Q341" s="139"/>
      <c r="R341" s="139"/>
      <c r="S341" s="139"/>
      <c r="T341" s="139"/>
      <c r="U341" s="139"/>
      <c r="V341" s="139"/>
      <c r="W341" s="139"/>
      <c r="X341" s="139"/>
      <c r="Y341" s="139"/>
      <c r="Z341" s="139"/>
      <c r="AA341" s="139"/>
    </row>
    <row r="342" spans="1:27" ht="15.75">
      <c r="A342" s="139"/>
      <c r="B342" s="139"/>
      <c r="C342" s="680"/>
      <c r="D342" s="139"/>
      <c r="E342" s="680"/>
      <c r="F342" s="139"/>
      <c r="G342" s="139"/>
      <c r="H342" s="680"/>
      <c r="I342" s="680"/>
      <c r="J342" s="139"/>
      <c r="K342" s="139"/>
      <c r="L342" s="139"/>
      <c r="M342" s="139"/>
      <c r="N342" s="139"/>
      <c r="O342" s="139"/>
      <c r="P342" s="139"/>
      <c r="Q342" s="139"/>
      <c r="R342" s="139"/>
      <c r="S342" s="139"/>
      <c r="T342" s="139"/>
      <c r="U342" s="139"/>
      <c r="V342" s="139"/>
      <c r="W342" s="139"/>
      <c r="X342" s="139"/>
      <c r="Y342" s="139"/>
      <c r="Z342" s="139"/>
      <c r="AA342" s="139"/>
    </row>
    <row r="343" spans="1:27" ht="15.75">
      <c r="A343" s="139"/>
      <c r="B343" s="139"/>
      <c r="C343" s="680"/>
      <c r="D343" s="139"/>
      <c r="E343" s="680"/>
      <c r="F343" s="139"/>
      <c r="G343" s="139"/>
      <c r="H343" s="680"/>
      <c r="I343" s="680"/>
      <c r="J343" s="139"/>
      <c r="K343" s="139"/>
      <c r="L343" s="139"/>
      <c r="M343" s="139"/>
      <c r="N343" s="139"/>
      <c r="O343" s="139"/>
      <c r="P343" s="139"/>
      <c r="Q343" s="139"/>
      <c r="R343" s="139"/>
      <c r="S343" s="139"/>
      <c r="T343" s="139"/>
      <c r="U343" s="139"/>
      <c r="V343" s="139"/>
      <c r="W343" s="139"/>
      <c r="X343" s="139"/>
      <c r="Y343" s="139"/>
      <c r="Z343" s="139"/>
      <c r="AA343" s="139"/>
    </row>
    <row r="344" spans="1:27" ht="15.75">
      <c r="A344" s="139"/>
      <c r="B344" s="139"/>
      <c r="C344" s="680"/>
      <c r="D344" s="139"/>
      <c r="E344" s="680"/>
      <c r="F344" s="139"/>
      <c r="G344" s="139"/>
      <c r="H344" s="680"/>
      <c r="I344" s="680"/>
      <c r="J344" s="139"/>
      <c r="K344" s="139"/>
      <c r="L344" s="139"/>
      <c r="M344" s="139"/>
      <c r="N344" s="139"/>
      <c r="O344" s="139"/>
      <c r="P344" s="139"/>
      <c r="Q344" s="139"/>
      <c r="R344" s="139"/>
      <c r="S344" s="139"/>
      <c r="T344" s="139"/>
      <c r="U344" s="139"/>
      <c r="V344" s="139"/>
      <c r="W344" s="139"/>
      <c r="X344" s="139"/>
      <c r="Y344" s="139"/>
      <c r="Z344" s="139"/>
      <c r="AA344" s="139"/>
    </row>
    <row r="345" spans="1:27" ht="15.75">
      <c r="A345" s="139"/>
      <c r="B345" s="139"/>
      <c r="C345" s="680"/>
      <c r="D345" s="139"/>
      <c r="E345" s="680"/>
      <c r="F345" s="139"/>
      <c r="G345" s="139"/>
      <c r="H345" s="680"/>
      <c r="I345" s="680"/>
      <c r="J345" s="139"/>
      <c r="K345" s="139"/>
      <c r="L345" s="139"/>
      <c r="M345" s="139"/>
      <c r="N345" s="139"/>
      <c r="O345" s="139"/>
      <c r="P345" s="139"/>
      <c r="Q345" s="139"/>
      <c r="R345" s="139"/>
      <c r="S345" s="139"/>
      <c r="T345" s="139"/>
      <c r="U345" s="139"/>
      <c r="V345" s="139"/>
      <c r="W345" s="139"/>
      <c r="X345" s="139"/>
      <c r="Y345" s="139"/>
      <c r="Z345" s="139"/>
      <c r="AA345" s="139"/>
    </row>
    <row r="346" spans="1:27" ht="15.75">
      <c r="A346" s="139"/>
      <c r="B346" s="139"/>
      <c r="C346" s="680"/>
      <c r="D346" s="139"/>
      <c r="E346" s="680"/>
      <c r="F346" s="139"/>
      <c r="G346" s="139"/>
      <c r="H346" s="680"/>
      <c r="I346" s="680"/>
      <c r="J346" s="139"/>
      <c r="K346" s="139"/>
      <c r="L346" s="139"/>
      <c r="M346" s="139"/>
      <c r="N346" s="139"/>
      <c r="O346" s="139"/>
      <c r="P346" s="139"/>
      <c r="Q346" s="139"/>
      <c r="R346" s="139"/>
      <c r="S346" s="139"/>
      <c r="T346" s="139"/>
      <c r="U346" s="139"/>
      <c r="V346" s="139"/>
      <c r="W346" s="139"/>
      <c r="X346" s="139"/>
      <c r="Y346" s="139"/>
      <c r="Z346" s="139"/>
      <c r="AA346" s="139"/>
    </row>
    <row r="347" spans="1:27" ht="15.75">
      <c r="A347" s="139"/>
      <c r="B347" s="139"/>
      <c r="C347" s="680"/>
      <c r="D347" s="139"/>
      <c r="E347" s="680"/>
      <c r="F347" s="139"/>
      <c r="G347" s="139"/>
      <c r="H347" s="680"/>
      <c r="I347" s="680"/>
      <c r="J347" s="139"/>
      <c r="K347" s="139"/>
      <c r="L347" s="139"/>
      <c r="M347" s="139"/>
      <c r="N347" s="139"/>
      <c r="O347" s="139"/>
      <c r="P347" s="139"/>
      <c r="Q347" s="139"/>
      <c r="R347" s="139"/>
      <c r="S347" s="139"/>
      <c r="T347" s="139"/>
      <c r="U347" s="139"/>
      <c r="V347" s="139"/>
      <c r="W347" s="139"/>
      <c r="X347" s="139"/>
      <c r="Y347" s="139"/>
      <c r="Z347" s="139"/>
      <c r="AA347" s="139"/>
    </row>
    <row r="348" spans="1:27" ht="15.75">
      <c r="A348" s="139"/>
      <c r="B348" s="139"/>
      <c r="C348" s="680"/>
      <c r="D348" s="139"/>
      <c r="E348" s="680"/>
      <c r="F348" s="139"/>
      <c r="G348" s="139"/>
      <c r="H348" s="680"/>
      <c r="I348" s="680"/>
      <c r="J348" s="139"/>
      <c r="K348" s="139"/>
      <c r="L348" s="139"/>
      <c r="M348" s="139"/>
      <c r="N348" s="139"/>
      <c r="O348" s="139"/>
      <c r="P348" s="139"/>
      <c r="Q348" s="139"/>
      <c r="R348" s="139"/>
      <c r="S348" s="139"/>
      <c r="T348" s="139"/>
      <c r="U348" s="139"/>
      <c r="V348" s="139"/>
      <c r="W348" s="139"/>
      <c r="X348" s="139"/>
      <c r="Y348" s="139"/>
      <c r="Z348" s="139"/>
      <c r="AA348" s="139"/>
    </row>
    <row r="349" spans="1:27" ht="15.75">
      <c r="A349" s="139"/>
      <c r="B349" s="139"/>
      <c r="C349" s="680"/>
      <c r="D349" s="139"/>
      <c r="E349" s="680"/>
      <c r="F349" s="139"/>
      <c r="G349" s="139"/>
      <c r="H349" s="680"/>
      <c r="I349" s="680"/>
      <c r="J349" s="139"/>
      <c r="K349" s="139"/>
      <c r="L349" s="139"/>
      <c r="M349" s="139"/>
      <c r="N349" s="139"/>
      <c r="O349" s="139"/>
      <c r="P349" s="139"/>
      <c r="Q349" s="139"/>
      <c r="R349" s="139"/>
      <c r="S349" s="139"/>
      <c r="T349" s="139"/>
      <c r="U349" s="139"/>
      <c r="V349" s="139"/>
      <c r="W349" s="139"/>
      <c r="X349" s="139"/>
      <c r="Y349" s="139"/>
      <c r="Z349" s="139"/>
      <c r="AA349" s="139"/>
    </row>
    <row r="350" spans="1:27" ht="15.75">
      <c r="A350" s="139"/>
      <c r="B350" s="139"/>
      <c r="C350" s="680"/>
      <c r="D350" s="139"/>
      <c r="E350" s="680"/>
      <c r="F350" s="139"/>
      <c r="G350" s="139"/>
      <c r="H350" s="680"/>
      <c r="I350" s="680"/>
      <c r="J350" s="139"/>
      <c r="K350" s="139"/>
      <c r="L350" s="139"/>
      <c r="M350" s="139"/>
      <c r="N350" s="139"/>
      <c r="O350" s="139"/>
      <c r="P350" s="139"/>
      <c r="Q350" s="139"/>
      <c r="R350" s="139"/>
      <c r="S350" s="139"/>
      <c r="T350" s="139"/>
      <c r="U350" s="139"/>
      <c r="V350" s="139"/>
      <c r="W350" s="139"/>
      <c r="X350" s="139"/>
      <c r="Y350" s="139"/>
      <c r="Z350" s="139"/>
      <c r="AA350" s="139"/>
    </row>
    <row r="351" spans="1:27" ht="15.75">
      <c r="A351" s="139"/>
      <c r="B351" s="139"/>
      <c r="C351" s="680"/>
      <c r="D351" s="139"/>
      <c r="E351" s="680"/>
      <c r="F351" s="139"/>
      <c r="G351" s="139"/>
      <c r="H351" s="680"/>
      <c r="I351" s="680"/>
      <c r="J351" s="139"/>
      <c r="K351" s="139"/>
      <c r="L351" s="139"/>
      <c r="M351" s="139"/>
      <c r="N351" s="139"/>
      <c r="O351" s="139"/>
      <c r="P351" s="139"/>
      <c r="Q351" s="139"/>
      <c r="R351" s="139"/>
      <c r="S351" s="139"/>
      <c r="T351" s="139"/>
      <c r="U351" s="139"/>
      <c r="V351" s="139"/>
      <c r="W351" s="139"/>
      <c r="X351" s="139"/>
      <c r="Y351" s="139"/>
      <c r="Z351" s="139"/>
      <c r="AA351" s="139"/>
    </row>
    <row r="352" spans="1:27" ht="15.75">
      <c r="A352" s="139"/>
      <c r="B352" s="139"/>
      <c r="C352" s="680"/>
      <c r="D352" s="139"/>
      <c r="E352" s="680"/>
      <c r="F352" s="139"/>
      <c r="G352" s="139"/>
      <c r="H352" s="680"/>
      <c r="I352" s="680"/>
      <c r="J352" s="139"/>
      <c r="K352" s="139"/>
      <c r="L352" s="139"/>
      <c r="M352" s="139"/>
      <c r="N352" s="139"/>
      <c r="O352" s="139"/>
      <c r="P352" s="139"/>
      <c r="Q352" s="139"/>
      <c r="R352" s="139"/>
      <c r="S352" s="139"/>
      <c r="T352" s="139"/>
      <c r="U352" s="139"/>
      <c r="V352" s="139"/>
      <c r="W352" s="139"/>
      <c r="X352" s="139"/>
      <c r="Y352" s="139"/>
      <c r="Z352" s="139"/>
      <c r="AA352" s="139"/>
    </row>
    <row r="353" spans="1:27" ht="15.75">
      <c r="A353" s="139"/>
      <c r="B353" s="139"/>
      <c r="C353" s="680"/>
      <c r="D353" s="139"/>
      <c r="E353" s="680"/>
      <c r="F353" s="139"/>
      <c r="G353" s="139"/>
      <c r="H353" s="680"/>
      <c r="I353" s="680"/>
      <c r="J353" s="139"/>
      <c r="K353" s="139"/>
      <c r="L353" s="139"/>
      <c r="M353" s="139"/>
      <c r="N353" s="139"/>
      <c r="O353" s="139"/>
      <c r="P353" s="139"/>
      <c r="Q353" s="139"/>
      <c r="R353" s="139"/>
      <c r="S353" s="139"/>
      <c r="T353" s="139"/>
      <c r="U353" s="139"/>
      <c r="V353" s="139"/>
      <c r="W353" s="139"/>
      <c r="X353" s="139"/>
      <c r="Y353" s="139"/>
      <c r="Z353" s="139"/>
      <c r="AA353" s="139"/>
    </row>
    <row r="354" spans="1:27" ht="15.75">
      <c r="A354" s="139"/>
      <c r="B354" s="139"/>
      <c r="C354" s="680"/>
      <c r="D354" s="139"/>
      <c r="E354" s="680"/>
      <c r="F354" s="139"/>
      <c r="G354" s="139"/>
      <c r="H354" s="680"/>
      <c r="I354" s="680"/>
      <c r="J354" s="139"/>
      <c r="K354" s="139"/>
      <c r="L354" s="139"/>
      <c r="M354" s="139"/>
      <c r="N354" s="139"/>
      <c r="O354" s="139"/>
      <c r="P354" s="139"/>
      <c r="Q354" s="139"/>
      <c r="R354" s="139"/>
      <c r="S354" s="139"/>
      <c r="T354" s="139"/>
      <c r="U354" s="139"/>
      <c r="V354" s="139"/>
      <c r="W354" s="139"/>
      <c r="X354" s="139"/>
      <c r="Y354" s="139"/>
      <c r="Z354" s="139"/>
      <c r="AA354" s="139"/>
    </row>
    <row r="355" spans="1:27" ht="15.75">
      <c r="A355" s="139"/>
      <c r="B355" s="139"/>
      <c r="C355" s="680"/>
      <c r="D355" s="139"/>
      <c r="E355" s="680"/>
      <c r="F355" s="139"/>
      <c r="G355" s="139"/>
      <c r="H355" s="680"/>
      <c r="I355" s="680"/>
      <c r="J355" s="139"/>
      <c r="K355" s="139"/>
      <c r="L355" s="139"/>
      <c r="M355" s="139"/>
      <c r="N355" s="139"/>
      <c r="O355" s="139"/>
      <c r="P355" s="139"/>
      <c r="Q355" s="139"/>
      <c r="R355" s="139"/>
      <c r="S355" s="139"/>
      <c r="T355" s="139"/>
      <c r="U355" s="139"/>
      <c r="V355" s="139"/>
      <c r="W355" s="139"/>
      <c r="X355" s="139"/>
      <c r="Y355" s="139"/>
      <c r="Z355" s="139"/>
      <c r="AA355" s="139"/>
    </row>
    <row r="356" spans="1:27" ht="15.75">
      <c r="A356" s="139"/>
      <c r="B356" s="139"/>
      <c r="C356" s="680"/>
      <c r="D356" s="139"/>
      <c r="E356" s="680"/>
      <c r="F356" s="139"/>
      <c r="G356" s="139"/>
      <c r="H356" s="680"/>
      <c r="I356" s="680"/>
      <c r="J356" s="139"/>
      <c r="K356" s="139"/>
      <c r="L356" s="139"/>
      <c r="M356" s="139"/>
      <c r="N356" s="139"/>
      <c r="O356" s="139"/>
      <c r="P356" s="139"/>
      <c r="Q356" s="139"/>
      <c r="R356" s="139"/>
      <c r="S356" s="139"/>
      <c r="T356" s="139"/>
      <c r="U356" s="139"/>
      <c r="V356" s="139"/>
      <c r="W356" s="139"/>
      <c r="X356" s="139"/>
      <c r="Y356" s="139"/>
      <c r="Z356" s="139"/>
      <c r="AA356" s="139"/>
    </row>
    <row r="357" spans="1:27" ht="15.75">
      <c r="A357" s="139"/>
      <c r="B357" s="139"/>
      <c r="C357" s="680"/>
      <c r="D357" s="139"/>
      <c r="E357" s="680"/>
      <c r="F357" s="139"/>
      <c r="G357" s="139"/>
      <c r="H357" s="680"/>
      <c r="I357" s="680"/>
      <c r="J357" s="139"/>
      <c r="K357" s="139"/>
      <c r="L357" s="139"/>
      <c r="M357" s="139"/>
      <c r="N357" s="139"/>
      <c r="O357" s="139"/>
      <c r="P357" s="139"/>
      <c r="Q357" s="139"/>
      <c r="R357" s="139"/>
      <c r="S357" s="139"/>
      <c r="T357" s="139"/>
      <c r="U357" s="139"/>
      <c r="V357" s="139"/>
      <c r="W357" s="139"/>
      <c r="X357" s="139"/>
      <c r="Y357" s="139"/>
      <c r="Z357" s="139"/>
      <c r="AA357" s="139"/>
    </row>
    <row r="358" spans="1:27" ht="15.75">
      <c r="A358" s="139"/>
      <c r="B358" s="139"/>
      <c r="C358" s="680"/>
      <c r="D358" s="139"/>
      <c r="E358" s="680"/>
      <c r="F358" s="139"/>
      <c r="G358" s="139"/>
      <c r="H358" s="680"/>
      <c r="I358" s="680"/>
      <c r="J358" s="139"/>
      <c r="K358" s="139"/>
      <c r="L358" s="139"/>
      <c r="M358" s="139"/>
      <c r="N358" s="139"/>
      <c r="O358" s="139"/>
      <c r="P358" s="139"/>
      <c r="Q358" s="139"/>
      <c r="R358" s="139"/>
      <c r="S358" s="139"/>
      <c r="T358" s="139"/>
      <c r="U358" s="139"/>
      <c r="V358" s="139"/>
      <c r="W358" s="139"/>
      <c r="X358" s="139"/>
      <c r="Y358" s="139"/>
      <c r="Z358" s="139"/>
      <c r="AA358" s="139"/>
    </row>
    <row r="359" spans="1:27" ht="15.75">
      <c r="A359" s="139"/>
      <c r="B359" s="139"/>
      <c r="C359" s="680"/>
      <c r="D359" s="139"/>
      <c r="E359" s="680"/>
      <c r="F359" s="139"/>
      <c r="G359" s="139"/>
      <c r="H359" s="680"/>
      <c r="I359" s="680"/>
      <c r="J359" s="139"/>
      <c r="K359" s="139"/>
      <c r="L359" s="139"/>
      <c r="M359" s="139"/>
      <c r="N359" s="139"/>
      <c r="O359" s="139"/>
      <c r="P359" s="139"/>
      <c r="Q359" s="139"/>
      <c r="R359" s="139"/>
      <c r="S359" s="139"/>
      <c r="T359" s="139"/>
      <c r="U359" s="139"/>
      <c r="V359" s="139"/>
      <c r="W359" s="139"/>
      <c r="X359" s="139"/>
      <c r="Y359" s="139"/>
      <c r="Z359" s="139"/>
      <c r="AA359" s="139"/>
    </row>
    <row r="360" spans="1:27" ht="15.75">
      <c r="A360" s="139"/>
      <c r="B360" s="139"/>
      <c r="C360" s="680"/>
      <c r="D360" s="139"/>
      <c r="E360" s="680"/>
      <c r="F360" s="139"/>
      <c r="G360" s="139"/>
      <c r="H360" s="680"/>
      <c r="I360" s="680"/>
      <c r="J360" s="139"/>
      <c r="K360" s="139"/>
      <c r="L360" s="139"/>
      <c r="M360" s="139"/>
      <c r="N360" s="139"/>
      <c r="O360" s="139"/>
      <c r="P360" s="139"/>
      <c r="Q360" s="139"/>
      <c r="R360" s="139"/>
      <c r="S360" s="139"/>
      <c r="T360" s="139"/>
      <c r="U360" s="139"/>
      <c r="V360" s="139"/>
      <c r="W360" s="139"/>
      <c r="X360" s="139"/>
      <c r="Y360" s="139"/>
      <c r="Z360" s="139"/>
      <c r="AA360" s="139"/>
    </row>
    <row r="361" spans="1:27" ht="15.75">
      <c r="A361" s="139"/>
      <c r="B361" s="139"/>
      <c r="C361" s="680"/>
      <c r="D361" s="139"/>
      <c r="E361" s="680"/>
      <c r="F361" s="139"/>
      <c r="G361" s="139"/>
      <c r="H361" s="680"/>
      <c r="I361" s="680"/>
      <c r="J361" s="139"/>
      <c r="K361" s="139"/>
      <c r="L361" s="139"/>
      <c r="M361" s="139"/>
      <c r="N361" s="139"/>
      <c r="O361" s="139"/>
      <c r="P361" s="139"/>
      <c r="Q361" s="139"/>
      <c r="R361" s="139"/>
      <c r="S361" s="139"/>
      <c r="T361" s="139"/>
      <c r="U361" s="139"/>
      <c r="V361" s="139"/>
      <c r="W361" s="139"/>
      <c r="X361" s="139"/>
      <c r="Y361" s="139"/>
      <c r="Z361" s="139"/>
      <c r="AA361" s="139"/>
    </row>
    <row r="362" spans="1:27" ht="15.75">
      <c r="A362" s="139"/>
      <c r="B362" s="139"/>
      <c r="C362" s="680"/>
      <c r="D362" s="139"/>
      <c r="E362" s="680"/>
      <c r="F362" s="139"/>
      <c r="G362" s="139"/>
      <c r="H362" s="680"/>
      <c r="I362" s="680"/>
      <c r="J362" s="139"/>
      <c r="K362" s="139"/>
      <c r="L362" s="139"/>
      <c r="M362" s="139"/>
      <c r="N362" s="139"/>
      <c r="O362" s="139"/>
      <c r="P362" s="139"/>
      <c r="Q362" s="139"/>
      <c r="R362" s="139"/>
      <c r="S362" s="139"/>
      <c r="T362" s="139"/>
      <c r="U362" s="139"/>
      <c r="V362" s="139"/>
      <c r="W362" s="139"/>
      <c r="X362" s="139"/>
      <c r="Y362" s="139"/>
      <c r="Z362" s="139"/>
      <c r="AA362" s="139"/>
    </row>
    <row r="363" spans="1:27" ht="15.75">
      <c r="A363" s="139"/>
      <c r="B363" s="139"/>
      <c r="C363" s="680"/>
      <c r="D363" s="139"/>
      <c r="E363" s="680"/>
      <c r="F363" s="139"/>
      <c r="G363" s="139"/>
      <c r="H363" s="680"/>
      <c r="I363" s="680"/>
      <c r="J363" s="139"/>
      <c r="K363" s="139"/>
      <c r="L363" s="139"/>
      <c r="M363" s="139"/>
      <c r="N363" s="139"/>
      <c r="O363" s="139"/>
      <c r="P363" s="139"/>
      <c r="Q363" s="139"/>
      <c r="R363" s="139"/>
      <c r="S363" s="139"/>
      <c r="T363" s="139"/>
      <c r="U363" s="139"/>
      <c r="V363" s="139"/>
      <c r="W363" s="139"/>
      <c r="X363" s="139"/>
      <c r="Y363" s="139"/>
      <c r="Z363" s="139"/>
      <c r="AA363" s="139"/>
    </row>
    <row r="364" spans="1:27" ht="15.75">
      <c r="A364" s="139"/>
      <c r="B364" s="139"/>
      <c r="C364" s="680"/>
      <c r="D364" s="139"/>
      <c r="E364" s="680"/>
      <c r="F364" s="139"/>
      <c r="G364" s="139"/>
      <c r="H364" s="680"/>
      <c r="I364" s="680"/>
      <c r="J364" s="139"/>
      <c r="K364" s="139"/>
      <c r="L364" s="139"/>
      <c r="M364" s="139"/>
      <c r="N364" s="139"/>
      <c r="O364" s="139"/>
      <c r="P364" s="139"/>
      <c r="Q364" s="139"/>
      <c r="R364" s="139"/>
      <c r="S364" s="139"/>
      <c r="T364" s="139"/>
      <c r="U364" s="139"/>
      <c r="V364" s="139"/>
      <c r="W364" s="139"/>
      <c r="X364" s="139"/>
      <c r="Y364" s="139"/>
      <c r="Z364" s="139"/>
      <c r="AA364" s="139"/>
    </row>
    <row r="365" spans="1:27" ht="15.75">
      <c r="A365" s="139"/>
      <c r="B365" s="139"/>
      <c r="C365" s="680"/>
      <c r="D365" s="139"/>
      <c r="E365" s="680"/>
      <c r="F365" s="139"/>
      <c r="G365" s="139"/>
      <c r="H365" s="680"/>
      <c r="I365" s="680"/>
      <c r="J365" s="139"/>
      <c r="K365" s="139"/>
      <c r="L365" s="139"/>
      <c r="M365" s="139"/>
      <c r="N365" s="139"/>
      <c r="O365" s="139"/>
      <c r="P365" s="139"/>
      <c r="Q365" s="139"/>
      <c r="R365" s="139"/>
      <c r="S365" s="139"/>
      <c r="T365" s="139"/>
      <c r="U365" s="139"/>
      <c r="V365" s="139"/>
      <c r="W365" s="139"/>
      <c r="X365" s="139"/>
      <c r="Y365" s="139"/>
      <c r="Z365" s="139"/>
      <c r="AA365" s="139"/>
    </row>
    <row r="366" spans="1:27" ht="15.75">
      <c r="A366" s="139"/>
      <c r="B366" s="139"/>
      <c r="C366" s="680"/>
      <c r="D366" s="139"/>
      <c r="E366" s="680"/>
      <c r="F366" s="139"/>
      <c r="G366" s="139"/>
      <c r="H366" s="680"/>
      <c r="I366" s="680"/>
      <c r="J366" s="139"/>
      <c r="K366" s="139"/>
      <c r="L366" s="139"/>
      <c r="M366" s="139"/>
      <c r="N366" s="139"/>
      <c r="O366" s="139"/>
      <c r="P366" s="139"/>
      <c r="Q366" s="139"/>
      <c r="R366" s="139"/>
      <c r="S366" s="139"/>
      <c r="T366" s="139"/>
      <c r="U366" s="139"/>
      <c r="V366" s="139"/>
      <c r="W366" s="139"/>
      <c r="X366" s="139"/>
      <c r="Y366" s="139"/>
      <c r="Z366" s="139"/>
      <c r="AA366" s="139"/>
    </row>
    <row r="367" spans="1:27" ht="15.75">
      <c r="A367" s="139"/>
      <c r="B367" s="139"/>
      <c r="C367" s="680"/>
      <c r="D367" s="139"/>
      <c r="E367" s="680"/>
      <c r="F367" s="139"/>
      <c r="G367" s="139"/>
      <c r="H367" s="680"/>
      <c r="I367" s="680"/>
      <c r="J367" s="139"/>
      <c r="K367" s="139"/>
      <c r="L367" s="139"/>
      <c r="M367" s="139"/>
      <c r="N367" s="139"/>
      <c r="O367" s="139"/>
      <c r="P367" s="139"/>
      <c r="Q367" s="139"/>
      <c r="R367" s="139"/>
      <c r="S367" s="139"/>
      <c r="T367" s="139"/>
      <c r="U367" s="139"/>
      <c r="V367" s="139"/>
      <c r="W367" s="139"/>
      <c r="X367" s="139"/>
      <c r="Y367" s="139"/>
      <c r="Z367" s="139"/>
      <c r="AA367" s="139"/>
    </row>
    <row r="368" spans="1:27" ht="15.75">
      <c r="A368" s="139"/>
      <c r="B368" s="139"/>
      <c r="C368" s="680"/>
      <c r="D368" s="139"/>
      <c r="E368" s="680"/>
      <c r="F368" s="139"/>
      <c r="G368" s="139"/>
      <c r="H368" s="680"/>
      <c r="I368" s="680"/>
      <c r="J368" s="139"/>
      <c r="K368" s="139"/>
      <c r="L368" s="139"/>
      <c r="M368" s="139"/>
      <c r="N368" s="139"/>
      <c r="O368" s="139"/>
      <c r="P368" s="139"/>
      <c r="Q368" s="139"/>
      <c r="R368" s="139"/>
      <c r="S368" s="139"/>
      <c r="T368" s="139"/>
      <c r="U368" s="139"/>
      <c r="V368" s="139"/>
      <c r="W368" s="139"/>
      <c r="X368" s="139"/>
      <c r="Y368" s="139"/>
      <c r="Z368" s="139"/>
      <c r="AA368" s="139"/>
    </row>
    <row r="369" spans="1:27" ht="15.75">
      <c r="A369" s="139"/>
      <c r="B369" s="139"/>
      <c r="C369" s="680"/>
      <c r="D369" s="139"/>
      <c r="E369" s="680"/>
      <c r="F369" s="139"/>
      <c r="G369" s="139"/>
      <c r="H369" s="680"/>
      <c r="I369" s="680"/>
      <c r="J369" s="139"/>
      <c r="K369" s="139"/>
      <c r="L369" s="139"/>
      <c r="M369" s="139"/>
      <c r="N369" s="139"/>
      <c r="O369" s="139"/>
      <c r="P369" s="139"/>
      <c r="Q369" s="139"/>
      <c r="R369" s="139"/>
      <c r="S369" s="139"/>
      <c r="T369" s="139"/>
      <c r="U369" s="139"/>
      <c r="V369" s="139"/>
      <c r="W369" s="139"/>
      <c r="X369" s="139"/>
      <c r="Y369" s="139"/>
      <c r="Z369" s="139"/>
      <c r="AA369" s="139"/>
    </row>
    <row r="370" spans="1:27" ht="15.75">
      <c r="A370" s="139"/>
      <c r="B370" s="139"/>
      <c r="C370" s="680"/>
      <c r="D370" s="139"/>
      <c r="E370" s="680"/>
      <c r="F370" s="139"/>
      <c r="G370" s="139"/>
      <c r="H370" s="680"/>
      <c r="I370" s="680"/>
      <c r="J370" s="139"/>
      <c r="K370" s="139"/>
      <c r="L370" s="139"/>
      <c r="M370" s="139"/>
      <c r="N370" s="139"/>
      <c r="O370" s="139"/>
      <c r="P370" s="139"/>
      <c r="Q370" s="139"/>
      <c r="R370" s="139"/>
      <c r="S370" s="139"/>
      <c r="T370" s="139"/>
      <c r="U370" s="139"/>
      <c r="V370" s="139"/>
      <c r="W370" s="139"/>
      <c r="X370" s="139"/>
      <c r="Y370" s="139"/>
      <c r="Z370" s="139"/>
      <c r="AA370" s="139"/>
    </row>
    <row r="371" spans="1:27" ht="15.75">
      <c r="A371" s="139"/>
      <c r="B371" s="139"/>
      <c r="C371" s="680"/>
      <c r="D371" s="139"/>
      <c r="E371" s="680"/>
      <c r="F371" s="139"/>
      <c r="G371" s="139"/>
      <c r="H371" s="680"/>
      <c r="I371" s="680"/>
      <c r="J371" s="139"/>
      <c r="K371" s="139"/>
      <c r="L371" s="139"/>
      <c r="M371" s="139"/>
      <c r="N371" s="139"/>
      <c r="O371" s="139"/>
      <c r="P371" s="139"/>
      <c r="Q371" s="139"/>
      <c r="R371" s="139"/>
      <c r="S371" s="139"/>
      <c r="T371" s="139"/>
      <c r="U371" s="139"/>
      <c r="V371" s="139"/>
      <c r="W371" s="139"/>
      <c r="X371" s="139"/>
      <c r="Y371" s="139"/>
      <c r="Z371" s="139"/>
      <c r="AA371" s="139"/>
    </row>
    <row r="372" spans="1:27" ht="15.75">
      <c r="A372" s="139"/>
      <c r="B372" s="139"/>
      <c r="C372" s="680"/>
      <c r="D372" s="139"/>
      <c r="E372" s="680"/>
      <c r="F372" s="139"/>
      <c r="G372" s="139"/>
      <c r="H372" s="680"/>
      <c r="I372" s="680"/>
      <c r="J372" s="139"/>
      <c r="K372" s="139"/>
      <c r="L372" s="139"/>
      <c r="M372" s="139"/>
      <c r="N372" s="139"/>
      <c r="O372" s="139"/>
      <c r="P372" s="139"/>
      <c r="Q372" s="139"/>
      <c r="R372" s="139"/>
      <c r="S372" s="139"/>
      <c r="T372" s="139"/>
      <c r="U372" s="139"/>
      <c r="V372" s="139"/>
      <c r="W372" s="139"/>
      <c r="X372" s="139"/>
      <c r="Y372" s="139"/>
      <c r="Z372" s="139"/>
      <c r="AA372" s="139"/>
    </row>
    <row r="373" spans="1:27" ht="15.75">
      <c r="A373" s="139"/>
      <c r="B373" s="139"/>
      <c r="C373" s="680"/>
      <c r="D373" s="139"/>
      <c r="E373" s="680"/>
      <c r="F373" s="139"/>
      <c r="G373" s="139"/>
      <c r="H373" s="680"/>
      <c r="I373" s="680"/>
      <c r="J373" s="139"/>
      <c r="K373" s="139"/>
      <c r="L373" s="139"/>
      <c r="M373" s="139"/>
      <c r="N373" s="139"/>
      <c r="O373" s="139"/>
      <c r="P373" s="139"/>
      <c r="Q373" s="139"/>
      <c r="R373" s="139"/>
      <c r="S373" s="139"/>
      <c r="T373" s="139"/>
      <c r="U373" s="139"/>
      <c r="V373" s="139"/>
      <c r="W373" s="139"/>
      <c r="X373" s="139"/>
      <c r="Y373" s="139"/>
      <c r="Z373" s="139"/>
      <c r="AA373" s="139"/>
    </row>
    <row r="374" spans="1:27" ht="15.75">
      <c r="A374" s="139"/>
      <c r="B374" s="139"/>
      <c r="C374" s="680"/>
      <c r="D374" s="139"/>
      <c r="E374" s="680"/>
      <c r="F374" s="139"/>
      <c r="G374" s="139"/>
      <c r="H374" s="680"/>
      <c r="I374" s="680"/>
      <c r="J374" s="139"/>
      <c r="K374" s="139"/>
      <c r="L374" s="139"/>
      <c r="M374" s="139"/>
      <c r="N374" s="139"/>
      <c r="O374" s="139"/>
      <c r="P374" s="139"/>
      <c r="Q374" s="139"/>
      <c r="R374" s="139"/>
      <c r="S374" s="139"/>
      <c r="T374" s="139"/>
      <c r="U374" s="139"/>
      <c r="V374" s="139"/>
      <c r="W374" s="139"/>
      <c r="X374" s="139"/>
      <c r="Y374" s="139"/>
      <c r="Z374" s="139"/>
      <c r="AA374" s="139"/>
    </row>
    <row r="375" spans="1:27" ht="15.75">
      <c r="A375" s="139"/>
      <c r="B375" s="139"/>
      <c r="C375" s="680"/>
      <c r="D375" s="139"/>
      <c r="E375" s="680"/>
      <c r="F375" s="139"/>
      <c r="G375" s="139"/>
      <c r="H375" s="680"/>
      <c r="I375" s="680"/>
      <c r="J375" s="139"/>
      <c r="K375" s="139"/>
      <c r="L375" s="139"/>
      <c r="M375" s="139"/>
      <c r="N375" s="139"/>
      <c r="O375" s="139"/>
      <c r="P375" s="139"/>
      <c r="Q375" s="139"/>
      <c r="R375" s="139"/>
      <c r="S375" s="139"/>
      <c r="T375" s="139"/>
      <c r="U375" s="139"/>
      <c r="V375" s="139"/>
      <c r="W375" s="139"/>
      <c r="X375" s="139"/>
      <c r="Y375" s="139"/>
      <c r="Z375" s="139"/>
      <c r="AA375" s="139"/>
    </row>
    <row r="376" spans="1:27" ht="15.75">
      <c r="A376" s="139"/>
      <c r="B376" s="139"/>
      <c r="C376" s="680"/>
      <c r="D376" s="139"/>
      <c r="E376" s="680"/>
      <c r="F376" s="139"/>
      <c r="G376" s="139"/>
      <c r="H376" s="680"/>
      <c r="I376" s="680"/>
      <c r="J376" s="139"/>
      <c r="K376" s="139"/>
      <c r="L376" s="139"/>
      <c r="M376" s="139"/>
      <c r="N376" s="139"/>
      <c r="O376" s="139"/>
      <c r="P376" s="139"/>
      <c r="Q376" s="139"/>
      <c r="R376" s="139"/>
      <c r="S376" s="139"/>
      <c r="T376" s="139"/>
      <c r="U376" s="139"/>
      <c r="V376" s="139"/>
      <c r="W376" s="139"/>
      <c r="X376" s="139"/>
      <c r="Y376" s="139"/>
      <c r="Z376" s="139"/>
      <c r="AA376" s="139"/>
    </row>
    <row r="377" spans="1:27" ht="15.75">
      <c r="A377" s="139"/>
      <c r="B377" s="139"/>
      <c r="C377" s="680"/>
      <c r="D377" s="139"/>
      <c r="E377" s="680"/>
      <c r="F377" s="139"/>
      <c r="G377" s="139"/>
      <c r="H377" s="680"/>
      <c r="I377" s="680"/>
      <c r="J377" s="139"/>
      <c r="K377" s="139"/>
      <c r="L377" s="139"/>
      <c r="M377" s="139"/>
      <c r="N377" s="139"/>
      <c r="O377" s="139"/>
      <c r="P377" s="139"/>
      <c r="Q377" s="139"/>
      <c r="R377" s="139"/>
      <c r="S377" s="139"/>
      <c r="T377" s="139"/>
      <c r="U377" s="139"/>
      <c r="V377" s="139"/>
      <c r="W377" s="139"/>
      <c r="X377" s="139"/>
      <c r="Y377" s="139"/>
      <c r="Z377" s="139"/>
      <c r="AA377" s="139"/>
    </row>
    <row r="378" spans="1:27" ht="15.75">
      <c r="A378" s="139"/>
      <c r="B378" s="139"/>
      <c r="C378" s="680"/>
      <c r="D378" s="139"/>
      <c r="E378" s="680"/>
      <c r="F378" s="139"/>
      <c r="G378" s="139"/>
      <c r="H378" s="680"/>
      <c r="I378" s="680"/>
      <c r="J378" s="139"/>
      <c r="K378" s="139"/>
      <c r="L378" s="139"/>
      <c r="M378" s="139"/>
      <c r="N378" s="139"/>
      <c r="O378" s="139"/>
      <c r="P378" s="139"/>
      <c r="Q378" s="139"/>
      <c r="R378" s="139"/>
      <c r="S378" s="139"/>
      <c r="T378" s="139"/>
      <c r="U378" s="139"/>
      <c r="V378" s="139"/>
      <c r="W378" s="139"/>
      <c r="X378" s="139"/>
      <c r="Y378" s="139"/>
      <c r="Z378" s="139"/>
      <c r="AA378" s="139"/>
    </row>
    <row r="379" spans="1:27" ht="15.75">
      <c r="A379" s="139"/>
      <c r="B379" s="139"/>
      <c r="C379" s="680"/>
      <c r="D379" s="139"/>
      <c r="E379" s="680"/>
      <c r="F379" s="139"/>
      <c r="G379" s="139"/>
      <c r="H379" s="680"/>
      <c r="I379" s="680"/>
      <c r="J379" s="139"/>
      <c r="K379" s="139"/>
      <c r="L379" s="139"/>
      <c r="M379" s="139"/>
      <c r="N379" s="139"/>
      <c r="O379" s="139"/>
      <c r="P379" s="139"/>
      <c r="Q379" s="139"/>
      <c r="R379" s="139"/>
      <c r="S379" s="139"/>
      <c r="T379" s="139"/>
      <c r="U379" s="139"/>
      <c r="V379" s="139"/>
      <c r="W379" s="139"/>
      <c r="X379" s="139"/>
      <c r="Y379" s="139"/>
      <c r="Z379" s="139"/>
      <c r="AA379" s="139"/>
    </row>
    <row r="380" spans="1:27" ht="15.75">
      <c r="A380" s="139"/>
      <c r="B380" s="139"/>
      <c r="C380" s="680"/>
      <c r="D380" s="139"/>
      <c r="E380" s="680"/>
      <c r="F380" s="139"/>
      <c r="G380" s="139"/>
      <c r="H380" s="680"/>
      <c r="I380" s="680"/>
      <c r="J380" s="139"/>
      <c r="K380" s="139"/>
      <c r="L380" s="139"/>
      <c r="M380" s="139"/>
      <c r="N380" s="139"/>
      <c r="O380" s="139"/>
      <c r="P380" s="139"/>
      <c r="Q380" s="139"/>
      <c r="R380" s="139"/>
      <c r="S380" s="139"/>
      <c r="T380" s="139"/>
      <c r="U380" s="139"/>
      <c r="V380" s="139"/>
      <c r="W380" s="139"/>
      <c r="X380" s="139"/>
      <c r="Y380" s="139"/>
      <c r="Z380" s="139"/>
      <c r="AA380" s="139"/>
    </row>
    <row r="381" spans="1:27" ht="15.75">
      <c r="A381" s="139"/>
      <c r="B381" s="139"/>
      <c r="C381" s="680"/>
      <c r="D381" s="139"/>
      <c r="E381" s="680"/>
      <c r="F381" s="139"/>
      <c r="G381" s="139"/>
      <c r="H381" s="680"/>
      <c r="I381" s="680"/>
      <c r="J381" s="139"/>
      <c r="K381" s="139"/>
      <c r="L381" s="139"/>
      <c r="M381" s="139"/>
      <c r="N381" s="139"/>
      <c r="O381" s="139"/>
      <c r="P381" s="139"/>
      <c r="Q381" s="139"/>
      <c r="R381" s="139"/>
      <c r="S381" s="139"/>
      <c r="T381" s="139"/>
      <c r="U381" s="139"/>
      <c r="V381" s="139"/>
      <c r="W381" s="139"/>
      <c r="X381" s="139"/>
      <c r="Y381" s="139"/>
      <c r="Z381" s="139"/>
      <c r="AA381" s="139"/>
    </row>
    <row r="382" spans="1:27" ht="15.75">
      <c r="A382" s="139"/>
      <c r="B382" s="139"/>
      <c r="C382" s="680"/>
      <c r="D382" s="139"/>
      <c r="E382" s="680"/>
      <c r="F382" s="139"/>
      <c r="G382" s="139"/>
      <c r="H382" s="680"/>
      <c r="I382" s="680"/>
      <c r="J382" s="139"/>
      <c r="K382" s="139"/>
      <c r="L382" s="139"/>
      <c r="M382" s="139"/>
      <c r="N382" s="139"/>
      <c r="O382" s="139"/>
      <c r="P382" s="139"/>
      <c r="Q382" s="139"/>
      <c r="R382" s="139"/>
      <c r="S382" s="139"/>
      <c r="T382" s="139"/>
      <c r="U382" s="139"/>
      <c r="V382" s="139"/>
      <c r="W382" s="139"/>
      <c r="X382" s="139"/>
      <c r="Y382" s="139"/>
      <c r="Z382" s="139"/>
      <c r="AA382" s="139"/>
    </row>
    <row r="383" spans="1:27" ht="15.75">
      <c r="A383" s="139"/>
      <c r="B383" s="139"/>
      <c r="C383" s="680"/>
      <c r="D383" s="139"/>
      <c r="E383" s="680"/>
      <c r="F383" s="139"/>
      <c r="G383" s="139"/>
      <c r="H383" s="680"/>
      <c r="I383" s="680"/>
      <c r="J383" s="139"/>
      <c r="K383" s="139"/>
      <c r="L383" s="139"/>
      <c r="M383" s="139"/>
      <c r="N383" s="139"/>
      <c r="O383" s="139"/>
      <c r="P383" s="139"/>
      <c r="Q383" s="139"/>
      <c r="R383" s="139"/>
      <c r="S383" s="139"/>
      <c r="T383" s="139"/>
      <c r="U383" s="139"/>
      <c r="V383" s="139"/>
      <c r="W383" s="139"/>
      <c r="X383" s="139"/>
      <c r="Y383" s="139"/>
      <c r="Z383" s="139"/>
      <c r="AA383" s="139"/>
    </row>
    <row r="384" spans="1:27" ht="15.75">
      <c r="A384" s="139"/>
      <c r="B384" s="139"/>
      <c r="C384" s="680"/>
      <c r="D384" s="139"/>
      <c r="E384" s="680"/>
      <c r="F384" s="139"/>
      <c r="G384" s="139"/>
      <c r="H384" s="680"/>
      <c r="I384" s="680"/>
      <c r="J384" s="139"/>
      <c r="K384" s="139"/>
      <c r="L384" s="139"/>
      <c r="M384" s="139"/>
      <c r="N384" s="139"/>
      <c r="O384" s="139"/>
      <c r="P384" s="139"/>
      <c r="Q384" s="139"/>
      <c r="R384" s="139"/>
      <c r="S384" s="139"/>
      <c r="T384" s="139"/>
      <c r="U384" s="139"/>
      <c r="V384" s="139"/>
      <c r="W384" s="139"/>
      <c r="X384" s="139"/>
      <c r="Y384" s="139"/>
      <c r="Z384" s="139"/>
      <c r="AA384" s="139"/>
    </row>
    <row r="385" spans="1:27" ht="15.75">
      <c r="A385" s="139"/>
      <c r="B385" s="139"/>
      <c r="C385" s="680"/>
      <c r="D385" s="139"/>
      <c r="E385" s="680"/>
      <c r="F385" s="139"/>
      <c r="G385" s="139"/>
      <c r="H385" s="680"/>
      <c r="I385" s="680"/>
      <c r="J385" s="139"/>
      <c r="K385" s="139"/>
      <c r="L385" s="139"/>
      <c r="M385" s="139"/>
      <c r="N385" s="139"/>
      <c r="O385" s="139"/>
      <c r="P385" s="139"/>
      <c r="Q385" s="139"/>
      <c r="R385" s="139"/>
      <c r="S385" s="139"/>
      <c r="T385" s="139"/>
      <c r="U385" s="139"/>
      <c r="V385" s="139"/>
      <c r="W385" s="139"/>
      <c r="X385" s="139"/>
      <c r="Y385" s="139"/>
      <c r="Z385" s="139"/>
      <c r="AA385" s="139"/>
    </row>
    <row r="386" spans="1:27" ht="15.75">
      <c r="A386" s="139"/>
      <c r="B386" s="139"/>
      <c r="C386" s="680"/>
      <c r="D386" s="139"/>
      <c r="E386" s="680"/>
      <c r="F386" s="139"/>
      <c r="G386" s="139"/>
      <c r="H386" s="680"/>
      <c r="I386" s="680"/>
      <c r="J386" s="139"/>
      <c r="K386" s="139"/>
      <c r="L386" s="139"/>
      <c r="M386" s="139"/>
      <c r="N386" s="139"/>
      <c r="O386" s="139"/>
      <c r="P386" s="139"/>
      <c r="Q386" s="139"/>
      <c r="R386" s="139"/>
      <c r="S386" s="139"/>
      <c r="T386" s="139"/>
      <c r="U386" s="139"/>
      <c r="V386" s="139"/>
      <c r="W386" s="139"/>
      <c r="X386" s="139"/>
      <c r="Y386" s="139"/>
      <c r="Z386" s="139"/>
      <c r="AA386" s="139"/>
    </row>
    <row r="387" spans="1:27" ht="15.75">
      <c r="A387" s="139"/>
      <c r="B387" s="139"/>
      <c r="C387" s="680"/>
      <c r="D387" s="139"/>
      <c r="E387" s="680"/>
      <c r="F387" s="139"/>
      <c r="G387" s="139"/>
      <c r="H387" s="680"/>
      <c r="I387" s="680"/>
      <c r="J387" s="139"/>
      <c r="K387" s="139"/>
      <c r="L387" s="139"/>
      <c r="M387" s="139"/>
      <c r="N387" s="139"/>
      <c r="O387" s="139"/>
      <c r="P387" s="139"/>
      <c r="Q387" s="139"/>
      <c r="R387" s="139"/>
      <c r="S387" s="139"/>
      <c r="T387" s="139"/>
      <c r="U387" s="139"/>
      <c r="V387" s="139"/>
      <c r="W387" s="139"/>
      <c r="X387" s="139"/>
      <c r="Y387" s="139"/>
      <c r="Z387" s="139"/>
      <c r="AA387" s="139"/>
    </row>
    <row r="388" spans="1:27" ht="15.75">
      <c r="A388" s="139"/>
      <c r="B388" s="139"/>
      <c r="C388" s="680"/>
      <c r="D388" s="139"/>
      <c r="E388" s="680"/>
      <c r="F388" s="139"/>
      <c r="G388" s="139"/>
      <c r="H388" s="680"/>
      <c r="I388" s="680"/>
      <c r="J388" s="139"/>
      <c r="K388" s="139"/>
      <c r="L388" s="139"/>
      <c r="M388" s="139"/>
      <c r="N388" s="139"/>
      <c r="O388" s="139"/>
      <c r="P388" s="139"/>
      <c r="Q388" s="139"/>
      <c r="R388" s="139"/>
      <c r="S388" s="139"/>
      <c r="T388" s="139"/>
      <c r="U388" s="139"/>
      <c r="V388" s="139"/>
      <c r="W388" s="139"/>
      <c r="X388" s="139"/>
      <c r="Y388" s="139"/>
      <c r="Z388" s="139"/>
      <c r="AA388" s="139"/>
    </row>
    <row r="389" spans="1:27" ht="15.75">
      <c r="A389" s="139"/>
      <c r="B389" s="139"/>
      <c r="C389" s="680"/>
      <c r="D389" s="139"/>
      <c r="E389" s="680"/>
      <c r="F389" s="139"/>
      <c r="G389" s="139"/>
      <c r="H389" s="680"/>
      <c r="I389" s="680"/>
      <c r="J389" s="139"/>
      <c r="K389" s="139"/>
      <c r="L389" s="139"/>
      <c r="M389" s="139"/>
      <c r="N389" s="139"/>
      <c r="O389" s="139"/>
      <c r="P389" s="139"/>
      <c r="Q389" s="139"/>
      <c r="R389" s="139"/>
      <c r="S389" s="139"/>
      <c r="T389" s="139"/>
      <c r="U389" s="139"/>
      <c r="V389" s="139"/>
      <c r="W389" s="139"/>
      <c r="X389" s="139"/>
      <c r="Y389" s="139"/>
      <c r="Z389" s="139"/>
      <c r="AA389" s="139"/>
    </row>
    <row r="390" spans="1:27" ht="15.75">
      <c r="A390" s="139"/>
      <c r="B390" s="139"/>
      <c r="C390" s="680"/>
      <c r="D390" s="139"/>
      <c r="E390" s="680"/>
      <c r="F390" s="139"/>
      <c r="G390" s="139"/>
      <c r="H390" s="680"/>
      <c r="I390" s="680"/>
      <c r="J390" s="139"/>
      <c r="K390" s="139"/>
      <c r="L390" s="139"/>
      <c r="M390" s="139"/>
      <c r="N390" s="139"/>
      <c r="O390" s="139"/>
      <c r="P390" s="139"/>
      <c r="Q390" s="139"/>
      <c r="R390" s="139"/>
      <c r="S390" s="139"/>
      <c r="T390" s="139"/>
      <c r="U390" s="139"/>
      <c r="V390" s="139"/>
      <c r="W390" s="139"/>
      <c r="X390" s="139"/>
      <c r="Y390" s="139"/>
      <c r="Z390" s="139"/>
      <c r="AA390" s="139"/>
    </row>
    <row r="391" spans="1:27" ht="15.75">
      <c r="A391" s="139"/>
      <c r="B391" s="139"/>
      <c r="C391" s="680"/>
      <c r="D391" s="139"/>
      <c r="E391" s="680"/>
      <c r="F391" s="139"/>
      <c r="G391" s="139"/>
      <c r="H391" s="680"/>
      <c r="I391" s="680"/>
      <c r="J391" s="139"/>
      <c r="K391" s="139"/>
      <c r="L391" s="139"/>
      <c r="M391" s="139"/>
      <c r="N391" s="139"/>
      <c r="O391" s="139"/>
      <c r="P391" s="139"/>
      <c r="Q391" s="139"/>
      <c r="R391" s="139"/>
      <c r="S391" s="139"/>
      <c r="T391" s="139"/>
      <c r="U391" s="139"/>
      <c r="V391" s="139"/>
      <c r="W391" s="139"/>
      <c r="X391" s="139"/>
      <c r="Y391" s="139"/>
      <c r="Z391" s="139"/>
      <c r="AA391" s="139"/>
    </row>
    <row r="392" spans="1:27" ht="15.75">
      <c r="A392" s="139"/>
      <c r="B392" s="139"/>
      <c r="C392" s="680"/>
      <c r="D392" s="139"/>
      <c r="E392" s="680"/>
      <c r="F392" s="139"/>
      <c r="G392" s="139"/>
      <c r="H392" s="680"/>
      <c r="I392" s="680"/>
      <c r="J392" s="139"/>
      <c r="K392" s="139"/>
      <c r="L392" s="139"/>
      <c r="M392" s="139"/>
      <c r="N392" s="139"/>
      <c r="O392" s="139"/>
      <c r="P392" s="139"/>
      <c r="Q392" s="139"/>
      <c r="R392" s="139"/>
      <c r="S392" s="139"/>
      <c r="T392" s="139"/>
      <c r="U392" s="139"/>
      <c r="V392" s="139"/>
      <c r="W392" s="139"/>
      <c r="X392" s="139"/>
      <c r="Y392" s="139"/>
      <c r="Z392" s="139"/>
      <c r="AA392" s="139"/>
    </row>
    <row r="393" spans="1:27" ht="15.75">
      <c r="A393" s="139"/>
      <c r="B393" s="139"/>
      <c r="C393" s="680"/>
      <c r="D393" s="139"/>
      <c r="E393" s="680"/>
      <c r="F393" s="139"/>
      <c r="G393" s="139"/>
      <c r="H393" s="680"/>
      <c r="I393" s="680"/>
      <c r="J393" s="139"/>
      <c r="K393" s="139"/>
      <c r="L393" s="139"/>
      <c r="M393" s="139"/>
      <c r="N393" s="139"/>
      <c r="O393" s="139"/>
      <c r="P393" s="139"/>
      <c r="Q393" s="139"/>
      <c r="R393" s="139"/>
      <c r="S393" s="139"/>
      <c r="T393" s="139"/>
      <c r="U393" s="139"/>
      <c r="V393" s="139"/>
      <c r="W393" s="139"/>
      <c r="X393" s="139"/>
      <c r="Y393" s="139"/>
      <c r="Z393" s="139"/>
      <c r="AA393" s="139"/>
    </row>
    <row r="394" spans="1:27" ht="15.75">
      <c r="A394" s="139"/>
      <c r="B394" s="139"/>
      <c r="C394" s="680"/>
      <c r="D394" s="139"/>
      <c r="E394" s="680"/>
      <c r="F394" s="139"/>
      <c r="G394" s="139"/>
      <c r="H394" s="680"/>
      <c r="I394" s="680"/>
      <c r="J394" s="139"/>
      <c r="K394" s="139"/>
      <c r="L394" s="139"/>
      <c r="M394" s="139"/>
      <c r="N394" s="139"/>
      <c r="O394" s="139"/>
      <c r="P394" s="139"/>
      <c r="Q394" s="139"/>
      <c r="R394" s="139"/>
      <c r="S394" s="139"/>
      <c r="T394" s="139"/>
      <c r="U394" s="139"/>
      <c r="V394" s="139"/>
      <c r="W394" s="139"/>
      <c r="X394" s="139"/>
      <c r="Y394" s="139"/>
      <c r="Z394" s="139"/>
      <c r="AA394" s="139"/>
    </row>
    <row r="395" spans="1:27" ht="15.75">
      <c r="A395" s="139"/>
      <c r="B395" s="139"/>
      <c r="C395" s="680"/>
      <c r="D395" s="139"/>
      <c r="E395" s="680"/>
      <c r="F395" s="139"/>
      <c r="G395" s="139"/>
      <c r="H395" s="680"/>
      <c r="I395" s="680"/>
      <c r="J395" s="139"/>
      <c r="K395" s="139"/>
      <c r="L395" s="139"/>
      <c r="M395" s="139"/>
      <c r="N395" s="139"/>
      <c r="O395" s="139"/>
      <c r="P395" s="139"/>
      <c r="Q395" s="139"/>
      <c r="R395" s="139"/>
      <c r="S395" s="139"/>
      <c r="T395" s="139"/>
      <c r="U395" s="139"/>
      <c r="V395" s="139"/>
      <c r="W395" s="139"/>
      <c r="X395" s="139"/>
      <c r="Y395" s="139"/>
      <c r="Z395" s="139"/>
      <c r="AA395" s="139"/>
    </row>
    <row r="396" spans="1:27" ht="15.75">
      <c r="A396" s="139"/>
      <c r="B396" s="139"/>
      <c r="C396" s="680"/>
      <c r="D396" s="139"/>
      <c r="E396" s="680"/>
      <c r="F396" s="139"/>
      <c r="G396" s="139"/>
      <c r="H396" s="680"/>
      <c r="I396" s="680"/>
      <c r="J396" s="139"/>
      <c r="K396" s="139"/>
      <c r="L396" s="139"/>
      <c r="M396" s="139"/>
      <c r="N396" s="139"/>
      <c r="O396" s="139"/>
      <c r="P396" s="139"/>
      <c r="Q396" s="139"/>
      <c r="R396" s="139"/>
      <c r="S396" s="139"/>
      <c r="T396" s="139"/>
      <c r="U396" s="139"/>
      <c r="V396" s="139"/>
      <c r="W396" s="139"/>
      <c r="X396" s="139"/>
      <c r="Y396" s="139"/>
      <c r="Z396" s="139"/>
      <c r="AA396" s="139"/>
    </row>
    <row r="397" spans="1:27" ht="15.75">
      <c r="A397" s="139"/>
      <c r="B397" s="139"/>
      <c r="C397" s="680"/>
      <c r="D397" s="139"/>
      <c r="E397" s="680"/>
      <c r="F397" s="139"/>
      <c r="G397" s="139"/>
      <c r="H397" s="680"/>
      <c r="I397" s="680"/>
      <c r="J397" s="139"/>
      <c r="K397" s="139"/>
      <c r="L397" s="139"/>
      <c r="M397" s="139"/>
      <c r="N397" s="139"/>
      <c r="O397" s="139"/>
      <c r="P397" s="139"/>
      <c r="Q397" s="139"/>
      <c r="R397" s="139"/>
      <c r="S397" s="139"/>
      <c r="T397" s="139"/>
      <c r="U397" s="139"/>
      <c r="V397" s="139"/>
      <c r="W397" s="139"/>
      <c r="X397" s="139"/>
      <c r="Y397" s="139"/>
      <c r="Z397" s="139"/>
      <c r="AA397" s="139"/>
    </row>
    <row r="398" spans="1:27" ht="15.75">
      <c r="A398" s="139"/>
      <c r="B398" s="139"/>
      <c r="C398" s="680"/>
      <c r="D398" s="139"/>
      <c r="E398" s="680"/>
      <c r="F398" s="139"/>
      <c r="G398" s="139"/>
      <c r="H398" s="680"/>
      <c r="I398" s="680"/>
      <c r="J398" s="139"/>
      <c r="K398" s="139"/>
      <c r="L398" s="139"/>
      <c r="M398" s="139"/>
      <c r="N398" s="139"/>
      <c r="O398" s="139"/>
      <c r="P398" s="139"/>
      <c r="Q398" s="139"/>
      <c r="R398" s="139"/>
      <c r="S398" s="139"/>
      <c r="T398" s="139"/>
      <c r="U398" s="139"/>
      <c r="V398" s="139"/>
      <c r="W398" s="139"/>
      <c r="X398" s="139"/>
      <c r="Y398" s="139"/>
      <c r="Z398" s="139"/>
      <c r="AA398" s="139"/>
    </row>
    <row r="399" spans="1:27" ht="15.75">
      <c r="A399" s="139"/>
      <c r="B399" s="139"/>
      <c r="C399" s="680"/>
      <c r="D399" s="139"/>
      <c r="E399" s="680"/>
      <c r="F399" s="139"/>
      <c r="G399" s="139"/>
      <c r="H399" s="680"/>
      <c r="I399" s="680"/>
      <c r="J399" s="139"/>
      <c r="K399" s="139"/>
      <c r="L399" s="139"/>
      <c r="M399" s="139"/>
      <c r="N399" s="139"/>
      <c r="O399" s="139"/>
      <c r="P399" s="139"/>
      <c r="Q399" s="139"/>
      <c r="R399" s="139"/>
      <c r="S399" s="139"/>
      <c r="T399" s="139"/>
      <c r="U399" s="139"/>
      <c r="V399" s="139"/>
      <c r="W399" s="139"/>
      <c r="X399" s="139"/>
      <c r="Y399" s="139"/>
      <c r="Z399" s="139"/>
      <c r="AA399" s="139"/>
    </row>
    <row r="400" spans="1:27" ht="15.75">
      <c r="A400" s="139"/>
      <c r="B400" s="139"/>
      <c r="C400" s="680"/>
      <c r="D400" s="139"/>
      <c r="E400" s="680"/>
      <c r="F400" s="139"/>
      <c r="G400" s="139"/>
      <c r="H400" s="680"/>
      <c r="I400" s="680"/>
      <c r="J400" s="139"/>
      <c r="K400" s="139"/>
      <c r="L400" s="139"/>
      <c r="M400" s="139"/>
      <c r="N400" s="139"/>
      <c r="O400" s="139"/>
      <c r="P400" s="139"/>
      <c r="Q400" s="139"/>
      <c r="R400" s="139"/>
      <c r="S400" s="139"/>
      <c r="T400" s="139"/>
      <c r="U400" s="139"/>
      <c r="V400" s="139"/>
      <c r="W400" s="139"/>
      <c r="X400" s="139"/>
      <c r="Y400" s="139"/>
      <c r="Z400" s="139"/>
      <c r="AA400" s="139"/>
    </row>
    <row r="401" spans="1:27" ht="15.75">
      <c r="A401" s="139"/>
      <c r="B401" s="139"/>
      <c r="C401" s="680"/>
      <c r="D401" s="139"/>
      <c r="E401" s="680"/>
      <c r="F401" s="139"/>
      <c r="G401" s="139"/>
      <c r="H401" s="680"/>
      <c r="I401" s="680"/>
      <c r="J401" s="139"/>
      <c r="K401" s="139"/>
      <c r="L401" s="139"/>
      <c r="M401" s="139"/>
      <c r="N401" s="139"/>
      <c r="O401" s="139"/>
      <c r="P401" s="139"/>
      <c r="Q401" s="139"/>
      <c r="R401" s="139"/>
      <c r="S401" s="139"/>
      <c r="T401" s="139"/>
      <c r="U401" s="139"/>
      <c r="V401" s="139"/>
      <c r="W401" s="139"/>
      <c r="X401" s="139"/>
      <c r="Y401" s="139"/>
      <c r="Z401" s="139"/>
      <c r="AA401" s="139"/>
    </row>
    <row r="402" spans="1:27" ht="15.75">
      <c r="A402" s="139"/>
      <c r="B402" s="139"/>
      <c r="C402" s="680"/>
      <c r="D402" s="139"/>
      <c r="E402" s="680"/>
      <c r="F402" s="139"/>
      <c r="G402" s="139"/>
      <c r="H402" s="680"/>
      <c r="I402" s="680"/>
      <c r="J402" s="139"/>
      <c r="K402" s="139"/>
      <c r="L402" s="139"/>
      <c r="M402" s="139"/>
      <c r="N402" s="139"/>
      <c r="O402" s="139"/>
      <c r="P402" s="139"/>
      <c r="Q402" s="139"/>
      <c r="R402" s="139"/>
      <c r="S402" s="139"/>
      <c r="T402" s="139"/>
      <c r="U402" s="139"/>
      <c r="V402" s="139"/>
      <c r="W402" s="139"/>
      <c r="X402" s="139"/>
      <c r="Y402" s="139"/>
      <c r="Z402" s="139"/>
      <c r="AA402" s="139"/>
    </row>
    <row r="403" spans="1:27" ht="15.75">
      <c r="A403" s="139"/>
      <c r="B403" s="139"/>
      <c r="C403" s="680"/>
      <c r="D403" s="139"/>
      <c r="E403" s="680"/>
      <c r="F403" s="139"/>
      <c r="G403" s="139"/>
      <c r="H403" s="680"/>
      <c r="I403" s="680"/>
      <c r="J403" s="139"/>
      <c r="K403" s="139"/>
      <c r="L403" s="139"/>
      <c r="M403" s="139"/>
      <c r="N403" s="139"/>
      <c r="O403" s="139"/>
      <c r="P403" s="139"/>
      <c r="Q403" s="139"/>
      <c r="R403" s="139"/>
      <c r="S403" s="139"/>
      <c r="T403" s="139"/>
      <c r="U403" s="139"/>
      <c r="V403" s="139"/>
      <c r="W403" s="139"/>
      <c r="X403" s="139"/>
      <c r="Y403" s="139"/>
      <c r="Z403" s="139"/>
      <c r="AA403" s="139"/>
    </row>
    <row r="404" spans="1:27" ht="15.75">
      <c r="A404" s="139"/>
      <c r="B404" s="139"/>
      <c r="C404" s="680"/>
      <c r="D404" s="139"/>
      <c r="E404" s="680"/>
      <c r="F404" s="139"/>
      <c r="G404" s="139"/>
      <c r="H404" s="680"/>
      <c r="I404" s="680"/>
      <c r="J404" s="139"/>
      <c r="K404" s="139"/>
      <c r="L404" s="139"/>
      <c r="M404" s="139"/>
      <c r="N404" s="139"/>
      <c r="O404" s="139"/>
      <c r="P404" s="139"/>
      <c r="Q404" s="139"/>
      <c r="R404" s="139"/>
      <c r="S404" s="139"/>
      <c r="T404" s="139"/>
      <c r="U404" s="139"/>
      <c r="V404" s="139"/>
      <c r="W404" s="139"/>
      <c r="X404" s="139"/>
      <c r="Y404" s="139"/>
      <c r="Z404" s="139"/>
      <c r="AA404" s="139"/>
    </row>
    <row r="405" spans="1:27" ht="15.75">
      <c r="A405" s="139"/>
      <c r="B405" s="139"/>
      <c r="C405" s="680"/>
      <c r="D405" s="139"/>
      <c r="E405" s="680"/>
      <c r="F405" s="139"/>
      <c r="G405" s="139"/>
      <c r="H405" s="680"/>
      <c r="I405" s="680"/>
      <c r="J405" s="139"/>
      <c r="K405" s="139"/>
      <c r="L405" s="139"/>
      <c r="M405" s="139"/>
      <c r="N405" s="139"/>
      <c r="O405" s="139"/>
      <c r="P405" s="139"/>
      <c r="Q405" s="139"/>
      <c r="R405" s="139"/>
      <c r="S405" s="139"/>
      <c r="T405" s="139"/>
      <c r="U405" s="139"/>
      <c r="V405" s="139"/>
      <c r="W405" s="139"/>
      <c r="X405" s="139"/>
      <c r="Y405" s="139"/>
      <c r="Z405" s="139"/>
      <c r="AA405" s="139"/>
    </row>
    <row r="406" spans="1:27" ht="15.75">
      <c r="A406" s="139"/>
      <c r="B406" s="139"/>
      <c r="C406" s="680"/>
      <c r="D406" s="139"/>
      <c r="E406" s="680"/>
      <c r="F406" s="139"/>
      <c r="G406" s="139"/>
      <c r="H406" s="680"/>
      <c r="I406" s="680"/>
      <c r="J406" s="139"/>
      <c r="K406" s="139"/>
      <c r="L406" s="139"/>
      <c r="M406" s="139"/>
      <c r="N406" s="139"/>
      <c r="O406" s="139"/>
      <c r="P406" s="139"/>
      <c r="Q406" s="139"/>
      <c r="R406" s="139"/>
      <c r="S406" s="139"/>
      <c r="T406" s="139"/>
      <c r="U406" s="139"/>
      <c r="V406" s="139"/>
      <c r="W406" s="139"/>
      <c r="X406" s="139"/>
      <c r="Y406" s="139"/>
      <c r="Z406" s="139"/>
      <c r="AA406" s="139"/>
    </row>
    <row r="407" spans="1:27" ht="15.75">
      <c r="A407" s="139"/>
      <c r="B407" s="139"/>
      <c r="C407" s="680"/>
      <c r="D407" s="139"/>
      <c r="E407" s="680"/>
      <c r="F407" s="139"/>
      <c r="G407" s="139"/>
      <c r="H407" s="680"/>
      <c r="I407" s="680"/>
      <c r="J407" s="139"/>
      <c r="K407" s="139"/>
      <c r="L407" s="139"/>
      <c r="M407" s="139"/>
      <c r="N407" s="139"/>
      <c r="O407" s="139"/>
      <c r="P407" s="139"/>
      <c r="Q407" s="139"/>
      <c r="R407" s="139"/>
      <c r="S407" s="139"/>
      <c r="T407" s="139"/>
      <c r="U407" s="139"/>
      <c r="V407" s="139"/>
      <c r="W407" s="139"/>
      <c r="X407" s="139"/>
      <c r="Y407" s="139"/>
      <c r="Z407" s="139"/>
      <c r="AA407" s="139"/>
    </row>
    <row r="408" spans="1:27" ht="15.75">
      <c r="A408" s="139"/>
      <c r="B408" s="139"/>
      <c r="C408" s="680"/>
      <c r="D408" s="139"/>
      <c r="E408" s="680"/>
      <c r="F408" s="139"/>
      <c r="G408" s="139"/>
      <c r="H408" s="680"/>
      <c r="I408" s="680"/>
      <c r="J408" s="139"/>
      <c r="K408" s="139"/>
      <c r="L408" s="139"/>
      <c r="M408" s="139"/>
      <c r="N408" s="139"/>
      <c r="O408" s="139"/>
      <c r="P408" s="139"/>
      <c r="Q408" s="139"/>
      <c r="R408" s="139"/>
      <c r="S408" s="139"/>
      <c r="T408" s="139"/>
      <c r="U408" s="139"/>
      <c r="V408" s="139"/>
      <c r="W408" s="139"/>
      <c r="X408" s="139"/>
      <c r="Y408" s="139"/>
      <c r="Z408" s="139"/>
      <c r="AA408" s="139"/>
    </row>
    <row r="409" spans="1:27" ht="15.75">
      <c r="A409" s="139"/>
      <c r="B409" s="139"/>
      <c r="C409" s="680"/>
      <c r="D409" s="139"/>
      <c r="E409" s="680"/>
      <c r="F409" s="139"/>
      <c r="G409" s="139"/>
      <c r="H409" s="680"/>
      <c r="I409" s="680"/>
      <c r="J409" s="139"/>
      <c r="K409" s="139"/>
      <c r="L409" s="139"/>
      <c r="M409" s="139"/>
      <c r="N409" s="139"/>
      <c r="O409" s="139"/>
      <c r="P409" s="139"/>
      <c r="Q409" s="139"/>
      <c r="R409" s="139"/>
      <c r="S409" s="139"/>
      <c r="T409" s="139"/>
      <c r="U409" s="139"/>
      <c r="V409" s="139"/>
      <c r="W409" s="139"/>
      <c r="X409" s="139"/>
      <c r="Y409" s="139"/>
      <c r="Z409" s="139"/>
      <c r="AA409" s="139"/>
    </row>
    <row r="410" spans="1:27" ht="15.75">
      <c r="A410" s="139"/>
      <c r="B410" s="139"/>
      <c r="C410" s="680"/>
      <c r="D410" s="139"/>
      <c r="E410" s="680"/>
      <c r="F410" s="139"/>
      <c r="G410" s="139"/>
      <c r="H410" s="680"/>
      <c r="I410" s="680"/>
      <c r="J410" s="139"/>
      <c r="K410" s="139"/>
      <c r="L410" s="139"/>
      <c r="M410" s="139"/>
      <c r="N410" s="139"/>
      <c r="O410" s="139"/>
      <c r="P410" s="139"/>
      <c r="Q410" s="139"/>
      <c r="R410" s="139"/>
      <c r="S410" s="139"/>
      <c r="T410" s="139"/>
      <c r="U410" s="139"/>
      <c r="V410" s="139"/>
      <c r="W410" s="139"/>
      <c r="X410" s="139"/>
      <c r="Y410" s="139"/>
      <c r="Z410" s="139"/>
      <c r="AA410" s="139"/>
    </row>
    <row r="411" spans="1:27" ht="15.75">
      <c r="A411" s="139"/>
      <c r="B411" s="139"/>
      <c r="C411" s="680"/>
      <c r="D411" s="139"/>
      <c r="E411" s="680"/>
      <c r="F411" s="139"/>
      <c r="G411" s="139"/>
      <c r="H411" s="680"/>
      <c r="I411" s="680"/>
      <c r="J411" s="139"/>
      <c r="K411" s="139"/>
      <c r="L411" s="139"/>
      <c r="M411" s="139"/>
      <c r="N411" s="139"/>
      <c r="O411" s="139"/>
      <c r="P411" s="139"/>
      <c r="Q411" s="139"/>
      <c r="R411" s="139"/>
      <c r="S411" s="139"/>
      <c r="T411" s="139"/>
      <c r="U411" s="139"/>
      <c r="V411" s="139"/>
      <c r="W411" s="139"/>
      <c r="X411" s="139"/>
      <c r="Y411" s="139"/>
      <c r="Z411" s="139"/>
      <c r="AA411" s="139"/>
    </row>
    <row r="412" spans="1:27" ht="15.75">
      <c r="A412" s="139"/>
      <c r="B412" s="139"/>
      <c r="C412" s="680"/>
      <c r="D412" s="139"/>
      <c r="E412" s="680"/>
      <c r="F412" s="139"/>
      <c r="G412" s="139"/>
      <c r="H412" s="680"/>
      <c r="I412" s="680"/>
      <c r="J412" s="139"/>
      <c r="K412" s="139"/>
      <c r="L412" s="139"/>
      <c r="M412" s="139"/>
      <c r="N412" s="139"/>
      <c r="O412" s="139"/>
      <c r="P412" s="139"/>
      <c r="Q412" s="139"/>
      <c r="R412" s="139"/>
      <c r="S412" s="139"/>
      <c r="T412" s="139"/>
      <c r="U412" s="139"/>
      <c r="V412" s="139"/>
      <c r="W412" s="139"/>
      <c r="X412" s="139"/>
      <c r="Y412" s="139"/>
      <c r="Z412" s="139"/>
      <c r="AA412" s="139"/>
    </row>
    <row r="413" spans="1:27" ht="15.75">
      <c r="A413" s="139"/>
      <c r="B413" s="139"/>
      <c r="C413" s="680"/>
      <c r="D413" s="139"/>
      <c r="E413" s="680"/>
      <c r="F413" s="139"/>
      <c r="G413" s="139"/>
      <c r="H413" s="680"/>
      <c r="I413" s="680"/>
      <c r="J413" s="139"/>
      <c r="K413" s="139"/>
      <c r="L413" s="139"/>
      <c r="M413" s="139"/>
      <c r="N413" s="139"/>
      <c r="O413" s="139"/>
      <c r="P413" s="139"/>
      <c r="Q413" s="139"/>
      <c r="R413" s="139"/>
      <c r="S413" s="139"/>
      <c r="T413" s="139"/>
      <c r="U413" s="139"/>
      <c r="V413" s="139"/>
      <c r="W413" s="139"/>
      <c r="X413" s="139"/>
      <c r="Y413" s="139"/>
      <c r="Z413" s="139"/>
      <c r="AA413" s="139"/>
    </row>
    <row r="414" spans="1:27" ht="15.75">
      <c r="A414" s="139"/>
      <c r="B414" s="139"/>
      <c r="C414" s="680"/>
      <c r="D414" s="139"/>
      <c r="E414" s="680"/>
      <c r="F414" s="139"/>
      <c r="G414" s="139"/>
      <c r="H414" s="680"/>
      <c r="I414" s="680"/>
      <c r="J414" s="139"/>
      <c r="K414" s="139"/>
      <c r="L414" s="139"/>
      <c r="M414" s="139"/>
      <c r="N414" s="139"/>
      <c r="O414" s="139"/>
      <c r="P414" s="139"/>
      <c r="Q414" s="139"/>
      <c r="R414" s="139"/>
      <c r="S414" s="139"/>
      <c r="T414" s="139"/>
      <c r="U414" s="139"/>
      <c r="V414" s="139"/>
      <c r="W414" s="139"/>
      <c r="X414" s="139"/>
      <c r="Y414" s="139"/>
      <c r="Z414" s="139"/>
      <c r="AA414" s="139"/>
    </row>
    <row r="415" spans="1:27" ht="15.75">
      <c r="A415" s="139"/>
      <c r="B415" s="139"/>
      <c r="C415" s="680"/>
      <c r="D415" s="139"/>
      <c r="E415" s="680"/>
      <c r="F415" s="139"/>
      <c r="G415" s="139"/>
      <c r="H415" s="680"/>
      <c r="I415" s="680"/>
      <c r="J415" s="139"/>
      <c r="K415" s="139"/>
      <c r="L415" s="139"/>
      <c r="M415" s="139"/>
      <c r="N415" s="139"/>
      <c r="O415" s="139"/>
      <c r="P415" s="139"/>
      <c r="Q415" s="139"/>
      <c r="R415" s="139"/>
      <c r="S415" s="139"/>
      <c r="T415" s="139"/>
      <c r="U415" s="139"/>
      <c r="V415" s="139"/>
      <c r="W415" s="139"/>
      <c r="X415" s="139"/>
      <c r="Y415" s="139"/>
      <c r="Z415" s="139"/>
      <c r="AA415" s="139"/>
    </row>
    <row r="416" spans="1:27" ht="15.75">
      <c r="A416" s="139"/>
      <c r="B416" s="139"/>
      <c r="C416" s="680"/>
      <c r="D416" s="139"/>
      <c r="E416" s="680"/>
      <c r="F416" s="139"/>
      <c r="G416" s="139"/>
      <c r="H416" s="680"/>
      <c r="I416" s="680"/>
      <c r="J416" s="139"/>
      <c r="K416" s="139"/>
      <c r="L416" s="139"/>
      <c r="M416" s="139"/>
      <c r="N416" s="139"/>
      <c r="O416" s="139"/>
      <c r="P416" s="139"/>
      <c r="Q416" s="139"/>
      <c r="R416" s="139"/>
      <c r="S416" s="139"/>
      <c r="T416" s="139"/>
      <c r="U416" s="139"/>
      <c r="V416" s="139"/>
      <c r="W416" s="139"/>
      <c r="X416" s="139"/>
      <c r="Y416" s="139"/>
      <c r="Z416" s="139"/>
      <c r="AA416" s="139"/>
    </row>
    <row r="417" spans="1:27" ht="15.75">
      <c r="A417" s="139"/>
      <c r="B417" s="139"/>
      <c r="C417" s="680"/>
      <c r="D417" s="139"/>
      <c r="E417" s="680"/>
      <c r="F417" s="139"/>
      <c r="G417" s="139"/>
      <c r="H417" s="680"/>
      <c r="I417" s="680"/>
      <c r="J417" s="139"/>
      <c r="K417" s="139"/>
      <c r="L417" s="139"/>
      <c r="M417" s="139"/>
      <c r="N417" s="139"/>
      <c r="O417" s="139"/>
      <c r="P417" s="139"/>
      <c r="Q417" s="139"/>
      <c r="R417" s="139"/>
      <c r="S417" s="139"/>
      <c r="T417" s="139"/>
      <c r="U417" s="139"/>
      <c r="V417" s="139"/>
      <c r="W417" s="139"/>
      <c r="X417" s="139"/>
      <c r="Y417" s="139"/>
      <c r="Z417" s="139"/>
      <c r="AA417" s="139"/>
    </row>
    <row r="418" spans="1:27" ht="15.75">
      <c r="A418" s="139"/>
      <c r="B418" s="139"/>
      <c r="C418" s="680"/>
      <c r="D418" s="139"/>
      <c r="E418" s="680"/>
      <c r="F418" s="139"/>
      <c r="G418" s="139"/>
      <c r="H418" s="680"/>
      <c r="I418" s="680"/>
      <c r="J418" s="139"/>
      <c r="K418" s="139"/>
      <c r="L418" s="139"/>
      <c r="M418" s="139"/>
      <c r="N418" s="139"/>
      <c r="O418" s="139"/>
      <c r="P418" s="139"/>
      <c r="Q418" s="139"/>
      <c r="R418" s="139"/>
      <c r="S418" s="139"/>
      <c r="T418" s="139"/>
      <c r="U418" s="139"/>
      <c r="V418" s="139"/>
      <c r="W418" s="139"/>
      <c r="X418" s="139"/>
      <c r="Y418" s="139"/>
      <c r="Z418" s="139"/>
      <c r="AA418" s="139"/>
    </row>
    <row r="419" spans="1:27" ht="15.75">
      <c r="A419" s="139"/>
      <c r="B419" s="139"/>
      <c r="C419" s="680"/>
      <c r="D419" s="139"/>
      <c r="E419" s="680"/>
      <c r="F419" s="139"/>
      <c r="G419" s="139"/>
      <c r="H419" s="680"/>
      <c r="I419" s="680"/>
      <c r="J419" s="139"/>
      <c r="K419" s="139"/>
      <c r="L419" s="139"/>
      <c r="M419" s="139"/>
      <c r="N419" s="139"/>
      <c r="O419" s="139"/>
      <c r="P419" s="139"/>
      <c r="Q419" s="139"/>
      <c r="R419" s="139"/>
      <c r="S419" s="139"/>
      <c r="T419" s="139"/>
      <c r="U419" s="139"/>
      <c r="V419" s="139"/>
      <c r="W419" s="139"/>
      <c r="X419" s="139"/>
      <c r="Y419" s="139"/>
      <c r="Z419" s="139"/>
      <c r="AA419" s="139"/>
    </row>
    <row r="420" spans="1:27" ht="15.75">
      <c r="A420" s="139"/>
      <c r="B420" s="139"/>
      <c r="C420" s="680"/>
      <c r="D420" s="139"/>
      <c r="E420" s="680"/>
      <c r="F420" s="139"/>
      <c r="G420" s="139"/>
      <c r="H420" s="680"/>
      <c r="I420" s="680"/>
      <c r="J420" s="139"/>
      <c r="K420" s="139"/>
      <c r="L420" s="139"/>
      <c r="M420" s="139"/>
      <c r="N420" s="139"/>
      <c r="O420" s="139"/>
      <c r="P420" s="139"/>
      <c r="Q420" s="139"/>
      <c r="R420" s="139"/>
      <c r="S420" s="139"/>
      <c r="T420" s="139"/>
      <c r="U420" s="139"/>
      <c r="V420" s="139"/>
      <c r="W420" s="139"/>
      <c r="X420" s="139"/>
      <c r="Y420" s="139"/>
      <c r="Z420" s="139"/>
      <c r="AA420" s="139"/>
    </row>
    <row r="421" spans="1:27" ht="15.75">
      <c r="A421" s="139"/>
      <c r="B421" s="139"/>
      <c r="C421" s="680"/>
      <c r="D421" s="139"/>
      <c r="E421" s="680"/>
      <c r="F421" s="139"/>
      <c r="G421" s="139"/>
      <c r="H421" s="680"/>
      <c r="I421" s="680"/>
      <c r="J421" s="139"/>
      <c r="K421" s="139"/>
      <c r="L421" s="139"/>
      <c r="M421" s="139"/>
      <c r="N421" s="139"/>
      <c r="O421" s="139"/>
      <c r="P421" s="139"/>
      <c r="Q421" s="139"/>
      <c r="R421" s="139"/>
      <c r="S421" s="139"/>
      <c r="T421" s="139"/>
      <c r="U421" s="139"/>
      <c r="V421" s="139"/>
      <c r="W421" s="139"/>
      <c r="X421" s="139"/>
      <c r="Y421" s="139"/>
      <c r="Z421" s="139"/>
      <c r="AA421" s="139"/>
    </row>
    <row r="422" spans="1:27" ht="15.75">
      <c r="A422" s="139"/>
      <c r="B422" s="139"/>
      <c r="C422" s="680"/>
      <c r="D422" s="139"/>
      <c r="E422" s="680"/>
      <c r="F422" s="139"/>
      <c r="G422" s="139"/>
      <c r="H422" s="680"/>
      <c r="I422" s="680"/>
      <c r="J422" s="139"/>
      <c r="K422" s="139"/>
      <c r="L422" s="139"/>
      <c r="M422" s="139"/>
      <c r="N422" s="139"/>
      <c r="O422" s="139"/>
      <c r="P422" s="139"/>
      <c r="Q422" s="139"/>
      <c r="R422" s="139"/>
      <c r="S422" s="139"/>
      <c r="T422" s="139"/>
      <c r="U422" s="139"/>
      <c r="V422" s="139"/>
      <c r="W422" s="139"/>
      <c r="X422" s="139"/>
      <c r="Y422" s="139"/>
      <c r="Z422" s="139"/>
      <c r="AA422" s="139"/>
    </row>
    <row r="423" spans="1:27" ht="15.75">
      <c r="A423" s="139"/>
      <c r="B423" s="139"/>
      <c r="C423" s="680"/>
      <c r="D423" s="139"/>
      <c r="E423" s="680"/>
      <c r="F423" s="139"/>
      <c r="G423" s="139"/>
      <c r="H423" s="680"/>
      <c r="I423" s="680"/>
      <c r="J423" s="139"/>
      <c r="K423" s="139"/>
      <c r="L423" s="139"/>
      <c r="M423" s="139"/>
      <c r="N423" s="139"/>
      <c r="O423" s="139"/>
      <c r="P423" s="139"/>
      <c r="Q423" s="139"/>
      <c r="R423" s="139"/>
      <c r="S423" s="139"/>
      <c r="T423" s="139"/>
      <c r="U423" s="139"/>
      <c r="V423" s="139"/>
      <c r="W423" s="139"/>
      <c r="X423" s="139"/>
      <c r="Y423" s="139"/>
      <c r="Z423" s="139"/>
      <c r="AA423" s="139"/>
    </row>
    <row r="424" spans="1:27" ht="15.75">
      <c r="A424" s="139"/>
      <c r="B424" s="139"/>
      <c r="C424" s="680"/>
      <c r="D424" s="139"/>
      <c r="E424" s="680"/>
      <c r="F424" s="139"/>
      <c r="G424" s="139"/>
      <c r="H424" s="680"/>
      <c r="I424" s="680"/>
      <c r="J424" s="139"/>
      <c r="K424" s="139"/>
      <c r="L424" s="139"/>
      <c r="M424" s="139"/>
      <c r="N424" s="139"/>
      <c r="O424" s="139"/>
      <c r="P424" s="139"/>
      <c r="Q424" s="139"/>
      <c r="R424" s="139"/>
      <c r="S424" s="139"/>
      <c r="T424" s="139"/>
      <c r="U424" s="139"/>
      <c r="V424" s="139"/>
      <c r="W424" s="139"/>
      <c r="X424" s="139"/>
      <c r="Y424" s="139"/>
      <c r="Z424" s="139"/>
      <c r="AA424" s="139"/>
    </row>
    <row r="425" spans="1:27" ht="15.75">
      <c r="A425" s="139"/>
      <c r="B425" s="139"/>
      <c r="C425" s="680"/>
      <c r="D425" s="139"/>
      <c r="E425" s="680"/>
      <c r="F425" s="139"/>
      <c r="G425" s="139"/>
      <c r="H425" s="680"/>
      <c r="I425" s="680"/>
      <c r="J425" s="139"/>
      <c r="K425" s="139"/>
      <c r="L425" s="139"/>
      <c r="M425" s="139"/>
      <c r="N425" s="139"/>
      <c r="O425" s="139"/>
      <c r="P425" s="139"/>
      <c r="Q425" s="139"/>
      <c r="R425" s="139"/>
      <c r="S425" s="139"/>
      <c r="T425" s="139"/>
      <c r="U425" s="139"/>
      <c r="V425" s="139"/>
      <c r="W425" s="139"/>
      <c r="X425" s="139"/>
      <c r="Y425" s="139"/>
      <c r="Z425" s="139"/>
      <c r="AA425" s="139"/>
    </row>
    <row r="426" spans="1:27" ht="15.75">
      <c r="A426" s="139"/>
      <c r="B426" s="139"/>
      <c r="C426" s="680"/>
      <c r="D426" s="139"/>
      <c r="E426" s="680"/>
      <c r="F426" s="139"/>
      <c r="G426" s="139"/>
      <c r="H426" s="680"/>
      <c r="I426" s="680"/>
      <c r="J426" s="139"/>
      <c r="K426" s="139"/>
      <c r="L426" s="139"/>
      <c r="M426" s="139"/>
      <c r="N426" s="139"/>
      <c r="O426" s="139"/>
      <c r="P426" s="139"/>
      <c r="Q426" s="139"/>
      <c r="R426" s="139"/>
      <c r="S426" s="139"/>
      <c r="T426" s="139"/>
      <c r="U426" s="139"/>
      <c r="V426" s="139"/>
      <c r="W426" s="139"/>
      <c r="X426" s="139"/>
      <c r="Y426" s="139"/>
      <c r="Z426" s="139"/>
      <c r="AA426" s="139"/>
    </row>
    <row r="427" spans="1:27" ht="15.75">
      <c r="A427" s="139"/>
      <c r="B427" s="139"/>
      <c r="C427" s="680"/>
      <c r="D427" s="139"/>
      <c r="E427" s="680"/>
      <c r="F427" s="139"/>
      <c r="G427" s="139"/>
      <c r="H427" s="680"/>
      <c r="I427" s="680"/>
      <c r="J427" s="139"/>
      <c r="K427" s="139"/>
      <c r="L427" s="139"/>
      <c r="M427" s="139"/>
      <c r="N427" s="139"/>
      <c r="O427" s="139"/>
      <c r="P427" s="139"/>
      <c r="Q427" s="139"/>
      <c r="R427" s="139"/>
      <c r="S427" s="139"/>
      <c r="T427" s="139"/>
      <c r="U427" s="139"/>
      <c r="V427" s="139"/>
      <c r="W427" s="139"/>
      <c r="X427" s="139"/>
      <c r="Y427" s="139"/>
      <c r="Z427" s="139"/>
      <c r="AA427" s="139"/>
    </row>
    <row r="428" spans="1:27" ht="15.75">
      <c r="A428" s="139"/>
      <c r="B428" s="139"/>
      <c r="C428" s="680"/>
      <c r="D428" s="139"/>
      <c r="E428" s="680"/>
      <c r="F428" s="139"/>
      <c r="G428" s="139"/>
      <c r="H428" s="680"/>
      <c r="I428" s="680"/>
      <c r="J428" s="139"/>
      <c r="K428" s="139"/>
      <c r="L428" s="139"/>
      <c r="M428" s="139"/>
      <c r="N428" s="139"/>
      <c r="O428" s="139"/>
      <c r="P428" s="139"/>
      <c r="Q428" s="139"/>
      <c r="R428" s="139"/>
      <c r="S428" s="139"/>
      <c r="T428" s="139"/>
      <c r="U428" s="139"/>
      <c r="V428" s="139"/>
      <c r="W428" s="139"/>
      <c r="X428" s="139"/>
      <c r="Y428" s="139"/>
      <c r="Z428" s="139"/>
      <c r="AA428" s="139"/>
    </row>
    <row r="429" spans="1:27" ht="15.75">
      <c r="A429" s="139"/>
      <c r="B429" s="139"/>
      <c r="C429" s="680"/>
      <c r="D429" s="139"/>
      <c r="E429" s="680"/>
      <c r="F429" s="139"/>
      <c r="G429" s="139"/>
      <c r="H429" s="680"/>
      <c r="I429" s="680"/>
      <c r="J429" s="139"/>
      <c r="K429" s="139"/>
      <c r="L429" s="139"/>
      <c r="M429" s="139"/>
      <c r="N429" s="139"/>
      <c r="O429" s="139"/>
      <c r="P429" s="139"/>
      <c r="Q429" s="139"/>
      <c r="R429" s="139"/>
      <c r="S429" s="139"/>
      <c r="T429" s="139"/>
      <c r="U429" s="139"/>
      <c r="V429" s="139"/>
      <c r="W429" s="139"/>
      <c r="X429" s="139"/>
      <c r="Y429" s="139"/>
      <c r="Z429" s="139"/>
      <c r="AA429" s="139"/>
    </row>
    <row r="430" spans="1:27" ht="15.75">
      <c r="A430" s="139"/>
      <c r="B430" s="139"/>
      <c r="C430" s="680"/>
      <c r="D430" s="139"/>
      <c r="E430" s="680"/>
      <c r="F430" s="139"/>
      <c r="G430" s="139"/>
      <c r="H430" s="680"/>
      <c r="I430" s="680"/>
      <c r="J430" s="139"/>
      <c r="K430" s="139"/>
      <c r="L430" s="139"/>
      <c r="M430" s="139"/>
      <c r="N430" s="139"/>
      <c r="O430" s="139"/>
      <c r="P430" s="139"/>
      <c r="Q430" s="139"/>
      <c r="R430" s="139"/>
      <c r="S430" s="139"/>
      <c r="T430" s="139"/>
      <c r="U430" s="139"/>
      <c r="V430" s="139"/>
      <c r="W430" s="139"/>
      <c r="X430" s="139"/>
      <c r="Y430" s="139"/>
      <c r="Z430" s="139"/>
      <c r="AA430" s="139"/>
    </row>
    <row r="431" spans="1:27" ht="15.75">
      <c r="A431" s="139"/>
      <c r="B431" s="139"/>
      <c r="C431" s="680"/>
      <c r="D431" s="139"/>
      <c r="E431" s="680"/>
      <c r="F431" s="139"/>
      <c r="G431" s="139"/>
      <c r="H431" s="680"/>
      <c r="I431" s="680"/>
      <c r="J431" s="139"/>
      <c r="K431" s="139"/>
      <c r="L431" s="139"/>
      <c r="M431" s="139"/>
      <c r="N431" s="139"/>
      <c r="O431" s="139"/>
      <c r="P431" s="139"/>
      <c r="Q431" s="139"/>
      <c r="R431" s="139"/>
      <c r="S431" s="139"/>
      <c r="T431" s="139"/>
      <c r="U431" s="139"/>
      <c r="V431" s="139"/>
      <c r="W431" s="139"/>
      <c r="X431" s="139"/>
      <c r="Y431" s="139"/>
      <c r="Z431" s="139"/>
      <c r="AA431" s="139"/>
    </row>
    <row r="432" spans="1:27" ht="15.75">
      <c r="A432" s="139"/>
      <c r="B432" s="139"/>
      <c r="C432" s="680"/>
      <c r="D432" s="139"/>
      <c r="E432" s="680"/>
      <c r="F432" s="139"/>
      <c r="G432" s="139"/>
      <c r="H432" s="680"/>
      <c r="I432" s="680"/>
      <c r="J432" s="139"/>
      <c r="K432" s="139"/>
      <c r="L432" s="139"/>
      <c r="M432" s="139"/>
      <c r="N432" s="139"/>
      <c r="O432" s="139"/>
      <c r="P432" s="139"/>
      <c r="Q432" s="139"/>
      <c r="R432" s="139"/>
      <c r="S432" s="139"/>
      <c r="T432" s="139"/>
      <c r="U432" s="139"/>
      <c r="V432" s="139"/>
      <c r="W432" s="139"/>
      <c r="X432" s="139"/>
      <c r="Y432" s="139"/>
      <c r="Z432" s="139"/>
      <c r="AA432" s="139"/>
    </row>
    <row r="433" spans="1:27" ht="15.75">
      <c r="A433" s="139"/>
      <c r="B433" s="139"/>
      <c r="C433" s="680"/>
      <c r="D433" s="139"/>
      <c r="E433" s="680"/>
      <c r="F433" s="139"/>
      <c r="G433" s="139"/>
      <c r="H433" s="680"/>
      <c r="I433" s="680"/>
      <c r="J433" s="139"/>
      <c r="K433" s="139"/>
      <c r="L433" s="139"/>
      <c r="M433" s="139"/>
      <c r="N433" s="139"/>
      <c r="O433" s="139"/>
      <c r="P433" s="139"/>
      <c r="Q433" s="139"/>
      <c r="R433" s="139"/>
      <c r="S433" s="139"/>
      <c r="T433" s="139"/>
      <c r="U433" s="139"/>
      <c r="V433" s="139"/>
      <c r="W433" s="139"/>
      <c r="X433" s="139"/>
      <c r="Y433" s="139"/>
      <c r="Z433" s="139"/>
      <c r="AA433" s="139"/>
    </row>
    <row r="434" spans="1:27" ht="15.75">
      <c r="A434" s="139"/>
      <c r="B434" s="139"/>
      <c r="C434" s="680"/>
      <c r="D434" s="139"/>
      <c r="E434" s="680"/>
      <c r="F434" s="139"/>
      <c r="G434" s="139"/>
      <c r="H434" s="680"/>
      <c r="I434" s="680"/>
      <c r="J434" s="139"/>
      <c r="K434" s="139"/>
      <c r="L434" s="139"/>
      <c r="M434" s="139"/>
      <c r="N434" s="139"/>
      <c r="O434" s="139"/>
      <c r="P434" s="139"/>
      <c r="Q434" s="139"/>
      <c r="R434" s="139"/>
      <c r="S434" s="139"/>
      <c r="T434" s="139"/>
      <c r="U434" s="139"/>
      <c r="V434" s="139"/>
      <c r="W434" s="139"/>
      <c r="X434" s="139"/>
      <c r="Y434" s="139"/>
      <c r="Z434" s="139"/>
      <c r="AA434" s="139"/>
    </row>
    <row r="435" spans="1:27" ht="15.75">
      <c r="A435" s="139"/>
      <c r="B435" s="139"/>
      <c r="C435" s="680"/>
      <c r="D435" s="139"/>
      <c r="E435" s="680"/>
      <c r="F435" s="139"/>
      <c r="G435" s="139"/>
      <c r="H435" s="680"/>
      <c r="I435" s="680"/>
      <c r="J435" s="139"/>
      <c r="K435" s="139"/>
      <c r="L435" s="139"/>
      <c r="M435" s="139"/>
      <c r="N435" s="139"/>
      <c r="O435" s="139"/>
      <c r="P435" s="139"/>
      <c r="Q435" s="139"/>
      <c r="R435" s="139"/>
      <c r="S435" s="139"/>
      <c r="T435" s="139"/>
      <c r="U435" s="139"/>
      <c r="V435" s="139"/>
      <c r="W435" s="139"/>
      <c r="X435" s="139"/>
      <c r="Y435" s="139"/>
      <c r="Z435" s="139"/>
      <c r="AA435" s="139"/>
    </row>
    <row r="436" spans="1:27" ht="15.75">
      <c r="A436" s="139"/>
      <c r="B436" s="139"/>
      <c r="C436" s="680"/>
      <c r="D436" s="139"/>
      <c r="E436" s="680"/>
      <c r="F436" s="139"/>
      <c r="G436" s="139"/>
      <c r="H436" s="680"/>
      <c r="I436" s="680"/>
      <c r="J436" s="139"/>
      <c r="K436" s="139"/>
      <c r="L436" s="139"/>
      <c r="M436" s="139"/>
      <c r="N436" s="139"/>
      <c r="O436" s="139"/>
      <c r="P436" s="139"/>
      <c r="Q436" s="139"/>
      <c r="R436" s="139"/>
      <c r="S436" s="139"/>
      <c r="T436" s="139"/>
      <c r="U436" s="139"/>
      <c r="V436" s="139"/>
      <c r="W436" s="139"/>
      <c r="X436" s="139"/>
      <c r="Y436" s="139"/>
      <c r="Z436" s="139"/>
      <c r="AA436" s="139"/>
    </row>
    <row r="437" spans="1:27" ht="15.75">
      <c r="A437" s="139"/>
      <c r="B437" s="139"/>
      <c r="C437" s="680"/>
      <c r="D437" s="139"/>
      <c r="E437" s="680"/>
      <c r="F437" s="139"/>
      <c r="G437" s="139"/>
      <c r="H437" s="680"/>
      <c r="I437" s="680"/>
      <c r="J437" s="139"/>
      <c r="K437" s="139"/>
      <c r="L437" s="139"/>
      <c r="M437" s="139"/>
      <c r="N437" s="139"/>
      <c r="O437" s="139"/>
      <c r="P437" s="139"/>
      <c r="Q437" s="139"/>
      <c r="R437" s="139"/>
      <c r="S437" s="139"/>
      <c r="T437" s="139"/>
      <c r="U437" s="139"/>
      <c r="V437" s="139"/>
      <c r="W437" s="139"/>
      <c r="X437" s="139"/>
      <c r="Y437" s="139"/>
      <c r="Z437" s="139"/>
      <c r="AA437" s="139"/>
    </row>
    <row r="438" spans="1:27" ht="15.75">
      <c r="A438" s="139"/>
      <c r="B438" s="139"/>
      <c r="C438" s="680"/>
      <c r="D438" s="139"/>
      <c r="E438" s="680"/>
      <c r="F438" s="139"/>
      <c r="G438" s="139"/>
      <c r="H438" s="680"/>
      <c r="I438" s="680"/>
      <c r="J438" s="139"/>
      <c r="K438" s="139"/>
      <c r="L438" s="139"/>
      <c r="M438" s="139"/>
      <c r="N438" s="139"/>
      <c r="O438" s="139"/>
      <c r="P438" s="139"/>
      <c r="Q438" s="139"/>
      <c r="R438" s="139"/>
      <c r="S438" s="139"/>
      <c r="T438" s="139"/>
      <c r="U438" s="139"/>
      <c r="V438" s="139"/>
      <c r="W438" s="139"/>
      <c r="X438" s="139"/>
      <c r="Y438" s="139"/>
      <c r="Z438" s="139"/>
      <c r="AA438" s="139"/>
    </row>
    <row r="439" spans="1:27" ht="15.75">
      <c r="A439" s="139"/>
      <c r="B439" s="139"/>
      <c r="C439" s="680"/>
      <c r="D439" s="139"/>
      <c r="E439" s="680"/>
      <c r="F439" s="139"/>
      <c r="G439" s="139"/>
      <c r="H439" s="680"/>
      <c r="I439" s="680"/>
      <c r="J439" s="139"/>
      <c r="K439" s="139"/>
      <c r="L439" s="139"/>
      <c r="M439" s="139"/>
      <c r="N439" s="139"/>
      <c r="O439" s="139"/>
      <c r="P439" s="139"/>
      <c r="Q439" s="139"/>
      <c r="R439" s="139"/>
      <c r="S439" s="139"/>
      <c r="T439" s="139"/>
      <c r="U439" s="139"/>
      <c r="V439" s="139"/>
      <c r="W439" s="139"/>
      <c r="X439" s="139"/>
      <c r="Y439" s="139"/>
      <c r="Z439" s="139"/>
      <c r="AA439" s="139"/>
    </row>
    <row r="440" spans="1:27" ht="15.75">
      <c r="A440" s="139"/>
      <c r="B440" s="139"/>
      <c r="C440" s="680"/>
      <c r="D440" s="139"/>
      <c r="E440" s="680"/>
      <c r="F440" s="139"/>
      <c r="G440" s="139"/>
      <c r="H440" s="680"/>
      <c r="I440" s="680"/>
      <c r="J440" s="139"/>
      <c r="K440" s="139"/>
      <c r="L440" s="139"/>
      <c r="M440" s="139"/>
      <c r="N440" s="139"/>
      <c r="O440" s="139"/>
      <c r="P440" s="139"/>
      <c r="Q440" s="139"/>
      <c r="R440" s="139"/>
      <c r="S440" s="139"/>
      <c r="T440" s="139"/>
      <c r="U440" s="139"/>
      <c r="V440" s="139"/>
      <c r="W440" s="139"/>
      <c r="X440" s="139"/>
      <c r="Y440" s="139"/>
      <c r="Z440" s="139"/>
      <c r="AA440" s="139"/>
    </row>
    <row r="441" spans="1:27" ht="15.75">
      <c r="A441" s="139"/>
      <c r="B441" s="139"/>
      <c r="C441" s="680"/>
      <c r="D441" s="139"/>
      <c r="E441" s="680"/>
      <c r="F441" s="139"/>
      <c r="G441" s="139"/>
      <c r="H441" s="680"/>
      <c r="I441" s="680"/>
      <c r="J441" s="139"/>
      <c r="K441" s="139"/>
      <c r="L441" s="139"/>
      <c r="M441" s="139"/>
      <c r="N441" s="139"/>
      <c r="O441" s="139"/>
      <c r="P441" s="139"/>
      <c r="Q441" s="139"/>
      <c r="R441" s="139"/>
      <c r="S441" s="139"/>
      <c r="T441" s="139"/>
      <c r="U441" s="139"/>
      <c r="V441" s="139"/>
      <c r="W441" s="139"/>
      <c r="X441" s="139"/>
      <c r="Y441" s="139"/>
      <c r="Z441" s="139"/>
      <c r="AA441" s="139"/>
    </row>
    <row r="442" spans="1:27" ht="15.75">
      <c r="A442" s="139"/>
      <c r="B442" s="139"/>
      <c r="C442" s="680"/>
      <c r="D442" s="139"/>
      <c r="E442" s="680"/>
      <c r="F442" s="139"/>
      <c r="G442" s="139"/>
      <c r="H442" s="680"/>
      <c r="I442" s="680"/>
      <c r="J442" s="139"/>
      <c r="K442" s="139"/>
      <c r="L442" s="139"/>
      <c r="M442" s="139"/>
      <c r="N442" s="139"/>
      <c r="O442" s="139"/>
      <c r="P442" s="139"/>
      <c r="Q442" s="139"/>
      <c r="R442" s="139"/>
      <c r="S442" s="139"/>
      <c r="T442" s="139"/>
      <c r="U442" s="139"/>
      <c r="V442" s="139"/>
      <c r="W442" s="139"/>
      <c r="X442" s="139"/>
      <c r="Y442" s="139"/>
      <c r="Z442" s="139"/>
      <c r="AA442" s="139"/>
    </row>
    <row r="443" spans="1:27" ht="15.75">
      <c r="A443" s="139"/>
      <c r="B443" s="139"/>
      <c r="C443" s="680"/>
      <c r="D443" s="139"/>
      <c r="E443" s="680"/>
      <c r="F443" s="139"/>
      <c r="G443" s="139"/>
      <c r="H443" s="680"/>
      <c r="I443" s="680"/>
      <c r="J443" s="139"/>
      <c r="K443" s="139"/>
      <c r="L443" s="139"/>
      <c r="M443" s="139"/>
      <c r="N443" s="139"/>
      <c r="O443" s="139"/>
      <c r="P443" s="139"/>
      <c r="Q443" s="139"/>
      <c r="R443" s="139"/>
      <c r="S443" s="139"/>
      <c r="T443" s="139"/>
      <c r="U443" s="139"/>
      <c r="V443" s="139"/>
      <c r="W443" s="139"/>
      <c r="X443" s="139"/>
      <c r="Y443" s="139"/>
      <c r="Z443" s="139"/>
      <c r="AA443" s="139"/>
    </row>
    <row r="444" spans="1:27" ht="15.75">
      <c r="A444" s="139"/>
      <c r="B444" s="139"/>
      <c r="C444" s="680"/>
      <c r="D444" s="139"/>
      <c r="E444" s="680"/>
      <c r="F444" s="139"/>
      <c r="G444" s="139"/>
      <c r="H444" s="680"/>
      <c r="I444" s="680"/>
      <c r="J444" s="139"/>
      <c r="K444" s="139"/>
      <c r="L444" s="139"/>
      <c r="M444" s="139"/>
      <c r="N444" s="139"/>
      <c r="O444" s="139"/>
      <c r="P444" s="139"/>
      <c r="Q444" s="139"/>
      <c r="R444" s="139"/>
      <c r="S444" s="139"/>
      <c r="T444" s="139"/>
      <c r="U444" s="139"/>
      <c r="V444" s="139"/>
      <c r="W444" s="139"/>
      <c r="X444" s="139"/>
      <c r="Y444" s="139"/>
      <c r="Z444" s="139"/>
      <c r="AA444" s="139"/>
    </row>
    <row r="445" spans="1:27" ht="15.75">
      <c r="A445" s="139"/>
      <c r="B445" s="139"/>
      <c r="C445" s="680"/>
      <c r="D445" s="139"/>
      <c r="E445" s="680"/>
      <c r="F445" s="139"/>
      <c r="G445" s="139"/>
      <c r="H445" s="680"/>
      <c r="I445" s="680"/>
      <c r="J445" s="139"/>
      <c r="K445" s="139"/>
      <c r="L445" s="139"/>
      <c r="M445" s="139"/>
      <c r="N445" s="139"/>
      <c r="O445" s="139"/>
      <c r="P445" s="139"/>
      <c r="Q445" s="139"/>
      <c r="R445" s="139"/>
      <c r="S445" s="139"/>
      <c r="T445" s="139"/>
      <c r="U445" s="139"/>
      <c r="V445" s="139"/>
      <c r="W445" s="139"/>
      <c r="X445" s="139"/>
      <c r="Y445" s="139"/>
      <c r="Z445" s="139"/>
      <c r="AA445" s="139"/>
    </row>
    <row r="446" spans="1:27" ht="15.75">
      <c r="A446" s="139"/>
      <c r="B446" s="139"/>
      <c r="C446" s="680"/>
      <c r="D446" s="139"/>
      <c r="E446" s="680"/>
      <c r="F446" s="139"/>
      <c r="G446" s="139"/>
      <c r="H446" s="680"/>
      <c r="I446" s="680"/>
      <c r="J446" s="139"/>
      <c r="K446" s="139"/>
      <c r="L446" s="139"/>
      <c r="M446" s="139"/>
      <c r="N446" s="139"/>
      <c r="O446" s="139"/>
      <c r="P446" s="139"/>
      <c r="Q446" s="139"/>
      <c r="R446" s="139"/>
      <c r="S446" s="139"/>
      <c r="T446" s="139"/>
      <c r="U446" s="139"/>
      <c r="V446" s="139"/>
      <c r="W446" s="139"/>
      <c r="X446" s="139"/>
      <c r="Y446" s="139"/>
      <c r="Z446" s="139"/>
      <c r="AA446" s="139"/>
    </row>
    <row r="447" spans="1:27" ht="15.75">
      <c r="A447" s="139"/>
      <c r="B447" s="139"/>
      <c r="C447" s="680"/>
      <c r="D447" s="139"/>
      <c r="E447" s="680"/>
      <c r="F447" s="139"/>
      <c r="G447" s="139"/>
      <c r="H447" s="680"/>
      <c r="I447" s="680"/>
      <c r="J447" s="139"/>
      <c r="K447" s="139"/>
      <c r="L447" s="139"/>
      <c r="M447" s="139"/>
      <c r="N447" s="139"/>
      <c r="O447" s="139"/>
      <c r="P447" s="139"/>
      <c r="Q447" s="139"/>
      <c r="R447" s="139"/>
      <c r="S447" s="139"/>
      <c r="T447" s="139"/>
      <c r="U447" s="139"/>
      <c r="V447" s="139"/>
      <c r="W447" s="139"/>
      <c r="X447" s="139"/>
      <c r="Y447" s="139"/>
      <c r="Z447" s="139"/>
      <c r="AA447" s="139"/>
    </row>
    <row r="448" spans="1:27" ht="15.75">
      <c r="A448" s="139"/>
      <c r="B448" s="139"/>
      <c r="C448" s="680"/>
      <c r="D448" s="139"/>
      <c r="E448" s="680"/>
      <c r="F448" s="139"/>
      <c r="G448" s="139"/>
      <c r="H448" s="680"/>
      <c r="I448" s="680"/>
      <c r="J448" s="139"/>
      <c r="K448" s="139"/>
      <c r="L448" s="139"/>
      <c r="M448" s="139"/>
      <c r="N448" s="139"/>
      <c r="O448" s="139"/>
      <c r="P448" s="139"/>
      <c r="Q448" s="139"/>
      <c r="R448" s="139"/>
      <c r="S448" s="139"/>
      <c r="T448" s="139"/>
      <c r="U448" s="139"/>
      <c r="V448" s="139"/>
      <c r="W448" s="139"/>
      <c r="X448" s="139"/>
      <c r="Y448" s="139"/>
      <c r="Z448" s="139"/>
      <c r="AA448" s="139"/>
    </row>
    <row r="449" spans="1:27" ht="15.75">
      <c r="A449" s="139"/>
      <c r="B449" s="139"/>
      <c r="C449" s="680"/>
      <c r="D449" s="139"/>
      <c r="E449" s="680"/>
      <c r="F449" s="139"/>
      <c r="G449" s="139"/>
      <c r="H449" s="680"/>
      <c r="I449" s="680"/>
      <c r="J449" s="139"/>
      <c r="K449" s="139"/>
      <c r="L449" s="139"/>
      <c r="M449" s="139"/>
      <c r="N449" s="139"/>
      <c r="O449" s="139"/>
      <c r="P449" s="139"/>
      <c r="Q449" s="139"/>
      <c r="R449" s="139"/>
      <c r="S449" s="139"/>
      <c r="T449" s="139"/>
      <c r="U449" s="139"/>
      <c r="V449" s="139"/>
      <c r="W449" s="139"/>
      <c r="X449" s="139"/>
      <c r="Y449" s="139"/>
      <c r="Z449" s="139"/>
      <c r="AA449" s="139"/>
    </row>
    <row r="450" spans="1:27" ht="15.75">
      <c r="A450" s="139"/>
      <c r="B450" s="139"/>
      <c r="C450" s="680"/>
      <c r="D450" s="139"/>
      <c r="E450" s="680"/>
      <c r="F450" s="139"/>
      <c r="G450" s="139"/>
      <c r="H450" s="680"/>
      <c r="I450" s="680"/>
      <c r="J450" s="139"/>
      <c r="K450" s="139"/>
      <c r="L450" s="139"/>
      <c r="M450" s="139"/>
      <c r="N450" s="139"/>
      <c r="O450" s="139"/>
      <c r="P450" s="139"/>
      <c r="Q450" s="139"/>
      <c r="R450" s="139"/>
      <c r="S450" s="139"/>
      <c r="T450" s="139"/>
      <c r="U450" s="139"/>
      <c r="V450" s="139"/>
      <c r="W450" s="139"/>
      <c r="X450" s="139"/>
      <c r="Y450" s="139"/>
      <c r="Z450" s="139"/>
      <c r="AA450" s="139"/>
    </row>
    <row r="451" spans="1:27" ht="15.75">
      <c r="A451" s="139"/>
      <c r="B451" s="139"/>
      <c r="C451" s="680"/>
      <c r="D451" s="139"/>
      <c r="E451" s="680"/>
      <c r="F451" s="139"/>
      <c r="G451" s="139"/>
      <c r="H451" s="680"/>
      <c r="I451" s="680"/>
      <c r="J451" s="139"/>
      <c r="K451" s="139"/>
      <c r="L451" s="139"/>
      <c r="M451" s="139"/>
      <c r="N451" s="139"/>
      <c r="O451" s="139"/>
      <c r="P451" s="139"/>
      <c r="Q451" s="139"/>
      <c r="R451" s="139"/>
      <c r="S451" s="139"/>
      <c r="T451" s="139"/>
      <c r="U451" s="139"/>
      <c r="V451" s="139"/>
      <c r="W451" s="139"/>
      <c r="X451" s="139"/>
      <c r="Y451" s="139"/>
      <c r="Z451" s="139"/>
      <c r="AA451" s="139"/>
    </row>
    <row r="452" spans="1:27" ht="15.75">
      <c r="A452" s="139"/>
      <c r="B452" s="139"/>
      <c r="C452" s="680"/>
      <c r="D452" s="139"/>
      <c r="E452" s="680"/>
      <c r="F452" s="139"/>
      <c r="G452" s="139"/>
      <c r="H452" s="680"/>
      <c r="I452" s="680"/>
      <c r="J452" s="139"/>
      <c r="K452" s="139"/>
      <c r="L452" s="139"/>
      <c r="M452" s="139"/>
      <c r="N452" s="139"/>
      <c r="O452" s="139"/>
      <c r="P452" s="139"/>
      <c r="Q452" s="139"/>
      <c r="R452" s="139"/>
      <c r="S452" s="139"/>
      <c r="T452" s="139"/>
      <c r="U452" s="139"/>
      <c r="V452" s="139"/>
      <c r="W452" s="139"/>
      <c r="X452" s="139"/>
      <c r="Y452" s="139"/>
      <c r="Z452" s="139"/>
      <c r="AA452" s="139"/>
    </row>
    <row r="453" spans="1:27" ht="15.75">
      <c r="A453" s="139"/>
      <c r="B453" s="139"/>
      <c r="C453" s="680"/>
      <c r="D453" s="139"/>
      <c r="E453" s="680"/>
      <c r="F453" s="139"/>
      <c r="G453" s="139"/>
      <c r="H453" s="680"/>
      <c r="I453" s="680"/>
      <c r="J453" s="139"/>
      <c r="K453" s="139"/>
      <c r="L453" s="139"/>
      <c r="M453" s="139"/>
      <c r="N453" s="139"/>
      <c r="O453" s="139"/>
      <c r="P453" s="139"/>
      <c r="Q453" s="139"/>
      <c r="R453" s="139"/>
      <c r="S453" s="139"/>
      <c r="T453" s="139"/>
      <c r="U453" s="139"/>
      <c r="V453" s="139"/>
      <c r="W453" s="139"/>
      <c r="X453" s="139"/>
      <c r="Y453" s="139"/>
      <c r="Z453" s="139"/>
      <c r="AA453" s="139"/>
    </row>
    <row r="454" spans="1:27" ht="15.75">
      <c r="A454" s="139"/>
      <c r="B454" s="139"/>
      <c r="C454" s="680"/>
      <c r="D454" s="139"/>
      <c r="E454" s="680"/>
      <c r="F454" s="139"/>
      <c r="G454" s="139"/>
      <c r="H454" s="680"/>
      <c r="I454" s="680"/>
      <c r="J454" s="139"/>
      <c r="K454" s="139"/>
      <c r="L454" s="139"/>
      <c r="M454" s="139"/>
      <c r="N454" s="139"/>
      <c r="O454" s="139"/>
      <c r="P454" s="139"/>
      <c r="Q454" s="139"/>
      <c r="R454" s="139"/>
      <c r="S454" s="139"/>
      <c r="T454" s="139"/>
      <c r="U454" s="139"/>
      <c r="V454" s="139"/>
      <c r="W454" s="139"/>
      <c r="X454" s="139"/>
      <c r="Y454" s="139"/>
      <c r="Z454" s="139"/>
      <c r="AA454" s="139"/>
    </row>
    <row r="455" spans="1:27" ht="15.75">
      <c r="A455" s="139"/>
      <c r="B455" s="139"/>
      <c r="C455" s="680"/>
      <c r="D455" s="139"/>
      <c r="E455" s="680"/>
      <c r="F455" s="139"/>
      <c r="G455" s="139"/>
      <c r="H455" s="680"/>
      <c r="I455" s="680"/>
      <c r="J455" s="139"/>
      <c r="K455" s="139"/>
      <c r="L455" s="139"/>
      <c r="M455" s="139"/>
      <c r="N455" s="139"/>
      <c r="O455" s="139"/>
      <c r="P455" s="139"/>
      <c r="Q455" s="139"/>
      <c r="R455" s="139"/>
      <c r="S455" s="139"/>
      <c r="T455" s="139"/>
      <c r="U455" s="139"/>
      <c r="V455" s="139"/>
      <c r="W455" s="139"/>
      <c r="X455" s="139"/>
      <c r="Y455" s="139"/>
      <c r="Z455" s="139"/>
      <c r="AA455" s="139"/>
    </row>
    <row r="456" spans="1:27" ht="15.75">
      <c r="A456" s="139"/>
      <c r="B456" s="139"/>
      <c r="C456" s="680"/>
      <c r="D456" s="139"/>
      <c r="E456" s="680"/>
      <c r="F456" s="139"/>
      <c r="G456" s="139"/>
      <c r="H456" s="680"/>
      <c r="I456" s="680"/>
      <c r="J456" s="139"/>
      <c r="K456" s="139"/>
      <c r="L456" s="139"/>
      <c r="M456" s="139"/>
      <c r="N456" s="139"/>
      <c r="O456" s="139"/>
      <c r="P456" s="139"/>
      <c r="Q456" s="139"/>
      <c r="R456" s="139"/>
      <c r="S456" s="139"/>
      <c r="T456" s="139"/>
      <c r="U456" s="139"/>
      <c r="V456" s="139"/>
      <c r="W456" s="139"/>
      <c r="X456" s="139"/>
      <c r="Y456" s="139"/>
      <c r="Z456" s="139"/>
      <c r="AA456" s="139"/>
    </row>
    <row r="457" spans="1:27" ht="15.75">
      <c r="A457" s="139"/>
      <c r="B457" s="139"/>
      <c r="C457" s="680"/>
      <c r="D457" s="139"/>
      <c r="E457" s="680"/>
      <c r="F457" s="139"/>
      <c r="G457" s="139"/>
      <c r="H457" s="680"/>
      <c r="I457" s="680"/>
      <c r="J457" s="139"/>
      <c r="K457" s="139"/>
      <c r="L457" s="139"/>
      <c r="M457" s="139"/>
      <c r="N457" s="139"/>
      <c r="O457" s="139"/>
      <c r="P457" s="139"/>
      <c r="Q457" s="139"/>
      <c r="R457" s="139"/>
      <c r="S457" s="139"/>
      <c r="T457" s="139"/>
      <c r="U457" s="139"/>
      <c r="V457" s="139"/>
      <c r="W457" s="139"/>
      <c r="X457" s="139"/>
      <c r="Y457" s="139"/>
      <c r="Z457" s="139"/>
      <c r="AA457" s="139"/>
    </row>
    <row r="458" spans="1:27" ht="15.75">
      <c r="A458" s="139"/>
      <c r="B458" s="139"/>
      <c r="C458" s="680"/>
      <c r="D458" s="139"/>
      <c r="E458" s="680"/>
      <c r="F458" s="139"/>
      <c r="G458" s="139"/>
      <c r="H458" s="680"/>
      <c r="I458" s="680"/>
      <c r="J458" s="139"/>
      <c r="K458" s="139"/>
      <c r="L458" s="139"/>
      <c r="M458" s="139"/>
      <c r="N458" s="139"/>
      <c r="O458" s="139"/>
      <c r="P458" s="139"/>
      <c r="Q458" s="139"/>
      <c r="R458" s="139"/>
      <c r="S458" s="139"/>
      <c r="T458" s="139"/>
      <c r="U458" s="139"/>
      <c r="V458" s="139"/>
      <c r="W458" s="139"/>
      <c r="X458" s="139"/>
      <c r="Y458" s="139"/>
      <c r="Z458" s="139"/>
      <c r="AA458" s="139"/>
    </row>
    <row r="459" spans="1:27" ht="15.75">
      <c r="A459" s="139"/>
      <c r="B459" s="139"/>
      <c r="C459" s="680"/>
      <c r="D459" s="139"/>
      <c r="E459" s="680"/>
      <c r="F459" s="139"/>
      <c r="G459" s="139"/>
      <c r="H459" s="680"/>
      <c r="I459" s="680"/>
      <c r="J459" s="139"/>
      <c r="K459" s="139"/>
      <c r="L459" s="139"/>
      <c r="M459" s="139"/>
      <c r="N459" s="139"/>
      <c r="O459" s="139"/>
      <c r="P459" s="139"/>
      <c r="Q459" s="139"/>
      <c r="R459" s="139"/>
      <c r="S459" s="139"/>
      <c r="T459" s="139"/>
      <c r="U459" s="139"/>
      <c r="V459" s="139"/>
      <c r="W459" s="139"/>
      <c r="X459" s="139"/>
      <c r="Y459" s="139"/>
      <c r="Z459" s="139"/>
      <c r="AA459" s="139"/>
    </row>
    <row r="460" spans="1:27" ht="15.75">
      <c r="A460" s="139"/>
      <c r="B460" s="139"/>
      <c r="C460" s="680"/>
      <c r="D460" s="139"/>
      <c r="E460" s="680"/>
      <c r="F460" s="139"/>
      <c r="G460" s="139"/>
      <c r="H460" s="680"/>
      <c r="I460" s="680"/>
      <c r="J460" s="139"/>
      <c r="K460" s="139"/>
      <c r="L460" s="139"/>
      <c r="M460" s="139"/>
      <c r="N460" s="139"/>
      <c r="O460" s="139"/>
      <c r="P460" s="139"/>
      <c r="Q460" s="139"/>
      <c r="R460" s="139"/>
      <c r="S460" s="139"/>
      <c r="T460" s="139"/>
      <c r="U460" s="139"/>
      <c r="V460" s="139"/>
      <c r="W460" s="139"/>
      <c r="X460" s="139"/>
      <c r="Y460" s="139"/>
      <c r="Z460" s="139"/>
      <c r="AA460" s="139"/>
    </row>
    <row r="461" spans="1:27" ht="15.75">
      <c r="A461" s="139"/>
      <c r="B461" s="139"/>
      <c r="C461" s="680"/>
      <c r="D461" s="139"/>
      <c r="E461" s="680"/>
      <c r="F461" s="139"/>
      <c r="G461" s="139"/>
      <c r="H461" s="680"/>
      <c r="I461" s="680"/>
      <c r="J461" s="139"/>
      <c r="K461" s="139"/>
      <c r="L461" s="139"/>
      <c r="M461" s="139"/>
      <c r="N461" s="139"/>
      <c r="O461" s="139"/>
      <c r="P461" s="139"/>
      <c r="Q461" s="139"/>
      <c r="R461" s="139"/>
      <c r="S461" s="139"/>
      <c r="T461" s="139"/>
      <c r="U461" s="139"/>
      <c r="V461" s="139"/>
      <c r="W461" s="139"/>
      <c r="X461" s="139"/>
      <c r="Y461" s="139"/>
      <c r="Z461" s="139"/>
      <c r="AA461" s="139"/>
    </row>
    <row r="462" spans="1:27" ht="15.75">
      <c r="A462" s="139"/>
      <c r="B462" s="139"/>
      <c r="C462" s="680"/>
      <c r="D462" s="139"/>
      <c r="E462" s="680"/>
      <c r="F462" s="139"/>
      <c r="G462" s="139"/>
      <c r="H462" s="680"/>
      <c r="I462" s="680"/>
      <c r="J462" s="139"/>
      <c r="K462" s="139"/>
      <c r="L462" s="139"/>
      <c r="M462" s="139"/>
      <c r="N462" s="139"/>
      <c r="O462" s="139"/>
      <c r="P462" s="139"/>
      <c r="Q462" s="139"/>
      <c r="R462" s="139"/>
      <c r="S462" s="139"/>
      <c r="T462" s="139"/>
      <c r="U462" s="139"/>
      <c r="V462" s="139"/>
      <c r="W462" s="139"/>
      <c r="X462" s="139"/>
      <c r="Y462" s="139"/>
      <c r="Z462" s="139"/>
      <c r="AA462" s="139"/>
    </row>
    <row r="463" spans="1:27" ht="15.75">
      <c r="A463" s="139"/>
      <c r="B463" s="139"/>
      <c r="C463" s="680"/>
      <c r="D463" s="139"/>
      <c r="E463" s="680"/>
      <c r="F463" s="139"/>
      <c r="G463" s="139"/>
      <c r="H463" s="680"/>
      <c r="I463" s="680"/>
      <c r="J463" s="139"/>
      <c r="K463" s="139"/>
      <c r="L463" s="139"/>
      <c r="M463" s="139"/>
      <c r="N463" s="139"/>
      <c r="O463" s="139"/>
      <c r="P463" s="139"/>
      <c r="Q463" s="139"/>
      <c r="R463" s="139"/>
      <c r="S463" s="139"/>
      <c r="T463" s="139"/>
      <c r="U463" s="139"/>
      <c r="V463" s="139"/>
      <c r="W463" s="139"/>
      <c r="X463" s="139"/>
      <c r="Y463" s="139"/>
      <c r="Z463" s="139"/>
      <c r="AA463" s="139"/>
    </row>
    <row r="464" spans="1:27" ht="15.75">
      <c r="A464" s="139"/>
      <c r="B464" s="139"/>
      <c r="C464" s="680"/>
      <c r="D464" s="139"/>
      <c r="E464" s="680"/>
      <c r="F464" s="139"/>
      <c r="G464" s="139"/>
      <c r="H464" s="680"/>
      <c r="I464" s="680"/>
      <c r="J464" s="139"/>
      <c r="K464" s="139"/>
      <c r="L464" s="139"/>
      <c r="M464" s="139"/>
      <c r="N464" s="139"/>
      <c r="O464" s="139"/>
      <c r="P464" s="139"/>
      <c r="Q464" s="139"/>
      <c r="R464" s="139"/>
      <c r="S464" s="139"/>
      <c r="T464" s="139"/>
      <c r="U464" s="139"/>
      <c r="V464" s="139"/>
      <c r="W464" s="139"/>
      <c r="X464" s="139"/>
      <c r="Y464" s="139"/>
      <c r="Z464" s="139"/>
      <c r="AA464" s="139"/>
    </row>
    <row r="465" spans="1:27" ht="15.75">
      <c r="A465" s="139"/>
      <c r="B465" s="139"/>
      <c r="C465" s="680"/>
      <c r="D465" s="139"/>
      <c r="E465" s="680"/>
      <c r="F465" s="139"/>
      <c r="G465" s="139"/>
      <c r="H465" s="680"/>
      <c r="I465" s="680"/>
      <c r="J465" s="139"/>
      <c r="K465" s="139"/>
      <c r="L465" s="139"/>
      <c r="M465" s="139"/>
      <c r="N465" s="139"/>
      <c r="O465" s="139"/>
      <c r="P465" s="139"/>
      <c r="Q465" s="139"/>
      <c r="R465" s="139"/>
      <c r="S465" s="139"/>
      <c r="T465" s="139"/>
      <c r="U465" s="139"/>
      <c r="V465" s="139"/>
      <c r="W465" s="139"/>
      <c r="X465" s="139"/>
      <c r="Y465" s="139"/>
      <c r="Z465" s="139"/>
      <c r="AA465" s="139"/>
    </row>
    <row r="466" spans="1:27" ht="15.75">
      <c r="A466" s="139"/>
      <c r="B466" s="139"/>
      <c r="C466" s="680"/>
      <c r="D466" s="139"/>
      <c r="E466" s="680"/>
      <c r="F466" s="139"/>
      <c r="G466" s="139"/>
      <c r="H466" s="680"/>
      <c r="I466" s="680"/>
      <c r="J466" s="139"/>
      <c r="K466" s="139"/>
      <c r="L466" s="139"/>
      <c r="M466" s="139"/>
      <c r="N466" s="139"/>
      <c r="O466" s="139"/>
      <c r="P466" s="139"/>
      <c r="Q466" s="139"/>
      <c r="R466" s="139"/>
      <c r="S466" s="139"/>
      <c r="T466" s="139"/>
      <c r="U466" s="139"/>
      <c r="V466" s="139"/>
      <c r="W466" s="139"/>
      <c r="X466" s="139"/>
      <c r="Y466" s="139"/>
      <c r="Z466" s="139"/>
      <c r="AA466" s="139"/>
    </row>
    <row r="467" spans="1:27" ht="15.75">
      <c r="A467" s="139"/>
      <c r="B467" s="139"/>
      <c r="C467" s="680"/>
      <c r="D467" s="139"/>
      <c r="E467" s="680"/>
      <c r="F467" s="139"/>
      <c r="G467" s="139"/>
      <c r="H467" s="680"/>
      <c r="I467" s="680"/>
      <c r="J467" s="139"/>
      <c r="K467" s="139"/>
      <c r="L467" s="139"/>
      <c r="M467" s="139"/>
      <c r="N467" s="139"/>
      <c r="O467" s="139"/>
      <c r="P467" s="139"/>
      <c r="Q467" s="139"/>
      <c r="R467" s="139"/>
      <c r="S467" s="139"/>
      <c r="T467" s="139"/>
      <c r="U467" s="139"/>
      <c r="V467" s="139"/>
      <c r="W467" s="139"/>
      <c r="X467" s="139"/>
      <c r="Y467" s="139"/>
      <c r="Z467" s="139"/>
      <c r="AA467" s="139"/>
    </row>
    <row r="468" spans="1:27" ht="15.75">
      <c r="A468" s="139"/>
      <c r="B468" s="139"/>
      <c r="C468" s="680"/>
      <c r="D468" s="139"/>
      <c r="E468" s="680"/>
      <c r="F468" s="139"/>
      <c r="G468" s="139"/>
      <c r="H468" s="680"/>
      <c r="I468" s="680"/>
      <c r="J468" s="139"/>
      <c r="K468" s="139"/>
      <c r="L468" s="139"/>
      <c r="M468" s="139"/>
      <c r="N468" s="139"/>
      <c r="O468" s="139"/>
      <c r="P468" s="139"/>
      <c r="Q468" s="139"/>
      <c r="R468" s="139"/>
      <c r="S468" s="139"/>
      <c r="T468" s="139"/>
      <c r="U468" s="139"/>
      <c r="V468" s="139"/>
      <c r="W468" s="139"/>
      <c r="X468" s="139"/>
      <c r="Y468" s="139"/>
      <c r="Z468" s="139"/>
      <c r="AA468" s="139"/>
    </row>
    <row r="469" spans="1:27" ht="15.75">
      <c r="A469" s="139"/>
      <c r="B469" s="139"/>
      <c r="C469" s="680"/>
      <c r="D469" s="139"/>
      <c r="E469" s="680"/>
      <c r="F469" s="139"/>
      <c r="G469" s="139"/>
      <c r="H469" s="680"/>
      <c r="I469" s="680"/>
      <c r="J469" s="139"/>
      <c r="K469" s="139"/>
      <c r="L469" s="139"/>
      <c r="M469" s="139"/>
      <c r="N469" s="139"/>
      <c r="O469" s="139"/>
      <c r="P469" s="139"/>
      <c r="Q469" s="139"/>
      <c r="R469" s="139"/>
      <c r="S469" s="139"/>
      <c r="T469" s="139"/>
      <c r="U469" s="139"/>
      <c r="V469" s="139"/>
      <c r="W469" s="139"/>
      <c r="X469" s="139"/>
      <c r="Y469" s="139"/>
      <c r="Z469" s="139"/>
      <c r="AA469" s="139"/>
    </row>
    <row r="470" spans="1:27" ht="15.75">
      <c r="A470" s="139"/>
      <c r="B470" s="139"/>
      <c r="C470" s="680"/>
      <c r="D470" s="139"/>
      <c r="E470" s="680"/>
      <c r="F470" s="139"/>
      <c r="G470" s="139"/>
      <c r="H470" s="680"/>
      <c r="I470" s="680"/>
      <c r="J470" s="139"/>
      <c r="K470" s="139"/>
      <c r="L470" s="139"/>
      <c r="M470" s="139"/>
      <c r="N470" s="139"/>
      <c r="O470" s="139"/>
      <c r="P470" s="139"/>
      <c r="Q470" s="139"/>
      <c r="R470" s="139"/>
      <c r="S470" s="139"/>
      <c r="T470" s="139"/>
      <c r="U470" s="139"/>
      <c r="V470" s="139"/>
      <c r="W470" s="139"/>
      <c r="X470" s="139"/>
      <c r="Y470" s="139"/>
      <c r="Z470" s="139"/>
      <c r="AA470" s="139"/>
    </row>
    <row r="471" spans="1:27" ht="15.75">
      <c r="A471" s="139"/>
      <c r="B471" s="139"/>
      <c r="C471" s="680"/>
      <c r="D471" s="139"/>
      <c r="E471" s="680"/>
      <c r="F471" s="139"/>
      <c r="G471" s="139"/>
      <c r="H471" s="680"/>
      <c r="I471" s="680"/>
      <c r="J471" s="139"/>
      <c r="K471" s="139"/>
      <c r="L471" s="139"/>
      <c r="M471" s="139"/>
      <c r="N471" s="139"/>
      <c r="O471" s="139"/>
      <c r="P471" s="139"/>
      <c r="Q471" s="139"/>
      <c r="R471" s="139"/>
      <c r="S471" s="139"/>
      <c r="T471" s="139"/>
      <c r="U471" s="139"/>
      <c r="V471" s="139"/>
      <c r="W471" s="139"/>
      <c r="X471" s="139"/>
      <c r="Y471" s="139"/>
      <c r="Z471" s="139"/>
      <c r="AA471" s="139"/>
    </row>
    <row r="472" spans="1:27" ht="15.75">
      <c r="A472" s="139"/>
      <c r="B472" s="139"/>
      <c r="C472" s="680"/>
      <c r="D472" s="139"/>
      <c r="E472" s="680"/>
      <c r="F472" s="139"/>
      <c r="G472" s="139"/>
      <c r="H472" s="680"/>
      <c r="I472" s="680"/>
      <c r="J472" s="139"/>
      <c r="K472" s="139"/>
      <c r="L472" s="139"/>
      <c r="M472" s="139"/>
      <c r="N472" s="139"/>
      <c r="O472" s="139"/>
      <c r="P472" s="139"/>
      <c r="Q472" s="139"/>
      <c r="R472" s="139"/>
      <c r="S472" s="139"/>
      <c r="T472" s="139"/>
      <c r="U472" s="139"/>
      <c r="V472" s="139"/>
      <c r="W472" s="139"/>
      <c r="X472" s="139"/>
      <c r="Y472" s="139"/>
      <c r="Z472" s="139"/>
      <c r="AA472" s="139"/>
    </row>
    <row r="473" spans="1:27" ht="15.75">
      <c r="A473" s="139"/>
      <c r="B473" s="139"/>
      <c r="C473" s="680"/>
      <c r="D473" s="139"/>
      <c r="E473" s="680"/>
      <c r="F473" s="139"/>
      <c r="G473" s="139"/>
      <c r="H473" s="680"/>
      <c r="I473" s="680"/>
      <c r="J473" s="139"/>
      <c r="K473" s="139"/>
      <c r="L473" s="139"/>
      <c r="M473" s="139"/>
      <c r="N473" s="139"/>
      <c r="O473" s="139"/>
      <c r="P473" s="139"/>
      <c r="Q473" s="139"/>
      <c r="R473" s="139"/>
      <c r="S473" s="139"/>
      <c r="T473" s="139"/>
      <c r="U473" s="139"/>
      <c r="V473" s="139"/>
      <c r="W473" s="139"/>
      <c r="X473" s="139"/>
      <c r="Y473" s="139"/>
      <c r="Z473" s="139"/>
      <c r="AA473" s="139"/>
    </row>
    <row r="474" spans="1:27" ht="15.75">
      <c r="A474" s="139"/>
      <c r="B474" s="139"/>
      <c r="C474" s="680"/>
      <c r="D474" s="139"/>
      <c r="E474" s="680"/>
      <c r="F474" s="139"/>
      <c r="G474" s="139"/>
      <c r="H474" s="680"/>
      <c r="I474" s="680"/>
      <c r="J474" s="139"/>
      <c r="K474" s="139"/>
      <c r="L474" s="139"/>
      <c r="M474" s="139"/>
      <c r="N474" s="139"/>
      <c r="O474" s="139"/>
      <c r="P474" s="139"/>
      <c r="Q474" s="139"/>
      <c r="R474" s="139"/>
      <c r="S474" s="139"/>
      <c r="T474" s="139"/>
      <c r="U474" s="139"/>
      <c r="V474" s="139"/>
      <c r="W474" s="139"/>
      <c r="X474" s="139"/>
      <c r="Y474" s="139"/>
      <c r="Z474" s="139"/>
      <c r="AA474" s="139"/>
    </row>
    <row r="475" spans="1:27" ht="15.75">
      <c r="A475" s="139"/>
      <c r="B475" s="139"/>
      <c r="C475" s="680"/>
      <c r="D475" s="139"/>
      <c r="E475" s="680"/>
      <c r="F475" s="139"/>
      <c r="G475" s="139"/>
      <c r="H475" s="680"/>
      <c r="I475" s="680"/>
      <c r="J475" s="139"/>
      <c r="K475" s="139"/>
      <c r="L475" s="139"/>
      <c r="M475" s="139"/>
      <c r="N475" s="139"/>
      <c r="O475" s="139"/>
      <c r="P475" s="139"/>
      <c r="Q475" s="139"/>
      <c r="R475" s="139"/>
      <c r="S475" s="139"/>
      <c r="T475" s="139"/>
      <c r="U475" s="139"/>
      <c r="V475" s="139"/>
      <c r="W475" s="139"/>
      <c r="X475" s="139"/>
      <c r="Y475" s="139"/>
      <c r="Z475" s="139"/>
      <c r="AA475" s="139"/>
    </row>
    <row r="476" spans="1:27" ht="15.75">
      <c r="A476" s="139"/>
      <c r="B476" s="139"/>
      <c r="C476" s="680"/>
      <c r="D476" s="139"/>
      <c r="E476" s="680"/>
      <c r="F476" s="139"/>
      <c r="G476" s="139"/>
      <c r="H476" s="680"/>
      <c r="I476" s="680"/>
      <c r="J476" s="139"/>
      <c r="K476" s="139"/>
      <c r="L476" s="139"/>
      <c r="M476" s="139"/>
      <c r="N476" s="139"/>
      <c r="O476" s="139"/>
      <c r="P476" s="139"/>
      <c r="Q476" s="139"/>
      <c r="R476" s="139"/>
      <c r="S476" s="139"/>
      <c r="T476" s="139"/>
      <c r="U476" s="139"/>
      <c r="V476" s="139"/>
      <c r="W476" s="139"/>
      <c r="X476" s="139"/>
      <c r="Y476" s="139"/>
      <c r="Z476" s="139"/>
      <c r="AA476" s="139"/>
    </row>
    <row r="477" spans="1:27" ht="15.75">
      <c r="A477" s="139"/>
      <c r="B477" s="139"/>
      <c r="C477" s="680"/>
      <c r="D477" s="139"/>
      <c r="E477" s="680"/>
      <c r="F477" s="139"/>
      <c r="G477" s="139"/>
      <c r="H477" s="680"/>
      <c r="I477" s="680"/>
      <c r="J477" s="139"/>
      <c r="K477" s="139"/>
      <c r="L477" s="139"/>
      <c r="M477" s="139"/>
      <c r="N477" s="139"/>
      <c r="O477" s="139"/>
      <c r="P477" s="139"/>
      <c r="Q477" s="139"/>
      <c r="R477" s="139"/>
      <c r="S477" s="139"/>
      <c r="T477" s="139"/>
      <c r="U477" s="139"/>
      <c r="V477" s="139"/>
      <c r="W477" s="139"/>
      <c r="X477" s="139"/>
      <c r="Y477" s="139"/>
      <c r="Z477" s="139"/>
      <c r="AA477" s="139"/>
    </row>
    <row r="478" spans="1:27" ht="15.75">
      <c r="A478" s="139"/>
      <c r="B478" s="139"/>
      <c r="C478" s="680"/>
      <c r="D478" s="139"/>
      <c r="E478" s="680"/>
      <c r="F478" s="139"/>
      <c r="G478" s="139"/>
      <c r="H478" s="680"/>
      <c r="I478" s="680"/>
      <c r="J478" s="139"/>
      <c r="K478" s="139"/>
      <c r="L478" s="139"/>
      <c r="M478" s="139"/>
      <c r="N478" s="139"/>
      <c r="O478" s="139"/>
      <c r="P478" s="139"/>
      <c r="Q478" s="139"/>
      <c r="R478" s="139"/>
      <c r="S478" s="139"/>
      <c r="T478" s="139"/>
      <c r="U478" s="139"/>
      <c r="V478" s="139"/>
      <c r="W478" s="139"/>
      <c r="X478" s="139"/>
      <c r="Y478" s="139"/>
      <c r="Z478" s="139"/>
      <c r="AA478" s="139"/>
    </row>
    <row r="479" spans="1:27" ht="15.75">
      <c r="A479" s="139"/>
      <c r="B479" s="139"/>
      <c r="C479" s="680"/>
      <c r="D479" s="139"/>
      <c r="E479" s="680"/>
      <c r="F479" s="139"/>
      <c r="G479" s="139"/>
      <c r="H479" s="680"/>
      <c r="I479" s="680"/>
      <c r="J479" s="139"/>
      <c r="K479" s="139"/>
      <c r="L479" s="139"/>
      <c r="M479" s="139"/>
      <c r="N479" s="139"/>
      <c r="O479" s="139"/>
      <c r="P479" s="139"/>
      <c r="Q479" s="139"/>
      <c r="R479" s="139"/>
      <c r="S479" s="139"/>
      <c r="T479" s="139"/>
      <c r="U479" s="139"/>
      <c r="V479" s="139"/>
      <c r="W479" s="139"/>
      <c r="X479" s="139"/>
      <c r="Y479" s="139"/>
      <c r="Z479" s="139"/>
      <c r="AA479" s="139"/>
    </row>
    <row r="480" spans="1:27" ht="15.75">
      <c r="A480" s="139"/>
      <c r="B480" s="139"/>
      <c r="C480" s="680"/>
      <c r="D480" s="139"/>
      <c r="E480" s="680"/>
      <c r="F480" s="139"/>
      <c r="G480" s="139"/>
      <c r="H480" s="680"/>
      <c r="I480" s="680"/>
      <c r="J480" s="139"/>
      <c r="K480" s="139"/>
      <c r="L480" s="139"/>
      <c r="M480" s="139"/>
      <c r="N480" s="139"/>
      <c r="O480" s="139"/>
      <c r="P480" s="139"/>
      <c r="Q480" s="139"/>
      <c r="R480" s="139"/>
      <c r="S480" s="139"/>
      <c r="T480" s="139"/>
      <c r="U480" s="139"/>
      <c r="V480" s="139"/>
      <c r="W480" s="139"/>
      <c r="X480" s="139"/>
      <c r="Y480" s="139"/>
      <c r="Z480" s="139"/>
      <c r="AA480" s="139"/>
    </row>
    <row r="481" spans="1:27" ht="15.75">
      <c r="A481" s="139"/>
      <c r="B481" s="139"/>
      <c r="C481" s="680"/>
      <c r="D481" s="139"/>
      <c r="E481" s="680"/>
      <c r="F481" s="139"/>
      <c r="G481" s="139"/>
      <c r="H481" s="680"/>
      <c r="I481" s="680"/>
      <c r="J481" s="139"/>
      <c r="K481" s="139"/>
      <c r="L481" s="139"/>
      <c r="M481" s="139"/>
      <c r="N481" s="139"/>
      <c r="O481" s="139"/>
      <c r="P481" s="139"/>
      <c r="Q481" s="139"/>
      <c r="R481" s="139"/>
      <c r="S481" s="139"/>
      <c r="T481" s="139"/>
      <c r="U481" s="139"/>
      <c r="V481" s="139"/>
      <c r="W481" s="139"/>
      <c r="X481" s="139"/>
      <c r="Y481" s="139"/>
      <c r="Z481" s="139"/>
      <c r="AA481" s="139"/>
    </row>
    <row r="482" spans="1:27" ht="15.75">
      <c r="A482" s="139"/>
      <c r="B482" s="139"/>
      <c r="C482" s="680"/>
      <c r="D482" s="139"/>
      <c r="E482" s="680"/>
      <c r="F482" s="139"/>
      <c r="G482" s="139"/>
      <c r="H482" s="680"/>
      <c r="I482" s="680"/>
      <c r="J482" s="139"/>
      <c r="K482" s="139"/>
      <c r="L482" s="139"/>
      <c r="M482" s="139"/>
      <c r="N482" s="139"/>
      <c r="O482" s="139"/>
      <c r="P482" s="139"/>
      <c r="Q482" s="139"/>
      <c r="R482" s="139"/>
      <c r="S482" s="139"/>
      <c r="T482" s="139"/>
      <c r="U482" s="139"/>
      <c r="V482" s="139"/>
      <c r="W482" s="139"/>
      <c r="X482" s="139"/>
      <c r="Y482" s="139"/>
      <c r="Z482" s="139"/>
      <c r="AA482" s="139"/>
    </row>
    <row r="483" spans="1:27" ht="15.75">
      <c r="A483" s="139"/>
      <c r="B483" s="139"/>
      <c r="C483" s="680"/>
      <c r="D483" s="139"/>
      <c r="E483" s="680"/>
      <c r="F483" s="139"/>
      <c r="G483" s="139"/>
      <c r="H483" s="680"/>
      <c r="I483" s="680"/>
      <c r="J483" s="139"/>
      <c r="K483" s="139"/>
      <c r="L483" s="139"/>
      <c r="M483" s="139"/>
      <c r="N483" s="139"/>
      <c r="O483" s="139"/>
      <c r="P483" s="139"/>
      <c r="Q483" s="139"/>
      <c r="R483" s="139"/>
      <c r="S483" s="139"/>
      <c r="T483" s="139"/>
      <c r="U483" s="139"/>
      <c r="V483" s="139"/>
      <c r="W483" s="139"/>
      <c r="X483" s="139"/>
      <c r="Y483" s="139"/>
      <c r="Z483" s="139"/>
      <c r="AA483" s="139"/>
    </row>
    <row r="484" spans="1:27" ht="15.75">
      <c r="A484" s="139"/>
      <c r="B484" s="139"/>
      <c r="C484" s="680"/>
      <c r="D484" s="139"/>
      <c r="E484" s="680"/>
      <c r="F484" s="139"/>
      <c r="G484" s="139"/>
      <c r="H484" s="680"/>
      <c r="I484" s="680"/>
      <c r="J484" s="139"/>
      <c r="K484" s="139"/>
      <c r="L484" s="139"/>
      <c r="M484" s="139"/>
      <c r="N484" s="139"/>
      <c r="O484" s="139"/>
      <c r="P484" s="139"/>
      <c r="Q484" s="139"/>
      <c r="R484" s="139"/>
      <c r="S484" s="139"/>
      <c r="T484" s="139"/>
      <c r="U484" s="139"/>
      <c r="V484" s="139"/>
      <c r="W484" s="139"/>
      <c r="X484" s="139"/>
      <c r="Y484" s="139"/>
      <c r="Z484" s="139"/>
      <c r="AA484" s="139"/>
    </row>
    <row r="485" spans="1:27" ht="15.75">
      <c r="A485" s="139"/>
      <c r="B485" s="139"/>
      <c r="C485" s="680"/>
      <c r="D485" s="139"/>
      <c r="E485" s="680"/>
      <c r="F485" s="139"/>
      <c r="G485" s="139"/>
      <c r="H485" s="680"/>
      <c r="I485" s="680"/>
      <c r="J485" s="139"/>
      <c r="K485" s="139"/>
      <c r="L485" s="139"/>
      <c r="M485" s="139"/>
      <c r="N485" s="139"/>
      <c r="O485" s="139"/>
      <c r="P485" s="139"/>
      <c r="Q485" s="139"/>
      <c r="R485" s="139"/>
      <c r="S485" s="139"/>
      <c r="T485" s="139"/>
      <c r="U485" s="139"/>
      <c r="V485" s="139"/>
      <c r="W485" s="139"/>
      <c r="X485" s="139"/>
      <c r="Y485" s="139"/>
      <c r="Z485" s="139"/>
      <c r="AA485" s="139"/>
    </row>
    <row r="486" spans="1:27" ht="15.75">
      <c r="A486" s="139"/>
      <c r="B486" s="139"/>
      <c r="C486" s="680"/>
      <c r="D486" s="139"/>
      <c r="E486" s="680"/>
      <c r="F486" s="139"/>
      <c r="G486" s="139"/>
      <c r="H486" s="680"/>
      <c r="I486" s="680"/>
      <c r="J486" s="139"/>
      <c r="K486" s="139"/>
      <c r="L486" s="139"/>
      <c r="M486" s="139"/>
      <c r="N486" s="139"/>
      <c r="O486" s="139"/>
      <c r="P486" s="139"/>
      <c r="Q486" s="139"/>
      <c r="R486" s="139"/>
      <c r="S486" s="139"/>
      <c r="T486" s="139"/>
      <c r="U486" s="139"/>
      <c r="V486" s="139"/>
      <c r="W486" s="139"/>
      <c r="X486" s="139"/>
      <c r="Y486" s="139"/>
      <c r="Z486" s="139"/>
      <c r="AA486" s="139"/>
    </row>
    <row r="487" spans="1:27" ht="15.75">
      <c r="A487" s="139"/>
      <c r="B487" s="139"/>
      <c r="C487" s="680"/>
      <c r="D487" s="139"/>
      <c r="E487" s="680"/>
      <c r="F487" s="139"/>
      <c r="G487" s="139"/>
      <c r="H487" s="680"/>
      <c r="I487" s="680"/>
      <c r="J487" s="139"/>
      <c r="K487" s="139"/>
      <c r="L487" s="139"/>
      <c r="M487" s="139"/>
      <c r="N487" s="139"/>
      <c r="O487" s="139"/>
      <c r="P487" s="139"/>
      <c r="Q487" s="139"/>
      <c r="R487" s="139"/>
      <c r="S487" s="139"/>
      <c r="T487" s="139"/>
      <c r="U487" s="139"/>
      <c r="V487" s="139"/>
      <c r="W487" s="139"/>
      <c r="X487" s="139"/>
      <c r="Y487" s="139"/>
      <c r="Z487" s="139"/>
      <c r="AA487" s="139"/>
    </row>
    <row r="488" spans="1:27" ht="15.75">
      <c r="A488" s="139"/>
      <c r="B488" s="139"/>
      <c r="C488" s="680"/>
      <c r="D488" s="139"/>
      <c r="E488" s="680"/>
      <c r="F488" s="139"/>
      <c r="G488" s="139"/>
      <c r="H488" s="680"/>
      <c r="I488" s="680"/>
      <c r="J488" s="139"/>
      <c r="K488" s="139"/>
      <c r="L488" s="139"/>
      <c r="M488" s="139"/>
      <c r="N488" s="139"/>
      <c r="O488" s="139"/>
      <c r="P488" s="139"/>
      <c r="Q488" s="139"/>
      <c r="R488" s="139"/>
      <c r="S488" s="139"/>
      <c r="T488" s="139"/>
      <c r="U488" s="139"/>
      <c r="V488" s="139"/>
      <c r="W488" s="139"/>
      <c r="X488" s="139"/>
      <c r="Y488" s="139"/>
      <c r="Z488" s="139"/>
      <c r="AA488" s="139"/>
    </row>
    <row r="489" spans="1:27" ht="15.75">
      <c r="A489" s="139"/>
      <c r="B489" s="139"/>
      <c r="C489" s="680"/>
      <c r="D489" s="139"/>
      <c r="E489" s="680"/>
      <c r="F489" s="139"/>
      <c r="G489" s="139"/>
      <c r="H489" s="680"/>
      <c r="I489" s="680"/>
      <c r="J489" s="139"/>
      <c r="K489" s="139"/>
      <c r="L489" s="139"/>
      <c r="M489" s="139"/>
      <c r="N489" s="139"/>
      <c r="O489" s="139"/>
      <c r="P489" s="139"/>
      <c r="Q489" s="139"/>
      <c r="R489" s="139"/>
      <c r="S489" s="139"/>
      <c r="T489" s="139"/>
      <c r="U489" s="139"/>
      <c r="V489" s="139"/>
      <c r="W489" s="139"/>
      <c r="X489" s="139"/>
      <c r="Y489" s="139"/>
      <c r="Z489" s="139"/>
      <c r="AA489" s="139"/>
    </row>
    <row r="490" spans="1:27" ht="15.75">
      <c r="A490" s="139"/>
      <c r="B490" s="139"/>
      <c r="C490" s="680"/>
      <c r="D490" s="139"/>
      <c r="E490" s="680"/>
      <c r="F490" s="139"/>
      <c r="G490" s="139"/>
      <c r="H490" s="680"/>
      <c r="I490" s="680"/>
      <c r="J490" s="139"/>
      <c r="K490" s="139"/>
      <c r="L490" s="139"/>
      <c r="M490" s="139"/>
      <c r="N490" s="139"/>
      <c r="O490" s="139"/>
      <c r="P490" s="139"/>
      <c r="Q490" s="139"/>
      <c r="R490" s="139"/>
      <c r="S490" s="139"/>
      <c r="T490" s="139"/>
      <c r="U490" s="139"/>
      <c r="V490" s="139"/>
      <c r="W490" s="139"/>
      <c r="X490" s="139"/>
      <c r="Y490" s="139"/>
      <c r="Z490" s="139"/>
      <c r="AA490" s="139"/>
    </row>
    <row r="491" spans="1:27" ht="15.75">
      <c r="A491" s="139"/>
      <c r="B491" s="139"/>
      <c r="C491" s="680"/>
      <c r="D491" s="139"/>
      <c r="E491" s="680"/>
      <c r="F491" s="139"/>
      <c r="G491" s="139"/>
      <c r="H491" s="680"/>
      <c r="I491" s="680"/>
      <c r="J491" s="139"/>
      <c r="K491" s="139"/>
      <c r="L491" s="139"/>
      <c r="M491" s="139"/>
      <c r="N491" s="139"/>
      <c r="O491" s="139"/>
      <c r="P491" s="139"/>
      <c r="Q491" s="139"/>
      <c r="R491" s="139"/>
      <c r="S491" s="139"/>
      <c r="T491" s="139"/>
      <c r="U491" s="139"/>
      <c r="V491" s="139"/>
      <c r="W491" s="139"/>
      <c r="X491" s="139"/>
      <c r="Y491" s="139"/>
      <c r="Z491" s="139"/>
      <c r="AA491" s="139"/>
    </row>
    <row r="492" spans="1:27" ht="15.75">
      <c r="A492" s="139"/>
      <c r="B492" s="139"/>
      <c r="C492" s="680"/>
      <c r="D492" s="139"/>
      <c r="E492" s="680"/>
      <c r="F492" s="139"/>
      <c r="G492" s="139"/>
      <c r="H492" s="680"/>
      <c r="I492" s="680"/>
      <c r="J492" s="139"/>
      <c r="K492" s="139"/>
      <c r="L492" s="139"/>
      <c r="M492" s="139"/>
      <c r="N492" s="139"/>
      <c r="O492" s="139"/>
      <c r="P492" s="139"/>
      <c r="Q492" s="139"/>
      <c r="R492" s="139"/>
      <c r="S492" s="139"/>
      <c r="T492" s="139"/>
      <c r="U492" s="139"/>
      <c r="V492" s="139"/>
      <c r="W492" s="139"/>
      <c r="X492" s="139"/>
      <c r="Y492" s="139"/>
      <c r="Z492" s="139"/>
      <c r="AA492" s="139"/>
    </row>
    <row r="493" spans="1:27" ht="15.75">
      <c r="A493" s="139"/>
      <c r="B493" s="139"/>
      <c r="C493" s="680"/>
      <c r="D493" s="139"/>
      <c r="E493" s="680"/>
      <c r="F493" s="139"/>
      <c r="G493" s="139"/>
      <c r="H493" s="680"/>
      <c r="I493" s="680"/>
      <c r="J493" s="139"/>
      <c r="K493" s="139"/>
      <c r="L493" s="139"/>
      <c r="M493" s="139"/>
      <c r="N493" s="139"/>
      <c r="O493" s="139"/>
      <c r="P493" s="139"/>
      <c r="Q493" s="139"/>
      <c r="R493" s="139"/>
      <c r="S493" s="139"/>
      <c r="T493" s="139"/>
      <c r="U493" s="139"/>
      <c r="V493" s="139"/>
      <c r="W493" s="139"/>
      <c r="X493" s="139"/>
      <c r="Y493" s="139"/>
      <c r="Z493" s="139"/>
      <c r="AA493" s="139"/>
    </row>
    <row r="494" spans="1:27" ht="15.75">
      <c r="A494" s="139"/>
      <c r="B494" s="139"/>
      <c r="C494" s="680"/>
      <c r="D494" s="139"/>
      <c r="E494" s="680"/>
      <c r="F494" s="139"/>
      <c r="G494" s="139"/>
      <c r="H494" s="680"/>
      <c r="I494" s="680"/>
      <c r="J494" s="139"/>
      <c r="K494" s="139"/>
      <c r="L494" s="139"/>
      <c r="M494" s="139"/>
      <c r="N494" s="139"/>
      <c r="O494" s="139"/>
      <c r="P494" s="139"/>
      <c r="Q494" s="139"/>
      <c r="R494" s="139"/>
      <c r="S494" s="139"/>
      <c r="T494" s="139"/>
      <c r="U494" s="139"/>
      <c r="V494" s="139"/>
      <c r="W494" s="139"/>
      <c r="X494" s="139"/>
      <c r="Y494" s="139"/>
      <c r="Z494" s="139"/>
      <c r="AA494" s="139"/>
    </row>
    <row r="495" spans="1:27" ht="15.75">
      <c r="A495" s="139"/>
      <c r="B495" s="139"/>
      <c r="C495" s="680"/>
      <c r="D495" s="139"/>
      <c r="E495" s="680"/>
      <c r="F495" s="139"/>
      <c r="G495" s="139"/>
      <c r="H495" s="680"/>
      <c r="I495" s="680"/>
      <c r="J495" s="139"/>
      <c r="K495" s="139"/>
      <c r="L495" s="139"/>
      <c r="M495" s="139"/>
      <c r="N495" s="139"/>
      <c r="O495" s="139"/>
      <c r="P495" s="139"/>
      <c r="Q495" s="139"/>
      <c r="R495" s="139"/>
      <c r="S495" s="139"/>
      <c r="T495" s="139"/>
      <c r="U495" s="139"/>
      <c r="V495" s="139"/>
      <c r="W495" s="139"/>
      <c r="X495" s="139"/>
      <c r="Y495" s="139"/>
      <c r="Z495" s="139"/>
      <c r="AA495" s="139"/>
    </row>
    <row r="496" spans="1:27" ht="15.75">
      <c r="A496" s="139"/>
      <c r="B496" s="139"/>
      <c r="C496" s="680"/>
      <c r="D496" s="139"/>
      <c r="E496" s="680"/>
      <c r="F496" s="139"/>
      <c r="G496" s="139"/>
      <c r="H496" s="680"/>
      <c r="I496" s="680"/>
      <c r="J496" s="139"/>
      <c r="K496" s="139"/>
      <c r="L496" s="139"/>
      <c r="M496" s="139"/>
      <c r="N496" s="139"/>
      <c r="O496" s="139"/>
      <c r="P496" s="139"/>
      <c r="Q496" s="139"/>
      <c r="R496" s="139"/>
      <c r="S496" s="139"/>
      <c r="T496" s="139"/>
      <c r="U496" s="139"/>
      <c r="V496" s="139"/>
      <c r="W496" s="139"/>
      <c r="X496" s="139"/>
      <c r="Y496" s="139"/>
      <c r="Z496" s="139"/>
      <c r="AA496" s="139"/>
    </row>
    <row r="497" spans="1:27" ht="15.75">
      <c r="A497" s="139"/>
      <c r="B497" s="139"/>
      <c r="C497" s="680"/>
      <c r="D497" s="139"/>
      <c r="E497" s="680"/>
      <c r="F497" s="139"/>
      <c r="G497" s="139"/>
      <c r="H497" s="680"/>
      <c r="I497" s="680"/>
      <c r="J497" s="139"/>
      <c r="K497" s="139"/>
      <c r="L497" s="139"/>
      <c r="M497" s="139"/>
      <c r="N497" s="139"/>
      <c r="O497" s="139"/>
      <c r="P497" s="139"/>
      <c r="Q497" s="139"/>
      <c r="R497" s="139"/>
      <c r="S497" s="139"/>
      <c r="T497" s="139"/>
      <c r="U497" s="139"/>
      <c r="V497" s="139"/>
      <c r="W497" s="139"/>
      <c r="X497" s="139"/>
      <c r="Y497" s="139"/>
      <c r="Z497" s="139"/>
      <c r="AA497" s="139"/>
    </row>
    <row r="498" spans="1:27" ht="15.75">
      <c r="A498" s="139"/>
      <c r="B498" s="139"/>
      <c r="C498" s="680"/>
      <c r="D498" s="139"/>
      <c r="E498" s="680"/>
      <c r="F498" s="139"/>
      <c r="G498" s="139"/>
      <c r="H498" s="680"/>
      <c r="I498" s="680"/>
      <c r="J498" s="139"/>
      <c r="K498" s="139"/>
      <c r="L498" s="139"/>
      <c r="M498" s="139"/>
      <c r="N498" s="139"/>
      <c r="O498" s="139"/>
      <c r="P498" s="139"/>
      <c r="Q498" s="139"/>
      <c r="R498" s="139"/>
      <c r="S498" s="139"/>
      <c r="T498" s="139"/>
      <c r="U498" s="139"/>
      <c r="V498" s="139"/>
      <c r="W498" s="139"/>
      <c r="X498" s="139"/>
      <c r="Y498" s="139"/>
      <c r="Z498" s="139"/>
      <c r="AA498" s="139"/>
    </row>
    <row r="499" spans="1:27" ht="15.75">
      <c r="A499" s="139"/>
      <c r="B499" s="139"/>
      <c r="C499" s="680"/>
      <c r="D499" s="139"/>
      <c r="E499" s="680"/>
      <c r="F499" s="139"/>
      <c r="G499" s="139"/>
      <c r="H499" s="680"/>
      <c r="I499" s="680"/>
      <c r="J499" s="139"/>
      <c r="K499" s="139"/>
      <c r="L499" s="139"/>
      <c r="M499" s="139"/>
      <c r="N499" s="139"/>
      <c r="O499" s="139"/>
      <c r="P499" s="139"/>
      <c r="Q499" s="139"/>
      <c r="R499" s="139"/>
      <c r="S499" s="139"/>
      <c r="T499" s="139"/>
      <c r="U499" s="139"/>
      <c r="V499" s="139"/>
      <c r="W499" s="139"/>
      <c r="X499" s="139"/>
      <c r="Y499" s="139"/>
      <c r="Z499" s="139"/>
      <c r="AA499" s="139"/>
    </row>
    <row r="500" spans="1:27" ht="15.75">
      <c r="A500" s="139"/>
      <c r="B500" s="139"/>
      <c r="C500" s="680"/>
      <c r="D500" s="139"/>
      <c r="E500" s="680"/>
      <c r="F500" s="139"/>
      <c r="G500" s="139"/>
      <c r="H500" s="680"/>
      <c r="I500" s="680"/>
      <c r="J500" s="139"/>
      <c r="K500" s="139"/>
      <c r="L500" s="139"/>
      <c r="M500" s="139"/>
      <c r="N500" s="139"/>
      <c r="O500" s="139"/>
      <c r="P500" s="139"/>
      <c r="Q500" s="139"/>
      <c r="R500" s="139"/>
      <c r="S500" s="139"/>
      <c r="T500" s="139"/>
      <c r="U500" s="139"/>
      <c r="V500" s="139"/>
      <c r="W500" s="139"/>
      <c r="X500" s="139"/>
      <c r="Y500" s="139"/>
      <c r="Z500" s="139"/>
      <c r="AA500" s="139"/>
    </row>
    <row r="501" spans="1:27" ht="15.75">
      <c r="A501" s="139"/>
      <c r="B501" s="139"/>
      <c r="C501" s="680"/>
      <c r="D501" s="139"/>
      <c r="E501" s="680"/>
      <c r="F501" s="139"/>
      <c r="G501" s="139"/>
      <c r="H501" s="680"/>
      <c r="I501" s="680"/>
      <c r="J501" s="139"/>
      <c r="K501" s="139"/>
      <c r="L501" s="139"/>
      <c r="M501" s="139"/>
      <c r="N501" s="139"/>
      <c r="O501" s="139"/>
      <c r="P501" s="139"/>
      <c r="Q501" s="139"/>
      <c r="R501" s="139"/>
      <c r="S501" s="139"/>
      <c r="T501" s="139"/>
      <c r="U501" s="139"/>
      <c r="V501" s="139"/>
      <c r="W501" s="139"/>
      <c r="X501" s="139"/>
      <c r="Y501" s="139"/>
      <c r="Z501" s="139"/>
      <c r="AA501" s="139"/>
    </row>
    <row r="502" spans="1:27" ht="15.75">
      <c r="A502" s="139"/>
      <c r="B502" s="139"/>
      <c r="C502" s="680"/>
      <c r="D502" s="139"/>
      <c r="E502" s="680"/>
      <c r="F502" s="139"/>
      <c r="G502" s="139"/>
      <c r="H502" s="680"/>
      <c r="I502" s="680"/>
      <c r="J502" s="139"/>
      <c r="K502" s="139"/>
      <c r="L502" s="139"/>
      <c r="M502" s="139"/>
      <c r="N502" s="139"/>
      <c r="O502" s="139"/>
      <c r="P502" s="139"/>
      <c r="Q502" s="139"/>
      <c r="R502" s="139"/>
      <c r="S502" s="139"/>
      <c r="T502" s="139"/>
      <c r="U502" s="139"/>
      <c r="V502" s="139"/>
      <c r="W502" s="139"/>
      <c r="X502" s="139"/>
      <c r="Y502" s="139"/>
      <c r="Z502" s="139"/>
      <c r="AA502" s="139"/>
    </row>
    <row r="503" spans="1:27" ht="15.75">
      <c r="A503" s="139"/>
      <c r="B503" s="139"/>
      <c r="C503" s="680"/>
      <c r="D503" s="139"/>
      <c r="E503" s="680"/>
      <c r="F503" s="139"/>
      <c r="G503" s="139"/>
      <c r="H503" s="680"/>
      <c r="I503" s="680"/>
      <c r="J503" s="139"/>
      <c r="K503" s="139"/>
      <c r="L503" s="139"/>
      <c r="M503" s="139"/>
      <c r="N503" s="139"/>
      <c r="O503" s="139"/>
      <c r="P503" s="139"/>
      <c r="Q503" s="139"/>
      <c r="R503" s="139"/>
      <c r="S503" s="139"/>
      <c r="T503" s="139"/>
      <c r="U503" s="139"/>
      <c r="V503" s="139"/>
      <c r="W503" s="139"/>
      <c r="X503" s="139"/>
      <c r="Y503" s="139"/>
      <c r="Z503" s="139"/>
      <c r="AA503" s="139"/>
    </row>
    <row r="504" spans="1:27" ht="15.75">
      <c r="A504" s="139"/>
      <c r="B504" s="139"/>
      <c r="C504" s="680"/>
      <c r="D504" s="139"/>
      <c r="E504" s="680"/>
      <c r="F504" s="139"/>
      <c r="G504" s="139"/>
      <c r="H504" s="680"/>
      <c r="I504" s="680"/>
      <c r="J504" s="139"/>
      <c r="K504" s="139"/>
      <c r="L504" s="139"/>
      <c r="M504" s="139"/>
      <c r="N504" s="139"/>
      <c r="O504" s="139"/>
      <c r="P504" s="139"/>
      <c r="Q504" s="139"/>
      <c r="R504" s="139"/>
      <c r="S504" s="139"/>
      <c r="T504" s="139"/>
      <c r="U504" s="139"/>
      <c r="V504" s="139"/>
      <c r="W504" s="139"/>
      <c r="X504" s="139"/>
      <c r="Y504" s="139"/>
      <c r="Z504" s="139"/>
      <c r="AA504" s="139"/>
    </row>
    <row r="505" spans="1:27" ht="15.75">
      <c r="A505" s="139"/>
      <c r="B505" s="139"/>
      <c r="C505" s="680"/>
      <c r="D505" s="139"/>
      <c r="E505" s="680"/>
      <c r="F505" s="139"/>
      <c r="G505" s="139"/>
      <c r="H505" s="680"/>
      <c r="I505" s="680"/>
      <c r="J505" s="139"/>
      <c r="K505" s="139"/>
      <c r="L505" s="139"/>
      <c r="M505" s="139"/>
      <c r="N505" s="139"/>
      <c r="O505" s="139"/>
      <c r="P505" s="139"/>
      <c r="Q505" s="139"/>
      <c r="R505" s="139"/>
      <c r="S505" s="139"/>
      <c r="T505" s="139"/>
      <c r="U505" s="139"/>
      <c r="V505" s="139"/>
      <c r="W505" s="139"/>
      <c r="X505" s="139"/>
      <c r="Y505" s="139"/>
      <c r="Z505" s="139"/>
      <c r="AA505" s="139"/>
    </row>
    <row r="506" spans="1:27" ht="15.75">
      <c r="A506" s="139"/>
      <c r="B506" s="139"/>
      <c r="C506" s="680"/>
      <c r="D506" s="139"/>
      <c r="E506" s="680"/>
      <c r="F506" s="139"/>
      <c r="G506" s="139"/>
      <c r="H506" s="680"/>
      <c r="I506" s="680"/>
      <c r="J506" s="139"/>
      <c r="K506" s="139"/>
      <c r="L506" s="139"/>
      <c r="M506" s="139"/>
      <c r="N506" s="139"/>
      <c r="O506" s="139"/>
      <c r="P506" s="139"/>
      <c r="Q506" s="139"/>
      <c r="R506" s="139"/>
      <c r="S506" s="139"/>
      <c r="T506" s="139"/>
      <c r="U506" s="139"/>
      <c r="V506" s="139"/>
      <c r="W506" s="139"/>
      <c r="X506" s="139"/>
      <c r="Y506" s="139"/>
      <c r="Z506" s="139"/>
      <c r="AA506" s="139"/>
    </row>
    <row r="507" spans="1:27" ht="15.75">
      <c r="A507" s="139"/>
      <c r="B507" s="139"/>
      <c r="C507" s="680"/>
      <c r="D507" s="139"/>
      <c r="E507" s="680"/>
      <c r="F507" s="139"/>
      <c r="G507" s="139"/>
      <c r="H507" s="680"/>
      <c r="I507" s="680"/>
      <c r="J507" s="139"/>
      <c r="K507" s="139"/>
      <c r="L507" s="139"/>
      <c r="M507" s="139"/>
      <c r="N507" s="139"/>
      <c r="O507" s="139"/>
      <c r="P507" s="139"/>
      <c r="Q507" s="139"/>
      <c r="R507" s="139"/>
      <c r="S507" s="139"/>
      <c r="T507" s="139"/>
      <c r="U507" s="139"/>
      <c r="V507" s="139"/>
      <c r="W507" s="139"/>
      <c r="X507" s="139"/>
      <c r="Y507" s="139"/>
      <c r="Z507" s="139"/>
      <c r="AA507" s="139"/>
    </row>
    <row r="508" spans="1:27" ht="15.75">
      <c r="A508" s="139"/>
      <c r="B508" s="139"/>
      <c r="C508" s="680"/>
      <c r="D508" s="139"/>
      <c r="E508" s="680"/>
      <c r="F508" s="139"/>
      <c r="G508" s="139"/>
      <c r="H508" s="680"/>
      <c r="I508" s="680"/>
      <c r="J508" s="139"/>
      <c r="K508" s="139"/>
      <c r="L508" s="139"/>
      <c r="M508" s="139"/>
      <c r="N508" s="139"/>
      <c r="O508" s="139"/>
      <c r="P508" s="139"/>
      <c r="Q508" s="139"/>
      <c r="R508" s="139"/>
      <c r="S508" s="139"/>
      <c r="T508" s="139"/>
      <c r="U508" s="139"/>
      <c r="V508" s="139"/>
      <c r="W508" s="139"/>
      <c r="X508" s="139"/>
      <c r="Y508" s="139"/>
      <c r="Z508" s="139"/>
      <c r="AA508" s="139"/>
    </row>
    <row r="509" spans="1:27" ht="15.75">
      <c r="A509" s="139"/>
      <c r="B509" s="139"/>
      <c r="C509" s="680"/>
      <c r="D509" s="139"/>
      <c r="E509" s="680"/>
      <c r="F509" s="139"/>
      <c r="G509" s="139"/>
      <c r="H509" s="680"/>
      <c r="I509" s="680"/>
      <c r="J509" s="139"/>
      <c r="K509" s="139"/>
      <c r="L509" s="139"/>
      <c r="M509" s="139"/>
      <c r="N509" s="139"/>
      <c r="O509" s="139"/>
      <c r="P509" s="139"/>
      <c r="Q509" s="139"/>
      <c r="R509" s="139"/>
      <c r="S509" s="139"/>
      <c r="T509" s="139"/>
      <c r="U509" s="139"/>
      <c r="V509" s="139"/>
      <c r="W509" s="139"/>
      <c r="X509" s="139"/>
      <c r="Y509" s="139"/>
      <c r="Z509" s="139"/>
      <c r="AA509" s="139"/>
    </row>
    <row r="510" spans="1:27" ht="15.75">
      <c r="A510" s="139"/>
      <c r="B510" s="139"/>
      <c r="C510" s="680"/>
      <c r="D510" s="139"/>
      <c r="E510" s="680"/>
      <c r="F510" s="139"/>
      <c r="G510" s="139"/>
      <c r="H510" s="680"/>
      <c r="I510" s="680"/>
      <c r="J510" s="139"/>
      <c r="K510" s="139"/>
      <c r="L510" s="139"/>
      <c r="M510" s="139"/>
      <c r="N510" s="139"/>
      <c r="O510" s="139"/>
      <c r="P510" s="139"/>
      <c r="Q510" s="139"/>
      <c r="R510" s="139"/>
      <c r="S510" s="139"/>
      <c r="T510" s="139"/>
      <c r="U510" s="139"/>
      <c r="V510" s="139"/>
      <c r="W510" s="139"/>
      <c r="X510" s="139"/>
      <c r="Y510" s="139"/>
      <c r="Z510" s="139"/>
      <c r="AA510" s="139"/>
    </row>
    <row r="511" spans="1:27" ht="15.75">
      <c r="A511" s="139"/>
      <c r="B511" s="139"/>
      <c r="C511" s="680"/>
      <c r="D511" s="139"/>
      <c r="E511" s="680"/>
      <c r="F511" s="139"/>
      <c r="G511" s="139"/>
      <c r="H511" s="680"/>
      <c r="I511" s="680"/>
      <c r="J511" s="139"/>
      <c r="K511" s="139"/>
      <c r="L511" s="139"/>
      <c r="M511" s="139"/>
      <c r="N511" s="139"/>
      <c r="O511" s="139"/>
      <c r="P511" s="139"/>
      <c r="Q511" s="139"/>
      <c r="R511" s="139"/>
      <c r="S511" s="139"/>
      <c r="T511" s="139"/>
      <c r="U511" s="139"/>
      <c r="V511" s="139"/>
      <c r="W511" s="139"/>
      <c r="X511" s="139"/>
      <c r="Y511" s="139"/>
      <c r="Z511" s="139"/>
      <c r="AA511" s="139"/>
    </row>
    <row r="512" spans="1:27" ht="15.75">
      <c r="A512" s="139"/>
      <c r="B512" s="139"/>
      <c r="C512" s="680"/>
      <c r="D512" s="139"/>
      <c r="E512" s="680"/>
      <c r="F512" s="139"/>
      <c r="G512" s="139"/>
      <c r="H512" s="680"/>
      <c r="I512" s="680"/>
      <c r="J512" s="139"/>
      <c r="K512" s="139"/>
      <c r="L512" s="139"/>
      <c r="M512" s="139"/>
      <c r="N512" s="139"/>
      <c r="O512" s="139"/>
      <c r="P512" s="139"/>
      <c r="Q512" s="139"/>
      <c r="R512" s="139"/>
      <c r="S512" s="139"/>
      <c r="T512" s="139"/>
      <c r="U512" s="139"/>
      <c r="V512" s="139"/>
      <c r="W512" s="139"/>
      <c r="X512" s="139"/>
      <c r="Y512" s="139"/>
      <c r="Z512" s="139"/>
      <c r="AA512" s="139"/>
    </row>
    <row r="513" spans="1:27" ht="15.75">
      <c r="A513" s="139"/>
      <c r="B513" s="139"/>
      <c r="C513" s="680"/>
      <c r="D513" s="139"/>
      <c r="E513" s="680"/>
      <c r="F513" s="139"/>
      <c r="G513" s="139"/>
      <c r="H513" s="680"/>
      <c r="I513" s="680"/>
      <c r="J513" s="139"/>
      <c r="K513" s="139"/>
      <c r="L513" s="139"/>
      <c r="M513" s="139"/>
      <c r="N513" s="139"/>
      <c r="O513" s="139"/>
      <c r="P513" s="139"/>
      <c r="Q513" s="139"/>
      <c r="R513" s="139"/>
      <c r="S513" s="139"/>
      <c r="T513" s="139"/>
      <c r="U513" s="139"/>
      <c r="V513" s="139"/>
      <c r="W513" s="139"/>
      <c r="X513" s="139"/>
      <c r="Y513" s="139"/>
      <c r="Z513" s="139"/>
      <c r="AA513" s="139"/>
    </row>
    <row r="514" spans="1:27" ht="15.75">
      <c r="A514" s="139"/>
      <c r="B514" s="139"/>
      <c r="C514" s="680"/>
      <c r="D514" s="139"/>
      <c r="E514" s="680"/>
      <c r="F514" s="139"/>
      <c r="G514" s="139"/>
      <c r="H514" s="680"/>
      <c r="I514" s="680"/>
      <c r="J514" s="139"/>
      <c r="K514" s="139"/>
      <c r="L514" s="139"/>
      <c r="M514" s="139"/>
      <c r="N514" s="139"/>
      <c r="O514" s="139"/>
      <c r="P514" s="139"/>
      <c r="Q514" s="139"/>
      <c r="R514" s="139"/>
      <c r="S514" s="139"/>
      <c r="T514" s="139"/>
      <c r="U514" s="139"/>
      <c r="V514" s="139"/>
      <c r="W514" s="139"/>
      <c r="X514" s="139"/>
      <c r="Y514" s="139"/>
      <c r="Z514" s="139"/>
      <c r="AA514" s="139"/>
    </row>
    <row r="515" spans="1:27" ht="15.75">
      <c r="A515" s="139"/>
      <c r="B515" s="139"/>
      <c r="C515" s="680"/>
      <c r="D515" s="139"/>
      <c r="E515" s="680"/>
      <c r="F515" s="139"/>
      <c r="G515" s="139"/>
      <c r="H515" s="680"/>
      <c r="I515" s="680"/>
      <c r="J515" s="139"/>
      <c r="K515" s="139"/>
      <c r="L515" s="139"/>
      <c r="M515" s="139"/>
      <c r="N515" s="139"/>
      <c r="O515" s="139"/>
      <c r="P515" s="139"/>
      <c r="Q515" s="139"/>
      <c r="R515" s="139"/>
      <c r="S515" s="139"/>
      <c r="T515" s="139"/>
      <c r="U515" s="139"/>
      <c r="V515" s="139"/>
      <c r="W515" s="139"/>
      <c r="X515" s="139"/>
      <c r="Y515" s="139"/>
      <c r="Z515" s="139"/>
      <c r="AA515" s="139"/>
    </row>
    <row r="516" spans="1:27" ht="15.75">
      <c r="A516" s="139"/>
      <c r="B516" s="139"/>
      <c r="C516" s="680"/>
      <c r="D516" s="139"/>
      <c r="E516" s="680"/>
      <c r="F516" s="139"/>
      <c r="G516" s="139"/>
      <c r="H516" s="680"/>
      <c r="I516" s="680"/>
      <c r="J516" s="139"/>
      <c r="K516" s="139"/>
      <c r="L516" s="139"/>
      <c r="M516" s="139"/>
      <c r="N516" s="139"/>
      <c r="O516" s="139"/>
      <c r="P516" s="139"/>
      <c r="Q516" s="139"/>
      <c r="R516" s="139"/>
      <c r="S516" s="139"/>
      <c r="T516" s="139"/>
      <c r="U516" s="139"/>
      <c r="V516" s="139"/>
      <c r="W516" s="139"/>
      <c r="X516" s="139"/>
      <c r="Y516" s="139"/>
      <c r="Z516" s="139"/>
      <c r="AA516" s="139"/>
    </row>
    <row r="517" spans="1:27" ht="15.75">
      <c r="A517" s="139"/>
      <c r="B517" s="139"/>
      <c r="C517" s="680"/>
      <c r="D517" s="139"/>
      <c r="E517" s="680"/>
      <c r="F517" s="139"/>
      <c r="G517" s="139"/>
      <c r="H517" s="680"/>
      <c r="I517" s="680"/>
      <c r="J517" s="139"/>
      <c r="K517" s="139"/>
      <c r="L517" s="139"/>
      <c r="M517" s="139"/>
      <c r="N517" s="139"/>
      <c r="O517" s="139"/>
      <c r="P517" s="139"/>
      <c r="Q517" s="139"/>
      <c r="R517" s="139"/>
      <c r="S517" s="139"/>
      <c r="T517" s="139"/>
      <c r="U517" s="139"/>
      <c r="V517" s="139"/>
      <c r="W517" s="139"/>
      <c r="X517" s="139"/>
      <c r="Y517" s="139"/>
      <c r="Z517" s="139"/>
      <c r="AA517" s="139"/>
    </row>
    <row r="518" spans="1:27" ht="15.75">
      <c r="A518" s="139"/>
      <c r="B518" s="139"/>
      <c r="C518" s="680"/>
      <c r="D518" s="139"/>
      <c r="E518" s="680"/>
      <c r="F518" s="139"/>
      <c r="G518" s="139"/>
      <c r="H518" s="680"/>
      <c r="I518" s="680"/>
      <c r="J518" s="139"/>
      <c r="K518" s="139"/>
      <c r="L518" s="139"/>
      <c r="M518" s="139"/>
      <c r="N518" s="139"/>
      <c r="O518" s="139"/>
      <c r="P518" s="139"/>
      <c r="Q518" s="139"/>
      <c r="R518" s="139"/>
      <c r="S518" s="139"/>
      <c r="T518" s="139"/>
      <c r="U518" s="139"/>
      <c r="V518" s="139"/>
      <c r="W518" s="139"/>
      <c r="X518" s="139"/>
      <c r="Y518" s="139"/>
      <c r="Z518" s="139"/>
      <c r="AA518" s="139"/>
    </row>
    <row r="519" spans="1:27" ht="15.75">
      <c r="A519" s="139"/>
      <c r="B519" s="139"/>
      <c r="C519" s="680"/>
      <c r="D519" s="139"/>
      <c r="E519" s="680"/>
      <c r="F519" s="139"/>
      <c r="G519" s="139"/>
      <c r="H519" s="680"/>
      <c r="I519" s="680"/>
      <c r="J519" s="139"/>
      <c r="K519" s="139"/>
      <c r="L519" s="139"/>
      <c r="M519" s="139"/>
      <c r="N519" s="139"/>
      <c r="O519" s="139"/>
      <c r="P519" s="139"/>
      <c r="Q519" s="139"/>
      <c r="R519" s="139"/>
      <c r="S519" s="139"/>
      <c r="T519" s="139"/>
      <c r="U519" s="139"/>
      <c r="V519" s="139"/>
      <c r="W519" s="139"/>
      <c r="X519" s="139"/>
      <c r="Y519" s="139"/>
      <c r="Z519" s="139"/>
      <c r="AA519" s="139"/>
    </row>
    <row r="520" spans="1:27" ht="15.75">
      <c r="A520" s="139"/>
      <c r="B520" s="139"/>
      <c r="C520" s="680"/>
      <c r="D520" s="139"/>
      <c r="E520" s="680"/>
      <c r="F520" s="139"/>
      <c r="G520" s="139"/>
      <c r="H520" s="680"/>
      <c r="I520" s="680"/>
      <c r="J520" s="139"/>
      <c r="K520" s="139"/>
      <c r="L520" s="139"/>
      <c r="M520" s="139"/>
      <c r="N520" s="139"/>
      <c r="O520" s="139"/>
      <c r="P520" s="139"/>
      <c r="Q520" s="139"/>
      <c r="R520" s="139"/>
      <c r="S520" s="139"/>
      <c r="T520" s="139"/>
      <c r="U520" s="139"/>
      <c r="V520" s="139"/>
      <c r="W520" s="139"/>
      <c r="X520" s="139"/>
      <c r="Y520" s="139"/>
      <c r="Z520" s="139"/>
      <c r="AA520" s="139"/>
    </row>
    <row r="521" spans="1:27" ht="15.75">
      <c r="A521" s="139"/>
      <c r="B521" s="139"/>
      <c r="C521" s="680"/>
      <c r="D521" s="139"/>
      <c r="E521" s="680"/>
      <c r="F521" s="139"/>
      <c r="G521" s="139"/>
      <c r="H521" s="680"/>
      <c r="I521" s="680"/>
      <c r="J521" s="139"/>
      <c r="K521" s="139"/>
      <c r="L521" s="139"/>
      <c r="M521" s="139"/>
      <c r="N521" s="139"/>
      <c r="O521" s="139"/>
      <c r="P521" s="139"/>
      <c r="Q521" s="139"/>
      <c r="R521" s="139"/>
      <c r="S521" s="139"/>
      <c r="T521" s="139"/>
      <c r="U521" s="139"/>
      <c r="V521" s="139"/>
      <c r="W521" s="139"/>
      <c r="X521" s="139"/>
      <c r="Y521" s="139"/>
      <c r="Z521" s="139"/>
      <c r="AA521" s="139"/>
    </row>
    <row r="522" spans="1:27" ht="15.75">
      <c r="A522" s="139"/>
      <c r="B522" s="139"/>
      <c r="C522" s="680"/>
      <c r="D522" s="139"/>
      <c r="E522" s="680"/>
      <c r="F522" s="139"/>
      <c r="G522" s="139"/>
      <c r="H522" s="680"/>
      <c r="I522" s="680"/>
      <c r="J522" s="139"/>
      <c r="K522" s="139"/>
      <c r="L522" s="139"/>
      <c r="M522" s="139"/>
      <c r="N522" s="139"/>
      <c r="O522" s="139"/>
      <c r="P522" s="139"/>
      <c r="Q522" s="139"/>
      <c r="R522" s="139"/>
      <c r="S522" s="139"/>
      <c r="T522" s="139"/>
      <c r="U522" s="139"/>
      <c r="V522" s="139"/>
      <c r="W522" s="139"/>
      <c r="X522" s="139"/>
      <c r="Y522" s="139"/>
      <c r="Z522" s="139"/>
      <c r="AA522" s="139"/>
    </row>
    <row r="523" spans="1:27" ht="15.75">
      <c r="A523" s="139"/>
      <c r="B523" s="139"/>
      <c r="C523" s="680"/>
      <c r="D523" s="139"/>
      <c r="E523" s="680"/>
      <c r="F523" s="139"/>
      <c r="G523" s="139"/>
      <c r="H523" s="680"/>
      <c r="I523" s="680"/>
      <c r="J523" s="139"/>
      <c r="K523" s="139"/>
      <c r="L523" s="139"/>
      <c r="M523" s="139"/>
      <c r="N523" s="139"/>
      <c r="O523" s="139"/>
      <c r="P523" s="139"/>
      <c r="Q523" s="139"/>
      <c r="R523" s="139"/>
      <c r="S523" s="139"/>
      <c r="T523" s="139"/>
      <c r="U523" s="139"/>
      <c r="V523" s="139"/>
      <c r="W523" s="139"/>
      <c r="X523" s="139"/>
      <c r="Y523" s="139"/>
      <c r="Z523" s="139"/>
      <c r="AA523" s="139"/>
    </row>
    <row r="524" spans="1:27" ht="15.75">
      <c r="A524" s="139"/>
      <c r="B524" s="139"/>
      <c r="C524" s="680"/>
      <c r="D524" s="139"/>
      <c r="E524" s="680"/>
      <c r="F524" s="139"/>
      <c r="G524" s="139"/>
      <c r="H524" s="680"/>
      <c r="I524" s="680"/>
      <c r="J524" s="139"/>
      <c r="K524" s="139"/>
      <c r="L524" s="139"/>
      <c r="M524" s="139"/>
      <c r="N524" s="139"/>
      <c r="O524" s="139"/>
      <c r="P524" s="139"/>
      <c r="Q524" s="139"/>
      <c r="R524" s="139"/>
      <c r="S524" s="139"/>
      <c r="T524" s="139"/>
      <c r="U524" s="139"/>
      <c r="V524" s="139"/>
      <c r="W524" s="139"/>
      <c r="X524" s="139"/>
      <c r="Y524" s="139"/>
      <c r="Z524" s="139"/>
      <c r="AA524" s="139"/>
    </row>
    <row r="525" spans="1:27" ht="15.75">
      <c r="A525" s="139"/>
      <c r="B525" s="139"/>
      <c r="C525" s="680"/>
      <c r="D525" s="139"/>
      <c r="E525" s="680"/>
      <c r="F525" s="139"/>
      <c r="G525" s="139"/>
      <c r="H525" s="680"/>
      <c r="I525" s="680"/>
      <c r="J525" s="139"/>
      <c r="K525" s="139"/>
      <c r="L525" s="139"/>
      <c r="M525" s="139"/>
      <c r="N525" s="139"/>
      <c r="O525" s="139"/>
      <c r="P525" s="139"/>
      <c r="Q525" s="139"/>
      <c r="R525" s="139"/>
      <c r="S525" s="139"/>
      <c r="T525" s="139"/>
      <c r="U525" s="139"/>
      <c r="V525" s="139"/>
      <c r="W525" s="139"/>
      <c r="X525" s="139"/>
      <c r="Y525" s="139"/>
      <c r="Z525" s="139"/>
      <c r="AA525" s="139"/>
    </row>
    <row r="526" spans="1:27" ht="15.75">
      <c r="A526" s="139"/>
      <c r="B526" s="139"/>
      <c r="C526" s="680"/>
      <c r="D526" s="139"/>
      <c r="E526" s="680"/>
      <c r="F526" s="139"/>
      <c r="G526" s="139"/>
      <c r="H526" s="680"/>
      <c r="I526" s="680"/>
      <c r="J526" s="139"/>
      <c r="K526" s="139"/>
      <c r="L526" s="139"/>
      <c r="M526" s="139"/>
      <c r="N526" s="139"/>
      <c r="O526" s="139"/>
      <c r="P526" s="139"/>
      <c r="Q526" s="139"/>
      <c r="R526" s="139"/>
      <c r="S526" s="139"/>
      <c r="T526" s="139"/>
      <c r="U526" s="139"/>
      <c r="V526" s="139"/>
      <c r="W526" s="139"/>
      <c r="X526" s="139"/>
      <c r="Y526" s="139"/>
      <c r="Z526" s="139"/>
      <c r="AA526" s="139"/>
    </row>
    <row r="527" spans="1:27" ht="15.75">
      <c r="A527" s="139"/>
      <c r="B527" s="139"/>
      <c r="C527" s="680"/>
      <c r="D527" s="139"/>
      <c r="E527" s="680"/>
      <c r="F527" s="139"/>
      <c r="G527" s="139"/>
      <c r="H527" s="680"/>
      <c r="I527" s="680"/>
      <c r="J527" s="139"/>
      <c r="K527" s="139"/>
      <c r="L527" s="139"/>
      <c r="M527" s="139"/>
      <c r="N527" s="139"/>
      <c r="O527" s="139"/>
      <c r="P527" s="139"/>
      <c r="Q527" s="139"/>
      <c r="R527" s="139"/>
      <c r="S527" s="139"/>
      <c r="T527" s="139"/>
      <c r="U527" s="139"/>
      <c r="V527" s="139"/>
      <c r="W527" s="139"/>
      <c r="X527" s="139"/>
      <c r="Y527" s="139"/>
      <c r="Z527" s="139"/>
      <c r="AA527" s="139"/>
    </row>
    <row r="528" spans="1:27" ht="15.75">
      <c r="A528" s="139"/>
      <c r="B528" s="139"/>
      <c r="C528" s="680"/>
      <c r="D528" s="139"/>
      <c r="E528" s="680"/>
      <c r="F528" s="139"/>
      <c r="G528" s="139"/>
      <c r="H528" s="680"/>
      <c r="I528" s="680"/>
      <c r="J528" s="139"/>
      <c r="K528" s="139"/>
      <c r="L528" s="139"/>
      <c r="M528" s="139"/>
      <c r="N528" s="139"/>
      <c r="O528" s="139"/>
      <c r="P528" s="139"/>
      <c r="Q528" s="139"/>
      <c r="R528" s="139"/>
      <c r="S528" s="139"/>
      <c r="T528" s="139"/>
      <c r="U528" s="139"/>
      <c r="V528" s="139"/>
      <c r="W528" s="139"/>
      <c r="X528" s="139"/>
      <c r="Y528" s="139"/>
      <c r="Z528" s="139"/>
      <c r="AA528" s="139"/>
    </row>
    <row r="529" spans="1:27" ht="15.75">
      <c r="A529" s="139"/>
      <c r="B529" s="139"/>
      <c r="C529" s="680"/>
      <c r="D529" s="139"/>
      <c r="E529" s="680"/>
      <c r="F529" s="139"/>
      <c r="G529" s="139"/>
      <c r="H529" s="680"/>
      <c r="I529" s="680"/>
      <c r="J529" s="139"/>
      <c r="K529" s="139"/>
      <c r="L529" s="139"/>
      <c r="M529" s="139"/>
      <c r="N529" s="139"/>
      <c r="O529" s="139"/>
      <c r="P529" s="139"/>
      <c r="Q529" s="139"/>
      <c r="R529" s="139"/>
      <c r="S529" s="139"/>
      <c r="T529" s="139"/>
      <c r="U529" s="139"/>
      <c r="V529" s="139"/>
      <c r="W529" s="139"/>
      <c r="X529" s="139"/>
      <c r="Y529" s="139"/>
      <c r="Z529" s="139"/>
      <c r="AA529" s="139"/>
    </row>
    <row r="530" spans="1:27" ht="15.75">
      <c r="A530" s="139"/>
      <c r="B530" s="139"/>
      <c r="C530" s="680"/>
      <c r="D530" s="139"/>
      <c r="E530" s="680"/>
      <c r="F530" s="139"/>
      <c r="G530" s="139"/>
      <c r="H530" s="680"/>
      <c r="I530" s="680"/>
      <c r="J530" s="139"/>
      <c r="K530" s="139"/>
      <c r="L530" s="139"/>
      <c r="M530" s="139"/>
      <c r="N530" s="139"/>
      <c r="O530" s="139"/>
      <c r="P530" s="139"/>
      <c r="Q530" s="139"/>
      <c r="R530" s="139"/>
      <c r="S530" s="139"/>
      <c r="T530" s="139"/>
      <c r="U530" s="139"/>
      <c r="V530" s="139"/>
      <c r="W530" s="139"/>
      <c r="X530" s="139"/>
      <c r="Y530" s="139"/>
      <c r="Z530" s="139"/>
      <c r="AA530" s="139"/>
    </row>
    <row r="531" spans="1:27" ht="15.75">
      <c r="A531" s="139"/>
      <c r="B531" s="139"/>
      <c r="C531" s="680"/>
      <c r="D531" s="139"/>
      <c r="E531" s="680"/>
      <c r="F531" s="139"/>
      <c r="G531" s="139"/>
      <c r="H531" s="680"/>
      <c r="I531" s="680"/>
      <c r="J531" s="139"/>
      <c r="K531" s="139"/>
      <c r="L531" s="139"/>
      <c r="M531" s="139"/>
      <c r="N531" s="139"/>
      <c r="O531" s="139"/>
      <c r="P531" s="139"/>
      <c r="Q531" s="139"/>
      <c r="R531" s="139"/>
      <c r="S531" s="139"/>
      <c r="T531" s="139"/>
      <c r="U531" s="139"/>
      <c r="V531" s="139"/>
      <c r="W531" s="139"/>
      <c r="X531" s="139"/>
      <c r="Y531" s="139"/>
      <c r="Z531" s="139"/>
      <c r="AA531" s="139"/>
    </row>
    <row r="532" spans="1:27" ht="15.75">
      <c r="A532" s="139"/>
      <c r="B532" s="139"/>
      <c r="C532" s="680"/>
      <c r="D532" s="139"/>
      <c r="E532" s="680"/>
      <c r="F532" s="139"/>
      <c r="G532" s="139"/>
      <c r="H532" s="680"/>
      <c r="I532" s="680"/>
      <c r="J532" s="139"/>
      <c r="K532" s="139"/>
      <c r="L532" s="139"/>
      <c r="M532" s="139"/>
      <c r="N532" s="139"/>
      <c r="O532" s="139"/>
      <c r="P532" s="139"/>
      <c r="Q532" s="139"/>
      <c r="R532" s="139"/>
      <c r="S532" s="139"/>
      <c r="T532" s="139"/>
      <c r="U532" s="139"/>
      <c r="V532" s="139"/>
      <c r="W532" s="139"/>
      <c r="X532" s="139"/>
      <c r="Y532" s="139"/>
      <c r="Z532" s="139"/>
      <c r="AA532" s="139"/>
    </row>
    <row r="533" spans="1:27" ht="15.75">
      <c r="A533" s="139"/>
      <c r="B533" s="139"/>
      <c r="C533" s="680"/>
      <c r="D533" s="139"/>
      <c r="E533" s="680"/>
      <c r="F533" s="139"/>
      <c r="G533" s="139"/>
      <c r="H533" s="680"/>
      <c r="I533" s="680"/>
      <c r="J533" s="139"/>
      <c r="K533" s="139"/>
      <c r="L533" s="139"/>
      <c r="M533" s="139"/>
      <c r="N533" s="139"/>
      <c r="O533" s="139"/>
      <c r="P533" s="139"/>
      <c r="Q533" s="139"/>
      <c r="R533" s="139"/>
      <c r="S533" s="139"/>
      <c r="T533" s="139"/>
      <c r="U533" s="139"/>
      <c r="V533" s="139"/>
      <c r="W533" s="139"/>
      <c r="X533" s="139"/>
      <c r="Y533" s="139"/>
      <c r="Z533" s="139"/>
      <c r="AA533" s="139"/>
    </row>
    <row r="534" spans="1:27" ht="15.75">
      <c r="A534" s="139"/>
      <c r="B534" s="139"/>
      <c r="C534" s="680"/>
      <c r="D534" s="139"/>
      <c r="E534" s="680"/>
      <c r="F534" s="139"/>
      <c r="G534" s="139"/>
      <c r="H534" s="680"/>
      <c r="I534" s="680"/>
      <c r="J534" s="139"/>
      <c r="K534" s="139"/>
      <c r="L534" s="139"/>
      <c r="M534" s="139"/>
      <c r="N534" s="139"/>
      <c r="O534" s="139"/>
      <c r="P534" s="139"/>
      <c r="Q534" s="139"/>
      <c r="R534" s="139"/>
      <c r="S534" s="139"/>
      <c r="T534" s="139"/>
      <c r="U534" s="139"/>
      <c r="V534" s="139"/>
      <c r="W534" s="139"/>
      <c r="X534" s="139"/>
      <c r="Y534" s="139"/>
      <c r="Z534" s="139"/>
      <c r="AA534" s="139"/>
    </row>
    <row r="535" spans="1:27" ht="15.75">
      <c r="A535" s="139"/>
      <c r="B535" s="139"/>
      <c r="C535" s="680"/>
      <c r="D535" s="139"/>
      <c r="E535" s="680"/>
      <c r="F535" s="139"/>
      <c r="G535" s="139"/>
      <c r="H535" s="680"/>
      <c r="I535" s="680"/>
      <c r="J535" s="139"/>
      <c r="K535" s="139"/>
      <c r="L535" s="139"/>
      <c r="M535" s="139"/>
      <c r="N535" s="139"/>
      <c r="O535" s="139"/>
      <c r="P535" s="139"/>
      <c r="Q535" s="139"/>
      <c r="R535" s="139"/>
      <c r="S535" s="139"/>
      <c r="T535" s="139"/>
      <c r="U535" s="139"/>
      <c r="V535" s="139"/>
      <c r="W535" s="139"/>
      <c r="X535" s="139"/>
      <c r="Y535" s="139"/>
      <c r="Z535" s="139"/>
      <c r="AA535" s="139"/>
    </row>
    <row r="536" spans="1:27" ht="15.75">
      <c r="A536" s="139"/>
      <c r="B536" s="139"/>
      <c r="C536" s="680"/>
      <c r="D536" s="139"/>
      <c r="E536" s="680"/>
      <c r="F536" s="139"/>
      <c r="G536" s="139"/>
      <c r="H536" s="680"/>
      <c r="I536" s="680"/>
      <c r="J536" s="139"/>
      <c r="K536" s="139"/>
      <c r="L536" s="139"/>
      <c r="M536" s="139"/>
      <c r="N536" s="139"/>
      <c r="O536" s="139"/>
      <c r="P536" s="139"/>
      <c r="Q536" s="139"/>
      <c r="R536" s="139"/>
      <c r="S536" s="139"/>
      <c r="T536" s="139"/>
      <c r="U536" s="139"/>
      <c r="V536" s="139"/>
      <c r="W536" s="139"/>
      <c r="X536" s="139"/>
      <c r="Y536" s="139"/>
      <c r="Z536" s="139"/>
      <c r="AA536" s="139"/>
    </row>
    <row r="537" spans="1:27" ht="15.75">
      <c r="A537" s="139"/>
      <c r="B537" s="139"/>
      <c r="C537" s="680"/>
      <c r="D537" s="139"/>
      <c r="E537" s="680"/>
      <c r="F537" s="139"/>
      <c r="G537" s="139"/>
      <c r="H537" s="680"/>
      <c r="I537" s="680"/>
      <c r="J537" s="139"/>
      <c r="K537" s="139"/>
      <c r="L537" s="139"/>
      <c r="M537" s="139"/>
      <c r="N537" s="139"/>
      <c r="O537" s="139"/>
      <c r="P537" s="139"/>
      <c r="Q537" s="139"/>
      <c r="R537" s="139"/>
      <c r="S537" s="139"/>
      <c r="T537" s="139"/>
      <c r="U537" s="139"/>
      <c r="V537" s="139"/>
      <c r="W537" s="139"/>
      <c r="X537" s="139"/>
      <c r="Y537" s="139"/>
      <c r="Z537" s="139"/>
      <c r="AA537" s="139"/>
    </row>
    <row r="538" spans="1:27" ht="15.75">
      <c r="A538" s="139"/>
      <c r="B538" s="139"/>
      <c r="C538" s="680"/>
      <c r="D538" s="139"/>
      <c r="E538" s="680"/>
      <c r="F538" s="139"/>
      <c r="G538" s="139"/>
      <c r="H538" s="680"/>
      <c r="I538" s="680"/>
      <c r="J538" s="139"/>
      <c r="K538" s="139"/>
      <c r="L538" s="139"/>
      <c r="M538" s="139"/>
      <c r="N538" s="139"/>
      <c r="O538" s="139"/>
      <c r="P538" s="139"/>
      <c r="Q538" s="139"/>
      <c r="R538" s="139"/>
      <c r="S538" s="139"/>
      <c r="T538" s="139"/>
      <c r="U538" s="139"/>
      <c r="V538" s="139"/>
      <c r="W538" s="139"/>
      <c r="X538" s="139"/>
      <c r="Y538" s="139"/>
      <c r="Z538" s="139"/>
      <c r="AA538" s="139"/>
    </row>
    <row r="539" spans="1:27" ht="15.75">
      <c r="A539" s="139"/>
      <c r="B539" s="139"/>
      <c r="C539" s="680"/>
      <c r="D539" s="139"/>
      <c r="E539" s="680"/>
      <c r="F539" s="139"/>
      <c r="G539" s="139"/>
      <c r="H539" s="680"/>
      <c r="I539" s="680"/>
      <c r="J539" s="139"/>
      <c r="K539" s="139"/>
      <c r="L539" s="139"/>
      <c r="M539" s="139"/>
      <c r="N539" s="139"/>
      <c r="O539" s="139"/>
      <c r="P539" s="139"/>
      <c r="Q539" s="139"/>
      <c r="R539" s="139"/>
      <c r="S539" s="139"/>
      <c r="T539" s="139"/>
      <c r="U539" s="139"/>
      <c r="V539" s="139"/>
      <c r="W539" s="139"/>
      <c r="X539" s="139"/>
      <c r="Y539" s="139"/>
      <c r="Z539" s="139"/>
      <c r="AA539" s="139"/>
    </row>
    <row r="540" spans="1:27" ht="15.75">
      <c r="A540" s="139"/>
      <c r="B540" s="139"/>
      <c r="C540" s="680"/>
      <c r="D540" s="139"/>
      <c r="E540" s="680"/>
      <c r="F540" s="139"/>
      <c r="G540" s="139"/>
      <c r="H540" s="680"/>
      <c r="I540" s="680"/>
      <c r="J540" s="139"/>
      <c r="K540" s="139"/>
      <c r="L540" s="139"/>
      <c r="M540" s="139"/>
      <c r="N540" s="139"/>
      <c r="O540" s="139"/>
      <c r="P540" s="139"/>
      <c r="Q540" s="139"/>
      <c r="R540" s="139"/>
      <c r="S540" s="139"/>
      <c r="T540" s="139"/>
      <c r="U540" s="139"/>
      <c r="V540" s="139"/>
      <c r="W540" s="139"/>
      <c r="X540" s="139"/>
      <c r="Y540" s="139"/>
      <c r="Z540" s="139"/>
      <c r="AA540" s="139"/>
    </row>
    <row r="541" spans="1:27" ht="15.75">
      <c r="A541" s="139"/>
      <c r="B541" s="139"/>
      <c r="C541" s="680"/>
      <c r="D541" s="139"/>
      <c r="E541" s="680"/>
      <c r="F541" s="139"/>
      <c r="G541" s="139"/>
      <c r="H541" s="680"/>
      <c r="I541" s="680"/>
      <c r="J541" s="139"/>
      <c r="K541" s="139"/>
      <c r="L541" s="139"/>
      <c r="M541" s="139"/>
      <c r="N541" s="139"/>
      <c r="O541" s="139"/>
      <c r="P541" s="139"/>
      <c r="Q541" s="139"/>
      <c r="R541" s="139"/>
      <c r="S541" s="139"/>
      <c r="T541" s="139"/>
      <c r="U541" s="139"/>
      <c r="V541" s="139"/>
      <c r="W541" s="139"/>
      <c r="X541" s="139"/>
      <c r="Y541" s="139"/>
      <c r="Z541" s="139"/>
      <c r="AA541" s="139"/>
    </row>
    <row r="542" spans="1:27" ht="15.75">
      <c r="A542" s="139"/>
      <c r="B542" s="139"/>
      <c r="C542" s="680"/>
      <c r="D542" s="139"/>
      <c r="E542" s="680"/>
      <c r="F542" s="139"/>
      <c r="G542" s="139"/>
      <c r="H542" s="680"/>
      <c r="I542" s="680"/>
      <c r="J542" s="139"/>
      <c r="K542" s="139"/>
      <c r="L542" s="139"/>
      <c r="M542" s="139"/>
      <c r="N542" s="139"/>
      <c r="O542" s="139"/>
      <c r="P542" s="139"/>
      <c r="Q542" s="139"/>
      <c r="R542" s="139"/>
      <c r="S542" s="139"/>
      <c r="T542" s="139"/>
      <c r="U542" s="139"/>
      <c r="V542" s="139"/>
      <c r="W542" s="139"/>
      <c r="X542" s="139"/>
      <c r="Y542" s="139"/>
      <c r="Z542" s="139"/>
      <c r="AA542" s="139"/>
    </row>
    <row r="543" spans="1:27" ht="15.75">
      <c r="A543" s="139"/>
      <c r="B543" s="139"/>
      <c r="C543" s="680"/>
      <c r="D543" s="139"/>
      <c r="E543" s="680"/>
      <c r="F543" s="139"/>
      <c r="G543" s="139"/>
      <c r="H543" s="680"/>
      <c r="I543" s="680"/>
      <c r="J543" s="139"/>
      <c r="K543" s="139"/>
      <c r="L543" s="139"/>
      <c r="M543" s="139"/>
      <c r="N543" s="139"/>
      <c r="O543" s="139"/>
      <c r="P543" s="139"/>
      <c r="Q543" s="139"/>
      <c r="R543" s="139"/>
      <c r="S543" s="139"/>
      <c r="T543" s="139"/>
      <c r="U543" s="139"/>
      <c r="V543" s="139"/>
      <c r="W543" s="139"/>
      <c r="X543" s="139"/>
      <c r="Y543" s="139"/>
      <c r="Z543" s="139"/>
      <c r="AA543" s="139"/>
    </row>
    <row r="544" spans="1:27" ht="15.75">
      <c r="A544" s="139"/>
      <c r="B544" s="139"/>
      <c r="C544" s="680"/>
      <c r="D544" s="139"/>
      <c r="E544" s="680"/>
      <c r="F544" s="139"/>
      <c r="G544" s="139"/>
      <c r="H544" s="680"/>
      <c r="I544" s="680"/>
      <c r="J544" s="139"/>
      <c r="K544" s="139"/>
      <c r="L544" s="139"/>
      <c r="M544" s="139"/>
      <c r="N544" s="139"/>
      <c r="O544" s="139"/>
      <c r="P544" s="139"/>
      <c r="Q544" s="139"/>
      <c r="R544" s="139"/>
      <c r="S544" s="139"/>
      <c r="T544" s="139"/>
      <c r="U544" s="139"/>
      <c r="V544" s="139"/>
      <c r="W544" s="139"/>
      <c r="X544" s="139"/>
      <c r="Y544" s="139"/>
      <c r="Z544" s="139"/>
      <c r="AA544" s="139"/>
    </row>
    <row r="545" spans="1:27" ht="15.75">
      <c r="A545" s="139"/>
      <c r="B545" s="139"/>
      <c r="C545" s="680"/>
      <c r="D545" s="139"/>
      <c r="E545" s="680"/>
      <c r="F545" s="139"/>
      <c r="G545" s="139"/>
      <c r="H545" s="680"/>
      <c r="I545" s="680"/>
      <c r="J545" s="139"/>
      <c r="K545" s="139"/>
      <c r="L545" s="139"/>
      <c r="M545" s="139"/>
      <c r="N545" s="139"/>
      <c r="O545" s="139"/>
      <c r="P545" s="139"/>
      <c r="Q545" s="139"/>
      <c r="R545" s="139"/>
      <c r="S545" s="139"/>
      <c r="T545" s="139"/>
      <c r="U545" s="139"/>
      <c r="V545" s="139"/>
      <c r="W545" s="139"/>
      <c r="X545" s="139"/>
      <c r="Y545" s="139"/>
      <c r="Z545" s="139"/>
      <c r="AA545" s="139"/>
    </row>
    <row r="546" spans="1:27" ht="15.75">
      <c r="A546" s="139"/>
      <c r="B546" s="139"/>
      <c r="C546" s="680"/>
      <c r="D546" s="139"/>
      <c r="E546" s="680"/>
      <c r="F546" s="139"/>
      <c r="G546" s="139"/>
      <c r="H546" s="680"/>
      <c r="I546" s="680"/>
      <c r="J546" s="139"/>
      <c r="K546" s="139"/>
      <c r="L546" s="139"/>
      <c r="M546" s="139"/>
      <c r="N546" s="139"/>
      <c r="O546" s="139"/>
      <c r="P546" s="139"/>
      <c r="Q546" s="139"/>
      <c r="R546" s="139"/>
      <c r="S546" s="139"/>
      <c r="T546" s="139"/>
      <c r="U546" s="139"/>
      <c r="V546" s="139"/>
      <c r="W546" s="139"/>
      <c r="X546" s="139"/>
      <c r="Y546" s="139"/>
      <c r="Z546" s="139"/>
      <c r="AA546" s="139"/>
    </row>
    <row r="547" spans="1:27" ht="15.75">
      <c r="A547" s="139"/>
      <c r="B547" s="139"/>
      <c r="C547" s="680"/>
      <c r="D547" s="139"/>
      <c r="E547" s="680"/>
      <c r="F547" s="139"/>
      <c r="G547" s="139"/>
      <c r="H547" s="680"/>
      <c r="I547" s="680"/>
      <c r="J547" s="139"/>
      <c r="K547" s="139"/>
      <c r="L547" s="139"/>
      <c r="M547" s="139"/>
      <c r="N547" s="139"/>
      <c r="O547" s="139"/>
      <c r="P547" s="139"/>
      <c r="Q547" s="139"/>
      <c r="R547" s="139"/>
      <c r="S547" s="139"/>
      <c r="T547" s="139"/>
      <c r="U547" s="139"/>
      <c r="V547" s="139"/>
      <c r="W547" s="139"/>
      <c r="X547" s="139"/>
      <c r="Y547" s="139"/>
      <c r="Z547" s="139"/>
      <c r="AA547" s="139"/>
    </row>
    <row r="548" spans="1:27" ht="15.75">
      <c r="A548" s="139"/>
      <c r="B548" s="139"/>
      <c r="C548" s="680"/>
      <c r="D548" s="139"/>
      <c r="E548" s="680"/>
      <c r="F548" s="139"/>
      <c r="G548" s="139"/>
      <c r="H548" s="680"/>
      <c r="I548" s="680"/>
      <c r="J548" s="139"/>
      <c r="K548" s="139"/>
      <c r="L548" s="139"/>
      <c r="M548" s="139"/>
      <c r="N548" s="139"/>
      <c r="O548" s="139"/>
      <c r="P548" s="139"/>
      <c r="Q548" s="139"/>
      <c r="R548" s="139"/>
      <c r="S548" s="139"/>
      <c r="T548" s="139"/>
      <c r="U548" s="139"/>
      <c r="V548" s="139"/>
      <c r="W548" s="139"/>
      <c r="X548" s="139"/>
      <c r="Y548" s="139"/>
      <c r="Z548" s="139"/>
      <c r="AA548" s="139"/>
    </row>
    <row r="549" spans="1:27" ht="15.75">
      <c r="A549" s="139"/>
      <c r="B549" s="139"/>
      <c r="C549" s="680"/>
      <c r="D549" s="139"/>
      <c r="E549" s="680"/>
      <c r="F549" s="139"/>
      <c r="G549" s="139"/>
      <c r="H549" s="680"/>
      <c r="I549" s="680"/>
      <c r="J549" s="139"/>
      <c r="K549" s="139"/>
      <c r="L549" s="139"/>
      <c r="M549" s="139"/>
      <c r="N549" s="139"/>
      <c r="O549" s="139"/>
      <c r="P549" s="139"/>
      <c r="Q549" s="139"/>
      <c r="R549" s="139"/>
      <c r="S549" s="139"/>
      <c r="T549" s="139"/>
      <c r="U549" s="139"/>
      <c r="V549" s="139"/>
      <c r="W549" s="139"/>
      <c r="X549" s="139"/>
      <c r="Y549" s="139"/>
      <c r="Z549" s="139"/>
      <c r="AA549" s="139"/>
    </row>
    <row r="550" spans="1:27" ht="15.75">
      <c r="A550" s="139"/>
      <c r="B550" s="139"/>
      <c r="C550" s="680"/>
      <c r="D550" s="139"/>
      <c r="E550" s="680"/>
      <c r="F550" s="139"/>
      <c r="G550" s="139"/>
      <c r="H550" s="680"/>
      <c r="I550" s="680"/>
      <c r="J550" s="139"/>
      <c r="K550" s="139"/>
      <c r="L550" s="139"/>
      <c r="M550" s="139"/>
      <c r="N550" s="139"/>
      <c r="O550" s="139"/>
      <c r="P550" s="139"/>
      <c r="Q550" s="139"/>
      <c r="R550" s="139"/>
      <c r="S550" s="139"/>
      <c r="T550" s="139"/>
      <c r="U550" s="139"/>
      <c r="V550" s="139"/>
      <c r="W550" s="139"/>
      <c r="X550" s="139"/>
      <c r="Y550" s="139"/>
      <c r="Z550" s="139"/>
      <c r="AA550" s="139"/>
    </row>
    <row r="551" spans="1:27" ht="15.75">
      <c r="A551" s="139"/>
      <c r="B551" s="139"/>
      <c r="C551" s="680"/>
      <c r="D551" s="139"/>
      <c r="E551" s="680"/>
      <c r="F551" s="139"/>
      <c r="G551" s="139"/>
      <c r="H551" s="680"/>
      <c r="I551" s="680"/>
      <c r="J551" s="139"/>
      <c r="K551" s="139"/>
      <c r="L551" s="139"/>
      <c r="M551" s="139"/>
      <c r="N551" s="139"/>
      <c r="O551" s="139"/>
      <c r="P551" s="139"/>
      <c r="Q551" s="139"/>
      <c r="R551" s="139"/>
      <c r="S551" s="139"/>
      <c r="T551" s="139"/>
      <c r="U551" s="139"/>
      <c r="V551" s="139"/>
      <c r="W551" s="139"/>
      <c r="X551" s="139"/>
      <c r="Y551" s="139"/>
      <c r="Z551" s="139"/>
      <c r="AA551" s="139"/>
    </row>
    <row r="552" spans="1:27" ht="15.75">
      <c r="A552" s="139"/>
      <c r="B552" s="139"/>
      <c r="C552" s="680"/>
      <c r="D552" s="139"/>
      <c r="E552" s="680"/>
      <c r="F552" s="139"/>
      <c r="G552" s="139"/>
      <c r="H552" s="680"/>
      <c r="I552" s="680"/>
      <c r="J552" s="139"/>
      <c r="K552" s="139"/>
      <c r="L552" s="139"/>
      <c r="M552" s="139"/>
      <c r="N552" s="139"/>
      <c r="O552" s="139"/>
      <c r="P552" s="139"/>
      <c r="Q552" s="139"/>
      <c r="R552" s="139"/>
      <c r="S552" s="139"/>
      <c r="T552" s="139"/>
      <c r="U552" s="139"/>
      <c r="V552" s="139"/>
      <c r="W552" s="139"/>
      <c r="X552" s="139"/>
      <c r="Y552" s="139"/>
      <c r="Z552" s="139"/>
      <c r="AA552" s="139"/>
    </row>
    <row r="553" spans="1:27" ht="15.75">
      <c r="A553" s="139"/>
      <c r="B553" s="139"/>
      <c r="C553" s="680"/>
      <c r="D553" s="139"/>
      <c r="E553" s="680"/>
      <c r="F553" s="139"/>
      <c r="G553" s="139"/>
      <c r="H553" s="680"/>
      <c r="I553" s="680"/>
      <c r="J553" s="139"/>
      <c r="K553" s="139"/>
      <c r="L553" s="139"/>
      <c r="M553" s="139"/>
      <c r="N553" s="139"/>
      <c r="O553" s="139"/>
      <c r="P553" s="139"/>
      <c r="Q553" s="139"/>
      <c r="R553" s="139"/>
      <c r="S553" s="139"/>
      <c r="T553" s="139"/>
      <c r="U553" s="139"/>
      <c r="V553" s="139"/>
      <c r="W553" s="139"/>
      <c r="X553" s="139"/>
      <c r="Y553" s="139"/>
      <c r="Z553" s="139"/>
      <c r="AA553" s="139"/>
    </row>
    <row r="554" spans="1:27" ht="15.75">
      <c r="A554" s="139"/>
      <c r="B554" s="139"/>
      <c r="C554" s="680"/>
      <c r="D554" s="139"/>
      <c r="E554" s="680"/>
      <c r="F554" s="139"/>
      <c r="G554" s="139"/>
      <c r="H554" s="680"/>
      <c r="I554" s="680"/>
      <c r="J554" s="139"/>
      <c r="K554" s="139"/>
      <c r="L554" s="139"/>
      <c r="M554" s="139"/>
      <c r="N554" s="139"/>
      <c r="O554" s="139"/>
      <c r="P554" s="139"/>
      <c r="Q554" s="139"/>
      <c r="R554" s="139"/>
      <c r="S554" s="139"/>
      <c r="T554" s="139"/>
      <c r="U554" s="139"/>
      <c r="V554" s="139"/>
      <c r="W554" s="139"/>
      <c r="X554" s="139"/>
      <c r="Y554" s="139"/>
      <c r="Z554" s="139"/>
      <c r="AA554" s="139"/>
    </row>
    <row r="555" spans="1:27" ht="15.75">
      <c r="A555" s="139"/>
      <c r="B555" s="139"/>
      <c r="C555" s="680"/>
      <c r="D555" s="139"/>
      <c r="E555" s="680"/>
      <c r="F555" s="139"/>
      <c r="G555" s="139"/>
      <c r="H555" s="680"/>
      <c r="I555" s="680"/>
      <c r="J555" s="139"/>
      <c r="K555" s="139"/>
      <c r="L555" s="139"/>
      <c r="M555" s="139"/>
      <c r="N555" s="139"/>
      <c r="O555" s="139"/>
      <c r="P555" s="139"/>
      <c r="Q555" s="139"/>
      <c r="R555" s="139"/>
      <c r="S555" s="139"/>
      <c r="T555" s="139"/>
      <c r="U555" s="139"/>
      <c r="V555" s="139"/>
      <c r="W555" s="139"/>
      <c r="X555" s="139"/>
      <c r="Y555" s="139"/>
      <c r="Z555" s="139"/>
      <c r="AA555" s="139"/>
    </row>
    <row r="556" spans="1:27" ht="15.75">
      <c r="A556" s="139"/>
      <c r="B556" s="139"/>
      <c r="C556" s="680"/>
      <c r="D556" s="139"/>
      <c r="E556" s="680"/>
      <c r="F556" s="139"/>
      <c r="G556" s="139"/>
      <c r="H556" s="680"/>
      <c r="I556" s="680"/>
      <c r="J556" s="139"/>
      <c r="K556" s="139"/>
      <c r="L556" s="139"/>
      <c r="M556" s="139"/>
      <c r="N556" s="139"/>
      <c r="O556" s="139"/>
      <c r="P556" s="139"/>
      <c r="Q556" s="139"/>
      <c r="R556" s="139"/>
      <c r="S556" s="139"/>
      <c r="T556" s="139"/>
      <c r="U556" s="139"/>
      <c r="V556" s="139"/>
      <c r="W556" s="139"/>
      <c r="X556" s="139"/>
      <c r="Y556" s="139"/>
      <c r="Z556" s="139"/>
      <c r="AA556" s="139"/>
    </row>
    <row r="557" spans="1:27" ht="15.75">
      <c r="A557" s="139"/>
      <c r="B557" s="139"/>
      <c r="C557" s="680"/>
      <c r="D557" s="139"/>
      <c r="E557" s="680"/>
      <c r="F557" s="139"/>
      <c r="G557" s="139"/>
      <c r="H557" s="680"/>
      <c r="I557" s="680"/>
      <c r="J557" s="139"/>
      <c r="K557" s="139"/>
      <c r="L557" s="139"/>
      <c r="M557" s="139"/>
      <c r="N557" s="139"/>
      <c r="O557" s="139"/>
      <c r="P557" s="139"/>
      <c r="Q557" s="139"/>
      <c r="R557" s="139"/>
      <c r="S557" s="139"/>
      <c r="T557" s="139"/>
      <c r="U557" s="139"/>
      <c r="V557" s="139"/>
      <c r="W557" s="139"/>
      <c r="X557" s="139"/>
      <c r="Y557" s="139"/>
      <c r="Z557" s="139"/>
      <c r="AA557" s="139"/>
    </row>
    <row r="558" spans="1:27" ht="15.75">
      <c r="A558" s="139"/>
      <c r="B558" s="139"/>
      <c r="C558" s="680"/>
      <c r="D558" s="139"/>
      <c r="E558" s="680"/>
      <c r="F558" s="139"/>
      <c r="G558" s="139"/>
      <c r="H558" s="680"/>
      <c r="I558" s="680"/>
      <c r="J558" s="139"/>
      <c r="K558" s="139"/>
      <c r="L558" s="139"/>
      <c r="M558" s="139"/>
      <c r="N558" s="139"/>
      <c r="O558" s="139"/>
      <c r="P558" s="139"/>
      <c r="Q558" s="139"/>
      <c r="R558" s="139"/>
      <c r="S558" s="139"/>
      <c r="T558" s="139"/>
      <c r="U558" s="139"/>
      <c r="V558" s="139"/>
      <c r="W558" s="139"/>
      <c r="X558" s="139"/>
      <c r="Y558" s="139"/>
      <c r="Z558" s="139"/>
      <c r="AA558" s="139"/>
    </row>
    <row r="559" spans="1:27" ht="15.75">
      <c r="A559" s="139"/>
      <c r="B559" s="139"/>
      <c r="C559" s="680"/>
      <c r="D559" s="139"/>
      <c r="E559" s="680"/>
      <c r="F559" s="139"/>
      <c r="G559" s="139"/>
      <c r="H559" s="680"/>
      <c r="I559" s="680"/>
      <c r="J559" s="139"/>
      <c r="K559" s="139"/>
      <c r="L559" s="139"/>
      <c r="M559" s="139"/>
      <c r="N559" s="139"/>
      <c r="O559" s="139"/>
      <c r="P559" s="139"/>
      <c r="Q559" s="139"/>
      <c r="R559" s="139"/>
      <c r="S559" s="139"/>
      <c r="T559" s="139"/>
      <c r="U559" s="139"/>
      <c r="V559" s="139"/>
      <c r="W559" s="139"/>
      <c r="X559" s="139"/>
      <c r="Y559" s="139"/>
      <c r="Z559" s="139"/>
      <c r="AA559" s="139"/>
    </row>
    <row r="560" spans="1:27" ht="15.75">
      <c r="A560" s="139"/>
      <c r="B560" s="139"/>
      <c r="C560" s="680"/>
      <c r="D560" s="139"/>
      <c r="E560" s="680"/>
      <c r="F560" s="139"/>
      <c r="G560" s="139"/>
      <c r="H560" s="680"/>
      <c r="I560" s="680"/>
      <c r="J560" s="139"/>
      <c r="K560" s="139"/>
      <c r="L560" s="139"/>
      <c r="M560" s="139"/>
      <c r="N560" s="139"/>
      <c r="O560" s="139"/>
      <c r="P560" s="139"/>
      <c r="Q560" s="139"/>
      <c r="R560" s="139"/>
      <c r="S560" s="139"/>
      <c r="T560" s="139"/>
      <c r="U560" s="139"/>
      <c r="V560" s="139"/>
      <c r="W560" s="139"/>
      <c r="X560" s="139"/>
      <c r="Y560" s="139"/>
      <c r="Z560" s="139"/>
      <c r="AA560" s="139"/>
    </row>
    <row r="561" spans="1:27" ht="15.75">
      <c r="A561" s="139"/>
      <c r="B561" s="139"/>
      <c r="C561" s="680"/>
      <c r="D561" s="139"/>
      <c r="E561" s="680"/>
      <c r="F561" s="139"/>
      <c r="G561" s="139"/>
      <c r="H561" s="680"/>
      <c r="I561" s="680"/>
      <c r="J561" s="139"/>
      <c r="K561" s="139"/>
      <c r="L561" s="139"/>
      <c r="M561" s="139"/>
      <c r="N561" s="139"/>
      <c r="O561" s="139"/>
      <c r="P561" s="139"/>
      <c r="Q561" s="139"/>
      <c r="R561" s="139"/>
      <c r="S561" s="139"/>
      <c r="T561" s="139"/>
      <c r="U561" s="139"/>
      <c r="V561" s="139"/>
      <c r="W561" s="139"/>
      <c r="X561" s="139"/>
      <c r="Y561" s="139"/>
      <c r="Z561" s="139"/>
      <c r="AA561" s="139"/>
    </row>
    <row r="562" spans="1:27" ht="15.75">
      <c r="A562" s="139"/>
      <c r="B562" s="139"/>
      <c r="C562" s="680"/>
      <c r="D562" s="139"/>
      <c r="E562" s="680"/>
      <c r="F562" s="139"/>
      <c r="G562" s="139"/>
      <c r="H562" s="680"/>
      <c r="I562" s="680"/>
      <c r="J562" s="139"/>
      <c r="K562" s="139"/>
      <c r="L562" s="139"/>
      <c r="M562" s="139"/>
      <c r="N562" s="139"/>
      <c r="O562" s="139"/>
      <c r="P562" s="139"/>
      <c r="Q562" s="139"/>
      <c r="R562" s="139"/>
      <c r="S562" s="139"/>
      <c r="T562" s="139"/>
      <c r="U562" s="139"/>
      <c r="V562" s="139"/>
      <c r="W562" s="139"/>
      <c r="X562" s="139"/>
      <c r="Y562" s="139"/>
      <c r="Z562" s="139"/>
      <c r="AA562" s="139"/>
    </row>
    <row r="563" spans="1:27" ht="15.75">
      <c r="A563" s="139"/>
      <c r="B563" s="139"/>
      <c r="C563" s="680"/>
      <c r="D563" s="139"/>
      <c r="E563" s="680"/>
      <c r="F563" s="139"/>
      <c r="G563" s="139"/>
      <c r="H563" s="680"/>
      <c r="I563" s="680"/>
      <c r="J563" s="139"/>
      <c r="K563" s="139"/>
      <c r="L563" s="139"/>
      <c r="M563" s="139"/>
      <c r="N563" s="139"/>
      <c r="O563" s="139"/>
      <c r="P563" s="139"/>
      <c r="Q563" s="139"/>
      <c r="R563" s="139"/>
      <c r="S563" s="139"/>
      <c r="T563" s="139"/>
      <c r="U563" s="139"/>
      <c r="V563" s="139"/>
      <c r="W563" s="139"/>
      <c r="X563" s="139"/>
      <c r="Y563" s="139"/>
      <c r="Z563" s="139"/>
      <c r="AA563" s="139"/>
    </row>
    <row r="564" spans="1:27" ht="15.75">
      <c r="A564" s="139"/>
      <c r="B564" s="139"/>
      <c r="C564" s="680"/>
      <c r="D564" s="139"/>
      <c r="E564" s="680"/>
      <c r="F564" s="139"/>
      <c r="G564" s="139"/>
      <c r="H564" s="680"/>
      <c r="I564" s="680"/>
      <c r="J564" s="139"/>
      <c r="K564" s="139"/>
      <c r="L564" s="139"/>
      <c r="M564" s="139"/>
      <c r="N564" s="139"/>
      <c r="O564" s="139"/>
      <c r="P564" s="139"/>
      <c r="Q564" s="139"/>
      <c r="R564" s="139"/>
      <c r="S564" s="139"/>
      <c r="T564" s="139"/>
      <c r="U564" s="139"/>
      <c r="V564" s="139"/>
      <c r="W564" s="139"/>
      <c r="X564" s="139"/>
      <c r="Y564" s="139"/>
      <c r="Z564" s="139"/>
      <c r="AA564" s="139"/>
    </row>
    <row r="565" spans="1:27" ht="15.75">
      <c r="A565" s="139"/>
      <c r="B565" s="139"/>
      <c r="C565" s="680"/>
      <c r="D565" s="139"/>
      <c r="E565" s="680"/>
      <c r="F565" s="139"/>
      <c r="G565" s="139"/>
      <c r="H565" s="680"/>
      <c r="I565" s="680"/>
      <c r="J565" s="139"/>
      <c r="K565" s="139"/>
      <c r="L565" s="139"/>
      <c r="M565" s="139"/>
      <c r="N565" s="139"/>
      <c r="O565" s="139"/>
      <c r="P565" s="139"/>
      <c r="Q565" s="139"/>
      <c r="R565" s="139"/>
      <c r="S565" s="139"/>
      <c r="T565" s="139"/>
      <c r="U565" s="139"/>
      <c r="V565" s="139"/>
      <c r="W565" s="139"/>
      <c r="X565" s="139"/>
      <c r="Y565" s="139"/>
      <c r="Z565" s="139"/>
      <c r="AA565" s="139"/>
    </row>
    <row r="566" spans="1:27" ht="15.75">
      <c r="A566" s="139"/>
      <c r="B566" s="139"/>
      <c r="C566" s="680"/>
      <c r="D566" s="139"/>
      <c r="E566" s="680"/>
      <c r="F566" s="139"/>
      <c r="G566" s="139"/>
      <c r="H566" s="680"/>
      <c r="I566" s="680"/>
      <c r="J566" s="139"/>
      <c r="K566" s="139"/>
      <c r="L566" s="139"/>
      <c r="M566" s="139"/>
      <c r="N566" s="139"/>
      <c r="O566" s="139"/>
      <c r="P566" s="139"/>
      <c r="Q566" s="139"/>
      <c r="R566" s="139"/>
      <c r="S566" s="139"/>
      <c r="T566" s="139"/>
      <c r="U566" s="139"/>
      <c r="V566" s="139"/>
      <c r="W566" s="139"/>
      <c r="X566" s="139"/>
      <c r="Y566" s="139"/>
      <c r="Z566" s="139"/>
      <c r="AA566" s="139"/>
    </row>
    <row r="567" spans="1:27" ht="15.75">
      <c r="A567" s="139"/>
      <c r="B567" s="139"/>
      <c r="C567" s="680"/>
      <c r="D567" s="139"/>
      <c r="E567" s="680"/>
      <c r="F567" s="139"/>
      <c r="G567" s="139"/>
      <c r="H567" s="680"/>
      <c r="I567" s="680"/>
      <c r="J567" s="139"/>
      <c r="K567" s="139"/>
      <c r="L567" s="139"/>
      <c r="M567" s="139"/>
      <c r="N567" s="139"/>
      <c r="O567" s="139"/>
      <c r="P567" s="139"/>
      <c r="Q567" s="139"/>
      <c r="R567" s="139"/>
      <c r="S567" s="139"/>
      <c r="T567" s="139"/>
      <c r="U567" s="139"/>
      <c r="V567" s="139"/>
      <c r="W567" s="139"/>
      <c r="X567" s="139"/>
      <c r="Y567" s="139"/>
      <c r="Z567" s="139"/>
      <c r="AA567" s="139"/>
    </row>
    <row r="568" spans="1:27" ht="15.75">
      <c r="A568" s="139"/>
      <c r="B568" s="139"/>
      <c r="C568" s="680"/>
      <c r="D568" s="139"/>
      <c r="E568" s="680"/>
      <c r="F568" s="139"/>
      <c r="G568" s="139"/>
      <c r="H568" s="680"/>
      <c r="I568" s="680"/>
      <c r="J568" s="139"/>
      <c r="K568" s="139"/>
      <c r="L568" s="139"/>
      <c r="M568" s="139"/>
      <c r="N568" s="139"/>
      <c r="O568" s="139"/>
      <c r="P568" s="139"/>
      <c r="Q568" s="139"/>
      <c r="R568" s="139"/>
      <c r="S568" s="139"/>
      <c r="T568" s="139"/>
      <c r="U568" s="139"/>
      <c r="V568" s="139"/>
      <c r="W568" s="139"/>
      <c r="X568" s="139"/>
      <c r="Y568" s="139"/>
      <c r="Z568" s="139"/>
      <c r="AA568" s="139"/>
    </row>
    <row r="569" spans="1:27" ht="15.75">
      <c r="A569" s="139"/>
      <c r="B569" s="139"/>
      <c r="C569" s="680"/>
      <c r="D569" s="139"/>
      <c r="E569" s="680"/>
      <c r="F569" s="139"/>
      <c r="G569" s="139"/>
      <c r="H569" s="680"/>
      <c r="I569" s="680"/>
      <c r="J569" s="139"/>
      <c r="K569" s="139"/>
      <c r="L569" s="139"/>
      <c r="M569" s="139"/>
      <c r="N569" s="139"/>
      <c r="O569" s="139"/>
      <c r="P569" s="139"/>
      <c r="Q569" s="139"/>
      <c r="R569" s="139"/>
      <c r="S569" s="139"/>
      <c r="T569" s="139"/>
      <c r="U569" s="139"/>
      <c r="V569" s="139"/>
      <c r="W569" s="139"/>
      <c r="X569" s="139"/>
      <c r="Y569" s="139"/>
      <c r="Z569" s="139"/>
      <c r="AA569" s="139"/>
    </row>
    <row r="570" spans="1:27" ht="15.75">
      <c r="A570" s="139"/>
      <c r="B570" s="139"/>
      <c r="C570" s="680"/>
      <c r="D570" s="139"/>
      <c r="E570" s="680"/>
      <c r="F570" s="139"/>
      <c r="G570" s="139"/>
      <c r="H570" s="680"/>
      <c r="I570" s="680"/>
      <c r="J570" s="139"/>
      <c r="K570" s="139"/>
      <c r="L570" s="139"/>
      <c r="M570" s="139"/>
      <c r="N570" s="139"/>
      <c r="O570" s="139"/>
      <c r="P570" s="139"/>
      <c r="Q570" s="139"/>
      <c r="R570" s="139"/>
      <c r="S570" s="139"/>
      <c r="T570" s="139"/>
      <c r="U570" s="139"/>
      <c r="V570" s="139"/>
      <c r="W570" s="139"/>
      <c r="X570" s="139"/>
      <c r="Y570" s="139"/>
      <c r="Z570" s="139"/>
      <c r="AA570" s="139"/>
    </row>
    <row r="571" spans="1:27" ht="15.75">
      <c r="A571" s="139"/>
      <c r="B571" s="139"/>
      <c r="C571" s="680"/>
      <c r="D571" s="139"/>
      <c r="E571" s="680"/>
      <c r="F571" s="139"/>
      <c r="G571" s="139"/>
      <c r="H571" s="680"/>
      <c r="I571" s="680"/>
      <c r="J571" s="139"/>
      <c r="K571" s="139"/>
      <c r="L571" s="139"/>
      <c r="M571" s="139"/>
      <c r="N571" s="139"/>
      <c r="O571" s="139"/>
      <c r="P571" s="139"/>
      <c r="Q571" s="139"/>
      <c r="R571" s="139"/>
      <c r="S571" s="139"/>
      <c r="T571" s="139"/>
      <c r="U571" s="139"/>
      <c r="V571" s="139"/>
      <c r="W571" s="139"/>
      <c r="X571" s="139"/>
      <c r="Y571" s="139"/>
      <c r="Z571" s="139"/>
      <c r="AA571" s="139"/>
    </row>
    <row r="572" spans="1:27" ht="15.75">
      <c r="A572" s="139"/>
      <c r="B572" s="139"/>
      <c r="C572" s="680"/>
      <c r="D572" s="139"/>
      <c r="E572" s="680"/>
      <c r="F572" s="139"/>
      <c r="G572" s="139"/>
      <c r="H572" s="680"/>
      <c r="I572" s="680"/>
      <c r="J572" s="139"/>
      <c r="K572" s="139"/>
      <c r="L572" s="139"/>
      <c r="M572" s="139"/>
      <c r="N572" s="139"/>
      <c r="O572" s="139"/>
      <c r="P572" s="139"/>
      <c r="Q572" s="139"/>
      <c r="R572" s="139"/>
      <c r="S572" s="139"/>
      <c r="T572" s="139"/>
      <c r="U572" s="139"/>
      <c r="V572" s="139"/>
      <c r="W572" s="139"/>
      <c r="X572" s="139"/>
      <c r="Y572" s="139"/>
      <c r="Z572" s="139"/>
      <c r="AA572" s="139"/>
    </row>
    <row r="573" spans="1:27" ht="15.75">
      <c r="A573" s="139"/>
      <c r="B573" s="139"/>
      <c r="C573" s="680"/>
      <c r="D573" s="139"/>
      <c r="E573" s="680"/>
      <c r="F573" s="139"/>
      <c r="G573" s="139"/>
      <c r="H573" s="680"/>
      <c r="I573" s="680"/>
      <c r="J573" s="139"/>
      <c r="K573" s="139"/>
      <c r="L573" s="139"/>
      <c r="M573" s="139"/>
      <c r="N573" s="139"/>
      <c r="O573" s="139"/>
      <c r="P573" s="139"/>
      <c r="Q573" s="139"/>
      <c r="R573" s="139"/>
      <c r="S573" s="139"/>
      <c r="T573" s="139"/>
      <c r="U573" s="139"/>
      <c r="V573" s="139"/>
      <c r="W573" s="139"/>
      <c r="X573" s="139"/>
      <c r="Y573" s="139"/>
      <c r="Z573" s="139"/>
      <c r="AA573" s="139"/>
    </row>
    <row r="574" spans="1:27" ht="15.75">
      <c r="A574" s="139"/>
      <c r="B574" s="139"/>
      <c r="C574" s="680"/>
      <c r="D574" s="139"/>
      <c r="E574" s="680"/>
      <c r="F574" s="139"/>
      <c r="G574" s="139"/>
      <c r="H574" s="680"/>
      <c r="I574" s="680"/>
      <c r="J574" s="139"/>
      <c r="K574" s="139"/>
      <c r="L574" s="139"/>
      <c r="M574" s="139"/>
      <c r="N574" s="139"/>
      <c r="O574" s="139"/>
      <c r="P574" s="139"/>
      <c r="Q574" s="139"/>
      <c r="R574" s="139"/>
      <c r="S574" s="139"/>
      <c r="T574" s="139"/>
      <c r="U574" s="139"/>
      <c r="V574" s="139"/>
      <c r="W574" s="139"/>
      <c r="X574" s="139"/>
      <c r="Y574" s="139"/>
      <c r="Z574" s="139"/>
      <c r="AA574" s="139"/>
    </row>
    <row r="575" spans="1:27" ht="15.75">
      <c r="A575" s="139"/>
      <c r="B575" s="139"/>
      <c r="C575" s="680"/>
      <c r="D575" s="139"/>
      <c r="E575" s="680"/>
      <c r="F575" s="139"/>
      <c r="G575" s="139"/>
      <c r="H575" s="680"/>
      <c r="I575" s="680"/>
      <c r="J575" s="139"/>
      <c r="K575" s="139"/>
      <c r="L575" s="139"/>
      <c r="M575" s="139"/>
      <c r="N575" s="139"/>
      <c r="O575" s="139"/>
      <c r="P575" s="139"/>
      <c r="Q575" s="139"/>
      <c r="R575" s="139"/>
      <c r="S575" s="139"/>
      <c r="T575" s="139"/>
      <c r="U575" s="139"/>
      <c r="V575" s="139"/>
      <c r="W575" s="139"/>
      <c r="X575" s="139"/>
      <c r="Y575" s="139"/>
      <c r="Z575" s="139"/>
      <c r="AA575" s="139"/>
    </row>
    <row r="576" spans="1:27" ht="15.75">
      <c r="A576" s="139"/>
      <c r="B576" s="139"/>
      <c r="C576" s="680"/>
      <c r="D576" s="139"/>
      <c r="E576" s="680"/>
      <c r="F576" s="139"/>
      <c r="G576" s="139"/>
      <c r="H576" s="680"/>
      <c r="I576" s="680"/>
      <c r="J576" s="139"/>
      <c r="K576" s="139"/>
      <c r="L576" s="139"/>
      <c r="M576" s="139"/>
      <c r="N576" s="139"/>
      <c r="O576" s="139"/>
      <c r="P576" s="139"/>
      <c r="Q576" s="139"/>
      <c r="R576" s="139"/>
      <c r="S576" s="139"/>
      <c r="T576" s="139"/>
      <c r="U576" s="139"/>
      <c r="V576" s="139"/>
      <c r="W576" s="139"/>
      <c r="X576" s="139"/>
      <c r="Y576" s="139"/>
      <c r="Z576" s="139"/>
      <c r="AA576" s="139"/>
    </row>
    <row r="577" spans="1:27" ht="15.75">
      <c r="A577" s="139"/>
      <c r="B577" s="139"/>
      <c r="C577" s="680"/>
      <c r="D577" s="139"/>
      <c r="E577" s="680"/>
      <c r="F577" s="139"/>
      <c r="G577" s="139"/>
      <c r="H577" s="680"/>
      <c r="I577" s="680"/>
      <c r="J577" s="139"/>
      <c r="K577" s="139"/>
      <c r="L577" s="139"/>
      <c r="M577" s="139"/>
      <c r="N577" s="139"/>
      <c r="O577" s="139"/>
      <c r="P577" s="139"/>
      <c r="Q577" s="139"/>
      <c r="R577" s="139"/>
      <c r="S577" s="139"/>
      <c r="T577" s="139"/>
      <c r="U577" s="139"/>
      <c r="V577" s="139"/>
      <c r="W577" s="139"/>
      <c r="X577" s="139"/>
      <c r="Y577" s="139"/>
      <c r="Z577" s="139"/>
      <c r="AA577" s="139"/>
    </row>
    <row r="578" spans="1:27" ht="15.75">
      <c r="A578" s="139"/>
      <c r="B578" s="139"/>
      <c r="C578" s="680"/>
      <c r="D578" s="139"/>
      <c r="E578" s="680"/>
      <c r="F578" s="139"/>
      <c r="G578" s="139"/>
      <c r="H578" s="680"/>
      <c r="I578" s="680"/>
      <c r="J578" s="139"/>
      <c r="K578" s="139"/>
      <c r="L578" s="139"/>
      <c r="M578" s="139"/>
      <c r="N578" s="139"/>
      <c r="O578" s="139"/>
      <c r="P578" s="139"/>
      <c r="Q578" s="139"/>
      <c r="R578" s="139"/>
      <c r="S578" s="139"/>
      <c r="T578" s="139"/>
      <c r="U578" s="139"/>
      <c r="V578" s="139"/>
      <c r="W578" s="139"/>
      <c r="X578" s="139"/>
      <c r="Y578" s="139"/>
      <c r="Z578" s="139"/>
      <c r="AA578" s="139"/>
    </row>
    <row r="579" spans="1:27" ht="15.75">
      <c r="A579" s="139"/>
      <c r="B579" s="139"/>
      <c r="C579" s="680"/>
      <c r="D579" s="139"/>
      <c r="E579" s="680"/>
      <c r="F579" s="139"/>
      <c r="G579" s="139"/>
      <c r="H579" s="680"/>
      <c r="I579" s="680"/>
      <c r="J579" s="139"/>
      <c r="K579" s="139"/>
      <c r="L579" s="139"/>
      <c r="M579" s="139"/>
      <c r="N579" s="139"/>
      <c r="O579" s="139"/>
      <c r="P579" s="139"/>
      <c r="Q579" s="139"/>
      <c r="R579" s="139"/>
      <c r="S579" s="139"/>
      <c r="T579" s="139"/>
      <c r="U579" s="139"/>
      <c r="V579" s="139"/>
      <c r="W579" s="139"/>
      <c r="X579" s="139"/>
      <c r="Y579" s="139"/>
      <c r="Z579" s="139"/>
      <c r="AA579" s="139"/>
    </row>
    <row r="580" spans="1:27" ht="15.75">
      <c r="A580" s="139"/>
      <c r="B580" s="139"/>
      <c r="C580" s="680"/>
      <c r="D580" s="139"/>
      <c r="E580" s="680"/>
      <c r="F580" s="139"/>
      <c r="G580" s="139"/>
      <c r="H580" s="680"/>
      <c r="I580" s="680"/>
      <c r="J580" s="139"/>
      <c r="K580" s="139"/>
      <c r="L580" s="139"/>
      <c r="M580" s="139"/>
      <c r="N580" s="139"/>
      <c r="O580" s="139"/>
      <c r="P580" s="139"/>
      <c r="Q580" s="139"/>
      <c r="R580" s="139"/>
      <c r="S580" s="139"/>
      <c r="T580" s="139"/>
      <c r="U580" s="139"/>
      <c r="V580" s="139"/>
      <c r="W580" s="139"/>
      <c r="X580" s="139"/>
      <c r="Y580" s="139"/>
      <c r="Z580" s="139"/>
      <c r="AA580" s="139"/>
    </row>
    <row r="581" spans="1:27" ht="15.75">
      <c r="A581" s="139"/>
      <c r="B581" s="139"/>
      <c r="C581" s="680"/>
      <c r="D581" s="139"/>
      <c r="E581" s="680"/>
      <c r="F581" s="139"/>
      <c r="G581" s="139"/>
      <c r="H581" s="680"/>
      <c r="I581" s="680"/>
      <c r="J581" s="139"/>
      <c r="K581" s="139"/>
      <c r="L581" s="139"/>
      <c r="M581" s="139"/>
      <c r="N581" s="139"/>
      <c r="O581" s="139"/>
      <c r="P581" s="139"/>
      <c r="Q581" s="139"/>
      <c r="R581" s="139"/>
      <c r="S581" s="139"/>
      <c r="T581" s="139"/>
      <c r="U581" s="139"/>
      <c r="V581" s="139"/>
      <c r="W581" s="139"/>
      <c r="X581" s="139"/>
      <c r="Y581" s="139"/>
      <c r="Z581" s="139"/>
      <c r="AA581" s="139"/>
    </row>
    <row r="582" spans="1:27" ht="15.75">
      <c r="A582" s="139"/>
      <c r="B582" s="139"/>
      <c r="C582" s="680"/>
      <c r="D582" s="139"/>
      <c r="E582" s="680"/>
      <c r="F582" s="139"/>
      <c r="G582" s="139"/>
      <c r="H582" s="680"/>
      <c r="I582" s="680"/>
      <c r="J582" s="139"/>
      <c r="K582" s="139"/>
      <c r="L582" s="139"/>
      <c r="M582" s="139"/>
      <c r="N582" s="139"/>
      <c r="O582" s="139"/>
      <c r="P582" s="139"/>
      <c r="Q582" s="139"/>
      <c r="R582" s="139"/>
      <c r="S582" s="139"/>
      <c r="T582" s="139"/>
      <c r="U582" s="139"/>
      <c r="V582" s="139"/>
      <c r="W582" s="139"/>
      <c r="X582" s="139"/>
      <c r="Y582" s="139"/>
      <c r="Z582" s="139"/>
      <c r="AA582" s="139"/>
    </row>
    <row r="583" spans="1:27" ht="15.75">
      <c r="A583" s="139"/>
      <c r="B583" s="139"/>
      <c r="C583" s="680"/>
      <c r="D583" s="139"/>
      <c r="E583" s="680"/>
      <c r="F583" s="139"/>
      <c r="G583" s="139"/>
      <c r="H583" s="680"/>
      <c r="I583" s="680"/>
      <c r="J583" s="139"/>
      <c r="K583" s="139"/>
      <c r="L583" s="139"/>
      <c r="M583" s="139"/>
      <c r="N583" s="139"/>
      <c r="O583" s="139"/>
      <c r="P583" s="139"/>
      <c r="Q583" s="139"/>
      <c r="R583" s="139"/>
      <c r="S583" s="139"/>
      <c r="T583" s="139"/>
      <c r="U583" s="139"/>
      <c r="V583" s="139"/>
      <c r="W583" s="139"/>
      <c r="X583" s="139"/>
      <c r="Y583" s="139"/>
      <c r="Z583" s="139"/>
      <c r="AA583" s="139"/>
    </row>
    <row r="584" spans="1:27" ht="15.75">
      <c r="A584" s="139"/>
      <c r="B584" s="139"/>
      <c r="C584" s="680"/>
      <c r="D584" s="139"/>
      <c r="E584" s="680"/>
      <c r="F584" s="139"/>
      <c r="G584" s="139"/>
      <c r="H584" s="680"/>
      <c r="I584" s="680"/>
      <c r="J584" s="139"/>
      <c r="K584" s="139"/>
      <c r="L584" s="139"/>
      <c r="M584" s="139"/>
      <c r="N584" s="139"/>
      <c r="O584" s="139"/>
      <c r="P584" s="139"/>
      <c r="Q584" s="139"/>
      <c r="R584" s="139"/>
      <c r="S584" s="139"/>
      <c r="T584" s="139"/>
      <c r="U584" s="139"/>
      <c r="V584" s="139"/>
      <c r="W584" s="139"/>
      <c r="X584" s="139"/>
      <c r="Y584" s="139"/>
      <c r="Z584" s="139"/>
      <c r="AA584" s="139"/>
    </row>
    <row r="585" spans="1:27" ht="15.75">
      <c r="A585" s="139"/>
      <c r="B585" s="139"/>
      <c r="C585" s="680"/>
      <c r="D585" s="139"/>
      <c r="E585" s="680"/>
      <c r="F585" s="139"/>
      <c r="G585" s="139"/>
      <c r="H585" s="680"/>
      <c r="I585" s="680"/>
      <c r="J585" s="139"/>
      <c r="K585" s="139"/>
      <c r="L585" s="139"/>
      <c r="M585" s="139"/>
      <c r="N585" s="139"/>
      <c r="O585" s="139"/>
      <c r="P585" s="139"/>
      <c r="Q585" s="139"/>
      <c r="R585" s="139"/>
      <c r="S585" s="139"/>
      <c r="T585" s="139"/>
      <c r="U585" s="139"/>
      <c r="V585" s="139"/>
      <c r="W585" s="139"/>
      <c r="X585" s="139"/>
      <c r="Y585" s="139"/>
      <c r="Z585" s="139"/>
      <c r="AA585" s="139"/>
    </row>
    <row r="586" spans="1:27" ht="15.75">
      <c r="A586" s="139"/>
      <c r="B586" s="139"/>
      <c r="C586" s="680"/>
      <c r="D586" s="139"/>
      <c r="E586" s="680"/>
      <c r="F586" s="139"/>
      <c r="G586" s="139"/>
      <c r="H586" s="680"/>
      <c r="I586" s="680"/>
      <c r="J586" s="139"/>
      <c r="K586" s="139"/>
      <c r="L586" s="139"/>
      <c r="M586" s="139"/>
      <c r="N586" s="139"/>
      <c r="O586" s="139"/>
      <c r="P586" s="139"/>
      <c r="Q586" s="139"/>
      <c r="R586" s="139"/>
      <c r="S586" s="139"/>
      <c r="T586" s="139"/>
      <c r="U586" s="139"/>
      <c r="V586" s="139"/>
      <c r="W586" s="139"/>
      <c r="X586" s="139"/>
      <c r="Y586" s="139"/>
      <c r="Z586" s="139"/>
      <c r="AA586" s="139"/>
    </row>
    <row r="587" spans="1:27" ht="15.75">
      <c r="A587" s="139"/>
      <c r="B587" s="139"/>
      <c r="C587" s="680"/>
      <c r="D587" s="139"/>
      <c r="E587" s="680"/>
      <c r="F587" s="139"/>
      <c r="G587" s="139"/>
      <c r="H587" s="680"/>
      <c r="I587" s="680"/>
      <c r="J587" s="139"/>
      <c r="K587" s="139"/>
      <c r="L587" s="139"/>
      <c r="M587" s="139"/>
      <c r="N587" s="139"/>
      <c r="O587" s="139"/>
      <c r="P587" s="139"/>
      <c r="Q587" s="139"/>
      <c r="R587" s="139"/>
      <c r="S587" s="139"/>
      <c r="T587" s="139"/>
      <c r="U587" s="139"/>
      <c r="V587" s="139"/>
      <c r="W587" s="139"/>
      <c r="X587" s="139"/>
      <c r="Y587" s="139"/>
      <c r="Z587" s="139"/>
      <c r="AA587" s="139"/>
    </row>
    <row r="588" spans="1:27" ht="15.75">
      <c r="A588" s="139"/>
      <c r="B588" s="139"/>
      <c r="C588" s="680"/>
      <c r="D588" s="139"/>
      <c r="E588" s="680"/>
      <c r="F588" s="139"/>
      <c r="G588" s="139"/>
      <c r="H588" s="680"/>
      <c r="I588" s="680"/>
      <c r="J588" s="139"/>
      <c r="K588" s="139"/>
      <c r="L588" s="139"/>
      <c r="M588" s="139"/>
      <c r="N588" s="139"/>
      <c r="O588" s="139"/>
      <c r="P588" s="139"/>
      <c r="Q588" s="139"/>
      <c r="R588" s="139"/>
      <c r="S588" s="139"/>
      <c r="T588" s="139"/>
      <c r="U588" s="139"/>
      <c r="V588" s="139"/>
      <c r="W588" s="139"/>
      <c r="X588" s="139"/>
      <c r="Y588" s="139"/>
      <c r="Z588" s="139"/>
      <c r="AA588" s="139"/>
    </row>
    <row r="589" spans="1:27" ht="15.75">
      <c r="A589" s="139"/>
      <c r="B589" s="139"/>
      <c r="C589" s="680"/>
      <c r="D589" s="139"/>
      <c r="E589" s="680"/>
      <c r="F589" s="139"/>
      <c r="G589" s="139"/>
      <c r="H589" s="680"/>
      <c r="I589" s="680"/>
      <c r="J589" s="139"/>
      <c r="K589" s="139"/>
      <c r="L589" s="139"/>
      <c r="M589" s="139"/>
      <c r="N589" s="139"/>
      <c r="O589" s="139"/>
      <c r="P589" s="139"/>
      <c r="Q589" s="139"/>
      <c r="R589" s="139"/>
      <c r="S589" s="139"/>
      <c r="T589" s="139"/>
      <c r="U589" s="139"/>
      <c r="V589" s="139"/>
      <c r="W589" s="139"/>
      <c r="X589" s="139"/>
      <c r="Y589" s="139"/>
      <c r="Z589" s="139"/>
      <c r="AA589" s="139"/>
    </row>
    <row r="590" spans="1:27" ht="15.75">
      <c r="A590" s="139"/>
      <c r="B590" s="139"/>
      <c r="C590" s="680"/>
      <c r="D590" s="139"/>
      <c r="E590" s="680"/>
      <c r="F590" s="139"/>
      <c r="G590" s="139"/>
      <c r="H590" s="680"/>
      <c r="I590" s="680"/>
      <c r="J590" s="139"/>
      <c r="K590" s="139"/>
      <c r="L590" s="139"/>
      <c r="M590" s="139"/>
      <c r="N590" s="139"/>
      <c r="O590" s="139"/>
      <c r="P590" s="139"/>
      <c r="Q590" s="139"/>
      <c r="R590" s="139"/>
      <c r="S590" s="139"/>
      <c r="T590" s="139"/>
      <c r="U590" s="139"/>
      <c r="V590" s="139"/>
      <c r="W590" s="139"/>
      <c r="X590" s="139"/>
      <c r="Y590" s="139"/>
      <c r="Z590" s="139"/>
      <c r="AA590" s="139"/>
    </row>
    <row r="591" spans="1:27" ht="15.75">
      <c r="A591" s="139"/>
      <c r="B591" s="139"/>
      <c r="C591" s="680"/>
      <c r="D591" s="139"/>
      <c r="E591" s="680"/>
      <c r="F591" s="139"/>
      <c r="G591" s="139"/>
      <c r="H591" s="680"/>
      <c r="I591" s="680"/>
      <c r="J591" s="139"/>
      <c r="K591" s="139"/>
      <c r="L591" s="139"/>
      <c r="M591" s="139"/>
      <c r="N591" s="139"/>
      <c r="O591" s="139"/>
      <c r="P591" s="139"/>
      <c r="Q591" s="139"/>
      <c r="R591" s="139"/>
      <c r="S591" s="139"/>
      <c r="T591" s="139"/>
      <c r="U591" s="139"/>
      <c r="V591" s="139"/>
      <c r="W591" s="139"/>
      <c r="X591" s="139"/>
      <c r="Y591" s="139"/>
      <c r="Z591" s="139"/>
      <c r="AA591" s="139"/>
    </row>
    <row r="592" spans="1:27" ht="15.75">
      <c r="A592" s="139"/>
      <c r="B592" s="139"/>
      <c r="C592" s="680"/>
      <c r="D592" s="139"/>
      <c r="E592" s="680"/>
      <c r="F592" s="139"/>
      <c r="G592" s="139"/>
      <c r="H592" s="680"/>
      <c r="I592" s="680"/>
      <c r="J592" s="139"/>
      <c r="K592" s="139"/>
      <c r="L592" s="139"/>
      <c r="M592" s="139"/>
      <c r="N592" s="139"/>
      <c r="O592" s="139"/>
      <c r="P592" s="139"/>
      <c r="Q592" s="139"/>
      <c r="R592" s="139"/>
      <c r="S592" s="139"/>
      <c r="T592" s="139"/>
      <c r="U592" s="139"/>
      <c r="V592" s="139"/>
      <c r="W592" s="139"/>
      <c r="X592" s="139"/>
      <c r="Y592" s="139"/>
      <c r="Z592" s="139"/>
      <c r="AA592" s="139"/>
    </row>
    <row r="593" spans="1:27" ht="15.75">
      <c r="A593" s="139"/>
      <c r="B593" s="139"/>
      <c r="C593" s="680"/>
      <c r="D593" s="139"/>
      <c r="E593" s="680"/>
      <c r="F593" s="139"/>
      <c r="G593" s="139"/>
      <c r="H593" s="680"/>
      <c r="I593" s="680"/>
      <c r="J593" s="139"/>
      <c r="K593" s="139"/>
      <c r="L593" s="139"/>
      <c r="M593" s="139"/>
      <c r="N593" s="139"/>
      <c r="O593" s="139"/>
      <c r="P593" s="139"/>
      <c r="Q593" s="139"/>
      <c r="R593" s="139"/>
      <c r="S593" s="139"/>
      <c r="T593" s="139"/>
      <c r="U593" s="139"/>
      <c r="V593" s="139"/>
      <c r="W593" s="139"/>
      <c r="X593" s="139"/>
      <c r="Y593" s="139"/>
      <c r="Z593" s="139"/>
      <c r="AA593" s="139"/>
    </row>
    <row r="594" spans="1:27" ht="15.75">
      <c r="A594" s="139"/>
      <c r="B594" s="139"/>
      <c r="C594" s="680"/>
      <c r="D594" s="139"/>
      <c r="E594" s="680"/>
      <c r="F594" s="139"/>
      <c r="G594" s="139"/>
      <c r="H594" s="680"/>
      <c r="I594" s="680"/>
      <c r="J594" s="139"/>
      <c r="K594" s="139"/>
      <c r="L594" s="139"/>
      <c r="M594" s="139"/>
      <c r="N594" s="139"/>
      <c r="O594" s="139"/>
      <c r="P594" s="139"/>
      <c r="Q594" s="139"/>
      <c r="R594" s="139"/>
      <c r="S594" s="139"/>
      <c r="T594" s="139"/>
      <c r="U594" s="139"/>
      <c r="V594" s="139"/>
      <c r="W594" s="139"/>
      <c r="X594" s="139"/>
      <c r="Y594" s="139"/>
      <c r="Z594" s="139"/>
      <c r="AA594" s="139"/>
    </row>
    <row r="595" spans="1:27" ht="15.75">
      <c r="A595" s="139"/>
      <c r="B595" s="139"/>
      <c r="C595" s="680"/>
      <c r="D595" s="139"/>
      <c r="E595" s="680"/>
      <c r="F595" s="139"/>
      <c r="G595" s="139"/>
      <c r="H595" s="680"/>
      <c r="I595" s="680"/>
      <c r="J595" s="139"/>
      <c r="K595" s="139"/>
      <c r="L595" s="139"/>
      <c r="M595" s="139"/>
      <c r="N595" s="139"/>
      <c r="O595" s="139"/>
      <c r="P595" s="139"/>
      <c r="Q595" s="139"/>
      <c r="R595" s="139"/>
      <c r="S595" s="139"/>
      <c r="T595" s="139"/>
      <c r="U595" s="139"/>
      <c r="V595" s="139"/>
      <c r="W595" s="139"/>
      <c r="X595" s="139"/>
      <c r="Y595" s="139"/>
      <c r="Z595" s="139"/>
      <c r="AA595" s="139"/>
    </row>
    <row r="596" spans="1:27" ht="15.75">
      <c r="A596" s="139"/>
      <c r="B596" s="139"/>
      <c r="C596" s="680"/>
      <c r="D596" s="139"/>
      <c r="E596" s="680"/>
      <c r="F596" s="139"/>
      <c r="G596" s="139"/>
      <c r="H596" s="680"/>
      <c r="I596" s="680"/>
      <c r="J596" s="139"/>
      <c r="K596" s="139"/>
      <c r="L596" s="139"/>
      <c r="M596" s="139"/>
      <c r="N596" s="139"/>
      <c r="O596" s="139"/>
      <c r="P596" s="139"/>
      <c r="Q596" s="139"/>
      <c r="R596" s="139"/>
      <c r="S596" s="139"/>
      <c r="T596" s="139"/>
      <c r="U596" s="139"/>
      <c r="V596" s="139"/>
      <c r="W596" s="139"/>
      <c r="X596" s="139"/>
      <c r="Y596" s="139"/>
      <c r="Z596" s="139"/>
      <c r="AA596" s="139"/>
    </row>
    <row r="597" spans="1:27" ht="15.75">
      <c r="A597" s="139"/>
      <c r="B597" s="139"/>
      <c r="C597" s="680"/>
      <c r="D597" s="139"/>
      <c r="E597" s="680"/>
      <c r="F597" s="139"/>
      <c r="G597" s="139"/>
      <c r="H597" s="680"/>
      <c r="I597" s="680"/>
      <c r="J597" s="139"/>
      <c r="K597" s="139"/>
      <c r="L597" s="139"/>
      <c r="M597" s="139"/>
      <c r="N597" s="139"/>
      <c r="O597" s="139"/>
      <c r="P597" s="139"/>
      <c r="Q597" s="139"/>
      <c r="R597" s="139"/>
      <c r="S597" s="139"/>
      <c r="T597" s="139"/>
      <c r="U597" s="139"/>
      <c r="V597" s="139"/>
      <c r="W597" s="139"/>
      <c r="X597" s="139"/>
      <c r="Y597" s="139"/>
      <c r="Z597" s="139"/>
      <c r="AA597" s="139"/>
    </row>
    <row r="598" spans="1:27" ht="15.75">
      <c r="A598" s="139"/>
      <c r="B598" s="139"/>
      <c r="C598" s="680"/>
      <c r="D598" s="139"/>
      <c r="E598" s="680"/>
      <c r="F598" s="139"/>
      <c r="G598" s="139"/>
      <c r="H598" s="680"/>
      <c r="I598" s="680"/>
      <c r="J598" s="139"/>
      <c r="K598" s="139"/>
      <c r="L598" s="139"/>
      <c r="M598" s="139"/>
      <c r="N598" s="139"/>
      <c r="O598" s="139"/>
      <c r="P598" s="139"/>
      <c r="Q598" s="139"/>
      <c r="R598" s="139"/>
      <c r="S598" s="139"/>
      <c r="T598" s="139"/>
      <c r="U598" s="139"/>
      <c r="V598" s="139"/>
      <c r="W598" s="139"/>
      <c r="X598" s="139"/>
      <c r="Y598" s="139"/>
      <c r="Z598" s="139"/>
      <c r="AA598" s="139"/>
    </row>
    <row r="599" spans="1:27" ht="15.75">
      <c r="A599" s="139"/>
      <c r="B599" s="139"/>
      <c r="C599" s="680"/>
      <c r="D599" s="139"/>
      <c r="E599" s="680"/>
      <c r="F599" s="139"/>
      <c r="G599" s="139"/>
      <c r="H599" s="680"/>
      <c r="I599" s="680"/>
      <c r="J599" s="139"/>
      <c r="K599" s="139"/>
      <c r="L599" s="139"/>
      <c r="M599" s="139"/>
      <c r="N599" s="139"/>
      <c r="O599" s="139"/>
      <c r="P599" s="139"/>
      <c r="Q599" s="139"/>
      <c r="R599" s="139"/>
      <c r="S599" s="139"/>
      <c r="T599" s="139"/>
      <c r="U599" s="139"/>
      <c r="V599" s="139"/>
      <c r="W599" s="139"/>
      <c r="X599" s="139"/>
      <c r="Y599" s="139"/>
      <c r="Z599" s="139"/>
      <c r="AA599" s="139"/>
    </row>
    <row r="600" spans="1:27" ht="15.75">
      <c r="A600" s="139"/>
      <c r="B600" s="139"/>
      <c r="C600" s="680"/>
      <c r="D600" s="139"/>
      <c r="E600" s="680"/>
      <c r="F600" s="139"/>
      <c r="G600" s="139"/>
      <c r="H600" s="680"/>
      <c r="I600" s="680"/>
      <c r="J600" s="139"/>
      <c r="K600" s="139"/>
      <c r="L600" s="139"/>
      <c r="M600" s="139"/>
      <c r="N600" s="139"/>
      <c r="O600" s="139"/>
      <c r="P600" s="139"/>
      <c r="Q600" s="139"/>
      <c r="R600" s="139"/>
      <c r="S600" s="139"/>
      <c r="T600" s="139"/>
      <c r="U600" s="139"/>
      <c r="V600" s="139"/>
      <c r="W600" s="139"/>
      <c r="X600" s="139"/>
      <c r="Y600" s="139"/>
      <c r="Z600" s="139"/>
      <c r="AA600" s="139"/>
    </row>
    <row r="601" spans="1:27" ht="15.75">
      <c r="A601" s="139"/>
      <c r="B601" s="139"/>
      <c r="C601" s="680"/>
      <c r="D601" s="139"/>
      <c r="E601" s="680"/>
      <c r="F601" s="139"/>
      <c r="G601" s="139"/>
      <c r="H601" s="680"/>
      <c r="I601" s="680"/>
      <c r="J601" s="139"/>
      <c r="K601" s="139"/>
      <c r="L601" s="139"/>
      <c r="M601" s="139"/>
      <c r="N601" s="139"/>
      <c r="O601" s="139"/>
      <c r="P601" s="139"/>
      <c r="Q601" s="139"/>
      <c r="R601" s="139"/>
      <c r="S601" s="139"/>
      <c r="T601" s="139"/>
      <c r="U601" s="139"/>
      <c r="V601" s="139"/>
      <c r="W601" s="139"/>
      <c r="X601" s="139"/>
      <c r="Y601" s="139"/>
      <c r="Z601" s="139"/>
      <c r="AA601" s="139"/>
    </row>
    <row r="602" spans="1:27" ht="15.75">
      <c r="A602" s="139"/>
      <c r="B602" s="139"/>
      <c r="C602" s="680"/>
      <c r="D602" s="139"/>
      <c r="E602" s="680"/>
      <c r="F602" s="139"/>
      <c r="G602" s="139"/>
      <c r="H602" s="680"/>
      <c r="I602" s="680"/>
      <c r="J602" s="139"/>
      <c r="K602" s="139"/>
      <c r="L602" s="139"/>
      <c r="M602" s="139"/>
      <c r="N602" s="139"/>
      <c r="O602" s="139"/>
      <c r="P602" s="139"/>
      <c r="Q602" s="139"/>
      <c r="R602" s="139"/>
      <c r="S602" s="139"/>
      <c r="T602" s="139"/>
      <c r="U602" s="139"/>
      <c r="V602" s="139"/>
      <c r="W602" s="139"/>
      <c r="X602" s="139"/>
      <c r="Y602" s="139"/>
      <c r="Z602" s="139"/>
      <c r="AA602" s="139"/>
    </row>
    <row r="603" spans="1:27" ht="15.75">
      <c r="A603" s="139"/>
      <c r="B603" s="139"/>
      <c r="C603" s="680"/>
      <c r="D603" s="139"/>
      <c r="E603" s="680"/>
      <c r="F603" s="139"/>
      <c r="G603" s="139"/>
      <c r="H603" s="680"/>
      <c r="I603" s="680"/>
      <c r="J603" s="139"/>
      <c r="K603" s="139"/>
      <c r="L603" s="139"/>
      <c r="M603" s="139"/>
      <c r="N603" s="139"/>
      <c r="O603" s="139"/>
      <c r="P603" s="139"/>
      <c r="Q603" s="139"/>
      <c r="R603" s="139"/>
      <c r="S603" s="139"/>
      <c r="T603" s="139"/>
      <c r="U603" s="139"/>
      <c r="V603" s="139"/>
      <c r="W603" s="139"/>
      <c r="X603" s="139"/>
      <c r="Y603" s="139"/>
      <c r="Z603" s="139"/>
      <c r="AA603" s="139"/>
    </row>
    <row r="604" spans="1:27" ht="15.75">
      <c r="A604" s="139"/>
      <c r="B604" s="139"/>
      <c r="C604" s="680"/>
      <c r="D604" s="139"/>
      <c r="E604" s="680"/>
      <c r="F604" s="139"/>
      <c r="G604" s="139"/>
      <c r="H604" s="680"/>
      <c r="I604" s="680"/>
      <c r="J604" s="139"/>
      <c r="K604" s="139"/>
      <c r="L604" s="139"/>
      <c r="M604" s="139"/>
      <c r="N604" s="139"/>
      <c r="O604" s="139"/>
      <c r="P604" s="139"/>
      <c r="Q604" s="139"/>
      <c r="R604" s="139"/>
      <c r="S604" s="139"/>
      <c r="T604" s="139"/>
      <c r="U604" s="139"/>
      <c r="V604" s="139"/>
      <c r="W604" s="139"/>
      <c r="X604" s="139"/>
      <c r="Y604" s="139"/>
      <c r="Z604" s="139"/>
      <c r="AA604" s="139"/>
    </row>
    <row r="605" spans="1:27" ht="15.75">
      <c r="A605" s="139"/>
      <c r="B605" s="139"/>
      <c r="C605" s="680"/>
      <c r="D605" s="139"/>
      <c r="E605" s="680"/>
      <c r="F605" s="139"/>
      <c r="G605" s="139"/>
      <c r="H605" s="680"/>
      <c r="I605" s="680"/>
      <c r="J605" s="139"/>
      <c r="K605" s="139"/>
      <c r="L605" s="139"/>
      <c r="M605" s="139"/>
      <c r="N605" s="139"/>
      <c r="O605" s="139"/>
      <c r="P605" s="139"/>
      <c r="Q605" s="139"/>
      <c r="R605" s="139"/>
      <c r="S605" s="139"/>
      <c r="T605" s="139"/>
      <c r="U605" s="139"/>
      <c r="V605" s="139"/>
      <c r="W605" s="139"/>
      <c r="X605" s="139"/>
      <c r="Y605" s="139"/>
      <c r="Z605" s="139"/>
      <c r="AA605" s="139"/>
    </row>
    <row r="606" spans="1:27" ht="15.75">
      <c r="A606" s="139"/>
      <c r="B606" s="139"/>
      <c r="C606" s="680"/>
      <c r="D606" s="139"/>
      <c r="E606" s="680"/>
      <c r="F606" s="139"/>
      <c r="G606" s="139"/>
      <c r="H606" s="680"/>
      <c r="I606" s="680"/>
      <c r="J606" s="139"/>
      <c r="K606" s="139"/>
      <c r="L606" s="139"/>
      <c r="M606" s="139"/>
      <c r="N606" s="139"/>
      <c r="O606" s="139"/>
      <c r="P606" s="139"/>
      <c r="Q606" s="139"/>
      <c r="R606" s="139"/>
      <c r="S606" s="139"/>
      <c r="T606" s="139"/>
      <c r="U606" s="139"/>
      <c r="V606" s="139"/>
      <c r="W606" s="139"/>
      <c r="X606" s="139"/>
      <c r="Y606" s="139"/>
      <c r="Z606" s="139"/>
      <c r="AA606" s="139"/>
    </row>
    <row r="607" spans="1:27" ht="15.75">
      <c r="A607" s="139"/>
      <c r="B607" s="139"/>
      <c r="C607" s="680"/>
      <c r="D607" s="139"/>
      <c r="E607" s="680"/>
      <c r="F607" s="139"/>
      <c r="G607" s="139"/>
      <c r="H607" s="680"/>
      <c r="I607" s="680"/>
      <c r="J607" s="139"/>
      <c r="K607" s="139"/>
      <c r="L607" s="139"/>
      <c r="M607" s="139"/>
      <c r="N607" s="139"/>
      <c r="O607" s="139"/>
      <c r="P607" s="139"/>
      <c r="Q607" s="139"/>
      <c r="R607" s="139"/>
      <c r="S607" s="139"/>
      <c r="T607" s="139"/>
      <c r="U607" s="139"/>
      <c r="V607" s="139"/>
      <c r="W607" s="139"/>
      <c r="X607" s="139"/>
      <c r="Y607" s="139"/>
      <c r="Z607" s="139"/>
      <c r="AA607" s="139"/>
    </row>
    <row r="608" spans="1:27" ht="15.75">
      <c r="A608" s="139"/>
      <c r="B608" s="139"/>
      <c r="C608" s="680"/>
      <c r="D608" s="139"/>
      <c r="E608" s="680"/>
      <c r="F608" s="139"/>
      <c r="G608" s="139"/>
      <c r="H608" s="680"/>
      <c r="I608" s="680"/>
      <c r="J608" s="139"/>
      <c r="K608" s="139"/>
      <c r="L608" s="139"/>
      <c r="M608" s="139"/>
      <c r="N608" s="139"/>
      <c r="O608" s="139"/>
      <c r="P608" s="139"/>
      <c r="Q608" s="139"/>
      <c r="R608" s="139"/>
      <c r="S608" s="139"/>
      <c r="T608" s="139"/>
      <c r="U608" s="139"/>
      <c r="V608" s="139"/>
      <c r="W608" s="139"/>
      <c r="X608" s="139"/>
      <c r="Y608" s="139"/>
      <c r="Z608" s="139"/>
      <c r="AA608" s="139"/>
    </row>
    <row r="609" spans="1:27" ht="15.75">
      <c r="A609" s="139"/>
      <c r="B609" s="139"/>
      <c r="C609" s="680"/>
      <c r="D609" s="139"/>
      <c r="E609" s="680"/>
      <c r="F609" s="139"/>
      <c r="G609" s="139"/>
      <c r="H609" s="680"/>
      <c r="I609" s="680"/>
      <c r="J609" s="139"/>
      <c r="K609" s="139"/>
      <c r="L609" s="139"/>
      <c r="M609" s="139"/>
      <c r="N609" s="139"/>
      <c r="O609" s="139"/>
      <c r="P609" s="139"/>
      <c r="Q609" s="139"/>
      <c r="R609" s="139"/>
      <c r="S609" s="139"/>
      <c r="T609" s="139"/>
      <c r="U609" s="139"/>
      <c r="V609" s="139"/>
      <c r="W609" s="139"/>
      <c r="X609" s="139"/>
      <c r="Y609" s="139"/>
      <c r="Z609" s="139"/>
      <c r="AA609" s="139"/>
    </row>
    <row r="610" spans="1:27" ht="15.75">
      <c r="A610" s="139"/>
      <c r="B610" s="139"/>
      <c r="C610" s="680"/>
      <c r="D610" s="139"/>
      <c r="E610" s="680"/>
      <c r="F610" s="139"/>
      <c r="G610" s="139"/>
      <c r="H610" s="680"/>
      <c r="I610" s="680"/>
      <c r="J610" s="139"/>
      <c r="K610" s="139"/>
      <c r="L610" s="139"/>
      <c r="M610" s="139"/>
      <c r="N610" s="139"/>
      <c r="O610" s="139"/>
      <c r="P610" s="139"/>
      <c r="Q610" s="139"/>
      <c r="R610" s="139"/>
      <c r="S610" s="139"/>
      <c r="T610" s="139"/>
      <c r="U610" s="139"/>
      <c r="V610" s="139"/>
      <c r="W610" s="139"/>
      <c r="X610" s="139"/>
      <c r="Y610" s="139"/>
      <c r="Z610" s="139"/>
      <c r="AA610" s="139"/>
    </row>
    <row r="611" spans="1:27" ht="15.75">
      <c r="A611" s="139"/>
      <c r="B611" s="139"/>
      <c r="C611" s="680"/>
      <c r="D611" s="139"/>
      <c r="E611" s="680"/>
      <c r="F611" s="139"/>
      <c r="G611" s="139"/>
      <c r="H611" s="680"/>
      <c r="I611" s="680"/>
      <c r="J611" s="139"/>
      <c r="K611" s="139"/>
      <c r="L611" s="139"/>
      <c r="M611" s="139"/>
      <c r="N611" s="139"/>
      <c r="O611" s="139"/>
      <c r="P611" s="139"/>
      <c r="Q611" s="139"/>
      <c r="R611" s="139"/>
      <c r="S611" s="139"/>
      <c r="T611" s="139"/>
      <c r="U611" s="139"/>
      <c r="V611" s="139"/>
      <c r="W611" s="139"/>
      <c r="X611" s="139"/>
      <c r="Y611" s="139"/>
      <c r="Z611" s="139"/>
      <c r="AA611" s="139"/>
    </row>
    <row r="612" spans="1:27" ht="15.75">
      <c r="A612" s="139"/>
      <c r="B612" s="139"/>
      <c r="C612" s="680"/>
      <c r="D612" s="139"/>
      <c r="E612" s="680"/>
      <c r="F612" s="139"/>
      <c r="G612" s="139"/>
      <c r="H612" s="680"/>
      <c r="I612" s="680"/>
      <c r="J612" s="139"/>
      <c r="K612" s="139"/>
      <c r="L612" s="139"/>
      <c r="M612" s="139"/>
      <c r="N612" s="139"/>
      <c r="O612" s="139"/>
      <c r="P612" s="139"/>
      <c r="Q612" s="139"/>
      <c r="R612" s="139"/>
      <c r="S612" s="139"/>
      <c r="T612" s="139"/>
      <c r="U612" s="139"/>
      <c r="V612" s="139"/>
      <c r="W612" s="139"/>
      <c r="X612" s="139"/>
      <c r="Y612" s="139"/>
      <c r="Z612" s="139"/>
      <c r="AA612" s="139"/>
    </row>
    <row r="613" spans="1:27" ht="15.75">
      <c r="A613" s="139"/>
      <c r="B613" s="139"/>
      <c r="C613" s="680"/>
      <c r="D613" s="139"/>
      <c r="E613" s="680"/>
      <c r="F613" s="139"/>
      <c r="G613" s="139"/>
      <c r="H613" s="680"/>
      <c r="I613" s="680"/>
      <c r="J613" s="139"/>
      <c r="K613" s="139"/>
      <c r="L613" s="139"/>
      <c r="M613" s="139"/>
      <c r="N613" s="139"/>
      <c r="O613" s="139"/>
      <c r="P613" s="139"/>
      <c r="Q613" s="139"/>
      <c r="R613" s="139"/>
      <c r="S613" s="139"/>
      <c r="T613" s="139"/>
      <c r="U613" s="139"/>
      <c r="V613" s="139"/>
      <c r="W613" s="139"/>
      <c r="X613" s="139"/>
      <c r="Y613" s="139"/>
      <c r="Z613" s="139"/>
      <c r="AA613" s="139"/>
    </row>
    <row r="614" spans="1:27" ht="15.75">
      <c r="A614" s="139"/>
      <c r="B614" s="139"/>
      <c r="C614" s="680"/>
      <c r="D614" s="139"/>
      <c r="E614" s="680"/>
      <c r="F614" s="139"/>
      <c r="G614" s="139"/>
      <c r="H614" s="680"/>
      <c r="I614" s="680"/>
      <c r="J614" s="139"/>
      <c r="K614" s="139"/>
      <c r="L614" s="139"/>
      <c r="M614" s="139"/>
      <c r="N614" s="139"/>
      <c r="O614" s="139"/>
      <c r="P614" s="139"/>
      <c r="Q614" s="139"/>
      <c r="R614" s="139"/>
      <c r="S614" s="139"/>
      <c r="T614" s="139"/>
      <c r="U614" s="139"/>
      <c r="V614" s="139"/>
      <c r="W614" s="139"/>
      <c r="X614" s="139"/>
      <c r="Y614" s="139"/>
      <c r="Z614" s="139"/>
      <c r="AA614" s="139"/>
    </row>
    <row r="615" spans="1:27" ht="15.75">
      <c r="A615" s="139"/>
      <c r="B615" s="139"/>
      <c r="C615" s="680"/>
      <c r="D615" s="139"/>
      <c r="E615" s="680"/>
      <c r="F615" s="139"/>
      <c r="G615" s="139"/>
      <c r="H615" s="680"/>
      <c r="I615" s="680"/>
      <c r="J615" s="139"/>
      <c r="K615" s="139"/>
      <c r="L615" s="139"/>
      <c r="M615" s="139"/>
      <c r="N615" s="139"/>
      <c r="O615" s="139"/>
      <c r="P615" s="139"/>
      <c r="Q615" s="139"/>
      <c r="R615" s="139"/>
      <c r="S615" s="139"/>
      <c r="T615" s="139"/>
      <c r="U615" s="139"/>
      <c r="V615" s="139"/>
      <c r="W615" s="139"/>
      <c r="X615" s="139"/>
      <c r="Y615" s="139"/>
      <c r="Z615" s="139"/>
      <c r="AA615" s="139"/>
    </row>
    <row r="616" spans="1:27" ht="15.75">
      <c r="A616" s="139"/>
      <c r="B616" s="139"/>
      <c r="C616" s="680"/>
      <c r="D616" s="139"/>
      <c r="E616" s="680"/>
      <c r="F616" s="139"/>
      <c r="G616" s="139"/>
      <c r="H616" s="680"/>
      <c r="I616" s="680"/>
      <c r="J616" s="139"/>
      <c r="K616" s="139"/>
      <c r="L616" s="139"/>
      <c r="M616" s="139"/>
      <c r="N616" s="139"/>
      <c r="O616" s="139"/>
      <c r="P616" s="139"/>
      <c r="Q616" s="139"/>
      <c r="R616" s="139"/>
      <c r="S616" s="139"/>
      <c r="T616" s="139"/>
      <c r="U616" s="139"/>
      <c r="V616" s="139"/>
      <c r="W616" s="139"/>
      <c r="X616" s="139"/>
      <c r="Y616" s="139"/>
      <c r="Z616" s="139"/>
      <c r="AA616" s="139"/>
    </row>
    <row r="617" spans="1:27" ht="15.75">
      <c r="A617" s="139"/>
      <c r="B617" s="139"/>
      <c r="C617" s="680"/>
      <c r="D617" s="139"/>
      <c r="E617" s="680"/>
      <c r="F617" s="139"/>
      <c r="G617" s="139"/>
      <c r="H617" s="680"/>
      <c r="I617" s="680"/>
      <c r="J617" s="139"/>
      <c r="K617" s="139"/>
      <c r="L617" s="139"/>
      <c r="M617" s="139"/>
      <c r="N617" s="139"/>
      <c r="O617" s="139"/>
      <c r="P617" s="139"/>
      <c r="Q617" s="139"/>
      <c r="R617" s="139"/>
      <c r="S617" s="139"/>
      <c r="T617" s="139"/>
      <c r="U617" s="139"/>
      <c r="V617" s="139"/>
      <c r="W617" s="139"/>
      <c r="X617" s="139"/>
      <c r="Y617" s="139"/>
      <c r="Z617" s="139"/>
      <c r="AA617" s="139"/>
    </row>
    <row r="618" spans="1:27" ht="15.75">
      <c r="A618" s="139"/>
      <c r="B618" s="139"/>
      <c r="C618" s="680"/>
      <c r="D618" s="139"/>
      <c r="E618" s="680"/>
      <c r="F618" s="139"/>
      <c r="G618" s="139"/>
      <c r="H618" s="680"/>
      <c r="I618" s="680"/>
      <c r="J618" s="139"/>
      <c r="K618" s="139"/>
      <c r="L618" s="139"/>
      <c r="M618" s="139"/>
      <c r="N618" s="139"/>
      <c r="O618" s="139"/>
      <c r="P618" s="139"/>
      <c r="Q618" s="139"/>
      <c r="R618" s="139"/>
      <c r="S618" s="139"/>
      <c r="T618" s="139"/>
      <c r="U618" s="139"/>
      <c r="V618" s="139"/>
      <c r="W618" s="139"/>
      <c r="X618" s="139"/>
      <c r="Y618" s="139"/>
      <c r="Z618" s="139"/>
      <c r="AA618" s="139"/>
    </row>
    <row r="619" spans="1:27" ht="15.75">
      <c r="A619" s="139"/>
      <c r="B619" s="139"/>
      <c r="C619" s="680"/>
      <c r="D619" s="139"/>
      <c r="E619" s="680"/>
      <c r="F619" s="139"/>
      <c r="G619" s="139"/>
      <c r="H619" s="680"/>
      <c r="I619" s="680"/>
      <c r="J619" s="139"/>
      <c r="K619" s="139"/>
      <c r="L619" s="139"/>
      <c r="M619" s="139"/>
      <c r="N619" s="139"/>
      <c r="O619" s="139"/>
      <c r="P619" s="139"/>
      <c r="Q619" s="139"/>
      <c r="R619" s="139"/>
      <c r="S619" s="139"/>
      <c r="T619" s="139"/>
      <c r="U619" s="139"/>
      <c r="V619" s="139"/>
      <c r="W619" s="139"/>
      <c r="X619" s="139"/>
      <c r="Y619" s="139"/>
      <c r="Z619" s="139"/>
      <c r="AA619" s="139"/>
    </row>
    <row r="620" spans="1:27" ht="15.75">
      <c r="A620" s="139"/>
      <c r="B620" s="139"/>
      <c r="C620" s="680"/>
      <c r="D620" s="139"/>
      <c r="E620" s="680"/>
      <c r="F620" s="139"/>
      <c r="G620" s="139"/>
      <c r="H620" s="680"/>
      <c r="I620" s="680"/>
      <c r="J620" s="139"/>
      <c r="K620" s="139"/>
      <c r="L620" s="139"/>
      <c r="M620" s="139"/>
      <c r="N620" s="139"/>
      <c r="O620" s="139"/>
      <c r="P620" s="139"/>
      <c r="Q620" s="139"/>
      <c r="R620" s="139"/>
      <c r="S620" s="139"/>
      <c r="T620" s="139"/>
      <c r="U620" s="139"/>
      <c r="V620" s="139"/>
      <c r="W620" s="139"/>
      <c r="X620" s="139"/>
      <c r="Y620" s="139"/>
      <c r="Z620" s="139"/>
      <c r="AA620" s="139"/>
    </row>
    <row r="621" spans="1:27" ht="15.75">
      <c r="A621" s="139"/>
      <c r="B621" s="139"/>
      <c r="C621" s="680"/>
      <c r="D621" s="139"/>
      <c r="E621" s="680"/>
      <c r="F621" s="139"/>
      <c r="G621" s="139"/>
      <c r="H621" s="680"/>
      <c r="I621" s="680"/>
      <c r="J621" s="139"/>
      <c r="K621" s="139"/>
      <c r="L621" s="139"/>
      <c r="M621" s="139"/>
      <c r="N621" s="139"/>
      <c r="O621" s="139"/>
      <c r="P621" s="139"/>
      <c r="Q621" s="139"/>
      <c r="R621" s="139"/>
      <c r="S621" s="139"/>
      <c r="T621" s="139"/>
      <c r="U621" s="139"/>
      <c r="V621" s="139"/>
      <c r="W621" s="139"/>
      <c r="X621" s="139"/>
      <c r="Y621" s="139"/>
      <c r="Z621" s="139"/>
      <c r="AA621" s="139"/>
    </row>
    <row r="622" spans="1:27" ht="15.75">
      <c r="A622" s="139"/>
      <c r="B622" s="139"/>
      <c r="C622" s="680"/>
      <c r="D622" s="139"/>
      <c r="E622" s="680"/>
      <c r="F622" s="139"/>
      <c r="G622" s="139"/>
      <c r="H622" s="680"/>
      <c r="I622" s="680"/>
      <c r="J622" s="139"/>
      <c r="K622" s="139"/>
      <c r="L622" s="139"/>
      <c r="M622" s="139"/>
      <c r="N622" s="139"/>
      <c r="O622" s="139"/>
      <c r="P622" s="139"/>
      <c r="Q622" s="139"/>
      <c r="R622" s="139"/>
      <c r="S622" s="139"/>
      <c r="T622" s="139"/>
      <c r="U622" s="139"/>
      <c r="V622" s="139"/>
      <c r="W622" s="139"/>
      <c r="X622" s="139"/>
      <c r="Y622" s="139"/>
      <c r="Z622" s="139"/>
      <c r="AA622" s="139"/>
    </row>
    <row r="623" spans="1:27" ht="15.75">
      <c r="A623" s="139"/>
      <c r="B623" s="139"/>
      <c r="C623" s="680"/>
      <c r="D623" s="139"/>
      <c r="E623" s="680"/>
      <c r="F623" s="139"/>
      <c r="G623" s="139"/>
      <c r="H623" s="680"/>
      <c r="I623" s="680"/>
      <c r="J623" s="139"/>
      <c r="K623" s="139"/>
      <c r="L623" s="139"/>
      <c r="M623" s="139"/>
      <c r="N623" s="139"/>
      <c r="O623" s="139"/>
      <c r="P623" s="139"/>
      <c r="Q623" s="139"/>
      <c r="R623" s="139"/>
      <c r="S623" s="139"/>
      <c r="T623" s="139"/>
      <c r="U623" s="139"/>
      <c r="V623" s="139"/>
      <c r="W623" s="139"/>
      <c r="X623" s="139"/>
      <c r="Y623" s="139"/>
      <c r="Z623" s="139"/>
      <c r="AA623" s="139"/>
    </row>
    <row r="624" spans="1:27" ht="15.75">
      <c r="A624" s="139"/>
      <c r="B624" s="139"/>
      <c r="C624" s="680"/>
      <c r="D624" s="139"/>
      <c r="E624" s="680"/>
      <c r="F624" s="139"/>
      <c r="G624" s="139"/>
      <c r="H624" s="680"/>
      <c r="I624" s="680"/>
      <c r="J624" s="139"/>
      <c r="K624" s="139"/>
      <c r="L624" s="139"/>
      <c r="M624" s="139"/>
      <c r="N624" s="139"/>
      <c r="O624" s="139"/>
      <c r="P624" s="139"/>
      <c r="Q624" s="139"/>
      <c r="R624" s="139"/>
      <c r="S624" s="139"/>
      <c r="T624" s="139"/>
      <c r="U624" s="139"/>
      <c r="V624" s="139"/>
      <c r="W624" s="139"/>
      <c r="X624" s="139"/>
      <c r="Y624" s="139"/>
      <c r="Z624" s="139"/>
      <c r="AA624" s="139"/>
    </row>
    <row r="625" spans="1:27" ht="15.75">
      <c r="A625" s="139"/>
      <c r="B625" s="139"/>
      <c r="C625" s="680"/>
      <c r="D625" s="139"/>
      <c r="E625" s="680"/>
      <c r="F625" s="139"/>
      <c r="G625" s="139"/>
      <c r="H625" s="680"/>
      <c r="I625" s="680"/>
      <c r="J625" s="139"/>
      <c r="K625" s="139"/>
      <c r="L625" s="139"/>
      <c r="M625" s="139"/>
      <c r="N625" s="139"/>
      <c r="O625" s="139"/>
      <c r="P625" s="139"/>
      <c r="Q625" s="139"/>
      <c r="R625" s="139"/>
      <c r="S625" s="139"/>
      <c r="T625" s="139"/>
      <c r="U625" s="139"/>
      <c r="V625" s="139"/>
      <c r="W625" s="139"/>
      <c r="X625" s="139"/>
      <c r="Y625" s="139"/>
      <c r="Z625" s="139"/>
      <c r="AA625" s="139"/>
    </row>
    <row r="626" spans="1:27" ht="15.75">
      <c r="A626" s="139"/>
      <c r="B626" s="139"/>
      <c r="C626" s="680"/>
      <c r="D626" s="139"/>
      <c r="E626" s="680"/>
      <c r="F626" s="139"/>
      <c r="G626" s="139"/>
      <c r="H626" s="680"/>
      <c r="I626" s="680"/>
      <c r="J626" s="139"/>
      <c r="K626" s="139"/>
      <c r="L626" s="139"/>
      <c r="M626" s="139"/>
      <c r="N626" s="139"/>
      <c r="O626" s="139"/>
      <c r="P626" s="139"/>
      <c r="Q626" s="139"/>
      <c r="R626" s="139"/>
      <c r="S626" s="139"/>
      <c r="T626" s="139"/>
      <c r="U626" s="139"/>
      <c r="V626" s="139"/>
      <c r="W626" s="139"/>
      <c r="X626" s="139"/>
      <c r="Y626" s="139"/>
      <c r="Z626" s="139"/>
      <c r="AA626" s="139"/>
    </row>
    <row r="627" spans="1:27" ht="15.75">
      <c r="A627" s="139"/>
      <c r="B627" s="139"/>
      <c r="C627" s="680"/>
      <c r="D627" s="139"/>
      <c r="E627" s="680"/>
      <c r="F627" s="139"/>
      <c r="G627" s="139"/>
      <c r="H627" s="680"/>
      <c r="I627" s="680"/>
      <c r="J627" s="139"/>
      <c r="K627" s="139"/>
      <c r="L627" s="139"/>
      <c r="M627" s="139"/>
      <c r="N627" s="139"/>
      <c r="O627" s="139"/>
      <c r="P627" s="139"/>
      <c r="Q627" s="139"/>
      <c r="R627" s="139"/>
      <c r="S627" s="139"/>
      <c r="T627" s="139"/>
      <c r="U627" s="139"/>
      <c r="V627" s="139"/>
      <c r="W627" s="139"/>
      <c r="X627" s="139"/>
      <c r="Y627" s="139"/>
      <c r="Z627" s="139"/>
      <c r="AA627" s="139"/>
    </row>
    <row r="628" spans="1:27" ht="15.75">
      <c r="A628" s="139"/>
      <c r="B628" s="139"/>
      <c r="C628" s="680"/>
      <c r="D628" s="139"/>
      <c r="E628" s="680"/>
      <c r="F628" s="139"/>
      <c r="G628" s="139"/>
      <c r="H628" s="680"/>
      <c r="I628" s="680"/>
      <c r="J628" s="139"/>
      <c r="K628" s="139"/>
      <c r="L628" s="139"/>
      <c r="M628" s="139"/>
      <c r="N628" s="139"/>
      <c r="O628" s="139"/>
      <c r="P628" s="139"/>
      <c r="Q628" s="139"/>
      <c r="R628" s="139"/>
      <c r="S628" s="139"/>
      <c r="T628" s="139"/>
      <c r="U628" s="139"/>
      <c r="V628" s="139"/>
      <c r="W628" s="139"/>
      <c r="X628" s="139"/>
      <c r="Y628" s="139"/>
      <c r="Z628" s="139"/>
      <c r="AA628" s="139"/>
    </row>
    <row r="629" spans="1:27" ht="15.75">
      <c r="A629" s="139"/>
      <c r="B629" s="139"/>
      <c r="C629" s="680"/>
      <c r="D629" s="139"/>
      <c r="E629" s="680"/>
      <c r="F629" s="139"/>
      <c r="G629" s="139"/>
      <c r="H629" s="680"/>
      <c r="I629" s="680"/>
      <c r="J629" s="139"/>
      <c r="K629" s="139"/>
      <c r="L629" s="139"/>
      <c r="M629" s="139"/>
      <c r="N629" s="139"/>
      <c r="O629" s="139"/>
      <c r="P629" s="139"/>
      <c r="Q629" s="139"/>
      <c r="R629" s="139"/>
      <c r="S629" s="139"/>
      <c r="T629" s="139"/>
      <c r="U629" s="139"/>
      <c r="V629" s="139"/>
      <c r="W629" s="139"/>
      <c r="X629" s="139"/>
      <c r="Y629" s="139"/>
      <c r="Z629" s="139"/>
      <c r="AA629" s="139"/>
    </row>
    <row r="630" spans="1:27" ht="15.75">
      <c r="A630" s="139"/>
      <c r="B630" s="139"/>
      <c r="C630" s="680"/>
      <c r="D630" s="139"/>
      <c r="E630" s="680"/>
      <c r="F630" s="139"/>
      <c r="G630" s="139"/>
      <c r="H630" s="680"/>
      <c r="I630" s="680"/>
      <c r="J630" s="139"/>
      <c r="K630" s="139"/>
      <c r="L630" s="139"/>
      <c r="M630" s="139"/>
      <c r="N630" s="139"/>
      <c r="O630" s="139"/>
      <c r="P630" s="139"/>
      <c r="Q630" s="139"/>
      <c r="R630" s="139"/>
      <c r="S630" s="139"/>
      <c r="T630" s="139"/>
      <c r="U630" s="139"/>
      <c r="V630" s="139"/>
      <c r="W630" s="139"/>
      <c r="X630" s="139"/>
      <c r="Y630" s="139"/>
      <c r="Z630" s="139"/>
      <c r="AA630" s="139"/>
    </row>
    <row r="631" spans="1:27" ht="15.75">
      <c r="A631" s="139"/>
      <c r="B631" s="139"/>
      <c r="C631" s="680"/>
      <c r="D631" s="139"/>
      <c r="E631" s="680"/>
      <c r="F631" s="139"/>
      <c r="G631" s="139"/>
      <c r="H631" s="680"/>
      <c r="I631" s="680"/>
      <c r="J631" s="139"/>
      <c r="K631" s="139"/>
      <c r="L631" s="139"/>
      <c r="M631" s="139"/>
      <c r="N631" s="139"/>
      <c r="O631" s="139"/>
      <c r="P631" s="139"/>
      <c r="Q631" s="139"/>
      <c r="R631" s="139"/>
      <c r="S631" s="139"/>
      <c r="T631" s="139"/>
      <c r="U631" s="139"/>
      <c r="V631" s="139"/>
      <c r="W631" s="139"/>
      <c r="X631" s="139"/>
      <c r="Y631" s="139"/>
      <c r="Z631" s="139"/>
      <c r="AA631" s="139"/>
    </row>
    <row r="632" spans="1:27" ht="15.75">
      <c r="A632" s="139"/>
      <c r="B632" s="139"/>
      <c r="C632" s="680"/>
      <c r="D632" s="139"/>
      <c r="E632" s="680"/>
      <c r="F632" s="139"/>
      <c r="G632" s="139"/>
      <c r="H632" s="680"/>
      <c r="I632" s="680"/>
      <c r="J632" s="139"/>
      <c r="K632" s="139"/>
      <c r="L632" s="139"/>
      <c r="M632" s="139"/>
      <c r="N632" s="139"/>
      <c r="O632" s="139"/>
      <c r="P632" s="139"/>
      <c r="Q632" s="139"/>
      <c r="R632" s="139"/>
      <c r="S632" s="139"/>
      <c r="T632" s="139"/>
      <c r="U632" s="139"/>
      <c r="V632" s="139"/>
      <c r="W632" s="139"/>
      <c r="X632" s="139"/>
      <c r="Y632" s="139"/>
      <c r="Z632" s="139"/>
      <c r="AA632" s="139"/>
    </row>
    <row r="633" spans="1:27" ht="15.75">
      <c r="A633" s="139"/>
      <c r="B633" s="139"/>
      <c r="C633" s="680"/>
      <c r="D633" s="139"/>
      <c r="E633" s="680"/>
      <c r="F633" s="139"/>
      <c r="G633" s="139"/>
      <c r="H633" s="680"/>
      <c r="I633" s="680"/>
      <c r="J633" s="139"/>
      <c r="K633" s="139"/>
      <c r="L633" s="139"/>
      <c r="M633" s="139"/>
      <c r="N633" s="139"/>
      <c r="O633" s="139"/>
      <c r="P633" s="139"/>
      <c r="Q633" s="139"/>
      <c r="R633" s="139"/>
      <c r="S633" s="139"/>
      <c r="T633" s="139"/>
      <c r="U633" s="139"/>
      <c r="V633" s="139"/>
      <c r="W633" s="139"/>
      <c r="X633" s="139"/>
      <c r="Y633" s="139"/>
      <c r="Z633" s="139"/>
      <c r="AA633" s="139"/>
    </row>
    <row r="634" spans="1:27" ht="15.75">
      <c r="A634" s="139"/>
      <c r="B634" s="139"/>
      <c r="C634" s="680"/>
      <c r="D634" s="139"/>
      <c r="E634" s="680"/>
      <c r="F634" s="139"/>
      <c r="G634" s="139"/>
      <c r="H634" s="680"/>
      <c r="I634" s="680"/>
      <c r="J634" s="139"/>
      <c r="K634" s="139"/>
      <c r="L634" s="139"/>
      <c r="M634" s="139"/>
      <c r="N634" s="139"/>
      <c r="O634" s="139"/>
      <c r="P634" s="139"/>
      <c r="Q634" s="139"/>
      <c r="R634" s="139"/>
      <c r="S634" s="139"/>
      <c r="T634" s="139"/>
      <c r="U634" s="139"/>
      <c r="V634" s="139"/>
      <c r="W634" s="139"/>
      <c r="X634" s="139"/>
      <c r="Y634" s="139"/>
      <c r="Z634" s="139"/>
      <c r="AA634" s="139"/>
    </row>
    <row r="635" spans="1:27" ht="15.75">
      <c r="A635" s="139"/>
      <c r="B635" s="139"/>
      <c r="C635" s="680"/>
      <c r="D635" s="139"/>
      <c r="E635" s="680"/>
      <c r="F635" s="139"/>
      <c r="G635" s="139"/>
      <c r="H635" s="680"/>
      <c r="I635" s="680"/>
      <c r="J635" s="139"/>
      <c r="K635" s="139"/>
      <c r="L635" s="139"/>
      <c r="M635" s="139"/>
      <c r="N635" s="139"/>
      <c r="O635" s="139"/>
      <c r="P635" s="139"/>
      <c r="Q635" s="139"/>
      <c r="R635" s="139"/>
      <c r="S635" s="139"/>
      <c r="T635" s="139"/>
      <c r="U635" s="139"/>
      <c r="V635" s="139"/>
      <c r="W635" s="139"/>
      <c r="X635" s="139"/>
      <c r="Y635" s="139"/>
      <c r="Z635" s="139"/>
      <c r="AA635" s="139"/>
    </row>
    <row r="636" spans="1:27" ht="15.75">
      <c r="A636" s="139"/>
      <c r="B636" s="139"/>
      <c r="C636" s="680"/>
      <c r="D636" s="139"/>
      <c r="E636" s="680"/>
      <c r="F636" s="139"/>
      <c r="G636" s="139"/>
      <c r="H636" s="680"/>
      <c r="I636" s="680"/>
      <c r="J636" s="139"/>
      <c r="K636" s="139"/>
      <c r="L636" s="139"/>
      <c r="M636" s="139"/>
      <c r="N636" s="139"/>
      <c r="O636" s="139"/>
      <c r="P636" s="139"/>
      <c r="Q636" s="139"/>
      <c r="R636" s="139"/>
      <c r="S636" s="139"/>
      <c r="T636" s="139"/>
      <c r="U636" s="139"/>
      <c r="V636" s="139"/>
      <c r="W636" s="139"/>
      <c r="X636" s="139"/>
      <c r="Y636" s="139"/>
      <c r="Z636" s="139"/>
      <c r="AA636" s="139"/>
    </row>
    <row r="637" spans="1:27" ht="15.75">
      <c r="A637" s="139"/>
      <c r="B637" s="139"/>
      <c r="C637" s="680"/>
      <c r="D637" s="139"/>
      <c r="E637" s="680"/>
      <c r="F637" s="139"/>
      <c r="G637" s="139"/>
      <c r="H637" s="680"/>
      <c r="I637" s="680"/>
      <c r="J637" s="139"/>
      <c r="K637" s="139"/>
      <c r="L637" s="139"/>
      <c r="M637" s="139"/>
      <c r="N637" s="139"/>
      <c r="O637" s="139"/>
      <c r="P637" s="139"/>
      <c r="Q637" s="139"/>
      <c r="R637" s="139"/>
      <c r="S637" s="139"/>
      <c r="T637" s="139"/>
      <c r="U637" s="139"/>
      <c r="V637" s="139"/>
      <c r="W637" s="139"/>
      <c r="X637" s="139"/>
      <c r="Y637" s="139"/>
      <c r="Z637" s="139"/>
      <c r="AA637" s="139"/>
    </row>
    <row r="638" spans="1:27" ht="15.75">
      <c r="A638" s="139"/>
      <c r="B638" s="139"/>
      <c r="C638" s="680"/>
      <c r="D638" s="139"/>
      <c r="E638" s="680"/>
      <c r="F638" s="139"/>
      <c r="G638" s="139"/>
      <c r="H638" s="680"/>
      <c r="I638" s="680"/>
      <c r="J638" s="139"/>
      <c r="K638" s="139"/>
      <c r="L638" s="139"/>
      <c r="M638" s="139"/>
      <c r="N638" s="139"/>
      <c r="O638" s="139"/>
      <c r="P638" s="139"/>
      <c r="Q638" s="139"/>
      <c r="R638" s="139"/>
      <c r="S638" s="139"/>
      <c r="T638" s="139"/>
      <c r="U638" s="139"/>
      <c r="V638" s="139"/>
      <c r="W638" s="139"/>
      <c r="X638" s="139"/>
      <c r="Y638" s="139"/>
      <c r="Z638" s="139"/>
      <c r="AA638" s="139"/>
    </row>
    <row r="639" spans="1:27" ht="15.75">
      <c r="A639" s="139"/>
      <c r="B639" s="139"/>
      <c r="C639" s="680"/>
      <c r="D639" s="139"/>
      <c r="E639" s="680"/>
      <c r="F639" s="139"/>
      <c r="G639" s="139"/>
      <c r="H639" s="680"/>
      <c r="I639" s="680"/>
      <c r="J639" s="139"/>
      <c r="K639" s="139"/>
      <c r="L639" s="139"/>
      <c r="M639" s="139"/>
      <c r="N639" s="139"/>
      <c r="O639" s="139"/>
      <c r="P639" s="139"/>
      <c r="Q639" s="139"/>
      <c r="R639" s="139"/>
      <c r="S639" s="139"/>
      <c r="T639" s="139"/>
      <c r="U639" s="139"/>
      <c r="V639" s="139"/>
      <c r="W639" s="139"/>
      <c r="X639" s="139"/>
      <c r="Y639" s="139"/>
      <c r="Z639" s="139"/>
      <c r="AA639" s="139"/>
    </row>
    <row r="640" spans="1:27" ht="15.75">
      <c r="A640" s="139"/>
      <c r="B640" s="139"/>
      <c r="C640" s="680"/>
      <c r="D640" s="139"/>
      <c r="E640" s="680"/>
      <c r="F640" s="139"/>
      <c r="G640" s="139"/>
      <c r="H640" s="680"/>
      <c r="I640" s="680"/>
      <c r="J640" s="139"/>
      <c r="K640" s="139"/>
      <c r="L640" s="139"/>
      <c r="M640" s="139"/>
      <c r="N640" s="139"/>
      <c r="O640" s="139"/>
      <c r="P640" s="139"/>
      <c r="Q640" s="139"/>
      <c r="R640" s="139"/>
      <c r="S640" s="139"/>
      <c r="T640" s="139"/>
      <c r="U640" s="139"/>
      <c r="V640" s="139"/>
      <c r="W640" s="139"/>
      <c r="X640" s="139"/>
      <c r="Y640" s="139"/>
      <c r="Z640" s="139"/>
      <c r="AA640" s="139"/>
    </row>
    <row r="641" spans="1:27" ht="15.75">
      <c r="A641" s="139"/>
      <c r="B641" s="139"/>
      <c r="C641" s="680"/>
      <c r="D641" s="139"/>
      <c r="E641" s="680"/>
      <c r="F641" s="139"/>
      <c r="G641" s="139"/>
      <c r="H641" s="680"/>
      <c r="I641" s="680"/>
      <c r="J641" s="139"/>
      <c r="K641" s="139"/>
      <c r="L641" s="139"/>
      <c r="M641" s="139"/>
      <c r="N641" s="139"/>
      <c r="O641" s="139"/>
      <c r="P641" s="139"/>
      <c r="Q641" s="139"/>
      <c r="R641" s="139"/>
      <c r="S641" s="139"/>
      <c r="T641" s="139"/>
      <c r="U641" s="139"/>
      <c r="V641" s="139"/>
      <c r="W641" s="139"/>
      <c r="X641" s="139"/>
      <c r="Y641" s="139"/>
      <c r="Z641" s="139"/>
      <c r="AA641" s="139"/>
    </row>
    <row r="642" spans="1:27" ht="15.75">
      <c r="A642" s="139"/>
      <c r="B642" s="139"/>
      <c r="C642" s="680"/>
      <c r="D642" s="139"/>
      <c r="E642" s="680"/>
      <c r="F642" s="139"/>
      <c r="G642" s="139"/>
      <c r="H642" s="680"/>
      <c r="I642" s="680"/>
      <c r="J642" s="139"/>
      <c r="K642" s="139"/>
      <c r="L642" s="139"/>
      <c r="M642" s="139"/>
      <c r="N642" s="139"/>
      <c r="O642" s="139"/>
      <c r="P642" s="139"/>
      <c r="Q642" s="139"/>
      <c r="R642" s="139"/>
      <c r="S642" s="139"/>
      <c r="T642" s="139"/>
      <c r="U642" s="139"/>
      <c r="V642" s="139"/>
      <c r="W642" s="139"/>
      <c r="X642" s="139"/>
      <c r="Y642" s="139"/>
      <c r="Z642" s="139"/>
      <c r="AA642" s="139"/>
    </row>
    <row r="643" spans="1:27" ht="15.75">
      <c r="A643" s="139"/>
      <c r="B643" s="139"/>
      <c r="C643" s="680"/>
      <c r="D643" s="139"/>
      <c r="E643" s="680"/>
      <c r="F643" s="139"/>
      <c r="G643" s="139"/>
      <c r="H643" s="680"/>
      <c r="I643" s="680"/>
      <c r="J643" s="139"/>
      <c r="K643" s="139"/>
      <c r="L643" s="139"/>
      <c r="M643" s="139"/>
      <c r="N643" s="139"/>
      <c r="O643" s="139"/>
      <c r="P643" s="139"/>
      <c r="Q643" s="139"/>
      <c r="R643" s="139"/>
      <c r="S643" s="139"/>
      <c r="T643" s="139"/>
      <c r="U643" s="139"/>
      <c r="V643" s="139"/>
      <c r="W643" s="139"/>
      <c r="X643" s="139"/>
      <c r="Y643" s="139"/>
      <c r="Z643" s="139"/>
      <c r="AA643" s="139"/>
    </row>
    <row r="644" spans="1:27" ht="15.75">
      <c r="A644" s="139"/>
      <c r="B644" s="139"/>
      <c r="C644" s="680"/>
      <c r="D644" s="139"/>
      <c r="E644" s="680"/>
      <c r="F644" s="139"/>
      <c r="G644" s="139"/>
      <c r="H644" s="680"/>
      <c r="I644" s="680"/>
      <c r="J644" s="139"/>
      <c r="K644" s="139"/>
      <c r="L644" s="139"/>
      <c r="M644" s="139"/>
      <c r="N644" s="139"/>
      <c r="O644" s="139"/>
      <c r="P644" s="139"/>
      <c r="Q644" s="139"/>
      <c r="R644" s="139"/>
      <c r="S644" s="139"/>
      <c r="T644" s="139"/>
      <c r="U644" s="139"/>
      <c r="V644" s="139"/>
      <c r="W644" s="139"/>
      <c r="X644" s="139"/>
      <c r="Y644" s="139"/>
      <c r="Z644" s="139"/>
      <c r="AA644" s="139"/>
    </row>
    <row r="645" spans="1:27" ht="15.75">
      <c r="A645" s="139"/>
      <c r="B645" s="139"/>
      <c r="C645" s="680"/>
      <c r="D645" s="139"/>
      <c r="E645" s="680"/>
      <c r="F645" s="139"/>
      <c r="G645" s="139"/>
      <c r="H645" s="680"/>
      <c r="I645" s="680"/>
      <c r="J645" s="139"/>
      <c r="K645" s="139"/>
      <c r="L645" s="139"/>
      <c r="M645" s="139"/>
      <c r="N645" s="139"/>
      <c r="O645" s="139"/>
      <c r="P645" s="139"/>
      <c r="Q645" s="139"/>
      <c r="R645" s="139"/>
      <c r="S645" s="139"/>
      <c r="T645" s="139"/>
      <c r="U645" s="139"/>
      <c r="V645" s="139"/>
      <c r="W645" s="139"/>
      <c r="X645" s="139"/>
      <c r="Y645" s="139"/>
      <c r="Z645" s="139"/>
      <c r="AA645" s="139"/>
    </row>
    <row r="646" spans="1:27" ht="15.75">
      <c r="A646" s="139"/>
      <c r="B646" s="139"/>
      <c r="C646" s="680"/>
      <c r="D646" s="139"/>
      <c r="E646" s="680"/>
      <c r="F646" s="139"/>
      <c r="G646" s="139"/>
      <c r="H646" s="680"/>
      <c r="I646" s="680"/>
      <c r="J646" s="139"/>
      <c r="K646" s="139"/>
      <c r="L646" s="139"/>
      <c r="M646" s="139"/>
      <c r="N646" s="139"/>
      <c r="O646" s="139"/>
      <c r="P646" s="139"/>
      <c r="Q646" s="139"/>
      <c r="R646" s="139"/>
      <c r="S646" s="139"/>
      <c r="T646" s="139"/>
      <c r="U646" s="139"/>
      <c r="V646" s="139"/>
      <c r="W646" s="139"/>
      <c r="X646" s="139"/>
      <c r="Y646" s="139"/>
      <c r="Z646" s="139"/>
      <c r="AA646" s="139"/>
    </row>
    <row r="647" spans="1:27" ht="15.75">
      <c r="A647" s="139"/>
      <c r="B647" s="139"/>
      <c r="C647" s="680"/>
      <c r="D647" s="139"/>
      <c r="E647" s="680"/>
      <c r="F647" s="139"/>
      <c r="G647" s="139"/>
      <c r="H647" s="680"/>
      <c r="I647" s="680"/>
      <c r="J647" s="139"/>
      <c r="K647" s="139"/>
      <c r="L647" s="139"/>
      <c r="M647" s="139"/>
      <c r="N647" s="139"/>
      <c r="O647" s="139"/>
      <c r="P647" s="139"/>
      <c r="Q647" s="139"/>
      <c r="R647" s="139"/>
      <c r="S647" s="139"/>
      <c r="T647" s="139"/>
      <c r="U647" s="139"/>
      <c r="V647" s="139"/>
      <c r="W647" s="139"/>
      <c r="X647" s="139"/>
      <c r="Y647" s="139"/>
      <c r="Z647" s="139"/>
      <c r="AA647" s="139"/>
    </row>
    <row r="648" spans="1:27" ht="15.75">
      <c r="A648" s="139"/>
      <c r="B648" s="139"/>
      <c r="C648" s="680"/>
      <c r="D648" s="139"/>
      <c r="E648" s="680"/>
      <c r="F648" s="139"/>
      <c r="G648" s="139"/>
      <c r="H648" s="680"/>
      <c r="I648" s="680"/>
      <c r="J648" s="139"/>
      <c r="K648" s="139"/>
      <c r="L648" s="139"/>
      <c r="M648" s="139"/>
      <c r="N648" s="139"/>
      <c r="O648" s="139"/>
      <c r="P648" s="139"/>
      <c r="Q648" s="139"/>
      <c r="R648" s="139"/>
      <c r="S648" s="139"/>
      <c r="T648" s="139"/>
      <c r="U648" s="139"/>
      <c r="V648" s="139"/>
      <c r="W648" s="139"/>
      <c r="X648" s="139"/>
      <c r="Y648" s="139"/>
      <c r="Z648" s="139"/>
      <c r="AA648" s="139"/>
    </row>
    <row r="649" spans="1:27" ht="15.75">
      <c r="A649" s="139"/>
      <c r="B649" s="139"/>
      <c r="C649" s="680"/>
      <c r="D649" s="139"/>
      <c r="E649" s="680"/>
      <c r="F649" s="139"/>
      <c r="G649" s="139"/>
      <c r="H649" s="680"/>
      <c r="I649" s="680"/>
      <c r="J649" s="139"/>
      <c r="K649" s="139"/>
      <c r="L649" s="139"/>
      <c r="M649" s="139"/>
      <c r="N649" s="139"/>
      <c r="O649" s="139"/>
      <c r="P649" s="139"/>
      <c r="Q649" s="139"/>
      <c r="R649" s="139"/>
      <c r="S649" s="139"/>
      <c r="T649" s="139"/>
      <c r="U649" s="139"/>
      <c r="V649" s="139"/>
      <c r="W649" s="139"/>
      <c r="X649" s="139"/>
      <c r="Y649" s="139"/>
      <c r="Z649" s="139"/>
      <c r="AA649" s="139"/>
    </row>
    <row r="650" spans="1:27" ht="15.75">
      <c r="A650" s="139"/>
      <c r="B650" s="139"/>
      <c r="C650" s="680"/>
      <c r="D650" s="139"/>
      <c r="E650" s="680"/>
      <c r="F650" s="139"/>
      <c r="G650" s="139"/>
      <c r="H650" s="680"/>
      <c r="I650" s="680"/>
      <c r="J650" s="139"/>
      <c r="K650" s="139"/>
      <c r="L650" s="139"/>
      <c r="M650" s="139"/>
      <c r="N650" s="139"/>
      <c r="O650" s="139"/>
      <c r="P650" s="139"/>
      <c r="Q650" s="139"/>
      <c r="R650" s="139"/>
      <c r="S650" s="139"/>
      <c r="T650" s="139"/>
      <c r="U650" s="139"/>
      <c r="V650" s="139"/>
      <c r="W650" s="139"/>
      <c r="X650" s="139"/>
      <c r="Y650" s="139"/>
      <c r="Z650" s="139"/>
      <c r="AA650" s="139"/>
    </row>
    <row r="651" spans="1:27" ht="15.75">
      <c r="A651" s="139"/>
      <c r="B651" s="139"/>
      <c r="C651" s="680"/>
      <c r="D651" s="139"/>
      <c r="E651" s="680"/>
      <c r="F651" s="139"/>
      <c r="G651" s="139"/>
      <c r="H651" s="680"/>
      <c r="I651" s="680"/>
      <c r="J651" s="139"/>
      <c r="K651" s="139"/>
      <c r="L651" s="139"/>
      <c r="M651" s="139"/>
      <c r="N651" s="139"/>
      <c r="O651" s="139"/>
      <c r="P651" s="139"/>
      <c r="Q651" s="139"/>
      <c r="R651" s="139"/>
      <c r="S651" s="139"/>
      <c r="T651" s="139"/>
      <c r="U651" s="139"/>
      <c r="V651" s="139"/>
      <c r="W651" s="139"/>
      <c r="X651" s="139"/>
      <c r="Y651" s="139"/>
      <c r="Z651" s="139"/>
      <c r="AA651" s="139"/>
    </row>
    <row r="652" spans="1:27" ht="15.75">
      <c r="A652" s="139"/>
      <c r="B652" s="139"/>
      <c r="C652" s="680"/>
      <c r="D652" s="139"/>
      <c r="E652" s="680"/>
      <c r="F652" s="139"/>
      <c r="G652" s="139"/>
      <c r="H652" s="680"/>
      <c r="I652" s="680"/>
      <c r="J652" s="139"/>
      <c r="K652" s="139"/>
      <c r="L652" s="139"/>
      <c r="M652" s="139"/>
      <c r="N652" s="139"/>
      <c r="O652" s="139"/>
      <c r="P652" s="139"/>
      <c r="Q652" s="139"/>
      <c r="R652" s="139"/>
      <c r="S652" s="139"/>
      <c r="T652" s="139"/>
      <c r="U652" s="139"/>
      <c r="V652" s="139"/>
      <c r="W652" s="139"/>
      <c r="X652" s="139"/>
      <c r="Y652" s="139"/>
      <c r="Z652" s="139"/>
      <c r="AA652" s="139"/>
    </row>
    <row r="653" spans="1:27" ht="15.75">
      <c r="A653" s="139"/>
      <c r="B653" s="139"/>
      <c r="C653" s="680"/>
      <c r="D653" s="139"/>
      <c r="E653" s="680"/>
      <c r="F653" s="139"/>
      <c r="G653" s="139"/>
      <c r="H653" s="680"/>
      <c r="I653" s="680"/>
      <c r="J653" s="139"/>
      <c r="K653" s="139"/>
      <c r="L653" s="139"/>
      <c r="M653" s="139"/>
      <c r="N653" s="139"/>
      <c r="O653" s="139"/>
      <c r="P653" s="139"/>
      <c r="Q653" s="139"/>
      <c r="R653" s="139"/>
      <c r="S653" s="139"/>
      <c r="T653" s="139"/>
      <c r="U653" s="139"/>
      <c r="V653" s="139"/>
      <c r="W653" s="139"/>
      <c r="X653" s="139"/>
      <c r="Y653" s="139"/>
      <c r="Z653" s="139"/>
      <c r="AA653" s="139"/>
    </row>
    <row r="654" spans="1:27" ht="15.75">
      <c r="A654" s="139"/>
      <c r="B654" s="139"/>
      <c r="C654" s="680"/>
      <c r="D654" s="139"/>
      <c r="E654" s="680"/>
      <c r="F654" s="139"/>
      <c r="G654" s="139"/>
      <c r="H654" s="680"/>
      <c r="I654" s="680"/>
      <c r="J654" s="139"/>
      <c r="K654" s="139"/>
      <c r="L654" s="139"/>
      <c r="M654" s="139"/>
      <c r="N654" s="139"/>
      <c r="O654" s="139"/>
      <c r="P654" s="139"/>
      <c r="Q654" s="139"/>
      <c r="R654" s="139"/>
      <c r="S654" s="139"/>
      <c r="T654" s="139"/>
      <c r="U654" s="139"/>
      <c r="V654" s="139"/>
      <c r="W654" s="139"/>
      <c r="X654" s="139"/>
      <c r="Y654" s="139"/>
      <c r="Z654" s="139"/>
      <c r="AA654" s="139"/>
    </row>
    <row r="655" spans="1:27" ht="15.75">
      <c r="A655" s="139"/>
      <c r="B655" s="139"/>
      <c r="C655" s="680"/>
      <c r="D655" s="139"/>
      <c r="E655" s="680"/>
      <c r="F655" s="139"/>
      <c r="G655" s="139"/>
      <c r="H655" s="680"/>
      <c r="I655" s="680"/>
      <c r="J655" s="139"/>
      <c r="K655" s="139"/>
      <c r="L655" s="139"/>
      <c r="M655" s="139"/>
      <c r="N655" s="139"/>
      <c r="O655" s="139"/>
      <c r="P655" s="139"/>
      <c r="Q655" s="139"/>
      <c r="R655" s="139"/>
      <c r="S655" s="139"/>
      <c r="T655" s="139"/>
      <c r="U655" s="139"/>
      <c r="V655" s="139"/>
      <c r="W655" s="139"/>
      <c r="X655" s="139"/>
      <c r="Y655" s="139"/>
      <c r="Z655" s="139"/>
      <c r="AA655" s="139"/>
    </row>
    <row r="656" spans="1:27" ht="15.75">
      <c r="A656" s="139"/>
      <c r="B656" s="139"/>
      <c r="C656" s="680"/>
      <c r="D656" s="139"/>
      <c r="E656" s="680"/>
      <c r="F656" s="139"/>
      <c r="G656" s="139"/>
      <c r="H656" s="680"/>
      <c r="I656" s="680"/>
      <c r="J656" s="139"/>
      <c r="K656" s="139"/>
      <c r="L656" s="139"/>
      <c r="M656" s="139"/>
      <c r="N656" s="139"/>
      <c r="O656" s="139"/>
      <c r="P656" s="139"/>
      <c r="Q656" s="139"/>
      <c r="R656" s="139"/>
      <c r="S656" s="139"/>
      <c r="T656" s="139"/>
      <c r="U656" s="139"/>
      <c r="V656" s="139"/>
      <c r="W656" s="139"/>
      <c r="X656" s="139"/>
      <c r="Y656" s="139"/>
      <c r="Z656" s="139"/>
      <c r="AA656" s="139"/>
    </row>
    <row r="657" spans="1:27" ht="15.75">
      <c r="A657" s="139"/>
      <c r="B657" s="139"/>
      <c r="C657" s="680"/>
      <c r="D657" s="139"/>
      <c r="E657" s="680"/>
      <c r="F657" s="139"/>
      <c r="G657" s="139"/>
      <c r="H657" s="680"/>
      <c r="I657" s="680"/>
      <c r="J657" s="139"/>
      <c r="K657" s="139"/>
      <c r="L657" s="139"/>
      <c r="M657" s="139"/>
      <c r="N657" s="139"/>
      <c r="O657" s="139"/>
      <c r="P657" s="139"/>
      <c r="Q657" s="139"/>
      <c r="R657" s="139"/>
      <c r="S657" s="139"/>
      <c r="T657" s="139"/>
      <c r="U657" s="139"/>
      <c r="V657" s="139"/>
      <c r="W657" s="139"/>
      <c r="X657" s="139"/>
      <c r="Y657" s="139"/>
      <c r="Z657" s="139"/>
      <c r="AA657" s="139"/>
    </row>
    <row r="658" spans="1:27" ht="15.75">
      <c r="A658" s="139"/>
      <c r="B658" s="139"/>
      <c r="C658" s="680"/>
      <c r="D658" s="139"/>
      <c r="E658" s="680"/>
      <c r="F658" s="139"/>
      <c r="G658" s="139"/>
      <c r="H658" s="680"/>
      <c r="I658" s="680"/>
      <c r="J658" s="139"/>
      <c r="K658" s="139"/>
      <c r="L658" s="139"/>
      <c r="M658" s="139"/>
      <c r="N658" s="139"/>
      <c r="O658" s="139"/>
      <c r="P658" s="139"/>
      <c r="Q658" s="139"/>
      <c r="R658" s="139"/>
      <c r="S658" s="139"/>
      <c r="T658" s="139"/>
      <c r="U658" s="139"/>
      <c r="V658" s="139"/>
      <c r="W658" s="139"/>
      <c r="X658" s="139"/>
      <c r="Y658" s="139"/>
      <c r="Z658" s="139"/>
      <c r="AA658" s="139"/>
    </row>
    <row r="659" spans="1:27" ht="15.75">
      <c r="A659" s="139"/>
      <c r="B659" s="139"/>
      <c r="C659" s="680"/>
      <c r="D659" s="139"/>
      <c r="E659" s="680"/>
      <c r="F659" s="139"/>
      <c r="G659" s="139"/>
      <c r="H659" s="680"/>
      <c r="I659" s="680"/>
      <c r="J659" s="139"/>
      <c r="K659" s="139"/>
      <c r="L659" s="139"/>
      <c r="M659" s="139"/>
      <c r="N659" s="139"/>
      <c r="O659" s="139"/>
      <c r="P659" s="139"/>
      <c r="Q659" s="139"/>
      <c r="R659" s="139"/>
      <c r="S659" s="139"/>
      <c r="T659" s="139"/>
      <c r="U659" s="139"/>
      <c r="V659" s="139"/>
      <c r="W659" s="139"/>
      <c r="X659" s="139"/>
      <c r="Y659" s="139"/>
      <c r="Z659" s="139"/>
      <c r="AA659" s="139"/>
    </row>
    <row r="660" spans="1:27" ht="15.75">
      <c r="A660" s="139"/>
      <c r="B660" s="139"/>
      <c r="C660" s="680"/>
      <c r="D660" s="139"/>
      <c r="E660" s="680"/>
      <c r="F660" s="139"/>
      <c r="G660" s="139"/>
      <c r="H660" s="680"/>
      <c r="I660" s="680"/>
      <c r="J660" s="139"/>
      <c r="K660" s="139"/>
      <c r="L660" s="139"/>
      <c r="M660" s="139"/>
      <c r="N660" s="139"/>
      <c r="O660" s="139"/>
      <c r="P660" s="139"/>
      <c r="Q660" s="139"/>
      <c r="R660" s="139"/>
      <c r="S660" s="139"/>
      <c r="T660" s="139"/>
      <c r="U660" s="139"/>
      <c r="V660" s="139"/>
      <c r="W660" s="139"/>
      <c r="X660" s="139"/>
      <c r="Y660" s="139"/>
      <c r="Z660" s="139"/>
      <c r="AA660" s="139"/>
    </row>
    <row r="661" spans="1:27" ht="15.75">
      <c r="A661" s="139"/>
      <c r="B661" s="139"/>
      <c r="C661" s="680"/>
      <c r="D661" s="139"/>
      <c r="E661" s="680"/>
      <c r="F661" s="139"/>
      <c r="G661" s="139"/>
      <c r="H661" s="680"/>
      <c r="I661" s="680"/>
      <c r="J661" s="139"/>
      <c r="K661" s="139"/>
      <c r="L661" s="139"/>
      <c r="M661" s="139"/>
      <c r="N661" s="139"/>
      <c r="O661" s="139"/>
      <c r="P661" s="139"/>
      <c r="Q661" s="139"/>
      <c r="R661" s="139"/>
      <c r="S661" s="139"/>
      <c r="T661" s="139"/>
      <c r="U661" s="139"/>
      <c r="V661" s="139"/>
      <c r="W661" s="139"/>
      <c r="X661" s="139"/>
      <c r="Y661" s="139"/>
      <c r="Z661" s="139"/>
      <c r="AA661" s="139"/>
    </row>
    <row r="662" spans="1:27" ht="15.75">
      <c r="A662" s="139"/>
      <c r="B662" s="139"/>
      <c r="C662" s="680"/>
      <c r="D662" s="139"/>
      <c r="E662" s="680"/>
      <c r="F662" s="139"/>
      <c r="G662" s="139"/>
      <c r="H662" s="680"/>
      <c r="I662" s="680"/>
      <c r="J662" s="139"/>
      <c r="K662" s="139"/>
      <c r="L662" s="139"/>
      <c r="M662" s="139"/>
      <c r="N662" s="139"/>
      <c r="O662" s="139"/>
      <c r="P662" s="139"/>
      <c r="Q662" s="139"/>
      <c r="R662" s="139"/>
      <c r="S662" s="139"/>
      <c r="T662" s="139"/>
      <c r="U662" s="139"/>
      <c r="V662" s="139"/>
      <c r="W662" s="139"/>
      <c r="X662" s="139"/>
      <c r="Y662" s="139"/>
      <c r="Z662" s="139"/>
      <c r="AA662" s="139"/>
    </row>
    <row r="663" spans="1:27" ht="15.75">
      <c r="A663" s="139"/>
      <c r="B663" s="139"/>
      <c r="C663" s="680"/>
      <c r="D663" s="139"/>
      <c r="E663" s="680"/>
      <c r="F663" s="139"/>
      <c r="G663" s="139"/>
      <c r="H663" s="680"/>
      <c r="I663" s="680"/>
      <c r="J663" s="139"/>
      <c r="K663" s="139"/>
      <c r="L663" s="139"/>
      <c r="M663" s="139"/>
      <c r="N663" s="139"/>
      <c r="O663" s="139"/>
      <c r="P663" s="139"/>
      <c r="Q663" s="139"/>
      <c r="R663" s="139"/>
      <c r="S663" s="139"/>
      <c r="T663" s="139"/>
      <c r="U663" s="139"/>
      <c r="V663" s="139"/>
      <c r="W663" s="139"/>
      <c r="X663" s="139"/>
      <c r="Y663" s="139"/>
      <c r="Z663" s="139"/>
      <c r="AA663" s="139"/>
    </row>
    <row r="664" spans="1:27" ht="15.75">
      <c r="A664" s="139"/>
      <c r="B664" s="139"/>
      <c r="C664" s="680"/>
      <c r="D664" s="139"/>
      <c r="E664" s="680"/>
      <c r="F664" s="139"/>
      <c r="G664" s="139"/>
      <c r="H664" s="680"/>
      <c r="I664" s="680"/>
      <c r="J664" s="139"/>
      <c r="K664" s="139"/>
      <c r="L664" s="139"/>
      <c r="M664" s="139"/>
      <c r="N664" s="139"/>
      <c r="O664" s="139"/>
      <c r="P664" s="139"/>
      <c r="Q664" s="139"/>
      <c r="R664" s="139"/>
      <c r="S664" s="139"/>
      <c r="T664" s="139"/>
      <c r="U664" s="139"/>
      <c r="V664" s="139"/>
      <c r="W664" s="139"/>
      <c r="X664" s="139"/>
      <c r="Y664" s="139"/>
      <c r="Z664" s="139"/>
      <c r="AA664" s="139"/>
    </row>
    <row r="665" spans="1:27" ht="15.75">
      <c r="A665" s="139"/>
      <c r="B665" s="139"/>
      <c r="C665" s="680"/>
      <c r="D665" s="139"/>
      <c r="E665" s="680"/>
      <c r="F665" s="139"/>
      <c r="G665" s="139"/>
      <c r="H665" s="680"/>
      <c r="I665" s="680"/>
      <c r="J665" s="139"/>
      <c r="K665" s="139"/>
      <c r="L665" s="139"/>
      <c r="M665" s="139"/>
      <c r="N665" s="139"/>
      <c r="O665" s="139"/>
      <c r="P665" s="139"/>
      <c r="Q665" s="139"/>
      <c r="R665" s="139"/>
      <c r="S665" s="139"/>
      <c r="T665" s="139"/>
      <c r="U665" s="139"/>
      <c r="V665" s="139"/>
      <c r="W665" s="139"/>
      <c r="X665" s="139"/>
      <c r="Y665" s="139"/>
      <c r="Z665" s="139"/>
      <c r="AA665" s="139"/>
    </row>
    <row r="666" spans="1:27" ht="15.75">
      <c r="A666" s="139"/>
      <c r="B666" s="139"/>
      <c r="C666" s="680"/>
      <c r="D666" s="139"/>
      <c r="E666" s="680"/>
      <c r="F666" s="139"/>
      <c r="G666" s="139"/>
      <c r="H666" s="680"/>
      <c r="I666" s="680"/>
      <c r="J666" s="139"/>
      <c r="K666" s="139"/>
      <c r="L666" s="139"/>
      <c r="M666" s="139"/>
      <c r="N666" s="139"/>
      <c r="O666" s="139"/>
      <c r="P666" s="139"/>
      <c r="Q666" s="139"/>
      <c r="R666" s="139"/>
      <c r="S666" s="139"/>
      <c r="T666" s="139"/>
      <c r="U666" s="139"/>
      <c r="V666" s="139"/>
      <c r="W666" s="139"/>
      <c r="X666" s="139"/>
      <c r="Y666" s="139"/>
      <c r="Z666" s="139"/>
      <c r="AA666" s="139"/>
    </row>
    <row r="667" spans="1:27" ht="15.75">
      <c r="A667" s="139"/>
      <c r="B667" s="139"/>
      <c r="C667" s="680"/>
      <c r="D667" s="139"/>
      <c r="E667" s="680"/>
      <c r="F667" s="139"/>
      <c r="G667" s="139"/>
      <c r="H667" s="680"/>
      <c r="I667" s="680"/>
      <c r="J667" s="139"/>
      <c r="K667" s="139"/>
      <c r="L667" s="139"/>
      <c r="M667" s="139"/>
      <c r="N667" s="139"/>
      <c r="O667" s="139"/>
      <c r="P667" s="139"/>
      <c r="Q667" s="139"/>
      <c r="R667" s="139"/>
      <c r="S667" s="139"/>
      <c r="T667" s="139"/>
      <c r="U667" s="139"/>
      <c r="V667" s="139"/>
      <c r="W667" s="139"/>
      <c r="X667" s="139"/>
      <c r="Y667" s="139"/>
      <c r="Z667" s="139"/>
      <c r="AA667" s="139"/>
    </row>
    <row r="668" spans="1:27" ht="15.75">
      <c r="A668" s="139"/>
      <c r="B668" s="139"/>
      <c r="C668" s="680"/>
      <c r="D668" s="139"/>
      <c r="E668" s="680"/>
      <c r="F668" s="139"/>
      <c r="G668" s="139"/>
      <c r="H668" s="680"/>
      <c r="I668" s="680"/>
      <c r="J668" s="139"/>
      <c r="K668" s="139"/>
      <c r="L668" s="139"/>
      <c r="M668" s="139"/>
      <c r="N668" s="139"/>
      <c r="O668" s="139"/>
      <c r="P668" s="139"/>
      <c r="Q668" s="139"/>
      <c r="R668" s="139"/>
      <c r="S668" s="139"/>
      <c r="T668" s="139"/>
      <c r="U668" s="139"/>
      <c r="V668" s="139"/>
      <c r="W668" s="139"/>
      <c r="X668" s="139"/>
      <c r="Y668" s="139"/>
      <c r="Z668" s="139"/>
      <c r="AA668" s="139"/>
    </row>
    <row r="669" spans="1:27" ht="15.75">
      <c r="A669" s="139"/>
      <c r="B669" s="139"/>
      <c r="C669" s="680"/>
      <c r="D669" s="139"/>
      <c r="E669" s="680"/>
      <c r="F669" s="139"/>
      <c r="G669" s="139"/>
      <c r="H669" s="680"/>
      <c r="I669" s="680"/>
      <c r="J669" s="139"/>
      <c r="K669" s="139"/>
      <c r="L669" s="139"/>
      <c r="M669" s="139"/>
      <c r="N669" s="139"/>
      <c r="O669" s="139"/>
      <c r="P669" s="139"/>
      <c r="Q669" s="139"/>
      <c r="R669" s="139"/>
      <c r="S669" s="139"/>
      <c r="T669" s="139"/>
      <c r="U669" s="139"/>
      <c r="V669" s="139"/>
      <c r="W669" s="139"/>
      <c r="X669" s="139"/>
      <c r="Y669" s="139"/>
      <c r="Z669" s="139"/>
      <c r="AA669" s="139"/>
    </row>
    <row r="670" spans="1:27" ht="15.75">
      <c r="A670" s="139"/>
      <c r="B670" s="139"/>
      <c r="C670" s="680"/>
      <c r="D670" s="139"/>
      <c r="E670" s="680"/>
      <c r="F670" s="139"/>
      <c r="G670" s="139"/>
      <c r="H670" s="680"/>
      <c r="I670" s="680"/>
      <c r="J670" s="139"/>
      <c r="K670" s="139"/>
      <c r="L670" s="139"/>
      <c r="M670" s="139"/>
      <c r="N670" s="139"/>
      <c r="O670" s="139"/>
      <c r="P670" s="139"/>
      <c r="Q670" s="139"/>
      <c r="R670" s="139"/>
      <c r="S670" s="139"/>
      <c r="T670" s="139"/>
      <c r="U670" s="139"/>
      <c r="V670" s="139"/>
      <c r="W670" s="139"/>
      <c r="X670" s="139"/>
      <c r="Y670" s="139"/>
      <c r="Z670" s="139"/>
      <c r="AA670" s="139"/>
    </row>
    <row r="671" spans="1:27" ht="15.75">
      <c r="A671" s="139"/>
      <c r="B671" s="139"/>
      <c r="C671" s="680"/>
      <c r="D671" s="139"/>
      <c r="E671" s="680"/>
      <c r="F671" s="139"/>
      <c r="G671" s="139"/>
      <c r="H671" s="680"/>
      <c r="I671" s="680"/>
      <c r="J671" s="139"/>
      <c r="K671" s="139"/>
      <c r="L671" s="139"/>
      <c r="M671" s="139"/>
      <c r="N671" s="139"/>
      <c r="O671" s="139"/>
      <c r="P671" s="139"/>
      <c r="Q671" s="139"/>
      <c r="R671" s="139"/>
      <c r="S671" s="139"/>
      <c r="T671" s="139"/>
      <c r="U671" s="139"/>
      <c r="V671" s="139"/>
      <c r="W671" s="139"/>
      <c r="X671" s="139"/>
      <c r="Y671" s="139"/>
      <c r="Z671" s="139"/>
      <c r="AA671" s="139"/>
    </row>
    <row r="672" spans="1:27" ht="15.75">
      <c r="A672" s="139"/>
      <c r="B672" s="139"/>
      <c r="C672" s="680"/>
      <c r="D672" s="139"/>
      <c r="E672" s="680"/>
      <c r="F672" s="139"/>
      <c r="G672" s="139"/>
      <c r="H672" s="680"/>
      <c r="I672" s="680"/>
      <c r="J672" s="139"/>
      <c r="K672" s="139"/>
      <c r="L672" s="139"/>
      <c r="M672" s="139"/>
      <c r="N672" s="139"/>
      <c r="O672" s="139"/>
      <c r="P672" s="139"/>
      <c r="Q672" s="139"/>
      <c r="R672" s="139"/>
      <c r="S672" s="139"/>
      <c r="T672" s="139"/>
      <c r="U672" s="139"/>
      <c r="V672" s="139"/>
      <c r="W672" s="139"/>
      <c r="X672" s="139"/>
      <c r="Y672" s="139"/>
      <c r="Z672" s="139"/>
      <c r="AA672" s="139"/>
    </row>
    <row r="673" spans="1:27" ht="15.75">
      <c r="A673" s="139"/>
      <c r="B673" s="139"/>
      <c r="C673" s="680"/>
      <c r="D673" s="139"/>
      <c r="E673" s="680"/>
      <c r="F673" s="139"/>
      <c r="G673" s="139"/>
      <c r="H673" s="680"/>
      <c r="I673" s="680"/>
      <c r="J673" s="139"/>
      <c r="K673" s="139"/>
      <c r="L673" s="139"/>
      <c r="M673" s="139"/>
      <c r="N673" s="139"/>
      <c r="O673" s="139"/>
      <c r="P673" s="139"/>
      <c r="Q673" s="139"/>
      <c r="R673" s="139"/>
      <c r="S673" s="139"/>
      <c r="T673" s="139"/>
      <c r="U673" s="139"/>
      <c r="V673" s="139"/>
      <c r="W673" s="139"/>
      <c r="X673" s="139"/>
      <c r="Y673" s="139"/>
      <c r="Z673" s="139"/>
      <c r="AA673" s="139"/>
    </row>
    <row r="674" spans="1:27" ht="15.75">
      <c r="A674" s="139"/>
      <c r="B674" s="139"/>
      <c r="C674" s="680"/>
      <c r="D674" s="139"/>
      <c r="E674" s="680"/>
      <c r="F674" s="139"/>
      <c r="G674" s="139"/>
      <c r="H674" s="680"/>
      <c r="I674" s="680"/>
      <c r="J674" s="139"/>
      <c r="K674" s="139"/>
      <c r="L674" s="139"/>
      <c r="M674" s="139"/>
      <c r="N674" s="139"/>
      <c r="O674" s="139"/>
      <c r="P674" s="139"/>
      <c r="Q674" s="139"/>
      <c r="R674" s="139"/>
      <c r="S674" s="139"/>
      <c r="T674" s="139"/>
      <c r="U674" s="139"/>
      <c r="V674" s="139"/>
      <c r="W674" s="139"/>
      <c r="X674" s="139"/>
      <c r="Y674" s="139"/>
      <c r="Z674" s="139"/>
      <c r="AA674" s="139"/>
    </row>
    <row r="675" spans="1:27" ht="15.75">
      <c r="A675" s="139"/>
      <c r="B675" s="139"/>
      <c r="C675" s="680"/>
      <c r="D675" s="139"/>
      <c r="E675" s="680"/>
      <c r="F675" s="139"/>
      <c r="G675" s="139"/>
      <c r="H675" s="680"/>
      <c r="I675" s="680"/>
      <c r="J675" s="139"/>
      <c r="K675" s="139"/>
      <c r="L675" s="139"/>
      <c r="M675" s="139"/>
      <c r="N675" s="139"/>
      <c r="O675" s="139"/>
      <c r="P675" s="139"/>
      <c r="Q675" s="139"/>
      <c r="R675" s="139"/>
      <c r="S675" s="139"/>
      <c r="T675" s="139"/>
      <c r="U675" s="139"/>
      <c r="V675" s="139"/>
      <c r="W675" s="139"/>
      <c r="X675" s="139"/>
      <c r="Y675" s="139"/>
      <c r="Z675" s="139"/>
      <c r="AA675" s="139"/>
    </row>
    <row r="676" spans="1:27" ht="15.75">
      <c r="A676" s="139"/>
      <c r="B676" s="139"/>
      <c r="C676" s="680"/>
      <c r="D676" s="139"/>
      <c r="E676" s="680"/>
      <c r="F676" s="139"/>
      <c r="G676" s="139"/>
      <c r="H676" s="680"/>
      <c r="I676" s="680"/>
      <c r="J676" s="139"/>
      <c r="K676" s="139"/>
      <c r="L676" s="139"/>
      <c r="M676" s="139"/>
      <c r="N676" s="139"/>
      <c r="O676" s="139"/>
      <c r="P676" s="139"/>
      <c r="Q676" s="139"/>
      <c r="R676" s="139"/>
      <c r="S676" s="139"/>
      <c r="T676" s="139"/>
      <c r="U676" s="139"/>
      <c r="V676" s="139"/>
      <c r="W676" s="139"/>
      <c r="X676" s="139"/>
      <c r="Y676" s="139"/>
      <c r="Z676" s="139"/>
      <c r="AA676" s="139"/>
    </row>
    <row r="677" spans="1:27" ht="15.75">
      <c r="A677" s="139"/>
      <c r="B677" s="139"/>
      <c r="C677" s="680"/>
      <c r="D677" s="139"/>
      <c r="E677" s="680"/>
      <c r="F677" s="139"/>
      <c r="G677" s="139"/>
      <c r="H677" s="680"/>
      <c r="I677" s="680"/>
      <c r="J677" s="139"/>
      <c r="K677" s="139"/>
      <c r="L677" s="139"/>
      <c r="M677" s="139"/>
      <c r="N677" s="139"/>
      <c r="O677" s="139"/>
      <c r="P677" s="139"/>
      <c r="Q677" s="139"/>
      <c r="R677" s="139"/>
      <c r="S677" s="139"/>
      <c r="T677" s="139"/>
      <c r="U677" s="139"/>
      <c r="V677" s="139"/>
      <c r="W677" s="139"/>
      <c r="X677" s="139"/>
      <c r="Y677" s="139"/>
      <c r="Z677" s="139"/>
      <c r="AA677" s="139"/>
    </row>
    <row r="678" spans="1:27" ht="15.75">
      <c r="A678" s="139"/>
      <c r="B678" s="139"/>
      <c r="C678" s="680"/>
      <c r="D678" s="139"/>
      <c r="E678" s="680"/>
      <c r="F678" s="139"/>
      <c r="G678" s="139"/>
      <c r="H678" s="680"/>
      <c r="I678" s="680"/>
      <c r="J678" s="139"/>
      <c r="K678" s="139"/>
      <c r="L678" s="139"/>
      <c r="M678" s="139"/>
      <c r="N678" s="139"/>
      <c r="O678" s="139"/>
      <c r="P678" s="139"/>
      <c r="Q678" s="139"/>
      <c r="R678" s="139"/>
      <c r="S678" s="139"/>
      <c r="T678" s="139"/>
      <c r="U678" s="139"/>
      <c r="V678" s="139"/>
      <c r="W678" s="139"/>
      <c r="X678" s="139"/>
      <c r="Y678" s="139"/>
      <c r="Z678" s="139"/>
      <c r="AA678" s="139"/>
    </row>
    <row r="679" spans="1:27" ht="15.75">
      <c r="A679" s="139"/>
      <c r="B679" s="139"/>
      <c r="C679" s="680"/>
      <c r="D679" s="139"/>
      <c r="E679" s="680"/>
      <c r="F679" s="139"/>
      <c r="G679" s="139"/>
      <c r="H679" s="680"/>
      <c r="I679" s="680"/>
      <c r="J679" s="139"/>
      <c r="K679" s="139"/>
      <c r="L679" s="139"/>
      <c r="M679" s="139"/>
      <c r="N679" s="139"/>
      <c r="O679" s="139"/>
      <c r="P679" s="139"/>
      <c r="Q679" s="139"/>
      <c r="R679" s="139"/>
      <c r="S679" s="139"/>
      <c r="T679" s="139"/>
      <c r="U679" s="139"/>
      <c r="V679" s="139"/>
      <c r="W679" s="139"/>
      <c r="X679" s="139"/>
      <c r="Y679" s="139"/>
      <c r="Z679" s="139"/>
      <c r="AA679" s="139"/>
    </row>
    <row r="680" spans="1:27" ht="15.75">
      <c r="A680" s="139"/>
      <c r="B680" s="139"/>
      <c r="C680" s="680"/>
      <c r="D680" s="139"/>
      <c r="E680" s="680"/>
      <c r="F680" s="139"/>
      <c r="G680" s="139"/>
      <c r="H680" s="680"/>
      <c r="I680" s="680"/>
      <c r="J680" s="139"/>
      <c r="K680" s="139"/>
      <c r="L680" s="139"/>
      <c r="M680" s="139"/>
      <c r="N680" s="139"/>
      <c r="O680" s="139"/>
      <c r="P680" s="139"/>
      <c r="Q680" s="139"/>
      <c r="R680" s="139"/>
      <c r="S680" s="139"/>
      <c r="T680" s="139"/>
      <c r="U680" s="139"/>
      <c r="V680" s="139"/>
      <c r="W680" s="139"/>
      <c r="X680" s="139"/>
      <c r="Y680" s="139"/>
      <c r="Z680" s="139"/>
      <c r="AA680" s="139"/>
    </row>
    <row r="681" spans="1:27" ht="15.75">
      <c r="A681" s="139"/>
      <c r="B681" s="139"/>
      <c r="C681" s="680"/>
      <c r="D681" s="139"/>
      <c r="E681" s="680"/>
      <c r="F681" s="139"/>
      <c r="G681" s="139"/>
      <c r="H681" s="680"/>
      <c r="I681" s="680"/>
      <c r="J681" s="139"/>
      <c r="K681" s="139"/>
      <c r="L681" s="139"/>
      <c r="M681" s="139"/>
      <c r="N681" s="139"/>
      <c r="O681" s="139"/>
      <c r="P681" s="139"/>
      <c r="Q681" s="139"/>
      <c r="R681" s="139"/>
      <c r="S681" s="139"/>
      <c r="T681" s="139"/>
      <c r="U681" s="139"/>
      <c r="V681" s="139"/>
      <c r="W681" s="139"/>
      <c r="X681" s="139"/>
      <c r="Y681" s="139"/>
      <c r="Z681" s="139"/>
      <c r="AA681" s="139"/>
    </row>
    <row r="682" spans="1:27" ht="15.75">
      <c r="A682" s="139"/>
      <c r="B682" s="139"/>
      <c r="C682" s="680"/>
      <c r="D682" s="139"/>
      <c r="E682" s="680"/>
      <c r="F682" s="139"/>
      <c r="G682" s="139"/>
      <c r="H682" s="680"/>
      <c r="I682" s="680"/>
      <c r="J682" s="139"/>
      <c r="K682" s="139"/>
      <c r="L682" s="139"/>
      <c r="M682" s="139"/>
      <c r="N682" s="139"/>
      <c r="O682" s="139"/>
      <c r="P682" s="139"/>
      <c r="Q682" s="139"/>
      <c r="R682" s="139"/>
      <c r="S682" s="139"/>
      <c r="T682" s="139"/>
      <c r="U682" s="139"/>
      <c r="V682" s="139"/>
      <c r="W682" s="139"/>
      <c r="X682" s="139"/>
      <c r="Y682" s="139"/>
      <c r="Z682" s="139"/>
      <c r="AA682" s="139"/>
    </row>
    <row r="683" spans="1:27" ht="15.75">
      <c r="A683" s="139"/>
      <c r="B683" s="139"/>
      <c r="C683" s="680"/>
      <c r="D683" s="139"/>
      <c r="E683" s="680"/>
      <c r="F683" s="139"/>
      <c r="G683" s="139"/>
      <c r="H683" s="680"/>
      <c r="I683" s="680"/>
      <c r="J683" s="139"/>
      <c r="K683" s="139"/>
      <c r="L683" s="139"/>
      <c r="M683" s="139"/>
      <c r="N683" s="139"/>
      <c r="O683" s="139"/>
      <c r="P683" s="139"/>
      <c r="Q683" s="139"/>
      <c r="R683" s="139"/>
      <c r="S683" s="139"/>
      <c r="T683" s="139"/>
      <c r="U683" s="139"/>
      <c r="V683" s="139"/>
      <c r="W683" s="139"/>
      <c r="X683" s="139"/>
      <c r="Y683" s="139"/>
      <c r="Z683" s="139"/>
      <c r="AA683" s="139"/>
    </row>
    <row r="684" spans="1:27" ht="15.75">
      <c r="A684" s="139"/>
      <c r="B684" s="139"/>
      <c r="C684" s="680"/>
      <c r="D684" s="139"/>
      <c r="E684" s="680"/>
      <c r="F684" s="139"/>
      <c r="G684" s="139"/>
      <c r="H684" s="680"/>
      <c r="I684" s="680"/>
      <c r="J684" s="139"/>
      <c r="K684" s="139"/>
      <c r="L684" s="139"/>
      <c r="M684" s="139"/>
      <c r="N684" s="139"/>
      <c r="O684" s="139"/>
      <c r="P684" s="139"/>
      <c r="Q684" s="139"/>
      <c r="R684" s="139"/>
      <c r="S684" s="139"/>
      <c r="T684" s="139"/>
      <c r="U684" s="139"/>
      <c r="V684" s="139"/>
      <c r="W684" s="139"/>
      <c r="X684" s="139"/>
      <c r="Y684" s="139"/>
      <c r="Z684" s="139"/>
      <c r="AA684" s="139"/>
    </row>
    <row r="685" spans="1:27" ht="15.75">
      <c r="A685" s="139"/>
      <c r="B685" s="139"/>
      <c r="C685" s="680"/>
      <c r="D685" s="139"/>
      <c r="E685" s="680"/>
      <c r="F685" s="139"/>
      <c r="G685" s="139"/>
      <c r="H685" s="680"/>
      <c r="I685" s="680"/>
      <c r="J685" s="139"/>
      <c r="K685" s="139"/>
      <c r="L685" s="139"/>
      <c r="M685" s="139"/>
      <c r="N685" s="139"/>
      <c r="O685" s="139"/>
      <c r="P685" s="139"/>
      <c r="Q685" s="139"/>
      <c r="R685" s="139"/>
      <c r="S685" s="139"/>
      <c r="T685" s="139"/>
      <c r="U685" s="139"/>
      <c r="V685" s="139"/>
      <c r="W685" s="139"/>
      <c r="X685" s="139"/>
      <c r="Y685" s="139"/>
      <c r="Z685" s="139"/>
      <c r="AA685" s="139"/>
    </row>
    <row r="686" spans="1:27" ht="15.75">
      <c r="A686" s="139"/>
      <c r="B686" s="139"/>
      <c r="C686" s="680"/>
      <c r="D686" s="139"/>
      <c r="E686" s="680"/>
      <c r="F686" s="139"/>
      <c r="G686" s="139"/>
      <c r="H686" s="680"/>
      <c r="I686" s="680"/>
      <c r="J686" s="139"/>
      <c r="K686" s="139"/>
      <c r="L686" s="139"/>
      <c r="M686" s="139"/>
      <c r="N686" s="139"/>
      <c r="O686" s="139"/>
      <c r="P686" s="139"/>
      <c r="Q686" s="139"/>
      <c r="R686" s="139"/>
      <c r="S686" s="139"/>
      <c r="T686" s="139"/>
      <c r="U686" s="139"/>
      <c r="V686" s="139"/>
      <c r="W686" s="139"/>
      <c r="X686" s="139"/>
      <c r="Y686" s="139"/>
      <c r="Z686" s="139"/>
      <c r="AA686" s="139"/>
    </row>
    <row r="687" spans="1:27" ht="15.75">
      <c r="A687" s="139"/>
      <c r="B687" s="139"/>
      <c r="C687" s="680"/>
      <c r="D687" s="139"/>
      <c r="E687" s="680"/>
      <c r="F687" s="139"/>
      <c r="G687" s="139"/>
      <c r="H687" s="680"/>
      <c r="I687" s="680"/>
      <c r="J687" s="139"/>
      <c r="K687" s="139"/>
      <c r="L687" s="139"/>
      <c r="M687" s="139"/>
      <c r="N687" s="139"/>
      <c r="O687" s="139"/>
      <c r="P687" s="139"/>
      <c r="Q687" s="139"/>
      <c r="R687" s="139"/>
      <c r="S687" s="139"/>
      <c r="T687" s="139"/>
      <c r="U687" s="139"/>
      <c r="V687" s="139"/>
      <c r="W687" s="139"/>
      <c r="X687" s="139"/>
      <c r="Y687" s="139"/>
      <c r="Z687" s="139"/>
      <c r="AA687" s="139"/>
    </row>
    <row r="688" spans="1:27" ht="15.75">
      <c r="A688" s="139"/>
      <c r="B688" s="139"/>
      <c r="C688" s="680"/>
      <c r="D688" s="139"/>
      <c r="E688" s="680"/>
      <c r="F688" s="139"/>
      <c r="G688" s="139"/>
      <c r="H688" s="680"/>
      <c r="I688" s="680"/>
      <c r="J688" s="139"/>
      <c r="K688" s="139"/>
      <c r="L688" s="139"/>
      <c r="M688" s="139"/>
      <c r="N688" s="139"/>
      <c r="O688" s="139"/>
      <c r="P688" s="139"/>
      <c r="Q688" s="139"/>
      <c r="R688" s="139"/>
      <c r="S688" s="139"/>
      <c r="T688" s="139"/>
      <c r="U688" s="139"/>
      <c r="V688" s="139"/>
      <c r="W688" s="139"/>
      <c r="X688" s="139"/>
      <c r="Y688" s="139"/>
      <c r="Z688" s="139"/>
      <c r="AA688" s="139"/>
    </row>
    <row r="689" spans="1:27" ht="15.75">
      <c r="A689" s="139"/>
      <c r="B689" s="139"/>
      <c r="C689" s="680"/>
      <c r="D689" s="139"/>
      <c r="E689" s="680"/>
      <c r="F689" s="139"/>
      <c r="G689" s="139"/>
      <c r="H689" s="680"/>
      <c r="I689" s="680"/>
      <c r="J689" s="139"/>
      <c r="K689" s="139"/>
      <c r="L689" s="139"/>
      <c r="M689" s="139"/>
      <c r="N689" s="139"/>
      <c r="O689" s="139"/>
      <c r="P689" s="139"/>
      <c r="Q689" s="139"/>
      <c r="R689" s="139"/>
      <c r="S689" s="139"/>
      <c r="T689" s="139"/>
      <c r="U689" s="139"/>
      <c r="V689" s="139"/>
      <c r="W689" s="139"/>
      <c r="X689" s="139"/>
      <c r="Y689" s="139"/>
      <c r="Z689" s="139"/>
      <c r="AA689" s="139"/>
    </row>
    <row r="690" spans="1:27" ht="15.75">
      <c r="A690" s="139"/>
      <c r="B690" s="139"/>
      <c r="C690" s="680"/>
      <c r="D690" s="139"/>
      <c r="E690" s="680"/>
      <c r="F690" s="139"/>
      <c r="G690" s="139"/>
      <c r="H690" s="680"/>
      <c r="I690" s="680"/>
      <c r="J690" s="139"/>
      <c r="K690" s="139"/>
      <c r="L690" s="139"/>
      <c r="M690" s="139"/>
      <c r="N690" s="139"/>
      <c r="O690" s="139"/>
      <c r="P690" s="139"/>
      <c r="Q690" s="139"/>
      <c r="R690" s="139"/>
      <c r="S690" s="139"/>
      <c r="T690" s="139"/>
      <c r="U690" s="139"/>
      <c r="V690" s="139"/>
      <c r="W690" s="139"/>
      <c r="X690" s="139"/>
      <c r="Y690" s="139"/>
      <c r="Z690" s="139"/>
      <c r="AA690" s="139"/>
    </row>
    <row r="691" spans="1:27" ht="15.75">
      <c r="A691" s="139"/>
      <c r="B691" s="139"/>
      <c r="C691" s="680"/>
      <c r="D691" s="139"/>
      <c r="E691" s="680"/>
      <c r="F691" s="139"/>
      <c r="G691" s="139"/>
      <c r="H691" s="680"/>
      <c r="I691" s="680"/>
      <c r="J691" s="139"/>
      <c r="K691" s="139"/>
      <c r="L691" s="139"/>
      <c r="M691" s="139"/>
      <c r="N691" s="139"/>
      <c r="O691" s="139"/>
      <c r="P691" s="139"/>
      <c r="Q691" s="139"/>
      <c r="R691" s="139"/>
      <c r="S691" s="139"/>
      <c r="T691" s="139"/>
      <c r="U691" s="139"/>
      <c r="V691" s="139"/>
      <c r="W691" s="139"/>
      <c r="X691" s="139"/>
      <c r="Y691" s="139"/>
      <c r="Z691" s="139"/>
      <c r="AA691" s="139"/>
    </row>
    <row r="692" spans="1:27" ht="15.75">
      <c r="A692" s="139"/>
      <c r="B692" s="139"/>
      <c r="C692" s="680"/>
      <c r="D692" s="139"/>
      <c r="E692" s="680"/>
      <c r="F692" s="139"/>
      <c r="G692" s="139"/>
      <c r="H692" s="680"/>
      <c r="I692" s="680"/>
      <c r="J692" s="139"/>
      <c r="K692" s="139"/>
      <c r="L692" s="139"/>
      <c r="M692" s="139"/>
      <c r="N692" s="139"/>
      <c r="O692" s="139"/>
      <c r="P692" s="139"/>
      <c r="Q692" s="139"/>
      <c r="R692" s="139"/>
      <c r="S692" s="139"/>
      <c r="T692" s="139"/>
      <c r="U692" s="139"/>
      <c r="V692" s="139"/>
      <c r="W692" s="139"/>
      <c r="X692" s="139"/>
      <c r="Y692" s="139"/>
      <c r="Z692" s="139"/>
      <c r="AA692" s="139"/>
    </row>
    <row r="693" spans="1:27" ht="15.75">
      <c r="A693" s="139"/>
      <c r="B693" s="139"/>
      <c r="C693" s="680"/>
      <c r="D693" s="139"/>
      <c r="E693" s="680"/>
      <c r="F693" s="139"/>
      <c r="G693" s="139"/>
      <c r="H693" s="680"/>
      <c r="I693" s="680"/>
      <c r="J693" s="139"/>
      <c r="K693" s="139"/>
      <c r="L693" s="139"/>
      <c r="M693" s="139"/>
      <c r="N693" s="139"/>
      <c r="O693" s="139"/>
      <c r="P693" s="139"/>
      <c r="Q693" s="139"/>
      <c r="R693" s="139"/>
      <c r="S693" s="139"/>
      <c r="T693" s="139"/>
      <c r="U693" s="139"/>
      <c r="V693" s="139"/>
      <c r="W693" s="139"/>
      <c r="X693" s="139"/>
      <c r="Y693" s="139"/>
      <c r="Z693" s="139"/>
      <c r="AA693" s="139"/>
    </row>
    <row r="694" spans="1:27" ht="15.75">
      <c r="A694" s="139"/>
      <c r="B694" s="139"/>
      <c r="C694" s="680"/>
      <c r="D694" s="139"/>
      <c r="E694" s="680"/>
      <c r="F694" s="139"/>
      <c r="G694" s="139"/>
      <c r="H694" s="680"/>
      <c r="I694" s="680"/>
      <c r="J694" s="139"/>
      <c r="K694" s="139"/>
      <c r="L694" s="139"/>
      <c r="M694" s="139"/>
      <c r="N694" s="139"/>
      <c r="O694" s="139"/>
      <c r="P694" s="139"/>
      <c r="Q694" s="139"/>
      <c r="R694" s="139"/>
      <c r="S694" s="139"/>
      <c r="T694" s="139"/>
      <c r="U694" s="139"/>
      <c r="V694" s="139"/>
      <c r="W694" s="139"/>
      <c r="X694" s="139"/>
      <c r="Y694" s="139"/>
      <c r="Z694" s="139"/>
      <c r="AA694" s="139"/>
    </row>
    <row r="695" spans="1:27" ht="15.75">
      <c r="A695" s="139"/>
      <c r="B695" s="139"/>
      <c r="C695" s="680"/>
      <c r="D695" s="139"/>
      <c r="E695" s="680"/>
      <c r="F695" s="139"/>
      <c r="G695" s="139"/>
      <c r="H695" s="680"/>
      <c r="I695" s="680"/>
      <c r="J695" s="139"/>
      <c r="K695" s="139"/>
      <c r="L695" s="139"/>
      <c r="M695" s="139"/>
      <c r="N695" s="139"/>
      <c r="O695" s="139"/>
      <c r="P695" s="139"/>
      <c r="Q695" s="139"/>
      <c r="R695" s="139"/>
      <c r="S695" s="139"/>
      <c r="T695" s="139"/>
      <c r="U695" s="139"/>
      <c r="V695" s="139"/>
      <c r="W695" s="139"/>
      <c r="X695" s="139"/>
      <c r="Y695" s="139"/>
      <c r="Z695" s="139"/>
      <c r="AA695" s="139"/>
    </row>
    <row r="696" spans="1:27" ht="15.75">
      <c r="A696" s="139"/>
      <c r="B696" s="139"/>
      <c r="C696" s="680"/>
      <c r="D696" s="139"/>
      <c r="E696" s="680"/>
      <c r="F696" s="139"/>
      <c r="G696" s="139"/>
      <c r="H696" s="680"/>
      <c r="I696" s="680"/>
      <c r="J696" s="139"/>
      <c r="K696" s="139"/>
      <c r="L696" s="139"/>
      <c r="M696" s="139"/>
      <c r="N696" s="139"/>
      <c r="O696" s="139"/>
      <c r="P696" s="139"/>
      <c r="Q696" s="139"/>
      <c r="R696" s="139"/>
      <c r="S696" s="139"/>
      <c r="T696" s="139"/>
      <c r="U696" s="139"/>
      <c r="V696" s="139"/>
      <c r="W696" s="139"/>
      <c r="X696" s="139"/>
      <c r="Y696" s="139"/>
      <c r="Z696" s="139"/>
      <c r="AA696" s="139"/>
    </row>
    <row r="697" spans="1:27" ht="15.75">
      <c r="A697" s="139"/>
      <c r="B697" s="139"/>
      <c r="C697" s="680"/>
      <c r="D697" s="139"/>
      <c r="E697" s="680"/>
      <c r="F697" s="139"/>
      <c r="G697" s="139"/>
      <c r="H697" s="680"/>
      <c r="I697" s="680"/>
      <c r="J697" s="139"/>
      <c r="K697" s="139"/>
      <c r="L697" s="139"/>
      <c r="M697" s="139"/>
      <c r="N697" s="139"/>
      <c r="O697" s="139"/>
      <c r="P697" s="139"/>
      <c r="Q697" s="139"/>
      <c r="R697" s="139"/>
      <c r="S697" s="139"/>
      <c r="T697" s="139"/>
      <c r="U697" s="139"/>
      <c r="V697" s="139"/>
      <c r="W697" s="139"/>
      <c r="X697" s="139"/>
      <c r="Y697" s="139"/>
      <c r="Z697" s="139"/>
      <c r="AA697" s="139"/>
    </row>
    <row r="698" spans="1:27" ht="15.75">
      <c r="A698" s="139"/>
      <c r="B698" s="139"/>
      <c r="C698" s="680"/>
      <c r="D698" s="139"/>
      <c r="E698" s="680"/>
      <c r="F698" s="139"/>
      <c r="G698" s="139"/>
      <c r="H698" s="680"/>
      <c r="I698" s="680"/>
      <c r="J698" s="139"/>
      <c r="K698" s="139"/>
      <c r="L698" s="139"/>
      <c r="M698" s="139"/>
      <c r="N698" s="139"/>
      <c r="O698" s="139"/>
      <c r="P698" s="139"/>
      <c r="Q698" s="139"/>
      <c r="R698" s="139"/>
      <c r="S698" s="139"/>
      <c r="T698" s="139"/>
      <c r="U698" s="139"/>
      <c r="V698" s="139"/>
      <c r="W698" s="139"/>
      <c r="X698" s="139"/>
      <c r="Y698" s="139"/>
      <c r="Z698" s="139"/>
      <c r="AA698" s="139"/>
    </row>
    <row r="699" spans="1:27" ht="15.75">
      <c r="A699" s="139"/>
      <c r="B699" s="139"/>
      <c r="C699" s="680"/>
      <c r="D699" s="139"/>
      <c r="E699" s="680"/>
      <c r="F699" s="139"/>
      <c r="G699" s="139"/>
      <c r="H699" s="680"/>
      <c r="I699" s="680"/>
      <c r="J699" s="139"/>
      <c r="K699" s="139"/>
      <c r="L699" s="139"/>
      <c r="M699" s="139"/>
      <c r="N699" s="139"/>
      <c r="O699" s="139"/>
      <c r="P699" s="139"/>
      <c r="Q699" s="139"/>
      <c r="R699" s="139"/>
      <c r="S699" s="139"/>
      <c r="T699" s="139"/>
      <c r="U699" s="139"/>
      <c r="V699" s="139"/>
      <c r="W699" s="139"/>
      <c r="X699" s="139"/>
      <c r="Y699" s="139"/>
      <c r="Z699" s="139"/>
      <c r="AA699" s="139"/>
    </row>
    <row r="700" spans="1:27" ht="15.75">
      <c r="A700" s="139"/>
      <c r="B700" s="139"/>
      <c r="C700" s="680"/>
      <c r="D700" s="139"/>
      <c r="E700" s="680"/>
      <c r="F700" s="139"/>
      <c r="G700" s="139"/>
      <c r="H700" s="680"/>
      <c r="I700" s="680"/>
      <c r="J700" s="139"/>
      <c r="K700" s="139"/>
      <c r="L700" s="139"/>
      <c r="M700" s="139"/>
      <c r="N700" s="139"/>
      <c r="O700" s="139"/>
      <c r="P700" s="139"/>
      <c r="Q700" s="139"/>
      <c r="R700" s="139"/>
      <c r="S700" s="139"/>
      <c r="T700" s="139"/>
      <c r="U700" s="139"/>
      <c r="V700" s="139"/>
      <c r="W700" s="139"/>
      <c r="X700" s="139"/>
      <c r="Y700" s="139"/>
      <c r="Z700" s="139"/>
      <c r="AA700" s="139"/>
    </row>
    <row r="701" spans="1:27" ht="15.75">
      <c r="A701" s="139"/>
      <c r="B701" s="139"/>
      <c r="C701" s="680"/>
      <c r="D701" s="139"/>
      <c r="E701" s="680"/>
      <c r="F701" s="139"/>
      <c r="G701" s="139"/>
      <c r="H701" s="680"/>
      <c r="I701" s="680"/>
      <c r="J701" s="139"/>
      <c r="K701" s="139"/>
      <c r="L701" s="139"/>
      <c r="M701" s="139"/>
      <c r="N701" s="139"/>
      <c r="O701" s="139"/>
      <c r="P701" s="139"/>
      <c r="Q701" s="139"/>
      <c r="R701" s="139"/>
      <c r="S701" s="139"/>
      <c r="T701" s="139"/>
      <c r="U701" s="139"/>
      <c r="V701" s="139"/>
      <c r="W701" s="139"/>
      <c r="X701" s="139"/>
      <c r="Y701" s="139"/>
      <c r="Z701" s="139"/>
      <c r="AA701" s="139"/>
    </row>
    <row r="702" spans="1:27" ht="15.75">
      <c r="A702" s="139"/>
      <c r="B702" s="139"/>
      <c r="C702" s="680"/>
      <c r="D702" s="139"/>
      <c r="E702" s="680"/>
      <c r="F702" s="139"/>
      <c r="G702" s="139"/>
      <c r="H702" s="680"/>
      <c r="I702" s="680"/>
      <c r="J702" s="139"/>
      <c r="K702" s="139"/>
      <c r="L702" s="139"/>
      <c r="M702" s="139"/>
      <c r="N702" s="139"/>
      <c r="O702" s="139"/>
      <c r="P702" s="139"/>
      <c r="Q702" s="139"/>
      <c r="R702" s="139"/>
      <c r="S702" s="139"/>
      <c r="T702" s="139"/>
      <c r="U702" s="139"/>
      <c r="V702" s="139"/>
      <c r="W702" s="139"/>
      <c r="X702" s="139"/>
      <c r="Y702" s="139"/>
      <c r="Z702" s="139"/>
      <c r="AA702" s="139"/>
    </row>
    <row r="703" spans="1:27" ht="15.75">
      <c r="A703" s="139"/>
      <c r="B703" s="139"/>
      <c r="C703" s="680"/>
      <c r="D703" s="139"/>
      <c r="E703" s="680"/>
      <c r="F703" s="139"/>
      <c r="G703" s="139"/>
      <c r="H703" s="680"/>
      <c r="I703" s="680"/>
      <c r="J703" s="139"/>
      <c r="K703" s="139"/>
      <c r="L703" s="139"/>
      <c r="M703" s="139"/>
      <c r="N703" s="139"/>
      <c r="O703" s="139"/>
      <c r="P703" s="139"/>
      <c r="Q703" s="139"/>
      <c r="R703" s="139"/>
      <c r="S703" s="139"/>
      <c r="T703" s="139"/>
      <c r="U703" s="139"/>
      <c r="V703" s="139"/>
      <c r="W703" s="139"/>
      <c r="X703" s="139"/>
      <c r="Y703" s="139"/>
      <c r="Z703" s="139"/>
      <c r="AA703" s="139"/>
    </row>
    <row r="704" spans="1:27" ht="15.75">
      <c r="A704" s="139"/>
      <c r="B704" s="139"/>
      <c r="C704" s="680"/>
      <c r="D704" s="139"/>
      <c r="E704" s="680"/>
      <c r="F704" s="139"/>
      <c r="G704" s="139"/>
      <c r="H704" s="680"/>
      <c r="I704" s="680"/>
      <c r="J704" s="139"/>
      <c r="K704" s="139"/>
      <c r="L704" s="139"/>
      <c r="M704" s="139"/>
      <c r="N704" s="139"/>
      <c r="O704" s="139"/>
      <c r="P704" s="139"/>
      <c r="Q704" s="139"/>
      <c r="R704" s="139"/>
      <c r="S704" s="139"/>
      <c r="T704" s="139"/>
      <c r="U704" s="139"/>
      <c r="V704" s="139"/>
      <c r="W704" s="139"/>
      <c r="X704" s="139"/>
      <c r="Y704" s="139"/>
      <c r="Z704" s="139"/>
      <c r="AA704" s="139"/>
    </row>
    <row r="705" spans="1:27" ht="15.75">
      <c r="A705" s="139"/>
      <c r="B705" s="139"/>
      <c r="C705" s="680"/>
      <c r="D705" s="139"/>
      <c r="E705" s="680"/>
      <c r="F705" s="139"/>
      <c r="G705" s="139"/>
      <c r="H705" s="680"/>
      <c r="I705" s="680"/>
      <c r="J705" s="139"/>
      <c r="K705" s="139"/>
      <c r="L705" s="139"/>
      <c r="M705" s="139"/>
      <c r="N705" s="139"/>
      <c r="O705" s="139"/>
      <c r="P705" s="139"/>
      <c r="Q705" s="139"/>
      <c r="R705" s="139"/>
      <c r="S705" s="139"/>
      <c r="T705" s="139"/>
      <c r="U705" s="139"/>
      <c r="V705" s="139"/>
      <c r="W705" s="139"/>
      <c r="X705" s="139"/>
      <c r="Y705" s="139"/>
      <c r="Z705" s="139"/>
      <c r="AA705" s="139"/>
    </row>
    <row r="706" spans="1:27" ht="15.75">
      <c r="A706" s="139"/>
      <c r="B706" s="139"/>
      <c r="C706" s="680"/>
      <c r="D706" s="139"/>
      <c r="E706" s="680"/>
      <c r="F706" s="139"/>
      <c r="G706" s="139"/>
      <c r="H706" s="680"/>
      <c r="I706" s="680"/>
      <c r="J706" s="139"/>
      <c r="K706" s="139"/>
      <c r="L706" s="139"/>
      <c r="M706" s="139"/>
      <c r="N706" s="139"/>
      <c r="O706" s="139"/>
      <c r="P706" s="139"/>
      <c r="Q706" s="139"/>
      <c r="R706" s="139"/>
      <c r="S706" s="139"/>
      <c r="T706" s="139"/>
      <c r="U706" s="139"/>
      <c r="V706" s="139"/>
      <c r="W706" s="139"/>
      <c r="X706" s="139"/>
      <c r="Y706" s="139"/>
      <c r="Z706" s="139"/>
      <c r="AA706" s="139"/>
    </row>
    <row r="707" spans="1:27" ht="15.75">
      <c r="A707" s="139"/>
      <c r="B707" s="139"/>
      <c r="C707" s="680"/>
      <c r="D707" s="139"/>
      <c r="E707" s="680"/>
      <c r="F707" s="139"/>
      <c r="G707" s="139"/>
      <c r="H707" s="680"/>
      <c r="I707" s="680"/>
      <c r="J707" s="139"/>
      <c r="K707" s="139"/>
      <c r="L707" s="139"/>
      <c r="M707" s="139"/>
      <c r="N707" s="139"/>
      <c r="O707" s="139"/>
      <c r="P707" s="139"/>
      <c r="Q707" s="139"/>
      <c r="R707" s="139"/>
      <c r="S707" s="139"/>
      <c r="T707" s="139"/>
      <c r="U707" s="139"/>
      <c r="V707" s="139"/>
      <c r="W707" s="139"/>
      <c r="X707" s="139"/>
      <c r="Y707" s="139"/>
      <c r="Z707" s="139"/>
      <c r="AA707" s="139"/>
    </row>
    <row r="708" spans="1:27" ht="15.75">
      <c r="A708" s="139"/>
      <c r="B708" s="139"/>
      <c r="C708" s="680"/>
      <c r="D708" s="139"/>
      <c r="E708" s="680"/>
      <c r="F708" s="139"/>
      <c r="G708" s="139"/>
      <c r="H708" s="680"/>
      <c r="I708" s="680"/>
      <c r="J708" s="139"/>
      <c r="K708" s="139"/>
      <c r="L708" s="139"/>
      <c r="M708" s="139"/>
      <c r="N708" s="139"/>
      <c r="O708" s="139"/>
      <c r="P708" s="139"/>
      <c r="Q708" s="139"/>
      <c r="R708" s="139"/>
      <c r="S708" s="139"/>
      <c r="T708" s="139"/>
      <c r="U708" s="139"/>
      <c r="V708" s="139"/>
      <c r="W708" s="139"/>
      <c r="X708" s="139"/>
      <c r="Y708" s="139"/>
      <c r="Z708" s="139"/>
      <c r="AA708" s="139"/>
    </row>
    <row r="709" spans="1:27" ht="15.75">
      <c r="A709" s="139"/>
      <c r="B709" s="139"/>
      <c r="C709" s="680"/>
      <c r="D709" s="139"/>
      <c r="E709" s="680"/>
      <c r="F709" s="139"/>
      <c r="G709" s="139"/>
      <c r="H709" s="680"/>
      <c r="I709" s="680"/>
      <c r="J709" s="139"/>
      <c r="K709" s="139"/>
      <c r="L709" s="139"/>
      <c r="M709" s="139"/>
      <c r="N709" s="139"/>
      <c r="O709" s="139"/>
      <c r="P709" s="139"/>
      <c r="Q709" s="139"/>
      <c r="R709" s="139"/>
      <c r="S709" s="139"/>
      <c r="T709" s="139"/>
      <c r="U709" s="139"/>
      <c r="V709" s="139"/>
      <c r="W709" s="139"/>
      <c r="X709" s="139"/>
      <c r="Y709" s="139"/>
      <c r="Z709" s="139"/>
      <c r="AA709" s="139"/>
    </row>
    <row r="710" spans="1:27" ht="15.75">
      <c r="A710" s="139"/>
      <c r="B710" s="139"/>
      <c r="C710" s="680"/>
      <c r="D710" s="139"/>
      <c r="E710" s="680"/>
      <c r="F710" s="139"/>
      <c r="G710" s="139"/>
      <c r="H710" s="680"/>
      <c r="I710" s="680"/>
      <c r="J710" s="139"/>
      <c r="K710" s="139"/>
      <c r="L710" s="139"/>
      <c r="M710" s="139"/>
      <c r="N710" s="139"/>
      <c r="O710" s="139"/>
      <c r="P710" s="139"/>
      <c r="Q710" s="139"/>
      <c r="R710" s="139"/>
      <c r="S710" s="139"/>
      <c r="T710" s="139"/>
      <c r="U710" s="139"/>
      <c r="V710" s="139"/>
      <c r="W710" s="139"/>
      <c r="X710" s="139"/>
      <c r="Y710" s="139"/>
      <c r="Z710" s="139"/>
      <c r="AA710" s="139"/>
    </row>
    <row r="711" spans="1:27" ht="15.75">
      <c r="A711" s="139"/>
      <c r="B711" s="139"/>
      <c r="C711" s="680"/>
      <c r="D711" s="139"/>
      <c r="E711" s="680"/>
      <c r="F711" s="139"/>
      <c r="G711" s="139"/>
      <c r="H711" s="680"/>
      <c r="I711" s="680"/>
      <c r="J711" s="139"/>
      <c r="K711" s="139"/>
      <c r="L711" s="139"/>
      <c r="M711" s="139"/>
      <c r="N711" s="139"/>
      <c r="O711" s="139"/>
      <c r="P711" s="139"/>
      <c r="Q711" s="139"/>
      <c r="R711" s="139"/>
      <c r="S711" s="139"/>
      <c r="T711" s="139"/>
      <c r="U711" s="139"/>
      <c r="V711" s="139"/>
      <c r="W711" s="139"/>
      <c r="X711" s="139"/>
      <c r="Y711" s="139"/>
      <c r="Z711" s="139"/>
      <c r="AA711" s="139"/>
    </row>
    <row r="712" spans="1:27" ht="15.75">
      <c r="A712" s="139"/>
      <c r="B712" s="139"/>
      <c r="C712" s="680"/>
      <c r="D712" s="139"/>
      <c r="E712" s="680"/>
      <c r="F712" s="139"/>
      <c r="G712" s="139"/>
      <c r="H712" s="680"/>
      <c r="I712" s="680"/>
      <c r="J712" s="139"/>
      <c r="K712" s="139"/>
      <c r="L712" s="139"/>
      <c r="M712" s="139"/>
      <c r="N712" s="139"/>
      <c r="O712" s="139"/>
      <c r="P712" s="139"/>
      <c r="Q712" s="139"/>
      <c r="R712" s="139"/>
      <c r="S712" s="139"/>
      <c r="T712" s="139"/>
      <c r="U712" s="139"/>
      <c r="V712" s="139"/>
      <c r="W712" s="139"/>
      <c r="X712" s="139"/>
      <c r="Y712" s="139"/>
      <c r="Z712" s="139"/>
      <c r="AA712" s="139"/>
    </row>
    <row r="713" spans="1:27" ht="15.75">
      <c r="A713" s="139"/>
      <c r="B713" s="139"/>
      <c r="C713" s="680"/>
      <c r="D713" s="139"/>
      <c r="E713" s="680"/>
      <c r="F713" s="139"/>
      <c r="G713" s="139"/>
      <c r="H713" s="680"/>
      <c r="I713" s="680"/>
      <c r="J713" s="139"/>
      <c r="K713" s="139"/>
      <c r="L713" s="139"/>
      <c r="M713" s="139"/>
      <c r="N713" s="139"/>
      <c r="O713" s="139"/>
      <c r="P713" s="139"/>
      <c r="Q713" s="139"/>
      <c r="R713" s="139"/>
      <c r="S713" s="139"/>
      <c r="T713" s="139"/>
      <c r="U713" s="139"/>
      <c r="V713" s="139"/>
      <c r="W713" s="139"/>
      <c r="X713" s="139"/>
      <c r="Y713" s="139"/>
      <c r="Z713" s="139"/>
      <c r="AA713" s="139"/>
    </row>
    <row r="714" spans="1:27" ht="15.75">
      <c r="A714" s="139"/>
      <c r="B714" s="139"/>
      <c r="C714" s="680"/>
      <c r="D714" s="139"/>
      <c r="E714" s="680"/>
      <c r="F714" s="139"/>
      <c r="G714" s="139"/>
      <c r="H714" s="680"/>
      <c r="I714" s="680"/>
      <c r="J714" s="139"/>
      <c r="K714" s="139"/>
      <c r="L714" s="139"/>
      <c r="M714" s="139"/>
      <c r="N714" s="139"/>
      <c r="O714" s="139"/>
      <c r="P714" s="139"/>
      <c r="Q714" s="139"/>
      <c r="R714" s="139"/>
      <c r="S714" s="139"/>
      <c r="T714" s="139"/>
      <c r="U714" s="139"/>
      <c r="V714" s="139"/>
      <c r="W714" s="139"/>
      <c r="X714" s="139"/>
      <c r="Y714" s="139"/>
      <c r="Z714" s="139"/>
      <c r="AA714" s="139"/>
    </row>
    <row r="715" spans="1:27" ht="15.75">
      <c r="A715" s="139"/>
      <c r="B715" s="139"/>
      <c r="C715" s="680"/>
      <c r="D715" s="139"/>
      <c r="E715" s="680"/>
      <c r="F715" s="139"/>
      <c r="G715" s="139"/>
      <c r="H715" s="680"/>
      <c r="I715" s="680"/>
      <c r="J715" s="139"/>
      <c r="K715" s="139"/>
      <c r="L715" s="139"/>
      <c r="M715" s="139"/>
      <c r="N715" s="139"/>
      <c r="O715" s="139"/>
      <c r="P715" s="139"/>
      <c r="Q715" s="139"/>
      <c r="R715" s="139"/>
      <c r="S715" s="139"/>
      <c r="T715" s="139"/>
      <c r="U715" s="139"/>
      <c r="V715" s="139"/>
      <c r="W715" s="139"/>
      <c r="X715" s="139"/>
      <c r="Y715" s="139"/>
      <c r="Z715" s="139"/>
      <c r="AA715" s="139"/>
    </row>
    <row r="716" spans="1:27" ht="15.75">
      <c r="A716" s="139"/>
      <c r="B716" s="139"/>
      <c r="C716" s="680"/>
      <c r="D716" s="139"/>
      <c r="E716" s="680"/>
      <c r="F716" s="139"/>
      <c r="G716" s="139"/>
      <c r="H716" s="680"/>
      <c r="I716" s="680"/>
      <c r="J716" s="139"/>
      <c r="K716" s="139"/>
      <c r="L716" s="139"/>
      <c r="M716" s="139"/>
      <c r="N716" s="139"/>
      <c r="O716" s="139"/>
      <c r="P716" s="139"/>
      <c r="Q716" s="139"/>
      <c r="R716" s="139"/>
      <c r="S716" s="139"/>
      <c r="T716" s="139"/>
      <c r="U716" s="139"/>
      <c r="V716" s="139"/>
      <c r="W716" s="139"/>
      <c r="X716" s="139"/>
      <c r="Y716" s="139"/>
      <c r="Z716" s="139"/>
      <c r="AA716" s="139"/>
    </row>
    <row r="717" spans="1:27" ht="15.75">
      <c r="A717" s="139"/>
      <c r="B717" s="139"/>
      <c r="C717" s="680"/>
      <c r="D717" s="139"/>
      <c r="E717" s="680"/>
      <c r="F717" s="139"/>
      <c r="G717" s="139"/>
      <c r="H717" s="680"/>
      <c r="I717" s="680"/>
      <c r="J717" s="139"/>
      <c r="K717" s="139"/>
      <c r="L717" s="139"/>
      <c r="M717" s="139"/>
      <c r="N717" s="139"/>
      <c r="O717" s="139"/>
      <c r="P717" s="139"/>
      <c r="Q717" s="139"/>
      <c r="R717" s="139"/>
      <c r="S717" s="139"/>
      <c r="T717" s="139"/>
      <c r="U717" s="139"/>
      <c r="V717" s="139"/>
      <c r="W717" s="139"/>
      <c r="X717" s="139"/>
      <c r="Y717" s="139"/>
      <c r="Z717" s="139"/>
      <c r="AA717" s="139"/>
    </row>
    <row r="718" spans="1:27" ht="15.75">
      <c r="A718" s="139"/>
      <c r="B718" s="139"/>
      <c r="C718" s="680"/>
      <c r="D718" s="139"/>
      <c r="E718" s="680"/>
      <c r="F718" s="139"/>
      <c r="G718" s="139"/>
      <c r="H718" s="680"/>
      <c r="I718" s="680"/>
      <c r="J718" s="139"/>
      <c r="K718" s="139"/>
      <c r="L718" s="139"/>
      <c r="M718" s="139"/>
      <c r="N718" s="139"/>
      <c r="O718" s="139"/>
      <c r="P718" s="139"/>
      <c r="Q718" s="139"/>
      <c r="R718" s="139"/>
      <c r="S718" s="139"/>
      <c r="T718" s="139"/>
      <c r="U718" s="139"/>
      <c r="V718" s="139"/>
      <c r="W718" s="139"/>
      <c r="X718" s="139"/>
      <c r="Y718" s="139"/>
      <c r="Z718" s="139"/>
      <c r="AA718" s="139"/>
    </row>
    <row r="719" spans="1:27" ht="15.75">
      <c r="A719" s="139"/>
      <c r="B719" s="139"/>
      <c r="C719" s="680"/>
      <c r="D719" s="139"/>
      <c r="E719" s="680"/>
      <c r="F719" s="139"/>
      <c r="G719" s="139"/>
      <c r="H719" s="680"/>
      <c r="I719" s="680"/>
      <c r="J719" s="139"/>
      <c r="K719" s="139"/>
      <c r="L719" s="139"/>
      <c r="M719" s="139"/>
      <c r="N719" s="139"/>
      <c r="O719" s="139"/>
      <c r="P719" s="139"/>
      <c r="Q719" s="139"/>
      <c r="R719" s="139"/>
      <c r="S719" s="139"/>
      <c r="T719" s="139"/>
      <c r="U719" s="139"/>
      <c r="V719" s="139"/>
      <c r="W719" s="139"/>
      <c r="X719" s="139"/>
      <c r="Y719" s="139"/>
      <c r="Z719" s="139"/>
      <c r="AA719" s="139"/>
    </row>
    <row r="720" spans="1:27" ht="15.75">
      <c r="A720" s="139"/>
      <c r="B720" s="139"/>
      <c r="C720" s="680"/>
      <c r="D720" s="139"/>
      <c r="E720" s="680"/>
      <c r="F720" s="139"/>
      <c r="G720" s="139"/>
      <c r="H720" s="680"/>
      <c r="I720" s="680"/>
      <c r="J720" s="139"/>
      <c r="K720" s="139"/>
      <c r="L720" s="139"/>
      <c r="M720" s="139"/>
      <c r="N720" s="139"/>
      <c r="O720" s="139"/>
      <c r="P720" s="139"/>
      <c r="Q720" s="139"/>
      <c r="R720" s="139"/>
      <c r="S720" s="139"/>
      <c r="T720" s="139"/>
      <c r="U720" s="139"/>
      <c r="V720" s="139"/>
      <c r="W720" s="139"/>
      <c r="X720" s="139"/>
      <c r="Y720" s="139"/>
      <c r="Z720" s="139"/>
      <c r="AA720" s="139"/>
    </row>
    <row r="721" spans="1:27" ht="15.75">
      <c r="A721" s="139"/>
      <c r="B721" s="139"/>
      <c r="C721" s="680"/>
      <c r="D721" s="139"/>
      <c r="E721" s="680"/>
      <c r="F721" s="139"/>
      <c r="G721" s="139"/>
      <c r="H721" s="680"/>
      <c r="I721" s="680"/>
      <c r="J721" s="139"/>
      <c r="K721" s="139"/>
      <c r="L721" s="139"/>
      <c r="M721" s="139"/>
      <c r="N721" s="139"/>
      <c r="O721" s="139"/>
      <c r="P721" s="139"/>
      <c r="Q721" s="139"/>
      <c r="R721" s="139"/>
      <c r="S721" s="139"/>
      <c r="T721" s="139"/>
      <c r="U721" s="139"/>
      <c r="V721" s="139"/>
      <c r="W721" s="139"/>
      <c r="X721" s="139"/>
      <c r="Y721" s="139"/>
      <c r="Z721" s="139"/>
      <c r="AA721" s="139"/>
    </row>
    <row r="722" spans="1:27" ht="15.75">
      <c r="A722" s="139"/>
      <c r="B722" s="139"/>
      <c r="C722" s="680"/>
      <c r="D722" s="139"/>
      <c r="E722" s="680"/>
      <c r="F722" s="139"/>
      <c r="G722" s="139"/>
      <c r="H722" s="680"/>
      <c r="I722" s="680"/>
      <c r="J722" s="139"/>
      <c r="K722" s="139"/>
      <c r="L722" s="139"/>
      <c r="M722" s="139"/>
      <c r="N722" s="139"/>
      <c r="O722" s="139"/>
      <c r="P722" s="139"/>
      <c r="Q722" s="139"/>
      <c r="R722" s="139"/>
      <c r="S722" s="139"/>
      <c r="T722" s="139"/>
      <c r="U722" s="139"/>
      <c r="V722" s="139"/>
      <c r="W722" s="139"/>
      <c r="X722" s="139"/>
      <c r="Y722" s="139"/>
      <c r="Z722" s="139"/>
      <c r="AA722" s="139"/>
    </row>
    <row r="723" spans="1:27" ht="15.75">
      <c r="A723" s="139"/>
      <c r="B723" s="139"/>
      <c r="C723" s="680"/>
      <c r="D723" s="139"/>
      <c r="E723" s="680"/>
      <c r="F723" s="139"/>
      <c r="G723" s="139"/>
      <c r="H723" s="680"/>
      <c r="I723" s="680"/>
      <c r="J723" s="139"/>
      <c r="K723" s="139"/>
      <c r="L723" s="139"/>
      <c r="M723" s="139"/>
      <c r="N723" s="139"/>
      <c r="O723" s="139"/>
      <c r="P723" s="139"/>
      <c r="Q723" s="139"/>
      <c r="R723" s="139"/>
      <c r="S723" s="139"/>
      <c r="T723" s="139"/>
      <c r="U723" s="139"/>
      <c r="V723" s="139"/>
      <c r="W723" s="139"/>
      <c r="X723" s="139"/>
      <c r="Y723" s="139"/>
      <c r="Z723" s="139"/>
      <c r="AA723" s="139"/>
    </row>
    <row r="724" spans="1:27" ht="15.75">
      <c r="A724" s="139"/>
      <c r="B724" s="139"/>
      <c r="C724" s="680"/>
      <c r="D724" s="139"/>
      <c r="E724" s="680"/>
      <c r="F724" s="139"/>
      <c r="G724" s="139"/>
      <c r="H724" s="680"/>
      <c r="I724" s="680"/>
      <c r="J724" s="139"/>
      <c r="K724" s="139"/>
      <c r="L724" s="139"/>
      <c r="M724" s="139"/>
      <c r="N724" s="139"/>
      <c r="O724" s="139"/>
      <c r="P724" s="139"/>
      <c r="Q724" s="139"/>
      <c r="R724" s="139"/>
      <c r="S724" s="139"/>
      <c r="T724" s="139"/>
      <c r="U724" s="139"/>
      <c r="V724" s="139"/>
      <c r="W724" s="139"/>
      <c r="X724" s="139"/>
      <c r="Y724" s="139"/>
      <c r="Z724" s="139"/>
      <c r="AA724" s="139"/>
    </row>
    <row r="725" spans="1:27" ht="15.75">
      <c r="A725" s="139"/>
      <c r="B725" s="139"/>
      <c r="C725" s="680"/>
      <c r="D725" s="139"/>
      <c r="E725" s="680"/>
      <c r="F725" s="139"/>
      <c r="G725" s="139"/>
      <c r="H725" s="680"/>
      <c r="I725" s="680"/>
      <c r="J725" s="139"/>
      <c r="K725" s="139"/>
      <c r="L725" s="139"/>
      <c r="M725" s="139"/>
      <c r="N725" s="139"/>
      <c r="O725" s="139"/>
      <c r="P725" s="139"/>
      <c r="Q725" s="139"/>
      <c r="R725" s="139"/>
      <c r="S725" s="139"/>
      <c r="T725" s="139"/>
      <c r="U725" s="139"/>
      <c r="V725" s="139"/>
      <c r="W725" s="139"/>
      <c r="X725" s="139"/>
      <c r="Y725" s="139"/>
      <c r="Z725" s="139"/>
      <c r="AA725" s="139"/>
    </row>
    <row r="726" spans="1:27" ht="15.75">
      <c r="A726" s="139"/>
      <c r="B726" s="139"/>
      <c r="C726" s="680"/>
      <c r="D726" s="139"/>
      <c r="E726" s="680"/>
      <c r="F726" s="139"/>
      <c r="G726" s="139"/>
      <c r="H726" s="680"/>
      <c r="I726" s="680"/>
      <c r="J726" s="139"/>
      <c r="K726" s="139"/>
      <c r="L726" s="139"/>
      <c r="M726" s="139"/>
      <c r="N726" s="139"/>
      <c r="O726" s="139"/>
      <c r="P726" s="139"/>
      <c r="Q726" s="139"/>
      <c r="R726" s="139"/>
      <c r="S726" s="139"/>
      <c r="T726" s="139"/>
      <c r="U726" s="139"/>
      <c r="V726" s="139"/>
      <c r="W726" s="139"/>
      <c r="X726" s="139"/>
      <c r="Y726" s="139"/>
      <c r="Z726" s="139"/>
      <c r="AA726" s="139"/>
    </row>
    <row r="727" spans="1:27" ht="15.75">
      <c r="A727" s="139"/>
      <c r="B727" s="139"/>
      <c r="C727" s="680"/>
      <c r="D727" s="139"/>
      <c r="E727" s="680"/>
      <c r="F727" s="139"/>
      <c r="G727" s="139"/>
      <c r="H727" s="680"/>
      <c r="I727" s="680"/>
      <c r="J727" s="139"/>
      <c r="K727" s="139"/>
      <c r="L727" s="139"/>
      <c r="M727" s="139"/>
      <c r="N727" s="139"/>
      <c r="O727" s="139"/>
      <c r="P727" s="139"/>
      <c r="Q727" s="139"/>
      <c r="R727" s="139"/>
      <c r="S727" s="139"/>
      <c r="T727" s="139"/>
      <c r="U727" s="139"/>
      <c r="V727" s="139"/>
      <c r="W727" s="139"/>
      <c r="X727" s="139"/>
      <c r="Y727" s="139"/>
      <c r="Z727" s="139"/>
      <c r="AA727" s="139"/>
    </row>
    <row r="728" spans="1:27" ht="15.75">
      <c r="A728" s="139"/>
      <c r="B728" s="139"/>
      <c r="C728" s="680"/>
      <c r="D728" s="139"/>
      <c r="E728" s="680"/>
      <c r="F728" s="139"/>
      <c r="G728" s="139"/>
      <c r="H728" s="680"/>
      <c r="I728" s="680"/>
      <c r="J728" s="139"/>
      <c r="K728" s="139"/>
      <c r="L728" s="139"/>
      <c r="M728" s="139"/>
      <c r="N728" s="139"/>
      <c r="O728" s="139"/>
      <c r="P728" s="139"/>
      <c r="Q728" s="139"/>
      <c r="R728" s="139"/>
      <c r="S728" s="139"/>
      <c r="T728" s="139"/>
      <c r="U728" s="139"/>
      <c r="V728" s="139"/>
      <c r="W728" s="139"/>
      <c r="X728" s="139"/>
      <c r="Y728" s="139"/>
      <c r="Z728" s="139"/>
      <c r="AA728" s="139"/>
    </row>
    <row r="729" spans="1:27" ht="15.75">
      <c r="A729" s="139"/>
      <c r="B729" s="139"/>
      <c r="C729" s="680"/>
      <c r="D729" s="139"/>
      <c r="E729" s="680"/>
      <c r="F729" s="139"/>
      <c r="G729" s="139"/>
      <c r="H729" s="680"/>
      <c r="I729" s="680"/>
      <c r="J729" s="139"/>
      <c r="K729" s="139"/>
      <c r="L729" s="139"/>
      <c r="M729" s="139"/>
      <c r="N729" s="139"/>
      <c r="O729" s="139"/>
      <c r="P729" s="139"/>
      <c r="Q729" s="139"/>
      <c r="R729" s="139"/>
      <c r="S729" s="139"/>
      <c r="T729" s="139"/>
      <c r="U729" s="139"/>
      <c r="V729" s="139"/>
      <c r="W729" s="139"/>
      <c r="X729" s="139"/>
      <c r="Y729" s="139"/>
      <c r="Z729" s="139"/>
      <c r="AA729" s="139"/>
    </row>
    <row r="730" spans="1:27" ht="15.75">
      <c r="A730" s="139"/>
      <c r="B730" s="139"/>
      <c r="C730" s="680"/>
      <c r="D730" s="139"/>
      <c r="E730" s="680"/>
      <c r="F730" s="139"/>
      <c r="G730" s="139"/>
      <c r="H730" s="680"/>
      <c r="I730" s="680"/>
      <c r="J730" s="139"/>
      <c r="K730" s="139"/>
      <c r="L730" s="139"/>
      <c r="M730" s="139"/>
      <c r="N730" s="139"/>
      <c r="O730" s="139"/>
      <c r="P730" s="139"/>
      <c r="Q730" s="139"/>
      <c r="R730" s="139"/>
      <c r="S730" s="139"/>
      <c r="T730" s="139"/>
      <c r="U730" s="139"/>
      <c r="V730" s="139"/>
      <c r="W730" s="139"/>
      <c r="X730" s="139"/>
      <c r="Y730" s="139"/>
      <c r="Z730" s="139"/>
      <c r="AA730" s="139"/>
    </row>
    <row r="731" spans="1:27" ht="15.75">
      <c r="A731" s="139"/>
      <c r="B731" s="139"/>
      <c r="C731" s="680"/>
      <c r="D731" s="139"/>
      <c r="E731" s="680"/>
      <c r="F731" s="139"/>
      <c r="G731" s="139"/>
      <c r="H731" s="680"/>
      <c r="I731" s="680"/>
      <c r="J731" s="139"/>
      <c r="K731" s="139"/>
      <c r="L731" s="139"/>
      <c r="M731" s="139"/>
      <c r="N731" s="139"/>
      <c r="O731" s="139"/>
      <c r="P731" s="139"/>
      <c r="Q731" s="139"/>
      <c r="R731" s="139"/>
      <c r="S731" s="139"/>
      <c r="T731" s="139"/>
      <c r="U731" s="139"/>
      <c r="V731" s="139"/>
      <c r="W731" s="139"/>
      <c r="X731" s="139"/>
      <c r="Y731" s="139"/>
      <c r="Z731" s="139"/>
      <c r="AA731" s="139"/>
    </row>
    <row r="732" spans="1:27" ht="15.75">
      <c r="A732" s="139"/>
      <c r="B732" s="139"/>
      <c r="C732" s="680"/>
      <c r="D732" s="139"/>
      <c r="E732" s="680"/>
      <c r="F732" s="139"/>
      <c r="G732" s="139"/>
      <c r="H732" s="680"/>
      <c r="I732" s="680"/>
      <c r="J732" s="139"/>
      <c r="K732" s="139"/>
      <c r="L732" s="139"/>
      <c r="M732" s="139"/>
      <c r="N732" s="139"/>
      <c r="O732" s="139"/>
      <c r="P732" s="139"/>
      <c r="Q732" s="139"/>
      <c r="R732" s="139"/>
      <c r="S732" s="139"/>
      <c r="T732" s="139"/>
      <c r="U732" s="139"/>
      <c r="V732" s="139"/>
      <c r="W732" s="139"/>
      <c r="X732" s="139"/>
      <c r="Y732" s="139"/>
      <c r="Z732" s="139"/>
      <c r="AA732" s="139"/>
    </row>
    <row r="733" spans="1:27" ht="15.75">
      <c r="A733" s="139"/>
      <c r="B733" s="139"/>
      <c r="C733" s="680"/>
      <c r="D733" s="139"/>
      <c r="E733" s="680"/>
      <c r="F733" s="139"/>
      <c r="G733" s="139"/>
      <c r="H733" s="680"/>
      <c r="I733" s="680"/>
      <c r="J733" s="139"/>
      <c r="K733" s="139"/>
      <c r="L733" s="139"/>
      <c r="M733" s="139"/>
      <c r="N733" s="139"/>
      <c r="O733" s="139"/>
      <c r="P733" s="139"/>
      <c r="Q733" s="139"/>
      <c r="R733" s="139"/>
      <c r="S733" s="139"/>
      <c r="T733" s="139"/>
      <c r="U733" s="139"/>
      <c r="V733" s="139"/>
      <c r="W733" s="139"/>
      <c r="X733" s="139"/>
      <c r="Y733" s="139"/>
      <c r="Z733" s="139"/>
      <c r="AA733" s="139"/>
    </row>
    <row r="734" spans="1:27" ht="15.75">
      <c r="A734" s="139"/>
      <c r="B734" s="139"/>
      <c r="C734" s="680"/>
      <c r="D734" s="139"/>
      <c r="E734" s="680"/>
      <c r="F734" s="139"/>
      <c r="G734" s="139"/>
      <c r="H734" s="680"/>
      <c r="I734" s="680"/>
      <c r="J734" s="139"/>
      <c r="K734" s="139"/>
      <c r="L734" s="139"/>
      <c r="M734" s="139"/>
      <c r="N734" s="139"/>
      <c r="O734" s="139"/>
      <c r="P734" s="139"/>
      <c r="Q734" s="139"/>
      <c r="R734" s="139"/>
      <c r="S734" s="139"/>
      <c r="T734" s="139"/>
      <c r="U734" s="139"/>
      <c r="V734" s="139"/>
      <c r="W734" s="139"/>
      <c r="X734" s="139"/>
      <c r="Y734" s="139"/>
      <c r="Z734" s="139"/>
      <c r="AA734" s="139"/>
    </row>
    <row r="735" spans="1:27" ht="15.75">
      <c r="A735" s="139"/>
      <c r="B735" s="139"/>
      <c r="C735" s="680"/>
      <c r="D735" s="139"/>
      <c r="E735" s="680"/>
      <c r="F735" s="139"/>
      <c r="G735" s="139"/>
      <c r="H735" s="680"/>
      <c r="I735" s="680"/>
      <c r="J735" s="139"/>
      <c r="K735" s="139"/>
      <c r="L735" s="139"/>
      <c r="M735" s="139"/>
      <c r="N735" s="139"/>
      <c r="O735" s="139"/>
      <c r="P735" s="139"/>
      <c r="Q735" s="139"/>
      <c r="R735" s="139"/>
      <c r="S735" s="139"/>
      <c r="T735" s="139"/>
      <c r="U735" s="139"/>
      <c r="V735" s="139"/>
      <c r="W735" s="139"/>
      <c r="X735" s="139"/>
      <c r="Y735" s="139"/>
      <c r="Z735" s="139"/>
      <c r="AA735" s="139"/>
    </row>
    <row r="736" spans="1:27" ht="15.75">
      <c r="A736" s="139"/>
      <c r="B736" s="139"/>
      <c r="C736" s="680"/>
      <c r="D736" s="139"/>
      <c r="E736" s="680"/>
      <c r="F736" s="139"/>
      <c r="G736" s="139"/>
      <c r="H736" s="680"/>
      <c r="I736" s="680"/>
      <c r="J736" s="139"/>
      <c r="K736" s="139"/>
      <c r="L736" s="139"/>
      <c r="M736" s="139"/>
      <c r="N736" s="139"/>
      <c r="O736" s="139"/>
      <c r="P736" s="139"/>
      <c r="Q736" s="139"/>
      <c r="R736" s="139"/>
      <c r="S736" s="139"/>
      <c r="T736" s="139"/>
      <c r="U736" s="139"/>
      <c r="V736" s="139"/>
      <c r="W736" s="139"/>
      <c r="X736" s="139"/>
      <c r="Y736" s="139"/>
      <c r="Z736" s="139"/>
      <c r="AA736" s="139"/>
    </row>
    <row r="737" spans="1:27" ht="15.75">
      <c r="A737" s="139"/>
      <c r="B737" s="139"/>
      <c r="C737" s="680"/>
      <c r="D737" s="139"/>
      <c r="E737" s="680"/>
      <c r="F737" s="139"/>
      <c r="G737" s="139"/>
      <c r="H737" s="680"/>
      <c r="I737" s="680"/>
      <c r="J737" s="139"/>
      <c r="K737" s="139"/>
      <c r="L737" s="139"/>
      <c r="M737" s="139"/>
      <c r="N737" s="139"/>
      <c r="O737" s="139"/>
      <c r="P737" s="139"/>
      <c r="Q737" s="139"/>
      <c r="R737" s="139"/>
      <c r="S737" s="139"/>
      <c r="T737" s="139"/>
      <c r="U737" s="139"/>
      <c r="V737" s="139"/>
      <c r="W737" s="139"/>
      <c r="X737" s="139"/>
      <c r="Y737" s="139"/>
      <c r="Z737" s="139"/>
      <c r="AA737" s="139"/>
    </row>
    <row r="738" spans="1:27" ht="15.75">
      <c r="A738" s="139"/>
      <c r="B738" s="139"/>
      <c r="C738" s="680"/>
      <c r="D738" s="139"/>
      <c r="E738" s="680"/>
      <c r="F738" s="139"/>
      <c r="G738" s="139"/>
      <c r="H738" s="680"/>
      <c r="I738" s="680"/>
      <c r="J738" s="139"/>
      <c r="K738" s="139"/>
      <c r="L738" s="139"/>
      <c r="M738" s="139"/>
      <c r="N738" s="139"/>
      <c r="O738" s="139"/>
      <c r="P738" s="139"/>
      <c r="Q738" s="139"/>
      <c r="R738" s="139"/>
      <c r="S738" s="139"/>
      <c r="T738" s="139"/>
      <c r="U738" s="139"/>
      <c r="V738" s="139"/>
      <c r="W738" s="139"/>
      <c r="X738" s="139"/>
      <c r="Y738" s="139"/>
      <c r="Z738" s="139"/>
      <c r="AA738" s="139"/>
    </row>
    <row r="739" spans="1:27" ht="15.75">
      <c r="A739" s="139"/>
      <c r="B739" s="139"/>
      <c r="C739" s="680"/>
      <c r="D739" s="139"/>
      <c r="E739" s="680"/>
      <c r="F739" s="139"/>
      <c r="G739" s="139"/>
      <c r="H739" s="680"/>
      <c r="I739" s="680"/>
      <c r="J739" s="139"/>
      <c r="K739" s="139"/>
      <c r="L739" s="139"/>
      <c r="M739" s="139"/>
      <c r="N739" s="139"/>
      <c r="O739" s="139"/>
      <c r="P739" s="139"/>
      <c r="Q739" s="139"/>
      <c r="R739" s="139"/>
      <c r="S739" s="139"/>
      <c r="T739" s="139"/>
      <c r="U739" s="139"/>
      <c r="V739" s="139"/>
      <c r="W739" s="139"/>
      <c r="X739" s="139"/>
      <c r="Y739" s="139"/>
      <c r="Z739" s="139"/>
      <c r="AA739" s="139"/>
    </row>
    <row r="740" spans="1:27" ht="15.75">
      <c r="A740" s="139"/>
      <c r="B740" s="139"/>
      <c r="C740" s="680"/>
      <c r="D740" s="139"/>
      <c r="E740" s="680"/>
      <c r="F740" s="139"/>
      <c r="G740" s="139"/>
      <c r="H740" s="680"/>
      <c r="I740" s="680"/>
      <c r="J740" s="139"/>
      <c r="K740" s="139"/>
      <c r="L740" s="139"/>
      <c r="M740" s="139"/>
      <c r="N740" s="139"/>
      <c r="O740" s="139"/>
      <c r="P740" s="139"/>
      <c r="Q740" s="139"/>
      <c r="R740" s="139"/>
      <c r="S740" s="139"/>
      <c r="T740" s="139"/>
      <c r="U740" s="139"/>
      <c r="V740" s="139"/>
      <c r="W740" s="139"/>
      <c r="X740" s="139"/>
      <c r="Y740" s="139"/>
      <c r="Z740" s="139"/>
      <c r="AA740" s="139"/>
    </row>
    <row r="741" spans="1:27" ht="15.75">
      <c r="A741" s="139"/>
      <c r="B741" s="139"/>
      <c r="C741" s="680"/>
      <c r="D741" s="139"/>
      <c r="E741" s="680"/>
      <c r="F741" s="139"/>
      <c r="G741" s="139"/>
      <c r="H741" s="680"/>
      <c r="I741" s="680"/>
      <c r="J741" s="139"/>
      <c r="K741" s="139"/>
      <c r="L741" s="139"/>
      <c r="M741" s="139"/>
      <c r="N741" s="139"/>
      <c r="O741" s="139"/>
      <c r="P741" s="139"/>
      <c r="Q741" s="139"/>
      <c r="R741" s="139"/>
      <c r="S741" s="139"/>
      <c r="T741" s="139"/>
      <c r="U741" s="139"/>
      <c r="V741" s="139"/>
      <c r="W741" s="139"/>
      <c r="X741" s="139"/>
      <c r="Y741" s="139"/>
      <c r="Z741" s="139"/>
      <c r="AA741" s="139"/>
    </row>
    <row r="742" spans="1:27" ht="15.75">
      <c r="A742" s="139"/>
      <c r="B742" s="139"/>
      <c r="C742" s="680"/>
      <c r="D742" s="139"/>
      <c r="E742" s="680"/>
      <c r="F742" s="139"/>
      <c r="G742" s="139"/>
      <c r="H742" s="680"/>
      <c r="I742" s="680"/>
      <c r="J742" s="139"/>
      <c r="K742" s="139"/>
      <c r="L742" s="139"/>
      <c r="M742" s="139"/>
      <c r="N742" s="139"/>
      <c r="O742" s="139"/>
      <c r="P742" s="139"/>
      <c r="Q742" s="139"/>
      <c r="R742" s="139"/>
      <c r="S742" s="139"/>
      <c r="T742" s="139"/>
      <c r="U742" s="139"/>
      <c r="V742" s="139"/>
      <c r="W742" s="139"/>
      <c r="X742" s="139"/>
      <c r="Y742" s="139"/>
      <c r="Z742" s="139"/>
      <c r="AA742" s="139"/>
    </row>
    <row r="743" spans="1:27" ht="15.75">
      <c r="A743" s="139"/>
      <c r="B743" s="139"/>
      <c r="C743" s="680"/>
      <c r="D743" s="139"/>
      <c r="E743" s="680"/>
      <c r="F743" s="139"/>
      <c r="G743" s="139"/>
      <c r="H743" s="680"/>
      <c r="I743" s="680"/>
      <c r="J743" s="139"/>
      <c r="K743" s="139"/>
      <c r="L743" s="139"/>
      <c r="M743" s="139"/>
      <c r="N743" s="139"/>
      <c r="O743" s="139"/>
      <c r="P743" s="139"/>
      <c r="Q743" s="139"/>
      <c r="R743" s="139"/>
      <c r="S743" s="139"/>
      <c r="T743" s="139"/>
      <c r="U743" s="139"/>
      <c r="V743" s="139"/>
      <c r="W743" s="139"/>
      <c r="X743" s="139"/>
      <c r="Y743" s="139"/>
      <c r="Z743" s="139"/>
      <c r="AA743" s="139"/>
    </row>
    <row r="744" spans="1:27" ht="15.75">
      <c r="A744" s="139"/>
      <c r="B744" s="139"/>
      <c r="C744" s="680"/>
      <c r="D744" s="139"/>
      <c r="E744" s="680"/>
      <c r="F744" s="139"/>
      <c r="G744" s="139"/>
      <c r="H744" s="680"/>
      <c r="I744" s="680"/>
      <c r="J744" s="139"/>
      <c r="K744" s="139"/>
      <c r="L744" s="139"/>
      <c r="M744" s="139"/>
      <c r="N744" s="139"/>
      <c r="O744" s="139"/>
      <c r="P744" s="139"/>
      <c r="Q744" s="139"/>
      <c r="R744" s="139"/>
      <c r="S744" s="139"/>
      <c r="T744" s="139"/>
      <c r="U744" s="139"/>
      <c r="V744" s="139"/>
      <c r="W744" s="139"/>
      <c r="X744" s="139"/>
      <c r="Y744" s="139"/>
      <c r="Z744" s="139"/>
      <c r="AA744" s="139"/>
    </row>
    <row r="745" spans="1:27" ht="15.75">
      <c r="A745" s="139"/>
      <c r="B745" s="139"/>
      <c r="C745" s="680"/>
      <c r="D745" s="139"/>
      <c r="E745" s="680"/>
      <c r="F745" s="139"/>
      <c r="G745" s="139"/>
      <c r="H745" s="680"/>
      <c r="I745" s="680"/>
      <c r="J745" s="139"/>
      <c r="K745" s="139"/>
      <c r="L745" s="139"/>
      <c r="M745" s="139"/>
      <c r="N745" s="139"/>
      <c r="O745" s="139"/>
      <c r="P745" s="139"/>
      <c r="Q745" s="139"/>
      <c r="R745" s="139"/>
      <c r="S745" s="139"/>
      <c r="T745" s="139"/>
      <c r="U745" s="139"/>
      <c r="V745" s="139"/>
      <c r="W745" s="139"/>
      <c r="X745" s="139"/>
      <c r="Y745" s="139"/>
      <c r="Z745" s="139"/>
      <c r="AA745" s="139"/>
    </row>
    <row r="746" spans="1:27" ht="15.75">
      <c r="A746" s="139"/>
      <c r="B746" s="139"/>
      <c r="C746" s="680"/>
      <c r="D746" s="139"/>
      <c r="E746" s="680"/>
      <c r="F746" s="139"/>
      <c r="G746" s="139"/>
      <c r="H746" s="680"/>
      <c r="I746" s="680"/>
      <c r="J746" s="139"/>
      <c r="K746" s="139"/>
      <c r="L746" s="139"/>
      <c r="M746" s="139"/>
      <c r="N746" s="139"/>
      <c r="O746" s="139"/>
      <c r="P746" s="139"/>
      <c r="Q746" s="139"/>
      <c r="R746" s="139"/>
      <c r="S746" s="139"/>
      <c r="T746" s="139"/>
      <c r="U746" s="139"/>
      <c r="V746" s="139"/>
      <c r="W746" s="139"/>
      <c r="X746" s="139"/>
      <c r="Y746" s="139"/>
      <c r="Z746" s="139"/>
      <c r="AA746" s="139"/>
    </row>
    <row r="747" spans="1:27" ht="15.75">
      <c r="A747" s="139"/>
      <c r="B747" s="139"/>
      <c r="C747" s="680"/>
      <c r="D747" s="139"/>
      <c r="E747" s="680"/>
      <c r="F747" s="139"/>
      <c r="G747" s="139"/>
      <c r="H747" s="680"/>
      <c r="I747" s="680"/>
      <c r="J747" s="139"/>
      <c r="K747" s="139"/>
      <c r="L747" s="139"/>
      <c r="M747" s="139"/>
      <c r="N747" s="139"/>
      <c r="O747" s="139"/>
      <c r="P747" s="139"/>
      <c r="Q747" s="139"/>
      <c r="R747" s="139"/>
      <c r="S747" s="139"/>
      <c r="T747" s="139"/>
      <c r="U747" s="139"/>
      <c r="V747" s="139"/>
      <c r="W747" s="139"/>
      <c r="X747" s="139"/>
      <c r="Y747" s="139"/>
      <c r="Z747" s="139"/>
      <c r="AA747" s="139"/>
    </row>
    <row r="748" spans="1:27" ht="15.75">
      <c r="A748" s="139"/>
      <c r="B748" s="139"/>
      <c r="C748" s="680"/>
      <c r="D748" s="139"/>
      <c r="E748" s="680"/>
      <c r="F748" s="139"/>
      <c r="G748" s="139"/>
      <c r="H748" s="680"/>
      <c r="I748" s="680"/>
      <c r="J748" s="139"/>
      <c r="K748" s="139"/>
      <c r="L748" s="139"/>
      <c r="M748" s="139"/>
      <c r="N748" s="139"/>
      <c r="O748" s="139"/>
      <c r="P748" s="139"/>
      <c r="Q748" s="139"/>
      <c r="R748" s="139"/>
      <c r="S748" s="139"/>
      <c r="T748" s="139"/>
      <c r="U748" s="139"/>
      <c r="V748" s="139"/>
      <c r="W748" s="139"/>
      <c r="X748" s="139"/>
      <c r="Y748" s="139"/>
      <c r="Z748" s="139"/>
      <c r="AA748" s="139"/>
    </row>
    <row r="749" spans="1:27" ht="15.75">
      <c r="A749" s="139"/>
      <c r="B749" s="139"/>
      <c r="C749" s="680"/>
      <c r="D749" s="139"/>
      <c r="E749" s="680"/>
      <c r="F749" s="139"/>
      <c r="G749" s="139"/>
      <c r="H749" s="680"/>
      <c r="I749" s="680"/>
      <c r="J749" s="139"/>
      <c r="K749" s="139"/>
      <c r="L749" s="139"/>
      <c r="M749" s="139"/>
      <c r="N749" s="139"/>
      <c r="O749" s="139"/>
      <c r="P749" s="139"/>
      <c r="Q749" s="139"/>
      <c r="R749" s="139"/>
      <c r="S749" s="139"/>
      <c r="T749" s="139"/>
      <c r="U749" s="139"/>
      <c r="V749" s="139"/>
      <c r="W749" s="139"/>
      <c r="X749" s="139"/>
      <c r="Y749" s="139"/>
      <c r="Z749" s="139"/>
      <c r="AA749" s="139"/>
    </row>
    <row r="750" spans="1:27" ht="15.75">
      <c r="A750" s="139"/>
      <c r="B750" s="139"/>
      <c r="C750" s="680"/>
      <c r="D750" s="139"/>
      <c r="E750" s="680"/>
      <c r="F750" s="139"/>
      <c r="G750" s="139"/>
      <c r="H750" s="680"/>
      <c r="I750" s="680"/>
      <c r="J750" s="139"/>
      <c r="K750" s="139"/>
      <c r="L750" s="139"/>
      <c r="M750" s="139"/>
      <c r="N750" s="139"/>
      <c r="O750" s="139"/>
      <c r="P750" s="139"/>
      <c r="Q750" s="139"/>
      <c r="R750" s="139"/>
      <c r="S750" s="139"/>
      <c r="T750" s="139"/>
      <c r="U750" s="139"/>
      <c r="V750" s="139"/>
      <c r="W750" s="139"/>
      <c r="X750" s="139"/>
      <c r="Y750" s="139"/>
      <c r="Z750" s="139"/>
      <c r="AA750" s="139"/>
    </row>
    <row r="751" spans="1:27" ht="15.75">
      <c r="A751" s="139"/>
      <c r="B751" s="139"/>
      <c r="C751" s="680"/>
      <c r="D751" s="139"/>
      <c r="E751" s="680"/>
      <c r="F751" s="139"/>
      <c r="G751" s="139"/>
      <c r="H751" s="680"/>
      <c r="I751" s="680"/>
      <c r="J751" s="139"/>
      <c r="K751" s="139"/>
      <c r="L751" s="139"/>
      <c r="M751" s="139"/>
      <c r="N751" s="139"/>
      <c r="O751" s="139"/>
      <c r="P751" s="139"/>
      <c r="Q751" s="139"/>
      <c r="R751" s="139"/>
      <c r="S751" s="139"/>
      <c r="T751" s="139"/>
      <c r="U751" s="139"/>
      <c r="V751" s="139"/>
      <c r="W751" s="139"/>
      <c r="X751" s="139"/>
      <c r="Y751" s="139"/>
      <c r="Z751" s="139"/>
      <c r="AA751" s="139"/>
    </row>
    <row r="752" spans="1:27" ht="15.75">
      <c r="A752" s="139"/>
      <c r="B752" s="139"/>
      <c r="C752" s="680"/>
      <c r="D752" s="139"/>
      <c r="E752" s="680"/>
      <c r="F752" s="139"/>
      <c r="G752" s="139"/>
      <c r="H752" s="680"/>
      <c r="I752" s="680"/>
      <c r="J752" s="139"/>
      <c r="K752" s="139"/>
      <c r="L752" s="139"/>
      <c r="M752" s="139"/>
      <c r="N752" s="139"/>
      <c r="O752" s="139"/>
      <c r="P752" s="139"/>
      <c r="Q752" s="139"/>
      <c r="R752" s="139"/>
      <c r="S752" s="139"/>
      <c r="T752" s="139"/>
      <c r="U752" s="139"/>
      <c r="V752" s="139"/>
      <c r="W752" s="139"/>
      <c r="X752" s="139"/>
      <c r="Y752" s="139"/>
      <c r="Z752" s="139"/>
      <c r="AA752" s="139"/>
    </row>
    <row r="753" spans="1:27" ht="15.75">
      <c r="A753" s="139"/>
      <c r="B753" s="139"/>
      <c r="C753" s="680"/>
      <c r="D753" s="139"/>
      <c r="E753" s="680"/>
      <c r="F753" s="139"/>
      <c r="G753" s="139"/>
      <c r="H753" s="680"/>
      <c r="I753" s="680"/>
      <c r="J753" s="139"/>
      <c r="K753" s="139"/>
      <c r="L753" s="139"/>
      <c r="M753" s="139"/>
      <c r="N753" s="139"/>
      <c r="O753" s="139"/>
      <c r="P753" s="139"/>
      <c r="Q753" s="139"/>
      <c r="R753" s="139"/>
      <c r="S753" s="139"/>
      <c r="T753" s="139"/>
      <c r="U753" s="139"/>
      <c r="V753" s="139"/>
      <c r="W753" s="139"/>
      <c r="X753" s="139"/>
      <c r="Y753" s="139"/>
      <c r="Z753" s="139"/>
      <c r="AA753" s="139"/>
    </row>
    <row r="754" spans="1:27" ht="15.75">
      <c r="A754" s="139"/>
      <c r="B754" s="139"/>
      <c r="C754" s="680"/>
      <c r="D754" s="139"/>
      <c r="E754" s="680"/>
      <c r="F754" s="139"/>
      <c r="G754" s="139"/>
      <c r="H754" s="680"/>
      <c r="I754" s="680"/>
      <c r="J754" s="139"/>
      <c r="K754" s="139"/>
      <c r="L754" s="139"/>
      <c r="M754" s="139"/>
      <c r="N754" s="139"/>
      <c r="O754" s="139"/>
      <c r="P754" s="139"/>
      <c r="Q754" s="139"/>
      <c r="R754" s="139"/>
      <c r="S754" s="139"/>
      <c r="T754" s="139"/>
      <c r="U754" s="139"/>
      <c r="V754" s="139"/>
      <c r="W754" s="139"/>
      <c r="X754" s="139"/>
      <c r="Y754" s="139"/>
      <c r="Z754" s="139"/>
      <c r="AA754" s="139"/>
    </row>
    <row r="755" spans="1:27" ht="15.75">
      <c r="A755" s="139"/>
      <c r="B755" s="139"/>
      <c r="C755" s="680"/>
      <c r="D755" s="139"/>
      <c r="E755" s="680"/>
      <c r="F755" s="139"/>
      <c r="G755" s="139"/>
      <c r="H755" s="680"/>
      <c r="I755" s="680"/>
      <c r="J755" s="139"/>
      <c r="K755" s="139"/>
      <c r="L755" s="139"/>
      <c r="M755" s="139"/>
      <c r="N755" s="139"/>
      <c r="O755" s="139"/>
      <c r="P755" s="139"/>
      <c r="Q755" s="139"/>
      <c r="R755" s="139"/>
      <c r="S755" s="139"/>
      <c r="T755" s="139"/>
      <c r="U755" s="139"/>
      <c r="V755" s="139"/>
      <c r="W755" s="139"/>
      <c r="X755" s="139"/>
      <c r="Y755" s="139"/>
      <c r="Z755" s="139"/>
      <c r="AA755" s="139"/>
    </row>
    <row r="756" spans="1:27" ht="15.75">
      <c r="A756" s="139"/>
      <c r="B756" s="139"/>
      <c r="C756" s="680"/>
      <c r="D756" s="139"/>
      <c r="E756" s="680"/>
      <c r="F756" s="139"/>
      <c r="G756" s="139"/>
      <c r="H756" s="680"/>
      <c r="I756" s="680"/>
      <c r="J756" s="139"/>
      <c r="K756" s="139"/>
      <c r="L756" s="139"/>
      <c r="M756" s="139"/>
      <c r="N756" s="139"/>
      <c r="O756" s="139"/>
      <c r="P756" s="139"/>
      <c r="Q756" s="139"/>
      <c r="R756" s="139"/>
      <c r="S756" s="139"/>
      <c r="T756" s="139"/>
      <c r="U756" s="139"/>
      <c r="V756" s="139"/>
      <c r="W756" s="139"/>
      <c r="X756" s="139"/>
      <c r="Y756" s="139"/>
      <c r="Z756" s="139"/>
      <c r="AA756" s="139"/>
    </row>
    <row r="757" spans="1:27" ht="15.75">
      <c r="A757" s="139"/>
      <c r="B757" s="139"/>
      <c r="C757" s="680"/>
      <c r="D757" s="139"/>
      <c r="E757" s="680"/>
      <c r="F757" s="139"/>
      <c r="G757" s="139"/>
      <c r="H757" s="680"/>
      <c r="I757" s="680"/>
      <c r="J757" s="139"/>
      <c r="K757" s="139"/>
      <c r="L757" s="139"/>
      <c r="M757" s="139"/>
      <c r="N757" s="139"/>
      <c r="O757" s="139"/>
      <c r="P757" s="139"/>
      <c r="Q757" s="139"/>
      <c r="R757" s="139"/>
      <c r="S757" s="139"/>
      <c r="T757" s="139"/>
      <c r="U757" s="139"/>
      <c r="V757" s="139"/>
      <c r="W757" s="139"/>
      <c r="X757" s="139"/>
      <c r="Y757" s="139"/>
      <c r="Z757" s="139"/>
      <c r="AA757" s="139"/>
    </row>
    <row r="758" spans="1:27" ht="15.75">
      <c r="A758" s="139"/>
      <c r="B758" s="139"/>
      <c r="C758" s="680"/>
      <c r="D758" s="139"/>
      <c r="E758" s="680"/>
      <c r="F758" s="139"/>
      <c r="G758" s="139"/>
      <c r="H758" s="680"/>
      <c r="I758" s="680"/>
      <c r="J758" s="139"/>
      <c r="K758" s="139"/>
      <c r="L758" s="139"/>
      <c r="M758" s="139"/>
      <c r="N758" s="139"/>
      <c r="O758" s="139"/>
      <c r="P758" s="139"/>
      <c r="Q758" s="139"/>
      <c r="R758" s="139"/>
      <c r="S758" s="139"/>
      <c r="T758" s="139"/>
      <c r="U758" s="139"/>
      <c r="V758" s="139"/>
      <c r="W758" s="139"/>
      <c r="X758" s="139"/>
      <c r="Y758" s="139"/>
      <c r="Z758" s="139"/>
      <c r="AA758" s="139"/>
    </row>
    <row r="759" spans="1:27" ht="15.75">
      <c r="A759" s="139"/>
      <c r="B759" s="139"/>
      <c r="C759" s="680"/>
      <c r="D759" s="139"/>
      <c r="E759" s="680"/>
      <c r="F759" s="139"/>
      <c r="G759" s="139"/>
      <c r="H759" s="680"/>
      <c r="I759" s="680"/>
      <c r="J759" s="139"/>
      <c r="K759" s="139"/>
      <c r="L759" s="139"/>
      <c r="M759" s="139"/>
      <c r="N759" s="139"/>
      <c r="O759" s="139"/>
      <c r="P759" s="139"/>
      <c r="Q759" s="139"/>
      <c r="R759" s="139"/>
      <c r="S759" s="139"/>
      <c r="T759" s="139"/>
      <c r="U759" s="139"/>
      <c r="V759" s="139"/>
      <c r="W759" s="139"/>
      <c r="X759" s="139"/>
      <c r="Y759" s="139"/>
      <c r="Z759" s="139"/>
      <c r="AA759" s="139"/>
    </row>
    <row r="760" spans="1:27" ht="15.75">
      <c r="A760" s="139"/>
      <c r="B760" s="139"/>
      <c r="C760" s="680"/>
      <c r="D760" s="139"/>
      <c r="E760" s="680"/>
      <c r="F760" s="139"/>
      <c r="G760" s="139"/>
      <c r="H760" s="680"/>
      <c r="I760" s="680"/>
      <c r="J760" s="139"/>
      <c r="K760" s="139"/>
      <c r="L760" s="139"/>
      <c r="M760" s="139"/>
      <c r="N760" s="139"/>
      <c r="O760" s="139"/>
      <c r="P760" s="139"/>
      <c r="Q760" s="139"/>
      <c r="R760" s="139"/>
      <c r="S760" s="139"/>
      <c r="T760" s="139"/>
      <c r="U760" s="139"/>
      <c r="V760" s="139"/>
      <c r="W760" s="139"/>
      <c r="X760" s="139"/>
      <c r="Y760" s="139"/>
      <c r="Z760" s="139"/>
      <c r="AA760" s="139"/>
    </row>
    <row r="761" spans="1:27" ht="15.75">
      <c r="A761" s="139"/>
      <c r="B761" s="139"/>
      <c r="C761" s="680"/>
      <c r="D761" s="139"/>
      <c r="E761" s="680"/>
      <c r="F761" s="139"/>
      <c r="G761" s="139"/>
      <c r="H761" s="680"/>
      <c r="I761" s="680"/>
      <c r="J761" s="139"/>
      <c r="K761" s="139"/>
      <c r="L761" s="139"/>
      <c r="M761" s="139"/>
      <c r="N761" s="139"/>
      <c r="O761" s="139"/>
      <c r="P761" s="139"/>
      <c r="Q761" s="139"/>
      <c r="R761" s="139"/>
      <c r="S761" s="139"/>
      <c r="T761" s="139"/>
      <c r="U761" s="139"/>
      <c r="V761" s="139"/>
      <c r="W761" s="139"/>
      <c r="X761" s="139"/>
      <c r="Y761" s="139"/>
      <c r="Z761" s="139"/>
      <c r="AA761" s="139"/>
    </row>
    <row r="762" spans="1:27" ht="15.75">
      <c r="A762" s="139"/>
      <c r="B762" s="139"/>
      <c r="C762" s="680"/>
      <c r="D762" s="139"/>
      <c r="E762" s="680"/>
      <c r="F762" s="139"/>
      <c r="G762" s="139"/>
      <c r="H762" s="680"/>
      <c r="I762" s="680"/>
      <c r="J762" s="139"/>
      <c r="K762" s="139"/>
      <c r="L762" s="139"/>
      <c r="M762" s="139"/>
      <c r="N762" s="139"/>
      <c r="O762" s="139"/>
      <c r="P762" s="139"/>
      <c r="Q762" s="139"/>
      <c r="R762" s="139"/>
      <c r="S762" s="139"/>
      <c r="T762" s="139"/>
      <c r="U762" s="139"/>
      <c r="V762" s="139"/>
      <c r="W762" s="139"/>
      <c r="X762" s="139"/>
      <c r="Y762" s="139"/>
      <c r="Z762" s="139"/>
      <c r="AA762" s="139"/>
    </row>
    <row r="763" spans="1:27" ht="15.75">
      <c r="A763" s="139"/>
      <c r="B763" s="139"/>
      <c r="C763" s="680"/>
      <c r="D763" s="139"/>
      <c r="E763" s="680"/>
      <c r="F763" s="139"/>
      <c r="G763" s="139"/>
      <c r="H763" s="680"/>
      <c r="I763" s="680"/>
      <c r="J763" s="139"/>
      <c r="K763" s="139"/>
      <c r="L763" s="139"/>
      <c r="M763" s="139"/>
      <c r="N763" s="139"/>
      <c r="O763" s="139"/>
      <c r="P763" s="139"/>
      <c r="Q763" s="139"/>
      <c r="R763" s="139"/>
      <c r="S763" s="139"/>
      <c r="T763" s="139"/>
      <c r="U763" s="139"/>
      <c r="V763" s="139"/>
      <c r="W763" s="139"/>
      <c r="X763" s="139"/>
      <c r="Y763" s="139"/>
      <c r="Z763" s="139"/>
      <c r="AA763" s="139"/>
    </row>
    <row r="764" spans="1:27" ht="15.75">
      <c r="A764" s="139"/>
      <c r="B764" s="139"/>
      <c r="C764" s="680"/>
      <c r="D764" s="139"/>
      <c r="E764" s="680"/>
      <c r="F764" s="139"/>
      <c r="G764" s="139"/>
      <c r="H764" s="680"/>
      <c r="I764" s="680"/>
      <c r="J764" s="139"/>
      <c r="K764" s="139"/>
      <c r="L764" s="139"/>
      <c r="M764" s="139"/>
      <c r="N764" s="139"/>
      <c r="O764" s="139"/>
      <c r="P764" s="139"/>
      <c r="Q764" s="139"/>
      <c r="R764" s="139"/>
      <c r="S764" s="139"/>
      <c r="T764" s="139"/>
      <c r="U764" s="139"/>
      <c r="V764" s="139"/>
      <c r="W764" s="139"/>
      <c r="X764" s="139"/>
      <c r="Y764" s="139"/>
      <c r="Z764" s="139"/>
      <c r="AA764" s="139"/>
    </row>
    <row r="765" spans="1:27" ht="15.75">
      <c r="A765" s="139"/>
      <c r="B765" s="139"/>
      <c r="C765" s="680"/>
      <c r="D765" s="139"/>
      <c r="E765" s="680"/>
      <c r="F765" s="139"/>
      <c r="G765" s="139"/>
      <c r="H765" s="680"/>
      <c r="I765" s="680"/>
      <c r="J765" s="139"/>
      <c r="K765" s="139"/>
      <c r="L765" s="139"/>
      <c r="M765" s="139"/>
      <c r="N765" s="139"/>
      <c r="O765" s="139"/>
      <c r="P765" s="139"/>
      <c r="Q765" s="139"/>
      <c r="R765" s="139"/>
      <c r="S765" s="139"/>
      <c r="T765" s="139"/>
      <c r="U765" s="139"/>
      <c r="V765" s="139"/>
      <c r="W765" s="139"/>
      <c r="X765" s="139"/>
      <c r="Y765" s="139"/>
      <c r="Z765" s="139"/>
      <c r="AA765" s="139"/>
    </row>
    <row r="766" spans="1:27" ht="15.75">
      <c r="A766" s="139"/>
      <c r="B766" s="139"/>
      <c r="C766" s="680"/>
      <c r="D766" s="139"/>
      <c r="E766" s="680"/>
      <c r="F766" s="139"/>
      <c r="G766" s="139"/>
      <c r="H766" s="680"/>
      <c r="I766" s="680"/>
      <c r="J766" s="139"/>
      <c r="K766" s="139"/>
      <c r="L766" s="139"/>
      <c r="M766" s="139"/>
      <c r="N766" s="139"/>
      <c r="O766" s="139"/>
      <c r="P766" s="139"/>
      <c r="Q766" s="139"/>
      <c r="R766" s="139"/>
      <c r="S766" s="139"/>
      <c r="T766" s="139"/>
      <c r="U766" s="139"/>
      <c r="V766" s="139"/>
      <c r="W766" s="139"/>
      <c r="X766" s="139"/>
      <c r="Y766" s="139"/>
      <c r="Z766" s="139"/>
      <c r="AA766" s="139"/>
    </row>
    <row r="767" spans="1:27" ht="15.75">
      <c r="A767" s="139"/>
      <c r="B767" s="139"/>
      <c r="C767" s="680"/>
      <c r="D767" s="139"/>
      <c r="E767" s="680"/>
      <c r="F767" s="139"/>
      <c r="G767" s="139"/>
      <c r="H767" s="680"/>
      <c r="I767" s="680"/>
      <c r="J767" s="139"/>
      <c r="K767" s="139"/>
      <c r="L767" s="139"/>
      <c r="M767" s="139"/>
      <c r="N767" s="139"/>
      <c r="O767" s="139"/>
      <c r="P767" s="139"/>
      <c r="Q767" s="139"/>
      <c r="R767" s="139"/>
      <c r="S767" s="139"/>
      <c r="T767" s="139"/>
      <c r="U767" s="139"/>
      <c r="V767" s="139"/>
      <c r="W767" s="139"/>
      <c r="X767" s="139"/>
      <c r="Y767" s="139"/>
      <c r="Z767" s="139"/>
      <c r="AA767" s="139"/>
    </row>
    <row r="768" spans="1:27" ht="15.75">
      <c r="A768" s="139"/>
      <c r="B768" s="139"/>
      <c r="C768" s="680"/>
      <c r="D768" s="139"/>
      <c r="E768" s="680"/>
      <c r="F768" s="139"/>
      <c r="G768" s="139"/>
      <c r="H768" s="680"/>
      <c r="I768" s="680"/>
      <c r="J768" s="139"/>
      <c r="K768" s="139"/>
      <c r="L768" s="139"/>
      <c r="M768" s="139"/>
      <c r="N768" s="139"/>
      <c r="O768" s="139"/>
      <c r="P768" s="139"/>
      <c r="Q768" s="139"/>
      <c r="R768" s="139"/>
      <c r="S768" s="139"/>
      <c r="T768" s="139"/>
      <c r="U768" s="139"/>
      <c r="V768" s="139"/>
      <c r="W768" s="139"/>
      <c r="X768" s="139"/>
      <c r="Y768" s="139"/>
      <c r="Z768" s="139"/>
      <c r="AA768" s="139"/>
    </row>
    <row r="769" spans="1:27" ht="15.75">
      <c r="A769" s="139"/>
      <c r="B769" s="139"/>
      <c r="C769" s="680"/>
      <c r="D769" s="139"/>
      <c r="E769" s="680"/>
      <c r="F769" s="139"/>
      <c r="G769" s="139"/>
      <c r="H769" s="680"/>
      <c r="I769" s="680"/>
      <c r="J769" s="139"/>
      <c r="K769" s="139"/>
      <c r="L769" s="139"/>
      <c r="M769" s="139"/>
      <c r="N769" s="139"/>
      <c r="O769" s="139"/>
      <c r="P769" s="139"/>
      <c r="Q769" s="139"/>
      <c r="R769" s="139"/>
      <c r="S769" s="139"/>
      <c r="T769" s="139"/>
      <c r="U769" s="139"/>
      <c r="V769" s="139"/>
      <c r="W769" s="139"/>
      <c r="X769" s="139"/>
      <c r="Y769" s="139"/>
      <c r="Z769" s="139"/>
      <c r="AA769" s="139"/>
    </row>
    <row r="770" spans="1:27" ht="15.75">
      <c r="A770" s="139"/>
      <c r="B770" s="139"/>
      <c r="C770" s="680"/>
      <c r="D770" s="139"/>
      <c r="E770" s="680"/>
      <c r="F770" s="139"/>
      <c r="G770" s="139"/>
      <c r="H770" s="680"/>
      <c r="I770" s="680"/>
      <c r="J770" s="139"/>
      <c r="K770" s="139"/>
      <c r="L770" s="139"/>
      <c r="M770" s="139"/>
      <c r="N770" s="139"/>
      <c r="O770" s="139"/>
      <c r="P770" s="139"/>
      <c r="Q770" s="139"/>
      <c r="R770" s="139"/>
      <c r="S770" s="139"/>
      <c r="T770" s="139"/>
      <c r="U770" s="139"/>
      <c r="V770" s="139"/>
      <c r="W770" s="139"/>
      <c r="X770" s="139"/>
      <c r="Y770" s="139"/>
      <c r="Z770" s="139"/>
      <c r="AA770" s="139"/>
    </row>
    <row r="771" spans="1:27" ht="15.75">
      <c r="A771" s="139"/>
      <c r="B771" s="139"/>
      <c r="C771" s="680"/>
      <c r="D771" s="139"/>
      <c r="E771" s="680"/>
      <c r="F771" s="139"/>
      <c r="G771" s="139"/>
      <c r="H771" s="680"/>
      <c r="I771" s="680"/>
      <c r="J771" s="139"/>
      <c r="K771" s="139"/>
      <c r="L771" s="139"/>
      <c r="M771" s="139"/>
      <c r="N771" s="139"/>
      <c r="O771" s="139"/>
      <c r="P771" s="139"/>
      <c r="Q771" s="139"/>
      <c r="R771" s="139"/>
      <c r="S771" s="139"/>
      <c r="T771" s="139"/>
      <c r="U771" s="139"/>
      <c r="V771" s="139"/>
      <c r="W771" s="139"/>
      <c r="X771" s="139"/>
      <c r="Y771" s="139"/>
      <c r="Z771" s="139"/>
      <c r="AA771" s="139"/>
    </row>
    <row r="772" spans="1:27" ht="15.75">
      <c r="A772" s="139"/>
      <c r="B772" s="139"/>
      <c r="C772" s="680"/>
      <c r="D772" s="139"/>
      <c r="E772" s="680"/>
      <c r="F772" s="139"/>
      <c r="G772" s="139"/>
      <c r="H772" s="680"/>
      <c r="I772" s="680"/>
      <c r="J772" s="139"/>
      <c r="K772" s="139"/>
      <c r="L772" s="139"/>
      <c r="M772" s="139"/>
      <c r="N772" s="139"/>
      <c r="O772" s="139"/>
      <c r="P772" s="139"/>
      <c r="Q772" s="139"/>
      <c r="R772" s="139"/>
      <c r="S772" s="139"/>
      <c r="T772" s="139"/>
      <c r="U772" s="139"/>
      <c r="V772" s="139"/>
      <c r="W772" s="139"/>
      <c r="X772" s="139"/>
      <c r="Y772" s="139"/>
      <c r="Z772" s="139"/>
      <c r="AA772" s="139"/>
    </row>
    <row r="773" spans="1:27" ht="15.75">
      <c r="A773" s="139"/>
      <c r="B773" s="139"/>
      <c r="C773" s="680"/>
      <c r="D773" s="139"/>
      <c r="E773" s="680"/>
      <c r="F773" s="139"/>
      <c r="G773" s="139"/>
      <c r="H773" s="680"/>
      <c r="I773" s="680"/>
      <c r="J773" s="139"/>
      <c r="K773" s="139"/>
      <c r="L773" s="139"/>
      <c r="M773" s="139"/>
      <c r="N773" s="139"/>
      <c r="O773" s="139"/>
      <c r="P773" s="139"/>
      <c r="Q773" s="139"/>
      <c r="R773" s="139"/>
      <c r="S773" s="139"/>
      <c r="T773" s="139"/>
      <c r="U773" s="139"/>
      <c r="V773" s="139"/>
      <c r="W773" s="139"/>
      <c r="X773" s="139"/>
      <c r="Y773" s="139"/>
      <c r="Z773" s="139"/>
      <c r="AA773" s="139"/>
    </row>
    <row r="774" spans="1:27" ht="15.75">
      <c r="A774" s="139"/>
      <c r="B774" s="139"/>
      <c r="C774" s="680"/>
      <c r="D774" s="139"/>
      <c r="E774" s="680"/>
      <c r="F774" s="139"/>
      <c r="G774" s="139"/>
      <c r="H774" s="680"/>
      <c r="I774" s="680"/>
      <c r="J774" s="139"/>
      <c r="K774" s="139"/>
      <c r="L774" s="139"/>
      <c r="M774" s="139"/>
      <c r="N774" s="139"/>
      <c r="O774" s="139"/>
      <c r="P774" s="139"/>
      <c r="Q774" s="139"/>
      <c r="R774" s="139"/>
      <c r="S774" s="139"/>
      <c r="T774" s="139"/>
      <c r="U774" s="139"/>
      <c r="V774" s="139"/>
      <c r="W774" s="139"/>
      <c r="X774" s="139"/>
      <c r="Y774" s="139"/>
      <c r="Z774" s="139"/>
      <c r="AA774" s="139"/>
    </row>
    <row r="775" spans="1:27" ht="15.75">
      <c r="A775" s="139"/>
      <c r="B775" s="139"/>
      <c r="C775" s="680"/>
      <c r="D775" s="139"/>
      <c r="E775" s="680"/>
      <c r="F775" s="139"/>
      <c r="G775" s="139"/>
      <c r="H775" s="680"/>
      <c r="I775" s="680"/>
      <c r="J775" s="139"/>
      <c r="K775" s="139"/>
      <c r="L775" s="139"/>
      <c r="M775" s="139"/>
      <c r="N775" s="139"/>
      <c r="O775" s="139"/>
      <c r="P775" s="139"/>
      <c r="Q775" s="139"/>
      <c r="R775" s="139"/>
      <c r="S775" s="139"/>
      <c r="T775" s="139"/>
      <c r="U775" s="139"/>
      <c r="V775" s="139"/>
      <c r="W775" s="139"/>
      <c r="X775" s="139"/>
      <c r="Y775" s="139"/>
      <c r="Z775" s="139"/>
      <c r="AA775" s="139"/>
    </row>
    <row r="776" spans="1:27" ht="15.75">
      <c r="A776" s="139"/>
      <c r="B776" s="139"/>
      <c r="C776" s="680"/>
      <c r="D776" s="139"/>
      <c r="E776" s="680"/>
      <c r="F776" s="139"/>
      <c r="G776" s="139"/>
      <c r="H776" s="680"/>
      <c r="I776" s="680"/>
      <c r="J776" s="139"/>
      <c r="K776" s="139"/>
      <c r="L776" s="139"/>
      <c r="M776" s="139"/>
      <c r="N776" s="139"/>
      <c r="O776" s="139"/>
      <c r="P776" s="139"/>
      <c r="Q776" s="139"/>
      <c r="R776" s="139"/>
      <c r="S776" s="139"/>
      <c r="T776" s="139"/>
      <c r="U776" s="139"/>
      <c r="V776" s="139"/>
      <c r="W776" s="139"/>
      <c r="X776" s="139"/>
      <c r="Y776" s="139"/>
      <c r="Z776" s="139"/>
      <c r="AA776" s="139"/>
    </row>
    <row r="777" spans="1:27" ht="15.75">
      <c r="A777" s="139"/>
      <c r="B777" s="139"/>
      <c r="C777" s="680"/>
      <c r="D777" s="139"/>
      <c r="E777" s="680"/>
      <c r="F777" s="139"/>
      <c r="G777" s="139"/>
      <c r="H777" s="680"/>
      <c r="I777" s="680"/>
      <c r="J777" s="139"/>
      <c r="K777" s="139"/>
      <c r="L777" s="139"/>
      <c r="M777" s="139"/>
      <c r="N777" s="139"/>
      <c r="O777" s="139"/>
      <c r="P777" s="139"/>
      <c r="Q777" s="139"/>
      <c r="R777" s="139"/>
      <c r="S777" s="139"/>
      <c r="T777" s="139"/>
      <c r="U777" s="139"/>
      <c r="V777" s="139"/>
      <c r="W777" s="139"/>
      <c r="X777" s="139"/>
      <c r="Y777" s="139"/>
      <c r="Z777" s="139"/>
      <c r="AA777" s="139"/>
    </row>
    <row r="778" spans="1:27" ht="15.75">
      <c r="A778" s="139"/>
      <c r="B778" s="139"/>
      <c r="C778" s="680"/>
      <c r="D778" s="139"/>
      <c r="E778" s="680"/>
      <c r="F778" s="139"/>
      <c r="G778" s="139"/>
      <c r="H778" s="680"/>
      <c r="I778" s="680"/>
      <c r="J778" s="139"/>
      <c r="K778" s="139"/>
      <c r="L778" s="139"/>
      <c r="M778" s="139"/>
      <c r="N778" s="139"/>
      <c r="O778" s="139"/>
      <c r="P778" s="139"/>
      <c r="Q778" s="139"/>
      <c r="R778" s="139"/>
      <c r="S778" s="139"/>
      <c r="T778" s="139"/>
      <c r="U778" s="139"/>
      <c r="V778" s="139"/>
      <c r="W778" s="139"/>
      <c r="X778" s="139"/>
      <c r="Y778" s="139"/>
      <c r="Z778" s="139"/>
      <c r="AA778" s="139"/>
    </row>
    <row r="779" spans="1:27" ht="15.75">
      <c r="A779" s="139"/>
      <c r="B779" s="139"/>
      <c r="C779" s="680"/>
      <c r="D779" s="139"/>
      <c r="E779" s="680"/>
      <c r="F779" s="139"/>
      <c r="G779" s="139"/>
      <c r="H779" s="680"/>
      <c r="I779" s="680"/>
      <c r="J779" s="139"/>
      <c r="K779" s="139"/>
      <c r="L779" s="139"/>
      <c r="M779" s="139"/>
      <c r="N779" s="139"/>
      <c r="O779" s="139"/>
      <c r="P779" s="139"/>
      <c r="Q779" s="139"/>
      <c r="R779" s="139"/>
      <c r="S779" s="139"/>
      <c r="T779" s="139"/>
      <c r="U779" s="139"/>
      <c r="V779" s="139"/>
      <c r="W779" s="139"/>
      <c r="X779" s="139"/>
      <c r="Y779" s="139"/>
      <c r="Z779" s="139"/>
      <c r="AA779" s="139"/>
    </row>
    <row r="780" spans="1:27" ht="15.75">
      <c r="A780" s="139"/>
      <c r="B780" s="139"/>
      <c r="C780" s="680"/>
      <c r="D780" s="139"/>
      <c r="E780" s="680"/>
      <c r="F780" s="139"/>
      <c r="G780" s="139"/>
      <c r="H780" s="680"/>
      <c r="I780" s="680"/>
      <c r="J780" s="139"/>
      <c r="K780" s="139"/>
      <c r="L780" s="139"/>
      <c r="M780" s="139"/>
      <c r="N780" s="139"/>
      <c r="O780" s="139"/>
      <c r="P780" s="139"/>
      <c r="Q780" s="139"/>
      <c r="R780" s="139"/>
      <c r="S780" s="139"/>
      <c r="T780" s="139"/>
      <c r="U780" s="139"/>
      <c r="V780" s="139"/>
      <c r="W780" s="139"/>
      <c r="X780" s="139"/>
      <c r="Y780" s="139"/>
      <c r="Z780" s="139"/>
      <c r="AA780" s="139"/>
    </row>
    <row r="781" spans="1:27" ht="15.75">
      <c r="A781" s="139"/>
      <c r="B781" s="139"/>
      <c r="C781" s="680"/>
      <c r="D781" s="139"/>
      <c r="E781" s="680"/>
      <c r="F781" s="139"/>
      <c r="G781" s="139"/>
      <c r="H781" s="680"/>
      <c r="I781" s="680"/>
      <c r="J781" s="139"/>
      <c r="K781" s="139"/>
      <c r="L781" s="139"/>
      <c r="M781" s="139"/>
      <c r="N781" s="139"/>
      <c r="O781" s="139"/>
      <c r="P781" s="139"/>
      <c r="Q781" s="139"/>
      <c r="R781" s="139"/>
      <c r="S781" s="139"/>
      <c r="T781" s="139"/>
      <c r="U781" s="139"/>
      <c r="V781" s="139"/>
      <c r="W781" s="139"/>
      <c r="X781" s="139"/>
      <c r="Y781" s="139"/>
      <c r="Z781" s="139"/>
      <c r="AA781" s="139"/>
    </row>
    <row r="782" spans="1:27" ht="15.75">
      <c r="A782" s="139"/>
      <c r="B782" s="139"/>
      <c r="C782" s="680"/>
      <c r="D782" s="139"/>
      <c r="E782" s="680"/>
      <c r="F782" s="139"/>
      <c r="G782" s="139"/>
      <c r="H782" s="680"/>
      <c r="I782" s="680"/>
      <c r="J782" s="139"/>
      <c r="K782" s="139"/>
      <c r="L782" s="139"/>
      <c r="M782" s="139"/>
      <c r="N782" s="139"/>
      <c r="O782" s="139"/>
      <c r="P782" s="139"/>
      <c r="Q782" s="139"/>
      <c r="R782" s="139"/>
      <c r="S782" s="139"/>
      <c r="T782" s="139"/>
      <c r="U782" s="139"/>
      <c r="V782" s="139"/>
      <c r="W782" s="139"/>
      <c r="X782" s="139"/>
      <c r="Y782" s="139"/>
      <c r="Z782" s="139"/>
      <c r="AA782" s="139"/>
    </row>
    <row r="783" spans="1:27" ht="15.75">
      <c r="A783" s="139"/>
      <c r="B783" s="139"/>
      <c r="C783" s="680"/>
      <c r="D783" s="139"/>
      <c r="E783" s="680"/>
      <c r="F783" s="139"/>
      <c r="G783" s="139"/>
      <c r="H783" s="680"/>
      <c r="I783" s="680"/>
      <c r="J783" s="139"/>
      <c r="K783" s="139"/>
      <c r="L783" s="139"/>
      <c r="M783" s="139"/>
      <c r="N783" s="139"/>
      <c r="O783" s="139"/>
      <c r="P783" s="139"/>
      <c r="Q783" s="139"/>
      <c r="R783" s="139"/>
      <c r="S783" s="139"/>
      <c r="T783" s="139"/>
      <c r="U783" s="139"/>
      <c r="V783" s="139"/>
      <c r="W783" s="139"/>
      <c r="X783" s="139"/>
      <c r="Y783" s="139"/>
      <c r="Z783" s="139"/>
      <c r="AA783" s="139"/>
    </row>
    <row r="784" spans="1:27" ht="15.75">
      <c r="A784" s="139"/>
      <c r="B784" s="139"/>
      <c r="C784" s="680"/>
      <c r="D784" s="139"/>
      <c r="E784" s="680"/>
      <c r="F784" s="139"/>
      <c r="G784" s="139"/>
      <c r="H784" s="680"/>
      <c r="I784" s="680"/>
      <c r="J784" s="139"/>
      <c r="K784" s="139"/>
      <c r="L784" s="139"/>
      <c r="M784" s="139"/>
      <c r="N784" s="139"/>
      <c r="O784" s="139"/>
      <c r="P784" s="139"/>
      <c r="Q784" s="139"/>
      <c r="R784" s="139"/>
      <c r="S784" s="139"/>
      <c r="T784" s="139"/>
      <c r="U784" s="139"/>
      <c r="V784" s="139"/>
      <c r="W784" s="139"/>
      <c r="X784" s="139"/>
      <c r="Y784" s="139"/>
      <c r="Z784" s="139"/>
      <c r="AA784" s="139"/>
    </row>
    <row r="785" spans="1:27" ht="15.75">
      <c r="A785" s="139"/>
      <c r="B785" s="139"/>
      <c r="C785" s="680"/>
      <c r="D785" s="139"/>
      <c r="E785" s="680"/>
      <c r="F785" s="139"/>
      <c r="G785" s="139"/>
      <c r="H785" s="680"/>
      <c r="I785" s="680"/>
      <c r="J785" s="139"/>
      <c r="K785" s="139"/>
      <c r="L785" s="139"/>
      <c r="M785" s="139"/>
      <c r="N785" s="139"/>
      <c r="O785" s="139"/>
      <c r="P785" s="139"/>
      <c r="Q785" s="139"/>
      <c r="R785" s="139"/>
      <c r="S785" s="139"/>
      <c r="T785" s="139"/>
      <c r="U785" s="139"/>
      <c r="V785" s="139"/>
      <c r="W785" s="139"/>
      <c r="X785" s="139"/>
      <c r="Y785" s="139"/>
      <c r="Z785" s="139"/>
      <c r="AA785" s="139"/>
    </row>
    <row r="786" spans="1:27" ht="15.75">
      <c r="A786" s="139"/>
      <c r="B786" s="139"/>
      <c r="C786" s="680"/>
      <c r="D786" s="139"/>
      <c r="E786" s="680"/>
      <c r="F786" s="139"/>
      <c r="G786" s="139"/>
      <c r="H786" s="680"/>
      <c r="I786" s="680"/>
      <c r="J786" s="139"/>
      <c r="K786" s="139"/>
      <c r="L786" s="139"/>
      <c r="M786" s="139"/>
      <c r="N786" s="139"/>
      <c r="O786" s="139"/>
      <c r="P786" s="139"/>
      <c r="Q786" s="139"/>
      <c r="R786" s="139"/>
      <c r="S786" s="139"/>
      <c r="T786" s="139"/>
      <c r="U786" s="139"/>
      <c r="V786" s="139"/>
      <c r="W786" s="139"/>
      <c r="X786" s="139"/>
      <c r="Y786" s="139"/>
      <c r="Z786" s="139"/>
      <c r="AA786" s="139"/>
    </row>
    <row r="787" spans="1:27" ht="15.75">
      <c r="A787" s="139"/>
      <c r="B787" s="139"/>
      <c r="C787" s="680"/>
      <c r="D787" s="139"/>
      <c r="E787" s="680"/>
      <c r="F787" s="139"/>
      <c r="G787" s="139"/>
      <c r="H787" s="680"/>
      <c r="I787" s="680"/>
      <c r="J787" s="139"/>
      <c r="K787" s="139"/>
      <c r="L787" s="139"/>
      <c r="M787" s="139"/>
      <c r="N787" s="139"/>
      <c r="O787" s="139"/>
      <c r="P787" s="139"/>
      <c r="Q787" s="139"/>
      <c r="R787" s="139"/>
      <c r="S787" s="139"/>
      <c r="T787" s="139"/>
      <c r="U787" s="139"/>
      <c r="V787" s="139"/>
      <c r="W787" s="139"/>
      <c r="X787" s="139"/>
      <c r="Y787" s="139"/>
      <c r="Z787" s="139"/>
      <c r="AA787" s="139"/>
    </row>
    <row r="788" spans="1:27" ht="15.75">
      <c r="A788" s="139"/>
      <c r="B788" s="139"/>
      <c r="C788" s="680"/>
      <c r="D788" s="139"/>
      <c r="E788" s="680"/>
      <c r="F788" s="139"/>
      <c r="G788" s="139"/>
      <c r="H788" s="680"/>
      <c r="I788" s="680"/>
      <c r="J788" s="139"/>
      <c r="K788" s="139"/>
      <c r="L788" s="139"/>
      <c r="M788" s="139"/>
      <c r="N788" s="139"/>
      <c r="O788" s="139"/>
      <c r="P788" s="139"/>
      <c r="Q788" s="139"/>
      <c r="R788" s="139"/>
      <c r="S788" s="139"/>
      <c r="T788" s="139"/>
      <c r="U788" s="139"/>
      <c r="V788" s="139"/>
      <c r="W788" s="139"/>
      <c r="X788" s="139"/>
      <c r="Y788" s="139"/>
      <c r="Z788" s="139"/>
      <c r="AA788" s="139"/>
    </row>
    <row r="789" spans="1:27" ht="15.75">
      <c r="A789" s="139"/>
      <c r="B789" s="139"/>
      <c r="C789" s="680"/>
      <c r="D789" s="139"/>
      <c r="E789" s="680"/>
      <c r="F789" s="139"/>
      <c r="G789" s="139"/>
      <c r="H789" s="680"/>
      <c r="I789" s="680"/>
      <c r="J789" s="139"/>
      <c r="K789" s="139"/>
      <c r="L789" s="139"/>
      <c r="M789" s="139"/>
      <c r="N789" s="139"/>
      <c r="O789" s="139"/>
      <c r="P789" s="139"/>
      <c r="Q789" s="139"/>
      <c r="R789" s="139"/>
      <c r="S789" s="139"/>
      <c r="T789" s="139"/>
      <c r="U789" s="139"/>
      <c r="V789" s="139"/>
      <c r="W789" s="139"/>
      <c r="X789" s="139"/>
      <c r="Y789" s="139"/>
      <c r="Z789" s="139"/>
      <c r="AA789" s="139"/>
    </row>
    <row r="790" spans="1:27" ht="15.75">
      <c r="A790" s="139"/>
      <c r="B790" s="139"/>
      <c r="C790" s="680"/>
      <c r="D790" s="139"/>
      <c r="E790" s="680"/>
      <c r="F790" s="139"/>
      <c r="G790" s="139"/>
      <c r="H790" s="680"/>
      <c r="I790" s="680"/>
      <c r="J790" s="139"/>
      <c r="K790" s="139"/>
      <c r="L790" s="139"/>
      <c r="M790" s="139"/>
      <c r="N790" s="139"/>
      <c r="O790" s="139"/>
      <c r="P790" s="139"/>
      <c r="Q790" s="139"/>
      <c r="R790" s="139"/>
      <c r="S790" s="139"/>
      <c r="T790" s="139"/>
      <c r="U790" s="139"/>
      <c r="V790" s="139"/>
      <c r="W790" s="139"/>
      <c r="X790" s="139"/>
      <c r="Y790" s="139"/>
      <c r="Z790" s="139"/>
      <c r="AA790" s="139"/>
    </row>
    <row r="791" spans="1:27" ht="15.75">
      <c r="A791" s="139"/>
      <c r="B791" s="139"/>
      <c r="C791" s="680"/>
      <c r="D791" s="139"/>
      <c r="E791" s="680"/>
      <c r="F791" s="139"/>
      <c r="G791" s="139"/>
      <c r="H791" s="680"/>
      <c r="I791" s="680"/>
      <c r="J791" s="139"/>
      <c r="K791" s="139"/>
      <c r="L791" s="139"/>
      <c r="M791" s="139"/>
      <c r="N791" s="139"/>
      <c r="O791" s="139"/>
      <c r="P791" s="139"/>
      <c r="Q791" s="139"/>
      <c r="R791" s="139"/>
      <c r="S791" s="139"/>
      <c r="T791" s="139"/>
      <c r="U791" s="139"/>
      <c r="V791" s="139"/>
      <c r="W791" s="139"/>
      <c r="X791" s="139"/>
      <c r="Y791" s="139"/>
      <c r="Z791" s="139"/>
      <c r="AA791" s="139"/>
    </row>
    <row r="792" spans="1:27" ht="15.75">
      <c r="A792" s="139"/>
      <c r="B792" s="139"/>
      <c r="C792" s="680"/>
      <c r="D792" s="139"/>
      <c r="E792" s="680"/>
      <c r="F792" s="139"/>
      <c r="G792" s="139"/>
      <c r="H792" s="680"/>
      <c r="I792" s="680"/>
      <c r="J792" s="139"/>
      <c r="K792" s="139"/>
      <c r="L792" s="139"/>
      <c r="M792" s="139"/>
      <c r="N792" s="139"/>
      <c r="O792" s="139"/>
      <c r="P792" s="139"/>
      <c r="Q792" s="139"/>
      <c r="R792" s="139"/>
      <c r="S792" s="139"/>
      <c r="T792" s="139"/>
      <c r="U792" s="139"/>
      <c r="V792" s="139"/>
      <c r="W792" s="139"/>
      <c r="X792" s="139"/>
      <c r="Y792" s="139"/>
      <c r="Z792" s="139"/>
      <c r="AA792" s="139"/>
    </row>
    <row r="793" spans="1:27" ht="15.75">
      <c r="A793" s="139"/>
      <c r="B793" s="139"/>
      <c r="C793" s="680"/>
      <c r="D793" s="139"/>
      <c r="E793" s="680"/>
      <c r="F793" s="139"/>
      <c r="G793" s="139"/>
      <c r="H793" s="680"/>
      <c r="I793" s="680"/>
      <c r="J793" s="139"/>
      <c r="K793" s="139"/>
      <c r="L793" s="139"/>
      <c r="M793" s="139"/>
      <c r="N793" s="139"/>
      <c r="O793" s="139"/>
      <c r="P793" s="139"/>
      <c r="Q793" s="139"/>
      <c r="R793" s="139"/>
      <c r="S793" s="139"/>
      <c r="T793" s="139"/>
      <c r="U793" s="139"/>
      <c r="V793" s="139"/>
      <c r="W793" s="139"/>
      <c r="X793" s="139"/>
      <c r="Y793" s="139"/>
      <c r="Z793" s="139"/>
      <c r="AA793" s="139"/>
    </row>
    <row r="794" spans="1:27" ht="15.75">
      <c r="A794" s="139"/>
      <c r="B794" s="139"/>
      <c r="C794" s="680"/>
      <c r="D794" s="139"/>
      <c r="E794" s="680"/>
      <c r="F794" s="139"/>
      <c r="G794" s="139"/>
      <c r="H794" s="680"/>
      <c r="I794" s="680"/>
      <c r="J794" s="139"/>
      <c r="K794" s="139"/>
      <c r="L794" s="139"/>
      <c r="M794" s="139"/>
      <c r="N794" s="139"/>
      <c r="O794" s="139"/>
      <c r="P794" s="139"/>
      <c r="Q794" s="139"/>
      <c r="R794" s="139"/>
      <c r="S794" s="139"/>
      <c r="T794" s="139"/>
      <c r="U794" s="139"/>
      <c r="V794" s="139"/>
      <c r="W794" s="139"/>
      <c r="X794" s="139"/>
      <c r="Y794" s="139"/>
      <c r="Z794" s="139"/>
      <c r="AA794" s="139"/>
    </row>
    <row r="795" spans="1:27" ht="15.75">
      <c r="A795" s="139"/>
      <c r="B795" s="139"/>
      <c r="C795" s="680"/>
      <c r="D795" s="139"/>
      <c r="E795" s="680"/>
      <c r="F795" s="139"/>
      <c r="G795" s="139"/>
      <c r="H795" s="680"/>
      <c r="I795" s="680"/>
      <c r="J795" s="139"/>
      <c r="K795" s="139"/>
      <c r="L795" s="139"/>
      <c r="M795" s="139"/>
      <c r="N795" s="139"/>
      <c r="O795" s="139"/>
      <c r="P795" s="139"/>
      <c r="Q795" s="139"/>
      <c r="R795" s="139"/>
      <c r="S795" s="139"/>
      <c r="T795" s="139"/>
      <c r="U795" s="139"/>
      <c r="V795" s="139"/>
      <c r="W795" s="139"/>
      <c r="X795" s="139"/>
      <c r="Y795" s="139"/>
      <c r="Z795" s="139"/>
      <c r="AA795" s="139"/>
    </row>
    <row r="796" spans="1:27" ht="15.75">
      <c r="A796" s="139"/>
      <c r="B796" s="139"/>
      <c r="C796" s="680"/>
      <c r="D796" s="139"/>
      <c r="E796" s="680"/>
      <c r="F796" s="139"/>
      <c r="G796" s="139"/>
      <c r="H796" s="680"/>
      <c r="I796" s="680"/>
      <c r="J796" s="139"/>
      <c r="K796" s="139"/>
      <c r="L796" s="139"/>
      <c r="M796" s="139"/>
      <c r="N796" s="139"/>
      <c r="O796" s="139"/>
      <c r="P796" s="139"/>
      <c r="Q796" s="139"/>
      <c r="R796" s="139"/>
      <c r="S796" s="139"/>
      <c r="T796" s="139"/>
      <c r="U796" s="139"/>
      <c r="V796" s="139"/>
      <c r="W796" s="139"/>
      <c r="X796" s="139"/>
      <c r="Y796" s="139"/>
      <c r="Z796" s="139"/>
      <c r="AA796" s="139"/>
    </row>
    <row r="797" spans="1:27" ht="15.75">
      <c r="A797" s="139"/>
      <c r="B797" s="139"/>
      <c r="C797" s="680"/>
      <c r="D797" s="139"/>
      <c r="E797" s="680"/>
      <c r="F797" s="139"/>
      <c r="G797" s="139"/>
      <c r="H797" s="680"/>
      <c r="I797" s="680"/>
      <c r="J797" s="139"/>
      <c r="K797" s="139"/>
      <c r="L797" s="139"/>
      <c r="M797" s="139"/>
      <c r="N797" s="139"/>
      <c r="O797" s="139"/>
      <c r="P797" s="139"/>
      <c r="Q797" s="139"/>
      <c r="R797" s="139"/>
      <c r="S797" s="139"/>
      <c r="T797" s="139"/>
      <c r="U797" s="139"/>
      <c r="V797" s="139"/>
      <c r="W797" s="139"/>
      <c r="X797" s="139"/>
      <c r="Y797" s="139"/>
      <c r="Z797" s="139"/>
      <c r="AA797" s="139"/>
    </row>
    <row r="798" spans="1:27" ht="15.75">
      <c r="A798" s="139"/>
      <c r="B798" s="139"/>
      <c r="C798" s="680"/>
      <c r="D798" s="139"/>
      <c r="E798" s="680"/>
      <c r="F798" s="139"/>
      <c r="G798" s="139"/>
      <c r="H798" s="680"/>
      <c r="I798" s="680"/>
      <c r="J798" s="139"/>
      <c r="K798" s="139"/>
      <c r="L798" s="139"/>
      <c r="M798" s="139"/>
      <c r="N798" s="139"/>
      <c r="O798" s="139"/>
      <c r="P798" s="139"/>
      <c r="Q798" s="139"/>
      <c r="R798" s="139"/>
      <c r="S798" s="139"/>
      <c r="T798" s="139"/>
      <c r="U798" s="139"/>
      <c r="V798" s="139"/>
      <c r="W798" s="139"/>
      <c r="X798" s="139"/>
      <c r="Y798" s="139"/>
      <c r="Z798" s="139"/>
      <c r="AA798" s="139"/>
    </row>
    <row r="799" spans="1:27" ht="15.75">
      <c r="A799" s="139"/>
      <c r="B799" s="139"/>
      <c r="C799" s="680"/>
      <c r="D799" s="139"/>
      <c r="E799" s="680"/>
      <c r="F799" s="139"/>
      <c r="G799" s="139"/>
      <c r="H799" s="680"/>
      <c r="I799" s="680"/>
      <c r="J799" s="139"/>
      <c r="K799" s="139"/>
      <c r="L799" s="139"/>
      <c r="M799" s="139"/>
      <c r="N799" s="139"/>
      <c r="O799" s="139"/>
      <c r="P799" s="139"/>
      <c r="Q799" s="139"/>
      <c r="R799" s="139"/>
      <c r="S799" s="139"/>
      <c r="T799" s="139"/>
      <c r="U799" s="139"/>
      <c r="V799" s="139"/>
      <c r="W799" s="139"/>
      <c r="X799" s="139"/>
      <c r="Y799" s="139"/>
      <c r="Z799" s="139"/>
      <c r="AA799" s="139"/>
    </row>
    <row r="800" spans="1:27" ht="15.75">
      <c r="A800" s="139"/>
      <c r="B800" s="139"/>
      <c r="C800" s="680"/>
      <c r="D800" s="139"/>
      <c r="E800" s="680"/>
      <c r="F800" s="139"/>
      <c r="G800" s="139"/>
      <c r="H800" s="680"/>
      <c r="I800" s="680"/>
      <c r="J800" s="139"/>
      <c r="K800" s="139"/>
      <c r="L800" s="139"/>
      <c r="M800" s="139"/>
      <c r="N800" s="139"/>
      <c r="O800" s="139"/>
      <c r="P800" s="139"/>
      <c r="Q800" s="139"/>
      <c r="R800" s="139"/>
      <c r="S800" s="139"/>
      <c r="T800" s="139"/>
      <c r="U800" s="139"/>
      <c r="V800" s="139"/>
      <c r="W800" s="139"/>
      <c r="X800" s="139"/>
      <c r="Y800" s="139"/>
      <c r="Z800" s="139"/>
      <c r="AA800" s="139"/>
    </row>
    <row r="801" spans="1:27" ht="15.75">
      <c r="A801" s="139"/>
      <c r="B801" s="139"/>
      <c r="C801" s="680"/>
      <c r="D801" s="139"/>
      <c r="E801" s="680"/>
      <c r="F801" s="139"/>
      <c r="G801" s="139"/>
      <c r="H801" s="680"/>
      <c r="I801" s="680"/>
      <c r="J801" s="139"/>
      <c r="K801" s="139"/>
      <c r="L801" s="139"/>
      <c r="M801" s="139"/>
      <c r="N801" s="139"/>
      <c r="O801" s="139"/>
      <c r="P801" s="139"/>
      <c r="Q801" s="139"/>
      <c r="R801" s="139"/>
      <c r="S801" s="139"/>
      <c r="T801" s="139"/>
      <c r="U801" s="139"/>
      <c r="V801" s="139"/>
      <c r="W801" s="139"/>
      <c r="X801" s="139"/>
      <c r="Y801" s="139"/>
      <c r="Z801" s="139"/>
      <c r="AA801" s="139"/>
    </row>
    <row r="802" spans="1:27" ht="15.75">
      <c r="A802" s="139"/>
      <c r="B802" s="139"/>
      <c r="C802" s="680"/>
      <c r="D802" s="139"/>
      <c r="E802" s="680"/>
      <c r="F802" s="139"/>
      <c r="G802" s="139"/>
      <c r="H802" s="680"/>
      <c r="I802" s="680"/>
      <c r="J802" s="139"/>
      <c r="K802" s="139"/>
      <c r="L802" s="139"/>
      <c r="M802" s="139"/>
      <c r="N802" s="139"/>
      <c r="O802" s="139"/>
      <c r="P802" s="139"/>
      <c r="Q802" s="139"/>
      <c r="R802" s="139"/>
      <c r="S802" s="139"/>
      <c r="T802" s="139"/>
      <c r="U802" s="139"/>
      <c r="V802" s="139"/>
      <c r="W802" s="139"/>
      <c r="X802" s="139"/>
      <c r="Y802" s="139"/>
      <c r="Z802" s="139"/>
      <c r="AA802" s="139"/>
    </row>
    <row r="803" spans="1:27" ht="15.75">
      <c r="A803" s="139"/>
      <c r="B803" s="139"/>
      <c r="C803" s="680"/>
      <c r="D803" s="139"/>
      <c r="E803" s="680"/>
      <c r="F803" s="139"/>
      <c r="G803" s="139"/>
      <c r="H803" s="680"/>
      <c r="I803" s="680"/>
      <c r="J803" s="139"/>
      <c r="K803" s="139"/>
      <c r="L803" s="139"/>
      <c r="M803" s="139"/>
      <c r="N803" s="139"/>
      <c r="O803" s="139"/>
      <c r="P803" s="139"/>
      <c r="Q803" s="139"/>
      <c r="R803" s="139"/>
      <c r="S803" s="139"/>
      <c r="T803" s="139"/>
      <c r="U803" s="139"/>
      <c r="V803" s="139"/>
      <c r="W803" s="139"/>
      <c r="X803" s="139"/>
      <c r="Y803" s="139"/>
      <c r="Z803" s="139"/>
      <c r="AA803" s="139"/>
    </row>
    <row r="804" spans="1:27" ht="15.75">
      <c r="A804" s="139"/>
      <c r="B804" s="139"/>
      <c r="C804" s="680"/>
      <c r="D804" s="139"/>
      <c r="E804" s="680"/>
      <c r="F804" s="139"/>
      <c r="G804" s="139"/>
      <c r="H804" s="680"/>
      <c r="I804" s="680"/>
      <c r="J804" s="139"/>
      <c r="K804" s="139"/>
      <c r="L804" s="139"/>
      <c r="M804" s="139"/>
      <c r="N804" s="139"/>
      <c r="O804" s="139"/>
      <c r="P804" s="139"/>
      <c r="Q804" s="139"/>
      <c r="R804" s="139"/>
      <c r="S804" s="139"/>
      <c r="T804" s="139"/>
      <c r="U804" s="139"/>
      <c r="V804" s="139"/>
      <c r="W804" s="139"/>
      <c r="X804" s="139"/>
      <c r="Y804" s="139"/>
      <c r="Z804" s="139"/>
      <c r="AA804" s="139"/>
    </row>
    <row r="805" spans="1:27" ht="15.75">
      <c r="A805" s="139"/>
      <c r="B805" s="139"/>
      <c r="C805" s="680"/>
      <c r="D805" s="139"/>
      <c r="E805" s="680"/>
      <c r="F805" s="139"/>
      <c r="G805" s="139"/>
      <c r="H805" s="680"/>
      <c r="I805" s="680"/>
      <c r="J805" s="139"/>
      <c r="K805" s="139"/>
      <c r="L805" s="139"/>
      <c r="M805" s="139"/>
      <c r="N805" s="139"/>
      <c r="O805" s="139"/>
      <c r="P805" s="139"/>
      <c r="Q805" s="139"/>
      <c r="R805" s="139"/>
      <c r="S805" s="139"/>
      <c r="T805" s="139"/>
      <c r="U805" s="139"/>
      <c r="V805" s="139"/>
      <c r="W805" s="139"/>
      <c r="X805" s="139"/>
      <c r="Y805" s="139"/>
      <c r="Z805" s="139"/>
      <c r="AA805" s="139"/>
    </row>
    <row r="806" spans="1:27" ht="15.75">
      <c r="A806" s="139"/>
      <c r="B806" s="139"/>
      <c r="C806" s="680"/>
      <c r="D806" s="139"/>
      <c r="E806" s="680"/>
      <c r="F806" s="139"/>
      <c r="G806" s="139"/>
      <c r="H806" s="680"/>
      <c r="I806" s="680"/>
      <c r="J806" s="139"/>
      <c r="K806" s="139"/>
      <c r="L806" s="139"/>
      <c r="M806" s="139"/>
      <c r="N806" s="139"/>
      <c r="O806" s="139"/>
      <c r="P806" s="139"/>
      <c r="Q806" s="139"/>
      <c r="R806" s="139"/>
      <c r="S806" s="139"/>
      <c r="T806" s="139"/>
      <c r="U806" s="139"/>
      <c r="V806" s="139"/>
      <c r="W806" s="139"/>
      <c r="X806" s="139"/>
      <c r="Y806" s="139"/>
      <c r="Z806" s="139"/>
      <c r="AA806" s="139"/>
    </row>
    <row r="807" spans="1:27" ht="15.75">
      <c r="A807" s="139"/>
      <c r="B807" s="139"/>
      <c r="C807" s="680"/>
      <c r="D807" s="139"/>
      <c r="E807" s="680"/>
      <c r="F807" s="139"/>
      <c r="G807" s="139"/>
      <c r="H807" s="680"/>
      <c r="I807" s="680"/>
      <c r="J807" s="139"/>
      <c r="K807" s="139"/>
      <c r="L807" s="139"/>
      <c r="M807" s="139"/>
      <c r="N807" s="139"/>
      <c r="O807" s="139"/>
      <c r="P807" s="139"/>
      <c r="Q807" s="139"/>
      <c r="R807" s="139"/>
      <c r="S807" s="139"/>
      <c r="T807" s="139"/>
      <c r="U807" s="139"/>
      <c r="V807" s="139"/>
      <c r="W807" s="139"/>
      <c r="X807" s="139"/>
      <c r="Y807" s="139"/>
      <c r="Z807" s="139"/>
      <c r="AA807" s="139"/>
    </row>
    <row r="808" spans="1:27" ht="15.75">
      <c r="A808" s="139"/>
      <c r="B808" s="139"/>
      <c r="C808" s="680"/>
      <c r="D808" s="139"/>
      <c r="E808" s="680"/>
      <c r="F808" s="139"/>
      <c r="G808" s="139"/>
      <c r="H808" s="680"/>
      <c r="I808" s="680"/>
      <c r="J808" s="139"/>
      <c r="K808" s="139"/>
      <c r="L808" s="139"/>
      <c r="M808" s="139"/>
      <c r="N808" s="139"/>
      <c r="O808" s="139"/>
      <c r="P808" s="139"/>
      <c r="Q808" s="139"/>
      <c r="R808" s="139"/>
      <c r="S808" s="139"/>
      <c r="T808" s="139"/>
      <c r="U808" s="139"/>
      <c r="V808" s="139"/>
      <c r="W808" s="139"/>
      <c r="X808" s="139"/>
      <c r="Y808" s="139"/>
      <c r="Z808" s="139"/>
      <c r="AA808" s="139"/>
    </row>
    <row r="809" spans="1:27" ht="15.75">
      <c r="A809" s="139"/>
      <c r="B809" s="139"/>
      <c r="C809" s="680"/>
      <c r="D809" s="139"/>
      <c r="E809" s="680"/>
      <c r="F809" s="139"/>
      <c r="G809" s="139"/>
      <c r="H809" s="680"/>
      <c r="I809" s="680"/>
      <c r="J809" s="139"/>
      <c r="K809" s="139"/>
      <c r="L809" s="139"/>
      <c r="M809" s="139"/>
      <c r="N809" s="139"/>
      <c r="O809" s="139"/>
      <c r="P809" s="139"/>
      <c r="Q809" s="139"/>
      <c r="R809" s="139"/>
      <c r="S809" s="139"/>
      <c r="T809" s="139"/>
      <c r="U809" s="139"/>
      <c r="V809" s="139"/>
      <c r="W809" s="139"/>
      <c r="X809" s="139"/>
      <c r="Y809" s="139"/>
      <c r="Z809" s="139"/>
      <c r="AA809" s="139"/>
    </row>
    <row r="810" spans="1:27" ht="15.75">
      <c r="A810" s="139"/>
      <c r="B810" s="139"/>
      <c r="C810" s="680"/>
      <c r="D810" s="139"/>
      <c r="E810" s="680"/>
      <c r="F810" s="139"/>
      <c r="G810" s="139"/>
      <c r="H810" s="680"/>
      <c r="I810" s="680"/>
      <c r="J810" s="139"/>
      <c r="K810" s="139"/>
      <c r="L810" s="139"/>
      <c r="M810" s="139"/>
      <c r="N810" s="139"/>
      <c r="O810" s="139"/>
      <c r="P810" s="139"/>
      <c r="Q810" s="139"/>
      <c r="R810" s="139"/>
      <c r="S810" s="139"/>
      <c r="T810" s="139"/>
      <c r="U810" s="139"/>
      <c r="V810" s="139"/>
      <c r="W810" s="139"/>
      <c r="X810" s="139"/>
      <c r="Y810" s="139"/>
      <c r="Z810" s="139"/>
      <c r="AA810" s="139"/>
    </row>
    <row r="811" spans="1:27" ht="15.75">
      <c r="A811" s="139"/>
      <c r="B811" s="139"/>
      <c r="C811" s="680"/>
      <c r="D811" s="139"/>
      <c r="E811" s="680"/>
      <c r="F811" s="139"/>
      <c r="G811" s="139"/>
      <c r="H811" s="680"/>
      <c r="I811" s="680"/>
      <c r="J811" s="139"/>
      <c r="K811" s="139"/>
      <c r="L811" s="139"/>
      <c r="M811" s="139"/>
      <c r="N811" s="139"/>
      <c r="O811" s="139"/>
      <c r="P811" s="139"/>
      <c r="Q811" s="139"/>
      <c r="R811" s="139"/>
      <c r="S811" s="139"/>
      <c r="T811" s="139"/>
      <c r="U811" s="139"/>
      <c r="V811" s="139"/>
      <c r="W811" s="139"/>
      <c r="X811" s="139"/>
      <c r="Y811" s="139"/>
      <c r="Z811" s="139"/>
      <c r="AA811" s="139"/>
    </row>
    <row r="812" spans="1:27" ht="15.75">
      <c r="A812" s="139"/>
      <c r="B812" s="139"/>
      <c r="C812" s="680"/>
      <c r="D812" s="139"/>
      <c r="E812" s="680"/>
      <c r="F812" s="139"/>
      <c r="G812" s="139"/>
      <c r="H812" s="680"/>
      <c r="I812" s="680"/>
      <c r="J812" s="139"/>
      <c r="K812" s="139"/>
      <c r="L812" s="139"/>
      <c r="M812" s="139"/>
      <c r="N812" s="139"/>
      <c r="O812" s="139"/>
      <c r="P812" s="139"/>
      <c r="Q812" s="139"/>
      <c r="R812" s="139"/>
      <c r="S812" s="139"/>
      <c r="T812" s="139"/>
      <c r="U812" s="139"/>
      <c r="V812" s="139"/>
      <c r="W812" s="139"/>
      <c r="X812" s="139"/>
      <c r="Y812" s="139"/>
      <c r="Z812" s="139"/>
      <c r="AA812" s="139"/>
    </row>
    <row r="813" spans="1:27" ht="15.75">
      <c r="A813" s="139"/>
      <c r="B813" s="139"/>
      <c r="C813" s="680"/>
      <c r="D813" s="139"/>
      <c r="E813" s="680"/>
      <c r="F813" s="139"/>
      <c r="G813" s="139"/>
      <c r="H813" s="680"/>
      <c r="I813" s="680"/>
      <c r="J813" s="139"/>
      <c r="K813" s="139"/>
      <c r="L813" s="139"/>
      <c r="M813" s="139"/>
      <c r="N813" s="139"/>
      <c r="O813" s="139"/>
      <c r="P813" s="139"/>
      <c r="Q813" s="139"/>
      <c r="R813" s="139"/>
      <c r="S813" s="139"/>
      <c r="T813" s="139"/>
      <c r="U813" s="139"/>
      <c r="V813" s="139"/>
      <c r="W813" s="139"/>
      <c r="X813" s="139"/>
      <c r="Y813" s="139"/>
      <c r="Z813" s="139"/>
      <c r="AA813" s="139"/>
    </row>
    <row r="814" spans="1:27" ht="15.75">
      <c r="A814" s="139"/>
      <c r="B814" s="139"/>
      <c r="C814" s="680"/>
      <c r="D814" s="139"/>
      <c r="E814" s="680"/>
      <c r="F814" s="139"/>
      <c r="G814" s="139"/>
      <c r="H814" s="680"/>
      <c r="I814" s="680"/>
      <c r="J814" s="139"/>
      <c r="K814" s="139"/>
      <c r="L814" s="139"/>
      <c r="M814" s="139"/>
      <c r="N814" s="139"/>
      <c r="O814" s="139"/>
      <c r="P814" s="139"/>
      <c r="Q814" s="139"/>
      <c r="R814" s="139"/>
      <c r="S814" s="139"/>
      <c r="T814" s="139"/>
      <c r="U814" s="139"/>
      <c r="V814" s="139"/>
      <c r="W814" s="139"/>
      <c r="X814" s="139"/>
      <c r="Y814" s="139"/>
      <c r="Z814" s="139"/>
      <c r="AA814" s="139"/>
    </row>
    <row r="815" spans="1:27" ht="15.75">
      <c r="A815" s="139"/>
      <c r="B815" s="139"/>
      <c r="C815" s="680"/>
      <c r="D815" s="139"/>
      <c r="E815" s="680"/>
      <c r="F815" s="139"/>
      <c r="G815" s="139"/>
      <c r="H815" s="680"/>
      <c r="I815" s="680"/>
      <c r="J815" s="139"/>
      <c r="K815" s="139"/>
      <c r="L815" s="139"/>
      <c r="M815" s="139"/>
      <c r="N815" s="139"/>
      <c r="O815" s="139"/>
      <c r="P815" s="139"/>
      <c r="Q815" s="139"/>
      <c r="R815" s="139"/>
      <c r="S815" s="139"/>
      <c r="T815" s="139"/>
      <c r="U815" s="139"/>
      <c r="V815" s="139"/>
      <c r="W815" s="139"/>
      <c r="X815" s="139"/>
      <c r="Y815" s="139"/>
      <c r="Z815" s="139"/>
      <c r="AA815" s="139"/>
    </row>
    <row r="816" spans="1:27" ht="15.75">
      <c r="A816" s="139"/>
      <c r="B816" s="139"/>
      <c r="C816" s="680"/>
      <c r="D816" s="139"/>
      <c r="E816" s="680"/>
      <c r="F816" s="139"/>
      <c r="G816" s="139"/>
      <c r="H816" s="680"/>
      <c r="I816" s="680"/>
      <c r="J816" s="139"/>
      <c r="K816" s="139"/>
      <c r="L816" s="139"/>
      <c r="M816" s="139"/>
      <c r="N816" s="139"/>
      <c r="O816" s="139"/>
      <c r="P816" s="139"/>
      <c r="Q816" s="139"/>
      <c r="R816" s="139"/>
      <c r="S816" s="139"/>
      <c r="T816" s="139"/>
      <c r="U816" s="139"/>
      <c r="V816" s="139"/>
      <c r="W816" s="139"/>
      <c r="X816" s="139"/>
      <c r="Y816" s="139"/>
      <c r="Z816" s="139"/>
      <c r="AA816" s="139"/>
    </row>
    <row r="817" spans="1:27" ht="15.75">
      <c r="A817" s="139"/>
      <c r="B817" s="139"/>
      <c r="C817" s="680"/>
      <c r="D817" s="139"/>
      <c r="E817" s="680"/>
      <c r="F817" s="139"/>
      <c r="G817" s="139"/>
      <c r="H817" s="680"/>
      <c r="I817" s="680"/>
      <c r="J817" s="139"/>
      <c r="K817" s="139"/>
      <c r="L817" s="139"/>
      <c r="M817" s="139"/>
      <c r="N817" s="139"/>
      <c r="O817" s="139"/>
      <c r="P817" s="139"/>
      <c r="Q817" s="139"/>
      <c r="R817" s="139"/>
      <c r="S817" s="139"/>
      <c r="T817" s="139"/>
      <c r="U817" s="139"/>
      <c r="V817" s="139"/>
      <c r="W817" s="139"/>
      <c r="X817" s="139"/>
      <c r="Y817" s="139"/>
      <c r="Z817" s="139"/>
      <c r="AA817" s="139"/>
    </row>
    <row r="818" spans="1:27" ht="15.75">
      <c r="A818" s="139"/>
      <c r="B818" s="139"/>
      <c r="C818" s="680"/>
      <c r="D818" s="139"/>
      <c r="E818" s="680"/>
      <c r="F818" s="139"/>
      <c r="G818" s="139"/>
      <c r="H818" s="680"/>
      <c r="I818" s="680"/>
      <c r="J818" s="139"/>
      <c r="K818" s="139"/>
      <c r="L818" s="139"/>
      <c r="M818" s="139"/>
      <c r="N818" s="139"/>
      <c r="O818" s="139"/>
      <c r="P818" s="139"/>
      <c r="Q818" s="139"/>
      <c r="R818" s="139"/>
      <c r="S818" s="139"/>
      <c r="T818" s="139"/>
      <c r="U818" s="139"/>
      <c r="V818" s="139"/>
      <c r="W818" s="139"/>
      <c r="X818" s="139"/>
      <c r="Y818" s="139"/>
      <c r="Z818" s="139"/>
      <c r="AA818" s="139"/>
    </row>
    <row r="819" spans="1:27" ht="15.75">
      <c r="A819" s="139"/>
      <c r="B819" s="139"/>
      <c r="C819" s="680"/>
      <c r="D819" s="139"/>
      <c r="E819" s="680"/>
      <c r="F819" s="139"/>
      <c r="G819" s="139"/>
      <c r="H819" s="680"/>
      <c r="I819" s="680"/>
      <c r="J819" s="139"/>
      <c r="K819" s="139"/>
      <c r="L819" s="139"/>
      <c r="M819" s="139"/>
      <c r="N819" s="139"/>
      <c r="O819" s="139"/>
      <c r="P819" s="139"/>
      <c r="Q819" s="139"/>
      <c r="R819" s="139"/>
      <c r="S819" s="139"/>
      <c r="T819" s="139"/>
      <c r="U819" s="139"/>
      <c r="V819" s="139"/>
      <c r="W819" s="139"/>
      <c r="X819" s="139"/>
      <c r="Y819" s="139"/>
      <c r="Z819" s="139"/>
      <c r="AA819" s="139"/>
    </row>
    <row r="820" spans="1:27" ht="15.75">
      <c r="A820" s="139"/>
      <c r="B820" s="139"/>
      <c r="C820" s="680"/>
      <c r="D820" s="139"/>
      <c r="E820" s="680"/>
      <c r="F820" s="139"/>
      <c r="G820" s="139"/>
      <c r="H820" s="680"/>
      <c r="I820" s="680"/>
      <c r="J820" s="139"/>
      <c r="K820" s="139"/>
      <c r="L820" s="139"/>
      <c r="M820" s="139"/>
      <c r="N820" s="139"/>
      <c r="O820" s="139"/>
      <c r="P820" s="139"/>
      <c r="Q820" s="139"/>
      <c r="R820" s="139"/>
      <c r="S820" s="139"/>
      <c r="T820" s="139"/>
      <c r="U820" s="139"/>
      <c r="V820" s="139"/>
      <c r="W820" s="139"/>
      <c r="X820" s="139"/>
      <c r="Y820" s="139"/>
      <c r="Z820" s="139"/>
      <c r="AA820" s="139"/>
    </row>
    <row r="821" spans="1:27" ht="15.75">
      <c r="A821" s="139"/>
      <c r="B821" s="139"/>
      <c r="C821" s="680"/>
      <c r="D821" s="139"/>
      <c r="E821" s="680"/>
      <c r="F821" s="139"/>
      <c r="G821" s="139"/>
      <c r="H821" s="680"/>
      <c r="I821" s="680"/>
      <c r="J821" s="139"/>
      <c r="K821" s="139"/>
      <c r="L821" s="139"/>
      <c r="M821" s="139"/>
      <c r="N821" s="139"/>
      <c r="O821" s="139"/>
      <c r="P821" s="139"/>
      <c r="Q821" s="139"/>
      <c r="R821" s="139"/>
      <c r="S821" s="139"/>
      <c r="T821" s="139"/>
      <c r="U821" s="139"/>
      <c r="V821" s="139"/>
      <c r="W821" s="139"/>
      <c r="X821" s="139"/>
      <c r="Y821" s="139"/>
      <c r="Z821" s="139"/>
      <c r="AA821" s="139"/>
    </row>
    <row r="822" spans="1:27" ht="15.75">
      <c r="A822" s="139"/>
      <c r="B822" s="139"/>
      <c r="C822" s="680"/>
      <c r="D822" s="139"/>
      <c r="E822" s="680"/>
      <c r="F822" s="139"/>
      <c r="G822" s="139"/>
      <c r="H822" s="680"/>
      <c r="I822" s="680"/>
      <c r="J822" s="139"/>
      <c r="K822" s="139"/>
      <c r="L822" s="139"/>
      <c r="M822" s="139"/>
      <c r="N822" s="139"/>
      <c r="O822" s="139"/>
      <c r="P822" s="139"/>
      <c r="Q822" s="139"/>
      <c r="R822" s="139"/>
      <c r="S822" s="139"/>
      <c r="T822" s="139"/>
      <c r="U822" s="139"/>
      <c r="V822" s="139"/>
      <c r="W822" s="139"/>
      <c r="X822" s="139"/>
      <c r="Y822" s="139"/>
      <c r="Z822" s="139"/>
      <c r="AA822" s="139"/>
    </row>
    <row r="823" spans="1:27" ht="15.75">
      <c r="A823" s="139"/>
      <c r="B823" s="139"/>
      <c r="C823" s="680"/>
      <c r="D823" s="139"/>
      <c r="E823" s="680"/>
      <c r="F823" s="139"/>
      <c r="G823" s="139"/>
      <c r="H823" s="680"/>
      <c r="I823" s="680"/>
      <c r="J823" s="139"/>
      <c r="K823" s="139"/>
      <c r="L823" s="139"/>
      <c r="M823" s="139"/>
      <c r="N823" s="139"/>
      <c r="O823" s="139"/>
      <c r="P823" s="139"/>
      <c r="Q823" s="139"/>
      <c r="R823" s="139"/>
      <c r="S823" s="139"/>
      <c r="T823" s="139"/>
      <c r="U823" s="139"/>
      <c r="V823" s="139"/>
      <c r="W823" s="139"/>
      <c r="X823" s="139"/>
      <c r="Y823" s="139"/>
      <c r="Z823" s="139"/>
      <c r="AA823" s="139"/>
    </row>
    <row r="824" spans="1:27" ht="15.75">
      <c r="A824" s="139"/>
      <c r="B824" s="139"/>
      <c r="C824" s="680"/>
      <c r="D824" s="139"/>
      <c r="E824" s="680"/>
      <c r="F824" s="139"/>
      <c r="G824" s="139"/>
      <c r="H824" s="680"/>
      <c r="I824" s="680"/>
      <c r="J824" s="139"/>
      <c r="K824" s="139"/>
      <c r="L824" s="139"/>
      <c r="M824" s="139"/>
      <c r="N824" s="139"/>
      <c r="O824" s="139"/>
      <c r="P824" s="139"/>
      <c r="Q824" s="139"/>
      <c r="R824" s="139"/>
      <c r="S824" s="139"/>
      <c r="T824" s="139"/>
      <c r="U824" s="139"/>
      <c r="V824" s="139"/>
      <c r="W824" s="139"/>
      <c r="X824" s="139"/>
      <c r="Y824" s="139"/>
      <c r="Z824" s="139"/>
      <c r="AA824" s="139"/>
    </row>
    <row r="825" spans="1:27" ht="15.75">
      <c r="A825" s="139"/>
      <c r="B825" s="139"/>
      <c r="C825" s="680"/>
      <c r="D825" s="139"/>
      <c r="E825" s="680"/>
      <c r="F825" s="139"/>
      <c r="G825" s="139"/>
      <c r="H825" s="680"/>
      <c r="I825" s="680"/>
      <c r="J825" s="139"/>
      <c r="K825" s="139"/>
      <c r="L825" s="139"/>
      <c r="M825" s="139"/>
      <c r="N825" s="139"/>
      <c r="O825" s="139"/>
      <c r="P825" s="139"/>
      <c r="Q825" s="139"/>
      <c r="R825" s="139"/>
      <c r="S825" s="139"/>
      <c r="T825" s="139"/>
      <c r="U825" s="139"/>
      <c r="V825" s="139"/>
      <c r="W825" s="139"/>
      <c r="X825" s="139"/>
      <c r="Y825" s="139"/>
      <c r="Z825" s="139"/>
      <c r="AA825" s="139"/>
    </row>
    <row r="826" spans="1:27" ht="15.75">
      <c r="A826" s="139"/>
      <c r="B826" s="139"/>
      <c r="C826" s="680"/>
      <c r="D826" s="139"/>
      <c r="E826" s="680"/>
      <c r="F826" s="139"/>
      <c r="G826" s="139"/>
      <c r="H826" s="680"/>
      <c r="I826" s="680"/>
      <c r="J826" s="139"/>
      <c r="K826" s="139"/>
      <c r="L826" s="139"/>
      <c r="M826" s="139"/>
      <c r="N826" s="139"/>
      <c r="O826" s="139"/>
      <c r="P826" s="139"/>
      <c r="Q826" s="139"/>
      <c r="R826" s="139"/>
      <c r="S826" s="139"/>
      <c r="T826" s="139"/>
      <c r="U826" s="139"/>
      <c r="V826" s="139"/>
      <c r="W826" s="139"/>
      <c r="X826" s="139"/>
      <c r="Y826" s="139"/>
      <c r="Z826" s="139"/>
      <c r="AA826" s="139"/>
    </row>
    <row r="827" spans="1:27" ht="15.75">
      <c r="A827" s="139"/>
      <c r="B827" s="139"/>
      <c r="C827" s="680"/>
      <c r="D827" s="139"/>
      <c r="E827" s="680"/>
      <c r="F827" s="139"/>
      <c r="G827" s="139"/>
      <c r="H827" s="680"/>
      <c r="I827" s="680"/>
      <c r="J827" s="139"/>
      <c r="K827" s="139"/>
      <c r="L827" s="139"/>
      <c r="M827" s="139"/>
      <c r="N827" s="139"/>
      <c r="O827" s="139"/>
      <c r="P827" s="139"/>
      <c r="Q827" s="139"/>
      <c r="R827" s="139"/>
      <c r="S827" s="139"/>
      <c r="T827" s="139"/>
      <c r="U827" s="139"/>
      <c r="V827" s="139"/>
      <c r="W827" s="139"/>
      <c r="X827" s="139"/>
      <c r="Y827" s="139"/>
      <c r="Z827" s="139"/>
      <c r="AA827" s="139"/>
    </row>
    <row r="828" spans="1:27" ht="15.75">
      <c r="A828" s="139"/>
      <c r="B828" s="139"/>
      <c r="C828" s="680"/>
      <c r="D828" s="139"/>
      <c r="E828" s="680"/>
      <c r="F828" s="139"/>
      <c r="G828" s="139"/>
      <c r="H828" s="680"/>
      <c r="I828" s="680"/>
      <c r="J828" s="139"/>
      <c r="K828" s="139"/>
      <c r="L828" s="139"/>
      <c r="M828" s="139"/>
      <c r="N828" s="139"/>
      <c r="O828" s="139"/>
      <c r="P828" s="139"/>
      <c r="Q828" s="139"/>
      <c r="R828" s="139"/>
      <c r="S828" s="139"/>
      <c r="T828" s="139"/>
      <c r="U828" s="139"/>
      <c r="V828" s="139"/>
      <c r="W828" s="139"/>
      <c r="X828" s="139"/>
      <c r="Y828" s="139"/>
      <c r="Z828" s="139"/>
      <c r="AA828" s="139"/>
    </row>
    <row r="829" spans="1:27" ht="15.75">
      <c r="A829" s="139"/>
      <c r="B829" s="139"/>
      <c r="C829" s="680"/>
      <c r="D829" s="139"/>
      <c r="E829" s="680"/>
      <c r="F829" s="139"/>
      <c r="G829" s="139"/>
      <c r="H829" s="680"/>
      <c r="I829" s="680"/>
      <c r="J829" s="139"/>
      <c r="K829" s="139"/>
      <c r="L829" s="139"/>
      <c r="M829" s="139"/>
      <c r="N829" s="139"/>
      <c r="O829" s="139"/>
      <c r="P829" s="139"/>
      <c r="Q829" s="139"/>
      <c r="R829" s="139"/>
      <c r="S829" s="139"/>
      <c r="T829" s="139"/>
      <c r="U829" s="139"/>
      <c r="V829" s="139"/>
      <c r="W829" s="139"/>
      <c r="X829" s="139"/>
      <c r="Y829" s="139"/>
      <c r="Z829" s="139"/>
      <c r="AA829" s="139"/>
    </row>
    <row r="830" spans="1:27" ht="15.75">
      <c r="A830" s="139"/>
      <c r="B830" s="139"/>
      <c r="C830" s="680"/>
      <c r="D830" s="139"/>
      <c r="E830" s="680"/>
      <c r="F830" s="139"/>
      <c r="G830" s="139"/>
      <c r="H830" s="680"/>
      <c r="I830" s="680"/>
      <c r="J830" s="139"/>
      <c r="K830" s="139"/>
      <c r="L830" s="139"/>
      <c r="M830" s="139"/>
      <c r="N830" s="139"/>
      <c r="O830" s="139"/>
      <c r="P830" s="139"/>
      <c r="Q830" s="139"/>
      <c r="R830" s="139"/>
      <c r="S830" s="139"/>
      <c r="T830" s="139"/>
      <c r="U830" s="139"/>
      <c r="V830" s="139"/>
      <c r="W830" s="139"/>
      <c r="X830" s="139"/>
      <c r="Y830" s="139"/>
      <c r="Z830" s="139"/>
      <c r="AA830" s="139"/>
    </row>
    <row r="831" spans="1:27" ht="15.75">
      <c r="A831" s="139"/>
      <c r="B831" s="139"/>
      <c r="C831" s="680"/>
      <c r="D831" s="139"/>
      <c r="E831" s="680"/>
      <c r="F831" s="139"/>
      <c r="G831" s="139"/>
      <c r="H831" s="680"/>
      <c r="I831" s="680"/>
      <c r="J831" s="139"/>
      <c r="K831" s="139"/>
      <c r="L831" s="139"/>
      <c r="M831" s="139"/>
      <c r="N831" s="139"/>
      <c r="O831" s="139"/>
      <c r="P831" s="139"/>
      <c r="Q831" s="139"/>
      <c r="R831" s="139"/>
      <c r="S831" s="139"/>
      <c r="T831" s="139"/>
      <c r="U831" s="139"/>
      <c r="V831" s="139"/>
      <c r="W831" s="139"/>
      <c r="X831" s="139"/>
      <c r="Y831" s="139"/>
      <c r="Z831" s="139"/>
      <c r="AA831" s="139"/>
    </row>
    <row r="832" spans="1:27" ht="15.75">
      <c r="A832" s="139"/>
      <c r="B832" s="139"/>
      <c r="C832" s="680"/>
      <c r="D832" s="139"/>
      <c r="E832" s="680"/>
      <c r="F832" s="139"/>
      <c r="G832" s="139"/>
      <c r="H832" s="680"/>
      <c r="I832" s="680"/>
      <c r="J832" s="139"/>
      <c r="K832" s="139"/>
      <c r="L832" s="139"/>
      <c r="M832" s="139"/>
      <c r="N832" s="139"/>
      <c r="O832" s="139"/>
      <c r="P832" s="139"/>
      <c r="Q832" s="139"/>
      <c r="R832" s="139"/>
      <c r="S832" s="139"/>
      <c r="T832" s="139"/>
      <c r="U832" s="139"/>
      <c r="V832" s="139"/>
      <c r="W832" s="139"/>
      <c r="X832" s="139"/>
      <c r="Y832" s="139"/>
      <c r="Z832" s="139"/>
      <c r="AA832" s="139"/>
    </row>
    <row r="833" spans="1:27" ht="15.75">
      <c r="A833" s="139"/>
      <c r="B833" s="139"/>
      <c r="C833" s="680"/>
      <c r="D833" s="139"/>
      <c r="E833" s="680"/>
      <c r="F833" s="139"/>
      <c r="G833" s="139"/>
      <c r="H833" s="680"/>
      <c r="I833" s="680"/>
      <c r="J833" s="139"/>
      <c r="K833" s="139"/>
      <c r="L833" s="139"/>
      <c r="M833" s="139"/>
      <c r="N833" s="139"/>
      <c r="O833" s="139"/>
      <c r="P833" s="139"/>
      <c r="Q833" s="139"/>
      <c r="R833" s="139"/>
      <c r="S833" s="139"/>
      <c r="T833" s="139"/>
      <c r="U833" s="139"/>
      <c r="V833" s="139"/>
      <c r="W833" s="139"/>
      <c r="X833" s="139"/>
      <c r="Y833" s="139"/>
      <c r="Z833" s="139"/>
      <c r="AA833" s="139"/>
    </row>
    <row r="834" spans="1:27" ht="15.75">
      <c r="A834" s="139"/>
      <c r="B834" s="139"/>
      <c r="C834" s="680"/>
      <c r="D834" s="139"/>
      <c r="E834" s="680"/>
      <c r="F834" s="139"/>
      <c r="G834" s="139"/>
      <c r="H834" s="680"/>
      <c r="I834" s="680"/>
      <c r="J834" s="139"/>
      <c r="K834" s="139"/>
      <c r="L834" s="139"/>
      <c r="M834" s="139"/>
      <c r="N834" s="139"/>
      <c r="O834" s="139"/>
      <c r="P834" s="139"/>
      <c r="Q834" s="139"/>
      <c r="R834" s="139"/>
      <c r="S834" s="139"/>
      <c r="T834" s="139"/>
      <c r="U834" s="139"/>
      <c r="V834" s="139"/>
      <c r="W834" s="139"/>
      <c r="X834" s="139"/>
      <c r="Y834" s="139"/>
      <c r="Z834" s="139"/>
      <c r="AA834" s="139"/>
    </row>
    <row r="835" spans="1:27" ht="15.75">
      <c r="A835" s="139"/>
      <c r="B835" s="139"/>
      <c r="C835" s="680"/>
      <c r="D835" s="139"/>
      <c r="E835" s="680"/>
      <c r="F835" s="139"/>
      <c r="G835" s="139"/>
      <c r="H835" s="680"/>
      <c r="I835" s="680"/>
      <c r="J835" s="139"/>
      <c r="K835" s="139"/>
      <c r="L835" s="139"/>
      <c r="M835" s="139"/>
      <c r="N835" s="139"/>
      <c r="O835" s="139"/>
      <c r="P835" s="139"/>
      <c r="Q835" s="139"/>
      <c r="R835" s="139"/>
      <c r="S835" s="139"/>
      <c r="T835" s="139"/>
      <c r="U835" s="139"/>
      <c r="V835" s="139"/>
      <c r="W835" s="139"/>
      <c r="X835" s="139"/>
      <c r="Y835" s="139"/>
      <c r="Z835" s="139"/>
      <c r="AA835" s="139"/>
    </row>
    <row r="836" spans="1:27" ht="15.75">
      <c r="A836" s="139"/>
      <c r="B836" s="139"/>
      <c r="C836" s="680"/>
      <c r="D836" s="139"/>
      <c r="E836" s="680"/>
      <c r="F836" s="139"/>
      <c r="G836" s="139"/>
      <c r="H836" s="680"/>
      <c r="I836" s="680"/>
      <c r="J836" s="139"/>
      <c r="K836" s="139"/>
      <c r="L836" s="139"/>
      <c r="M836" s="139"/>
      <c r="N836" s="139"/>
      <c r="O836" s="139"/>
      <c r="P836" s="139"/>
      <c r="Q836" s="139"/>
      <c r="R836" s="139"/>
      <c r="S836" s="139"/>
      <c r="T836" s="139"/>
      <c r="U836" s="139"/>
      <c r="V836" s="139"/>
      <c r="W836" s="139"/>
      <c r="X836" s="139"/>
      <c r="Y836" s="139"/>
      <c r="Z836" s="139"/>
      <c r="AA836" s="139"/>
    </row>
    <row r="837" spans="1:27" ht="15.75">
      <c r="A837" s="139"/>
      <c r="B837" s="139"/>
      <c r="C837" s="680"/>
      <c r="D837" s="139"/>
      <c r="E837" s="680"/>
      <c r="F837" s="139"/>
      <c r="G837" s="139"/>
      <c r="H837" s="680"/>
      <c r="I837" s="680"/>
      <c r="J837" s="139"/>
      <c r="K837" s="139"/>
      <c r="L837" s="139"/>
      <c r="M837" s="139"/>
      <c r="N837" s="139"/>
      <c r="O837" s="139"/>
      <c r="P837" s="139"/>
      <c r="Q837" s="139"/>
      <c r="R837" s="139"/>
      <c r="S837" s="139"/>
      <c r="T837" s="139"/>
      <c r="U837" s="139"/>
      <c r="V837" s="139"/>
      <c r="W837" s="139"/>
      <c r="X837" s="139"/>
      <c r="Y837" s="139"/>
      <c r="Z837" s="139"/>
      <c r="AA837" s="139"/>
    </row>
    <row r="838" spans="1:27" ht="15.75">
      <c r="A838" s="139"/>
      <c r="B838" s="139"/>
      <c r="C838" s="680"/>
      <c r="D838" s="139"/>
      <c r="E838" s="680"/>
      <c r="F838" s="139"/>
      <c r="G838" s="139"/>
      <c r="H838" s="680"/>
      <c r="I838" s="680"/>
      <c r="J838" s="139"/>
      <c r="K838" s="139"/>
      <c r="L838" s="139"/>
      <c r="M838" s="139"/>
      <c r="N838" s="139"/>
      <c r="O838" s="139"/>
      <c r="P838" s="139"/>
      <c r="Q838" s="139"/>
      <c r="R838" s="139"/>
      <c r="S838" s="139"/>
      <c r="T838" s="139"/>
      <c r="U838" s="139"/>
      <c r="V838" s="139"/>
      <c r="W838" s="139"/>
      <c r="X838" s="139"/>
      <c r="Y838" s="139"/>
      <c r="Z838" s="139"/>
      <c r="AA838" s="139"/>
    </row>
    <row r="839" spans="1:27" ht="15.75">
      <c r="A839" s="139"/>
      <c r="B839" s="139"/>
      <c r="C839" s="680"/>
      <c r="D839" s="139"/>
      <c r="E839" s="680"/>
      <c r="F839" s="139"/>
      <c r="G839" s="139"/>
      <c r="H839" s="680"/>
      <c r="I839" s="680"/>
      <c r="J839" s="139"/>
      <c r="K839" s="139"/>
      <c r="L839" s="139"/>
      <c r="M839" s="139"/>
      <c r="N839" s="139"/>
      <c r="O839" s="139"/>
      <c r="P839" s="139"/>
      <c r="Q839" s="139"/>
      <c r="R839" s="139"/>
      <c r="S839" s="139"/>
      <c r="T839" s="139"/>
      <c r="U839" s="139"/>
      <c r="V839" s="139"/>
      <c r="W839" s="139"/>
      <c r="X839" s="139"/>
      <c r="Y839" s="139"/>
      <c r="Z839" s="139"/>
      <c r="AA839" s="139"/>
    </row>
    <row r="840" spans="1:27" ht="15.75">
      <c r="A840" s="139"/>
      <c r="B840" s="139"/>
      <c r="C840" s="680"/>
      <c r="D840" s="139"/>
      <c r="E840" s="680"/>
      <c r="F840" s="139"/>
      <c r="G840" s="139"/>
      <c r="H840" s="680"/>
      <c r="I840" s="680"/>
      <c r="J840" s="139"/>
      <c r="K840" s="139"/>
      <c r="L840" s="139"/>
      <c r="M840" s="139"/>
      <c r="N840" s="139"/>
      <c r="O840" s="139"/>
      <c r="P840" s="139"/>
      <c r="Q840" s="139"/>
      <c r="R840" s="139"/>
      <c r="S840" s="139"/>
      <c r="T840" s="139"/>
      <c r="U840" s="139"/>
      <c r="V840" s="139"/>
      <c r="W840" s="139"/>
      <c r="X840" s="139"/>
      <c r="Y840" s="139"/>
      <c r="Z840" s="139"/>
      <c r="AA840" s="139"/>
    </row>
    <row r="841" spans="1:27" ht="15.75">
      <c r="A841" s="139"/>
      <c r="B841" s="139"/>
      <c r="C841" s="680"/>
      <c r="D841" s="139"/>
      <c r="E841" s="680"/>
      <c r="F841" s="139"/>
      <c r="G841" s="139"/>
      <c r="H841" s="680"/>
      <c r="I841" s="680"/>
      <c r="J841" s="139"/>
      <c r="K841" s="139"/>
      <c r="L841" s="139"/>
      <c r="M841" s="139"/>
      <c r="N841" s="139"/>
      <c r="O841" s="139"/>
      <c r="P841" s="139"/>
      <c r="Q841" s="139"/>
      <c r="R841" s="139"/>
      <c r="S841" s="139"/>
      <c r="T841" s="139"/>
      <c r="U841" s="139"/>
      <c r="V841" s="139"/>
      <c r="W841" s="139"/>
      <c r="X841" s="139"/>
      <c r="Y841" s="139"/>
      <c r="Z841" s="139"/>
      <c r="AA841" s="139"/>
    </row>
    <row r="842" spans="1:27" ht="15.75">
      <c r="A842" s="139"/>
      <c r="B842" s="139"/>
      <c r="C842" s="680"/>
      <c r="D842" s="139"/>
      <c r="E842" s="680"/>
      <c r="F842" s="139"/>
      <c r="G842" s="139"/>
      <c r="H842" s="680"/>
      <c r="I842" s="680"/>
      <c r="J842" s="139"/>
      <c r="K842" s="139"/>
      <c r="L842" s="139"/>
      <c r="M842" s="139"/>
      <c r="N842" s="139"/>
      <c r="O842" s="139"/>
      <c r="P842" s="139"/>
      <c r="Q842" s="139"/>
      <c r="R842" s="139"/>
      <c r="S842" s="139"/>
      <c r="T842" s="139"/>
      <c r="U842" s="139"/>
      <c r="V842" s="139"/>
      <c r="W842" s="139"/>
      <c r="X842" s="139"/>
      <c r="Y842" s="139"/>
      <c r="Z842" s="139"/>
      <c r="AA842" s="139"/>
    </row>
    <row r="843" spans="1:27" ht="15.75">
      <c r="A843" s="139"/>
      <c r="B843" s="139"/>
      <c r="C843" s="680"/>
      <c r="D843" s="139"/>
      <c r="E843" s="680"/>
      <c r="F843" s="139"/>
      <c r="G843" s="139"/>
      <c r="H843" s="680"/>
      <c r="I843" s="680"/>
      <c r="J843" s="139"/>
      <c r="K843" s="139"/>
      <c r="L843" s="139"/>
      <c r="M843" s="139"/>
      <c r="N843" s="139"/>
      <c r="O843" s="139"/>
      <c r="P843" s="139"/>
      <c r="Q843" s="139"/>
      <c r="R843" s="139"/>
      <c r="S843" s="139"/>
      <c r="T843" s="139"/>
      <c r="U843" s="139"/>
      <c r="V843" s="139"/>
      <c r="W843" s="139"/>
      <c r="X843" s="139"/>
      <c r="Y843" s="139"/>
      <c r="Z843" s="139"/>
      <c r="AA843" s="139"/>
    </row>
    <row r="844" spans="1:27" ht="15.75">
      <c r="A844" s="139"/>
      <c r="B844" s="139"/>
      <c r="C844" s="680"/>
      <c r="D844" s="139"/>
      <c r="E844" s="680"/>
      <c r="F844" s="139"/>
      <c r="G844" s="139"/>
      <c r="H844" s="680"/>
      <c r="I844" s="680"/>
      <c r="J844" s="139"/>
      <c r="K844" s="139"/>
      <c r="L844" s="139"/>
      <c r="M844" s="139"/>
      <c r="N844" s="139"/>
      <c r="O844" s="139"/>
      <c r="P844" s="139"/>
      <c r="Q844" s="139"/>
      <c r="R844" s="139"/>
      <c r="S844" s="139"/>
      <c r="T844" s="139"/>
      <c r="U844" s="139"/>
      <c r="V844" s="139"/>
      <c r="W844" s="139"/>
      <c r="X844" s="139"/>
      <c r="Y844" s="139"/>
      <c r="Z844" s="139"/>
      <c r="AA844" s="139"/>
    </row>
    <row r="845" spans="1:27" ht="15.75">
      <c r="A845" s="139"/>
      <c r="B845" s="139"/>
      <c r="C845" s="680"/>
      <c r="D845" s="139"/>
      <c r="E845" s="680"/>
      <c r="F845" s="139"/>
      <c r="G845" s="139"/>
      <c r="H845" s="680"/>
      <c r="I845" s="680"/>
      <c r="J845" s="139"/>
      <c r="K845" s="139"/>
      <c r="L845" s="139"/>
      <c r="M845" s="139"/>
      <c r="N845" s="139"/>
      <c r="O845" s="139"/>
      <c r="P845" s="139"/>
      <c r="Q845" s="139"/>
      <c r="R845" s="139"/>
      <c r="S845" s="139"/>
      <c r="T845" s="139"/>
      <c r="U845" s="139"/>
      <c r="V845" s="139"/>
      <c r="W845" s="139"/>
      <c r="X845" s="139"/>
      <c r="Y845" s="139"/>
      <c r="Z845" s="139"/>
      <c r="AA845" s="139"/>
    </row>
    <row r="846" spans="1:27" ht="15.75">
      <c r="A846" s="139"/>
      <c r="B846" s="139"/>
      <c r="C846" s="680"/>
      <c r="D846" s="139"/>
      <c r="E846" s="680"/>
      <c r="F846" s="139"/>
      <c r="G846" s="139"/>
      <c r="H846" s="680"/>
      <c r="I846" s="680"/>
      <c r="J846" s="139"/>
      <c r="K846" s="139"/>
      <c r="L846" s="139"/>
      <c r="M846" s="139"/>
      <c r="N846" s="139"/>
      <c r="O846" s="139"/>
      <c r="P846" s="139"/>
      <c r="Q846" s="139"/>
      <c r="R846" s="139"/>
      <c r="S846" s="139"/>
      <c r="T846" s="139"/>
      <c r="U846" s="139"/>
      <c r="V846" s="139"/>
      <c r="W846" s="139"/>
      <c r="X846" s="139"/>
      <c r="Y846" s="139"/>
      <c r="Z846" s="139"/>
      <c r="AA846" s="139"/>
    </row>
    <row r="847" spans="1:27" ht="15.75">
      <c r="A847" s="139"/>
      <c r="B847" s="139"/>
      <c r="C847" s="680"/>
      <c r="D847" s="139"/>
      <c r="E847" s="680"/>
      <c r="F847" s="139"/>
      <c r="G847" s="139"/>
      <c r="H847" s="680"/>
      <c r="I847" s="680"/>
      <c r="J847" s="139"/>
      <c r="K847" s="139"/>
      <c r="L847" s="139"/>
      <c r="M847" s="139"/>
      <c r="N847" s="139"/>
      <c r="O847" s="139"/>
      <c r="P847" s="139"/>
      <c r="Q847" s="139"/>
      <c r="R847" s="139"/>
      <c r="S847" s="139"/>
      <c r="T847" s="139"/>
      <c r="U847" s="139"/>
      <c r="V847" s="139"/>
      <c r="W847" s="139"/>
      <c r="X847" s="139"/>
      <c r="Y847" s="139"/>
      <c r="Z847" s="139"/>
      <c r="AA847" s="139"/>
    </row>
    <row r="848" spans="1:27" ht="15.75">
      <c r="A848" s="139"/>
      <c r="B848" s="139"/>
      <c r="C848" s="680"/>
      <c r="D848" s="139"/>
      <c r="E848" s="680"/>
      <c r="F848" s="139"/>
      <c r="G848" s="139"/>
      <c r="H848" s="680"/>
      <c r="I848" s="680"/>
      <c r="J848" s="139"/>
      <c r="K848" s="139"/>
      <c r="L848" s="139"/>
      <c r="M848" s="139"/>
      <c r="N848" s="139"/>
      <c r="O848" s="139"/>
      <c r="P848" s="139"/>
      <c r="Q848" s="139"/>
      <c r="R848" s="139"/>
      <c r="S848" s="139"/>
      <c r="T848" s="139"/>
      <c r="U848" s="139"/>
      <c r="V848" s="139"/>
      <c r="W848" s="139"/>
      <c r="X848" s="139"/>
      <c r="Y848" s="139"/>
      <c r="Z848" s="139"/>
      <c r="AA848" s="139"/>
    </row>
    <row r="849" spans="1:27" ht="15.75">
      <c r="A849" s="139"/>
      <c r="B849" s="139"/>
      <c r="C849" s="680"/>
      <c r="D849" s="139"/>
      <c r="E849" s="680"/>
      <c r="F849" s="139"/>
      <c r="G849" s="139"/>
      <c r="H849" s="680"/>
      <c r="I849" s="680"/>
      <c r="J849" s="139"/>
      <c r="K849" s="139"/>
      <c r="L849" s="139"/>
      <c r="M849" s="139"/>
      <c r="N849" s="139"/>
      <c r="O849" s="139"/>
      <c r="P849" s="139"/>
      <c r="Q849" s="139"/>
      <c r="R849" s="139"/>
      <c r="S849" s="139"/>
      <c r="T849" s="139"/>
      <c r="U849" s="139"/>
      <c r="V849" s="139"/>
      <c r="W849" s="139"/>
      <c r="X849" s="139"/>
      <c r="Y849" s="139"/>
      <c r="Z849" s="139"/>
      <c r="AA849" s="139"/>
    </row>
    <row r="850" spans="1:27" ht="15.75">
      <c r="A850" s="139"/>
      <c r="B850" s="139"/>
      <c r="C850" s="680"/>
      <c r="D850" s="139"/>
      <c r="E850" s="680"/>
      <c r="F850" s="139"/>
      <c r="G850" s="139"/>
      <c r="H850" s="680"/>
      <c r="I850" s="680"/>
      <c r="J850" s="139"/>
      <c r="K850" s="139"/>
      <c r="L850" s="139"/>
      <c r="M850" s="139"/>
      <c r="N850" s="139"/>
      <c r="O850" s="139"/>
      <c r="P850" s="139"/>
      <c r="Q850" s="139"/>
      <c r="R850" s="139"/>
      <c r="S850" s="139"/>
      <c r="T850" s="139"/>
      <c r="U850" s="139"/>
      <c r="V850" s="139"/>
      <c r="W850" s="139"/>
      <c r="X850" s="139"/>
      <c r="Y850" s="139"/>
      <c r="Z850" s="139"/>
      <c r="AA850" s="139"/>
    </row>
    <row r="851" spans="1:27" ht="15.75">
      <c r="A851" s="139"/>
      <c r="B851" s="139"/>
      <c r="C851" s="680"/>
      <c r="D851" s="139"/>
      <c r="E851" s="680"/>
      <c r="F851" s="139"/>
      <c r="G851" s="139"/>
      <c r="H851" s="680"/>
      <c r="I851" s="680"/>
      <c r="J851" s="139"/>
      <c r="K851" s="139"/>
      <c r="L851" s="139"/>
      <c r="M851" s="139"/>
      <c r="N851" s="139"/>
      <c r="O851" s="139"/>
      <c r="P851" s="139"/>
      <c r="Q851" s="139"/>
      <c r="R851" s="139"/>
      <c r="S851" s="139"/>
      <c r="T851" s="139"/>
      <c r="U851" s="139"/>
      <c r="V851" s="139"/>
      <c r="W851" s="139"/>
      <c r="X851" s="139"/>
      <c r="Y851" s="139"/>
      <c r="Z851" s="139"/>
      <c r="AA851" s="139"/>
    </row>
    <row r="852" spans="1:27" ht="15.75">
      <c r="A852" s="139"/>
      <c r="B852" s="139"/>
      <c r="C852" s="680"/>
      <c r="D852" s="139"/>
      <c r="E852" s="680"/>
      <c r="F852" s="139"/>
      <c r="G852" s="139"/>
      <c r="H852" s="680"/>
      <c r="I852" s="680"/>
      <c r="J852" s="139"/>
      <c r="K852" s="139"/>
      <c r="L852" s="139"/>
      <c r="M852" s="139"/>
      <c r="N852" s="139"/>
      <c r="O852" s="139"/>
      <c r="P852" s="139"/>
      <c r="Q852" s="139"/>
      <c r="R852" s="139"/>
      <c r="S852" s="139"/>
      <c r="T852" s="139"/>
      <c r="U852" s="139"/>
      <c r="V852" s="139"/>
      <c r="W852" s="139"/>
      <c r="X852" s="139"/>
      <c r="Y852" s="139"/>
      <c r="Z852" s="139"/>
      <c r="AA852" s="139"/>
    </row>
    <row r="853" spans="1:27" ht="15.75">
      <c r="A853" s="139"/>
      <c r="B853" s="139"/>
      <c r="C853" s="680"/>
      <c r="D853" s="139"/>
      <c r="E853" s="680"/>
      <c r="F853" s="139"/>
      <c r="G853" s="139"/>
      <c r="H853" s="680"/>
      <c r="I853" s="680"/>
      <c r="J853" s="139"/>
      <c r="K853" s="139"/>
      <c r="L853" s="139"/>
      <c r="M853" s="139"/>
      <c r="N853" s="139"/>
      <c r="O853" s="139"/>
      <c r="P853" s="139"/>
      <c r="Q853" s="139"/>
      <c r="R853" s="139"/>
      <c r="S853" s="139"/>
      <c r="T853" s="139"/>
      <c r="U853" s="139"/>
      <c r="V853" s="139"/>
      <c r="W853" s="139"/>
      <c r="X853" s="139"/>
      <c r="Y853" s="139"/>
      <c r="Z853" s="139"/>
      <c r="AA853" s="139"/>
    </row>
    <row r="854" spans="1:27" ht="15.75">
      <c r="A854" s="139"/>
      <c r="B854" s="139"/>
      <c r="C854" s="680"/>
      <c r="D854" s="139"/>
      <c r="E854" s="680"/>
      <c r="F854" s="139"/>
      <c r="G854" s="139"/>
      <c r="H854" s="680"/>
      <c r="I854" s="680"/>
      <c r="J854" s="139"/>
      <c r="K854" s="139"/>
      <c r="L854" s="139"/>
      <c r="M854" s="139"/>
      <c r="N854" s="139"/>
      <c r="O854" s="139"/>
      <c r="P854" s="139"/>
      <c r="Q854" s="139"/>
      <c r="R854" s="139"/>
      <c r="S854" s="139"/>
      <c r="T854" s="139"/>
      <c r="U854" s="139"/>
      <c r="V854" s="139"/>
      <c r="W854" s="139"/>
      <c r="X854" s="139"/>
      <c r="Y854" s="139"/>
      <c r="Z854" s="139"/>
      <c r="AA854" s="139"/>
    </row>
    <row r="855" spans="1:27" ht="15.75">
      <c r="A855" s="139"/>
      <c r="B855" s="139"/>
      <c r="C855" s="680"/>
      <c r="D855" s="139"/>
      <c r="E855" s="680"/>
      <c r="F855" s="139"/>
      <c r="G855" s="139"/>
      <c r="H855" s="680"/>
      <c r="I855" s="680"/>
      <c r="J855" s="139"/>
      <c r="K855" s="139"/>
      <c r="L855" s="139"/>
      <c r="M855" s="139"/>
      <c r="N855" s="139"/>
      <c r="O855" s="139"/>
      <c r="P855" s="139"/>
      <c r="Q855" s="139"/>
      <c r="R855" s="139"/>
      <c r="S855" s="139"/>
      <c r="T855" s="139"/>
      <c r="U855" s="139"/>
      <c r="V855" s="139"/>
      <c r="W855" s="139"/>
      <c r="X855" s="139"/>
      <c r="Y855" s="139"/>
      <c r="Z855" s="139"/>
      <c r="AA855" s="139"/>
    </row>
    <row r="856" spans="1:27" ht="15.75">
      <c r="A856" s="139"/>
      <c r="B856" s="139"/>
      <c r="C856" s="680"/>
      <c r="D856" s="139"/>
      <c r="E856" s="680"/>
      <c r="F856" s="139"/>
      <c r="G856" s="139"/>
      <c r="H856" s="680"/>
      <c r="I856" s="680"/>
      <c r="J856" s="139"/>
      <c r="K856" s="139"/>
      <c r="L856" s="139"/>
      <c r="M856" s="139"/>
      <c r="N856" s="139"/>
      <c r="O856" s="139"/>
      <c r="P856" s="139"/>
      <c r="Q856" s="139"/>
      <c r="R856" s="139"/>
      <c r="S856" s="139"/>
      <c r="T856" s="139"/>
      <c r="U856" s="139"/>
      <c r="V856" s="139"/>
      <c r="W856" s="139"/>
      <c r="X856" s="139"/>
      <c r="Y856" s="139"/>
      <c r="Z856" s="139"/>
      <c r="AA856" s="139"/>
    </row>
    <row r="857" spans="1:27" ht="15.75">
      <c r="A857" s="139"/>
      <c r="B857" s="139"/>
      <c r="C857" s="680"/>
      <c r="D857" s="139"/>
      <c r="E857" s="680"/>
      <c r="F857" s="139"/>
      <c r="G857" s="139"/>
      <c r="H857" s="680"/>
      <c r="I857" s="680"/>
      <c r="J857" s="139"/>
      <c r="K857" s="139"/>
      <c r="L857" s="139"/>
      <c r="M857" s="139"/>
      <c r="N857" s="139"/>
      <c r="O857" s="139"/>
      <c r="P857" s="139"/>
      <c r="Q857" s="139"/>
      <c r="R857" s="139"/>
      <c r="S857" s="139"/>
      <c r="T857" s="139"/>
      <c r="U857" s="139"/>
      <c r="V857" s="139"/>
      <c r="W857" s="139"/>
      <c r="X857" s="139"/>
      <c r="Y857" s="139"/>
      <c r="Z857" s="139"/>
      <c r="AA857" s="139"/>
    </row>
    <row r="858" spans="1:27" ht="15.75">
      <c r="A858" s="139"/>
      <c r="B858" s="139"/>
      <c r="C858" s="680"/>
      <c r="D858" s="139"/>
      <c r="E858" s="680"/>
      <c r="F858" s="139"/>
      <c r="G858" s="139"/>
      <c r="H858" s="680"/>
      <c r="I858" s="680"/>
      <c r="J858" s="139"/>
      <c r="K858" s="139"/>
      <c r="L858" s="139"/>
      <c r="M858" s="139"/>
      <c r="N858" s="139"/>
      <c r="O858" s="139"/>
      <c r="P858" s="139"/>
      <c r="Q858" s="139"/>
      <c r="R858" s="139"/>
      <c r="S858" s="139"/>
      <c r="T858" s="139"/>
      <c r="U858" s="139"/>
      <c r="V858" s="139"/>
      <c r="W858" s="139"/>
      <c r="X858" s="139"/>
      <c r="Y858" s="139"/>
      <c r="Z858" s="139"/>
      <c r="AA858" s="139"/>
    </row>
    <row r="859" spans="1:27" ht="15.75">
      <c r="A859" s="139"/>
      <c r="B859" s="139"/>
      <c r="C859" s="680"/>
      <c r="D859" s="139"/>
      <c r="E859" s="680"/>
      <c r="F859" s="139"/>
      <c r="G859" s="139"/>
      <c r="H859" s="680"/>
      <c r="I859" s="680"/>
      <c r="J859" s="139"/>
      <c r="K859" s="139"/>
      <c r="L859" s="139"/>
      <c r="M859" s="139"/>
      <c r="N859" s="139"/>
      <c r="O859" s="139"/>
      <c r="P859" s="139"/>
      <c r="Q859" s="139"/>
      <c r="R859" s="139"/>
      <c r="S859" s="139"/>
      <c r="T859" s="139"/>
      <c r="U859" s="139"/>
      <c r="V859" s="139"/>
      <c r="W859" s="139"/>
      <c r="X859" s="139"/>
      <c r="Y859" s="139"/>
      <c r="Z859" s="139"/>
      <c r="AA859" s="139"/>
    </row>
    <row r="860" spans="1:27" ht="15.75">
      <c r="A860" s="139"/>
      <c r="B860" s="139"/>
      <c r="C860" s="680"/>
      <c r="D860" s="139"/>
      <c r="E860" s="680"/>
      <c r="F860" s="139"/>
      <c r="G860" s="139"/>
      <c r="H860" s="680"/>
      <c r="I860" s="680"/>
      <c r="J860" s="139"/>
      <c r="K860" s="139"/>
      <c r="L860" s="139"/>
      <c r="M860" s="139"/>
      <c r="N860" s="139"/>
      <c r="O860" s="139"/>
      <c r="P860" s="139"/>
      <c r="Q860" s="139"/>
      <c r="R860" s="139"/>
      <c r="S860" s="139"/>
      <c r="T860" s="139"/>
      <c r="U860" s="139"/>
      <c r="V860" s="139"/>
      <c r="W860" s="139"/>
      <c r="X860" s="139"/>
      <c r="Y860" s="139"/>
      <c r="Z860" s="139"/>
      <c r="AA860" s="139"/>
    </row>
    <row r="861" spans="1:27" ht="15.75">
      <c r="A861" s="139"/>
      <c r="B861" s="139"/>
      <c r="C861" s="680"/>
      <c r="D861" s="139"/>
      <c r="E861" s="680"/>
      <c r="F861" s="139"/>
      <c r="G861" s="139"/>
      <c r="H861" s="680"/>
      <c r="I861" s="680"/>
      <c r="J861" s="139"/>
      <c r="K861" s="139"/>
      <c r="L861" s="139"/>
      <c r="M861" s="139"/>
      <c r="N861" s="139"/>
      <c r="O861" s="139"/>
      <c r="P861" s="139"/>
      <c r="Q861" s="139"/>
      <c r="R861" s="139"/>
      <c r="S861" s="139"/>
      <c r="T861" s="139"/>
      <c r="U861" s="139"/>
      <c r="V861" s="139"/>
      <c r="W861" s="139"/>
      <c r="X861" s="139"/>
      <c r="Y861" s="139"/>
      <c r="Z861" s="139"/>
      <c r="AA861" s="139"/>
    </row>
    <row r="862" spans="1:27" ht="15.75">
      <c r="A862" s="139"/>
      <c r="B862" s="139"/>
      <c r="C862" s="680"/>
      <c r="D862" s="139"/>
      <c r="E862" s="680"/>
      <c r="F862" s="139"/>
      <c r="G862" s="139"/>
      <c r="H862" s="680"/>
      <c r="I862" s="680"/>
      <c r="J862" s="139"/>
      <c r="K862" s="139"/>
      <c r="L862" s="139"/>
      <c r="M862" s="139"/>
      <c r="N862" s="139"/>
      <c r="O862" s="139"/>
      <c r="P862" s="139"/>
      <c r="Q862" s="139"/>
      <c r="R862" s="139"/>
      <c r="S862" s="139"/>
      <c r="T862" s="139"/>
      <c r="U862" s="139"/>
      <c r="V862" s="139"/>
      <c r="W862" s="139"/>
      <c r="X862" s="139"/>
      <c r="Y862" s="139"/>
      <c r="Z862" s="139"/>
      <c r="AA862" s="139"/>
    </row>
    <row r="863" spans="1:27" ht="15.75">
      <c r="A863" s="139"/>
      <c r="B863" s="139"/>
      <c r="C863" s="680"/>
      <c r="D863" s="139"/>
      <c r="E863" s="680"/>
      <c r="F863" s="139"/>
      <c r="G863" s="139"/>
      <c r="H863" s="680"/>
      <c r="I863" s="680"/>
      <c r="J863" s="139"/>
      <c r="K863" s="139"/>
      <c r="L863" s="139"/>
      <c r="M863" s="139"/>
      <c r="N863" s="139"/>
      <c r="O863" s="139"/>
      <c r="P863" s="139"/>
      <c r="Q863" s="139"/>
      <c r="R863" s="139"/>
      <c r="S863" s="139"/>
      <c r="T863" s="139"/>
      <c r="U863" s="139"/>
      <c r="V863" s="139"/>
      <c r="W863" s="139"/>
      <c r="X863" s="139"/>
      <c r="Y863" s="139"/>
      <c r="Z863" s="139"/>
      <c r="AA863" s="139"/>
    </row>
    <row r="864" spans="1:27" ht="15.75">
      <c r="A864" s="139"/>
      <c r="B864" s="139"/>
      <c r="C864" s="680"/>
      <c r="D864" s="139"/>
      <c r="E864" s="680"/>
      <c r="F864" s="139"/>
      <c r="G864" s="139"/>
      <c r="H864" s="680"/>
      <c r="I864" s="680"/>
      <c r="J864" s="139"/>
      <c r="K864" s="139"/>
      <c r="L864" s="139"/>
      <c r="M864" s="139"/>
      <c r="N864" s="139"/>
      <c r="O864" s="139"/>
      <c r="P864" s="139"/>
      <c r="Q864" s="139"/>
      <c r="R864" s="139"/>
      <c r="S864" s="139"/>
      <c r="T864" s="139"/>
      <c r="U864" s="139"/>
      <c r="V864" s="139"/>
      <c r="W864" s="139"/>
      <c r="X864" s="139"/>
      <c r="Y864" s="139"/>
      <c r="Z864" s="139"/>
      <c r="AA864" s="139"/>
    </row>
    <row r="865" spans="1:27" ht="15.75">
      <c r="A865" s="139"/>
      <c r="B865" s="139"/>
      <c r="C865" s="680"/>
      <c r="D865" s="139"/>
      <c r="E865" s="680"/>
      <c r="F865" s="139"/>
      <c r="G865" s="139"/>
      <c r="H865" s="680"/>
      <c r="I865" s="680"/>
      <c r="J865" s="139"/>
      <c r="K865" s="139"/>
      <c r="L865" s="139"/>
      <c r="M865" s="139"/>
      <c r="N865" s="139"/>
      <c r="O865" s="139"/>
      <c r="P865" s="139"/>
      <c r="Q865" s="139"/>
      <c r="R865" s="139"/>
      <c r="S865" s="139"/>
      <c r="T865" s="139"/>
      <c r="U865" s="139"/>
      <c r="V865" s="139"/>
      <c r="W865" s="139"/>
      <c r="X865" s="139"/>
      <c r="Y865" s="139"/>
      <c r="Z865" s="139"/>
      <c r="AA865" s="139"/>
    </row>
    <row r="866" spans="1:27" ht="15.75">
      <c r="A866" s="139"/>
      <c r="B866" s="139"/>
      <c r="C866" s="680"/>
      <c r="D866" s="139"/>
      <c r="E866" s="680"/>
      <c r="F866" s="139"/>
      <c r="G866" s="139"/>
      <c r="H866" s="680"/>
      <c r="I866" s="680"/>
      <c r="J866" s="139"/>
      <c r="K866" s="139"/>
      <c r="L866" s="139"/>
      <c r="M866" s="139"/>
      <c r="N866" s="139"/>
      <c r="O866" s="139"/>
      <c r="P866" s="139"/>
      <c r="Q866" s="139"/>
      <c r="R866" s="139"/>
      <c r="S866" s="139"/>
      <c r="T866" s="139"/>
      <c r="U866" s="139"/>
      <c r="V866" s="139"/>
      <c r="W866" s="139"/>
      <c r="X866" s="139"/>
      <c r="Y866" s="139"/>
      <c r="Z866" s="139"/>
      <c r="AA866" s="139"/>
    </row>
    <row r="867" spans="1:27" ht="15.75">
      <c r="A867" s="139"/>
      <c r="B867" s="139"/>
      <c r="C867" s="680"/>
      <c r="D867" s="139"/>
      <c r="E867" s="680"/>
      <c r="F867" s="139"/>
      <c r="G867" s="139"/>
      <c r="H867" s="680"/>
      <c r="I867" s="680"/>
      <c r="J867" s="139"/>
      <c r="K867" s="139"/>
      <c r="L867" s="139"/>
      <c r="M867" s="139"/>
      <c r="N867" s="139"/>
      <c r="O867" s="139"/>
      <c r="P867" s="139"/>
      <c r="Q867" s="139"/>
      <c r="R867" s="139"/>
      <c r="S867" s="139"/>
      <c r="T867" s="139"/>
      <c r="U867" s="139"/>
      <c r="V867" s="139"/>
      <c r="W867" s="139"/>
      <c r="X867" s="139"/>
      <c r="Y867" s="139"/>
      <c r="Z867" s="139"/>
      <c r="AA867" s="139"/>
    </row>
    <row r="868" spans="1:27" ht="15.75">
      <c r="A868" s="139"/>
      <c r="B868" s="139"/>
      <c r="C868" s="680"/>
      <c r="D868" s="139"/>
      <c r="E868" s="680"/>
      <c r="F868" s="139"/>
      <c r="G868" s="139"/>
      <c r="H868" s="680"/>
      <c r="I868" s="680"/>
      <c r="J868" s="139"/>
      <c r="K868" s="139"/>
      <c r="L868" s="139"/>
      <c r="M868" s="139"/>
      <c r="N868" s="139"/>
      <c r="O868" s="139"/>
      <c r="P868" s="139"/>
      <c r="Q868" s="139"/>
      <c r="R868" s="139"/>
      <c r="S868" s="139"/>
      <c r="T868" s="139"/>
      <c r="U868" s="139"/>
      <c r="V868" s="139"/>
      <c r="W868" s="139"/>
      <c r="X868" s="139"/>
      <c r="Y868" s="139"/>
      <c r="Z868" s="139"/>
      <c r="AA868" s="139"/>
    </row>
    <row r="869" spans="1:27" ht="15.75">
      <c r="A869" s="139"/>
      <c r="B869" s="139"/>
      <c r="C869" s="680"/>
      <c r="D869" s="139"/>
      <c r="E869" s="680"/>
      <c r="F869" s="139"/>
      <c r="G869" s="139"/>
      <c r="H869" s="680"/>
      <c r="I869" s="680"/>
      <c r="J869" s="139"/>
      <c r="K869" s="139"/>
      <c r="L869" s="139"/>
      <c r="M869" s="139"/>
      <c r="N869" s="139"/>
      <c r="O869" s="139"/>
      <c r="P869" s="139"/>
      <c r="Q869" s="139"/>
      <c r="R869" s="139"/>
      <c r="S869" s="139"/>
      <c r="T869" s="139"/>
      <c r="U869" s="139"/>
      <c r="V869" s="139"/>
      <c r="W869" s="139"/>
      <c r="X869" s="139"/>
      <c r="Y869" s="139"/>
      <c r="Z869" s="139"/>
      <c r="AA869" s="139"/>
    </row>
    <row r="870" spans="1:27" ht="15.75">
      <c r="A870" s="139"/>
      <c r="B870" s="139"/>
      <c r="C870" s="680"/>
      <c r="D870" s="139"/>
      <c r="E870" s="680"/>
      <c r="F870" s="139"/>
      <c r="G870" s="139"/>
      <c r="H870" s="680"/>
      <c r="I870" s="680"/>
      <c r="J870" s="139"/>
      <c r="K870" s="139"/>
      <c r="L870" s="139"/>
      <c r="M870" s="139"/>
      <c r="N870" s="139"/>
      <c r="O870" s="139"/>
      <c r="P870" s="139"/>
      <c r="Q870" s="139"/>
      <c r="R870" s="139"/>
      <c r="S870" s="139"/>
      <c r="T870" s="139"/>
      <c r="U870" s="139"/>
      <c r="V870" s="139"/>
      <c r="W870" s="139"/>
      <c r="X870" s="139"/>
      <c r="Y870" s="139"/>
      <c r="Z870" s="139"/>
      <c r="AA870" s="139"/>
    </row>
    <row r="871" spans="1:27" ht="15.75">
      <c r="A871" s="139"/>
      <c r="B871" s="139"/>
      <c r="C871" s="680"/>
      <c r="D871" s="139"/>
      <c r="E871" s="680"/>
      <c r="F871" s="139"/>
      <c r="G871" s="139"/>
      <c r="H871" s="680"/>
      <c r="I871" s="680"/>
      <c r="J871" s="139"/>
      <c r="K871" s="139"/>
      <c r="L871" s="139"/>
      <c r="M871" s="139"/>
      <c r="N871" s="139"/>
      <c r="O871" s="139"/>
      <c r="P871" s="139"/>
      <c r="Q871" s="139"/>
      <c r="R871" s="139"/>
      <c r="S871" s="139"/>
      <c r="T871" s="139"/>
      <c r="U871" s="139"/>
      <c r="V871" s="139"/>
      <c r="W871" s="139"/>
      <c r="X871" s="139"/>
      <c r="Y871" s="139"/>
      <c r="Z871" s="139"/>
      <c r="AA871" s="139"/>
    </row>
    <row r="872" spans="1:27" ht="15.75">
      <c r="A872" s="139"/>
      <c r="B872" s="139"/>
      <c r="C872" s="680"/>
      <c r="D872" s="139"/>
      <c r="E872" s="680"/>
      <c r="F872" s="139"/>
      <c r="G872" s="139"/>
      <c r="H872" s="680"/>
      <c r="I872" s="680"/>
      <c r="J872" s="139"/>
      <c r="K872" s="139"/>
      <c r="L872" s="139"/>
      <c r="M872" s="139"/>
      <c r="N872" s="139"/>
      <c r="O872" s="139"/>
      <c r="P872" s="139"/>
      <c r="Q872" s="139"/>
      <c r="R872" s="139"/>
      <c r="S872" s="139"/>
      <c r="T872" s="139"/>
      <c r="U872" s="139"/>
      <c r="V872" s="139"/>
      <c r="W872" s="139"/>
      <c r="X872" s="139"/>
      <c r="Y872" s="139"/>
      <c r="Z872" s="139"/>
      <c r="AA872" s="139"/>
    </row>
    <row r="873" spans="1:27" ht="15.75">
      <c r="A873" s="139"/>
      <c r="B873" s="139"/>
      <c r="C873" s="680"/>
      <c r="D873" s="139"/>
      <c r="E873" s="680"/>
      <c r="F873" s="139"/>
      <c r="G873" s="139"/>
      <c r="H873" s="680"/>
      <c r="I873" s="680"/>
      <c r="J873" s="139"/>
      <c r="K873" s="139"/>
      <c r="L873" s="139"/>
      <c r="M873" s="139"/>
      <c r="N873" s="139"/>
      <c r="O873" s="139"/>
      <c r="P873" s="139"/>
      <c r="Q873" s="139"/>
      <c r="R873" s="139"/>
      <c r="S873" s="139"/>
      <c r="T873" s="139"/>
      <c r="U873" s="139"/>
      <c r="V873" s="139"/>
      <c r="W873" s="139"/>
      <c r="X873" s="139"/>
      <c r="Y873" s="139"/>
      <c r="Z873" s="139"/>
      <c r="AA873" s="139"/>
    </row>
    <row r="874" spans="1:27" ht="15.75">
      <c r="A874" s="139"/>
      <c r="B874" s="139"/>
      <c r="C874" s="680"/>
      <c r="D874" s="139"/>
      <c r="E874" s="680"/>
      <c r="F874" s="139"/>
      <c r="G874" s="139"/>
      <c r="H874" s="680"/>
      <c r="I874" s="680"/>
      <c r="J874" s="139"/>
      <c r="K874" s="139"/>
      <c r="L874" s="139"/>
      <c r="M874" s="139"/>
      <c r="N874" s="139"/>
      <c r="O874" s="139"/>
      <c r="P874" s="139"/>
      <c r="Q874" s="139"/>
      <c r="R874" s="139"/>
      <c r="S874" s="139"/>
      <c r="T874" s="139"/>
      <c r="U874" s="139"/>
      <c r="V874" s="139"/>
      <c r="W874" s="139"/>
      <c r="X874" s="139"/>
      <c r="Y874" s="139"/>
      <c r="Z874" s="139"/>
      <c r="AA874" s="139"/>
    </row>
    <row r="875" spans="1:27" ht="15.75">
      <c r="A875" s="139"/>
      <c r="B875" s="139"/>
      <c r="C875" s="680"/>
      <c r="D875" s="139"/>
      <c r="E875" s="680"/>
      <c r="F875" s="139"/>
      <c r="G875" s="139"/>
      <c r="H875" s="680"/>
      <c r="I875" s="680"/>
      <c r="J875" s="139"/>
      <c r="K875" s="139"/>
      <c r="L875" s="139"/>
      <c r="M875" s="139"/>
      <c r="N875" s="139"/>
      <c r="O875" s="139"/>
      <c r="P875" s="139"/>
      <c r="Q875" s="139"/>
      <c r="R875" s="139"/>
      <c r="S875" s="139"/>
      <c r="T875" s="139"/>
      <c r="U875" s="139"/>
      <c r="V875" s="139"/>
      <c r="W875" s="139"/>
      <c r="X875" s="139"/>
      <c r="Y875" s="139"/>
      <c r="Z875" s="139"/>
      <c r="AA875" s="139"/>
    </row>
    <row r="876" spans="1:27" ht="15.75">
      <c r="A876" s="139"/>
      <c r="B876" s="139"/>
      <c r="C876" s="680"/>
      <c r="D876" s="139"/>
      <c r="E876" s="680"/>
      <c r="F876" s="139"/>
      <c r="G876" s="139"/>
      <c r="H876" s="680"/>
      <c r="I876" s="680"/>
      <c r="J876" s="139"/>
      <c r="K876" s="139"/>
      <c r="L876" s="139"/>
      <c r="M876" s="139"/>
      <c r="N876" s="139"/>
      <c r="O876" s="139"/>
      <c r="P876" s="139"/>
      <c r="Q876" s="139"/>
      <c r="R876" s="139"/>
      <c r="S876" s="139"/>
      <c r="T876" s="139"/>
      <c r="U876" s="139"/>
      <c r="V876" s="139"/>
      <c r="W876" s="139"/>
      <c r="X876" s="139"/>
      <c r="Y876" s="139"/>
      <c r="Z876" s="139"/>
      <c r="AA876" s="139"/>
    </row>
    <row r="877" spans="1:27" ht="15.75">
      <c r="A877" s="139"/>
      <c r="B877" s="139"/>
      <c r="C877" s="680"/>
      <c r="D877" s="139"/>
      <c r="E877" s="680"/>
      <c r="F877" s="139"/>
      <c r="G877" s="139"/>
      <c r="H877" s="680"/>
      <c r="I877" s="680"/>
      <c r="J877" s="139"/>
      <c r="K877" s="139"/>
      <c r="L877" s="139"/>
      <c r="M877" s="139"/>
      <c r="N877" s="139"/>
      <c r="O877" s="139"/>
      <c r="P877" s="139"/>
      <c r="Q877" s="139"/>
      <c r="R877" s="139"/>
      <c r="S877" s="139"/>
      <c r="T877" s="139"/>
      <c r="U877" s="139"/>
      <c r="V877" s="139"/>
      <c r="W877" s="139"/>
      <c r="X877" s="139"/>
      <c r="Y877" s="139"/>
      <c r="Z877" s="139"/>
      <c r="AA877" s="139"/>
    </row>
    <row r="878" spans="1:27" ht="15.75">
      <c r="A878" s="139"/>
      <c r="B878" s="139"/>
      <c r="C878" s="680"/>
      <c r="D878" s="139"/>
      <c r="E878" s="680"/>
      <c r="F878" s="139"/>
      <c r="G878" s="139"/>
      <c r="H878" s="680"/>
      <c r="I878" s="680"/>
      <c r="J878" s="139"/>
      <c r="K878" s="139"/>
      <c r="L878" s="139"/>
      <c r="M878" s="139"/>
      <c r="N878" s="139"/>
      <c r="O878" s="139"/>
      <c r="P878" s="139"/>
      <c r="Q878" s="139"/>
      <c r="R878" s="139"/>
      <c r="S878" s="139"/>
      <c r="T878" s="139"/>
      <c r="U878" s="139"/>
      <c r="V878" s="139"/>
      <c r="W878" s="139"/>
      <c r="X878" s="139"/>
      <c r="Y878" s="139"/>
      <c r="Z878" s="139"/>
      <c r="AA878" s="139"/>
    </row>
    <row r="879" spans="1:27" ht="15.75">
      <c r="A879" s="139"/>
      <c r="B879" s="139"/>
      <c r="C879" s="680"/>
      <c r="D879" s="139"/>
      <c r="E879" s="680"/>
      <c r="F879" s="139"/>
      <c r="G879" s="139"/>
      <c r="H879" s="680"/>
      <c r="I879" s="680"/>
      <c r="J879" s="139"/>
      <c r="K879" s="139"/>
      <c r="L879" s="139"/>
      <c r="M879" s="139"/>
      <c r="N879" s="139"/>
      <c r="O879" s="139"/>
      <c r="P879" s="139"/>
      <c r="Q879" s="139"/>
      <c r="R879" s="139"/>
      <c r="S879" s="139"/>
      <c r="T879" s="139"/>
      <c r="U879" s="139"/>
      <c r="V879" s="139"/>
      <c r="W879" s="139"/>
      <c r="X879" s="139"/>
      <c r="Y879" s="139"/>
      <c r="Z879" s="139"/>
      <c r="AA879" s="139"/>
    </row>
    <row r="880" spans="1:27" ht="15.75">
      <c r="A880" s="139"/>
      <c r="B880" s="139"/>
      <c r="C880" s="680"/>
      <c r="D880" s="139"/>
      <c r="E880" s="680"/>
      <c r="F880" s="139"/>
      <c r="G880" s="139"/>
      <c r="H880" s="680"/>
      <c r="I880" s="680"/>
      <c r="J880" s="139"/>
      <c r="K880" s="139"/>
      <c r="L880" s="139"/>
      <c r="M880" s="139"/>
      <c r="N880" s="139"/>
      <c r="O880" s="139"/>
      <c r="P880" s="139"/>
      <c r="Q880" s="139"/>
      <c r="R880" s="139"/>
      <c r="S880" s="139"/>
      <c r="T880" s="139"/>
      <c r="U880" s="139"/>
      <c r="V880" s="139"/>
      <c r="W880" s="139"/>
      <c r="X880" s="139"/>
      <c r="Y880" s="139"/>
      <c r="Z880" s="139"/>
      <c r="AA880" s="139"/>
    </row>
    <row r="881" spans="1:27" ht="15.75">
      <c r="A881" s="139"/>
      <c r="B881" s="139"/>
      <c r="C881" s="680"/>
      <c r="D881" s="139"/>
      <c r="E881" s="680"/>
      <c r="F881" s="139"/>
      <c r="G881" s="139"/>
      <c r="H881" s="680"/>
      <c r="I881" s="680"/>
      <c r="J881" s="139"/>
      <c r="K881" s="139"/>
      <c r="L881" s="139"/>
      <c r="M881" s="139"/>
      <c r="N881" s="139"/>
      <c r="O881" s="139"/>
      <c r="P881" s="139"/>
      <c r="Q881" s="139"/>
      <c r="R881" s="139"/>
      <c r="S881" s="139"/>
      <c r="T881" s="139"/>
      <c r="U881" s="139"/>
      <c r="V881" s="139"/>
      <c r="W881" s="139"/>
      <c r="X881" s="139"/>
      <c r="Y881" s="139"/>
      <c r="Z881" s="139"/>
      <c r="AA881" s="139"/>
    </row>
    <row r="882" spans="1:27" ht="15.75">
      <c r="A882" s="139"/>
      <c r="B882" s="139"/>
      <c r="C882" s="680"/>
      <c r="D882" s="139"/>
      <c r="E882" s="680"/>
      <c r="F882" s="139"/>
      <c r="G882" s="139"/>
      <c r="H882" s="680"/>
      <c r="I882" s="680"/>
      <c r="J882" s="139"/>
      <c r="K882" s="139"/>
      <c r="L882" s="139"/>
      <c r="M882" s="139"/>
      <c r="N882" s="139"/>
      <c r="O882" s="139"/>
      <c r="P882" s="139"/>
      <c r="Q882" s="139"/>
      <c r="R882" s="139"/>
      <c r="S882" s="139"/>
      <c r="T882" s="139"/>
      <c r="U882" s="139"/>
      <c r="V882" s="139"/>
      <c r="W882" s="139"/>
      <c r="X882" s="139"/>
      <c r="Y882" s="139"/>
      <c r="Z882" s="139"/>
      <c r="AA882" s="139"/>
    </row>
    <row r="883" spans="1:27" ht="15.75">
      <c r="A883" s="139"/>
      <c r="B883" s="139"/>
      <c r="C883" s="680"/>
      <c r="D883" s="139"/>
      <c r="E883" s="680"/>
      <c r="F883" s="139"/>
      <c r="G883" s="139"/>
      <c r="H883" s="680"/>
      <c r="I883" s="680"/>
      <c r="J883" s="139"/>
      <c r="K883" s="139"/>
      <c r="L883" s="139"/>
      <c r="M883" s="139"/>
      <c r="N883" s="139"/>
      <c r="O883" s="139"/>
      <c r="P883" s="139"/>
      <c r="Q883" s="139"/>
      <c r="R883" s="139"/>
      <c r="S883" s="139"/>
      <c r="T883" s="139"/>
      <c r="U883" s="139"/>
      <c r="V883" s="139"/>
      <c r="W883" s="139"/>
      <c r="X883" s="139"/>
      <c r="Y883" s="139"/>
      <c r="Z883" s="139"/>
      <c r="AA883" s="139"/>
    </row>
    <row r="884" spans="1:27" ht="15.75">
      <c r="A884" s="139"/>
      <c r="B884" s="139"/>
      <c r="C884" s="680"/>
      <c r="D884" s="139"/>
      <c r="E884" s="680"/>
      <c r="F884" s="139"/>
      <c r="G884" s="139"/>
      <c r="H884" s="680"/>
      <c r="I884" s="680"/>
      <c r="J884" s="139"/>
      <c r="K884" s="139"/>
      <c r="L884" s="139"/>
      <c r="M884" s="139"/>
      <c r="N884" s="139"/>
      <c r="O884" s="139"/>
      <c r="P884" s="139"/>
      <c r="Q884" s="139"/>
      <c r="R884" s="139"/>
      <c r="S884" s="139"/>
      <c r="T884" s="139"/>
      <c r="U884" s="139"/>
      <c r="V884" s="139"/>
      <c r="W884" s="139"/>
      <c r="X884" s="139"/>
      <c r="Y884" s="139"/>
      <c r="Z884" s="139"/>
      <c r="AA884" s="139"/>
    </row>
    <row r="885" spans="1:27" ht="15.75">
      <c r="A885" s="139"/>
      <c r="B885" s="139"/>
      <c r="C885" s="680"/>
      <c r="D885" s="139"/>
      <c r="E885" s="680"/>
      <c r="F885" s="139"/>
      <c r="G885" s="139"/>
      <c r="H885" s="680"/>
      <c r="I885" s="680"/>
      <c r="J885" s="139"/>
      <c r="K885" s="139"/>
      <c r="L885" s="139"/>
      <c r="M885" s="139"/>
      <c r="N885" s="139"/>
      <c r="O885" s="139"/>
      <c r="P885" s="139"/>
      <c r="Q885" s="139"/>
      <c r="R885" s="139"/>
      <c r="S885" s="139"/>
      <c r="T885" s="139"/>
      <c r="U885" s="139"/>
      <c r="V885" s="139"/>
      <c r="W885" s="139"/>
      <c r="X885" s="139"/>
      <c r="Y885" s="139"/>
      <c r="Z885" s="139"/>
      <c r="AA885" s="139"/>
    </row>
    <row r="886" spans="1:27" ht="15.75">
      <c r="A886" s="139"/>
      <c r="B886" s="139"/>
      <c r="C886" s="680"/>
      <c r="D886" s="139"/>
      <c r="E886" s="680"/>
      <c r="F886" s="139"/>
      <c r="G886" s="139"/>
      <c r="H886" s="680"/>
      <c r="I886" s="680"/>
      <c r="J886" s="139"/>
      <c r="K886" s="139"/>
      <c r="L886" s="139"/>
      <c r="M886" s="139"/>
      <c r="N886" s="139"/>
      <c r="O886" s="139"/>
      <c r="P886" s="139"/>
      <c r="Q886" s="139"/>
      <c r="R886" s="139"/>
      <c r="S886" s="139"/>
      <c r="T886" s="139"/>
      <c r="U886" s="139"/>
      <c r="V886" s="139"/>
      <c r="W886" s="139"/>
      <c r="X886" s="139"/>
      <c r="Y886" s="139"/>
      <c r="Z886" s="139"/>
      <c r="AA886" s="139"/>
    </row>
    <row r="887" spans="1:27" ht="15.75">
      <c r="A887" s="139"/>
      <c r="B887" s="139"/>
      <c r="C887" s="680"/>
      <c r="D887" s="139"/>
      <c r="E887" s="680"/>
      <c r="F887" s="139"/>
      <c r="G887" s="139"/>
      <c r="H887" s="680"/>
      <c r="I887" s="680"/>
      <c r="J887" s="139"/>
      <c r="K887" s="139"/>
      <c r="L887" s="139"/>
      <c r="M887" s="139"/>
      <c r="N887" s="139"/>
      <c r="O887" s="139"/>
      <c r="P887" s="139"/>
      <c r="Q887" s="139"/>
      <c r="R887" s="139"/>
      <c r="S887" s="139"/>
      <c r="T887" s="139"/>
      <c r="U887" s="139"/>
      <c r="V887" s="139"/>
      <c r="W887" s="139"/>
      <c r="X887" s="139"/>
      <c r="Y887" s="139"/>
      <c r="Z887" s="139"/>
      <c r="AA887" s="139"/>
    </row>
    <row r="888" spans="1:27" ht="15.75">
      <c r="A888" s="139"/>
      <c r="B888" s="139"/>
      <c r="C888" s="680"/>
      <c r="D888" s="139"/>
      <c r="E888" s="680"/>
      <c r="F888" s="139"/>
      <c r="G888" s="139"/>
      <c r="H888" s="680"/>
      <c r="I888" s="680"/>
      <c r="J888" s="139"/>
      <c r="K888" s="139"/>
      <c r="L888" s="139"/>
      <c r="M888" s="139"/>
      <c r="N888" s="139"/>
      <c r="O888" s="139"/>
      <c r="P888" s="139"/>
      <c r="Q888" s="139"/>
      <c r="R888" s="139"/>
      <c r="S888" s="139"/>
      <c r="T888" s="139"/>
      <c r="U888" s="139"/>
      <c r="V888" s="139"/>
      <c r="W888" s="139"/>
      <c r="X888" s="139"/>
      <c r="Y888" s="139"/>
      <c r="Z888" s="139"/>
      <c r="AA888" s="139"/>
    </row>
    <row r="889" spans="1:27" ht="15.75">
      <c r="A889" s="139"/>
      <c r="B889" s="139"/>
      <c r="C889" s="680"/>
      <c r="D889" s="139"/>
      <c r="E889" s="680"/>
      <c r="F889" s="139"/>
      <c r="G889" s="139"/>
      <c r="H889" s="680"/>
      <c r="I889" s="680"/>
      <c r="J889" s="139"/>
      <c r="K889" s="139"/>
      <c r="L889" s="139"/>
      <c r="M889" s="139"/>
      <c r="N889" s="139"/>
      <c r="O889" s="139"/>
      <c r="P889" s="139"/>
      <c r="Q889" s="139"/>
      <c r="R889" s="139"/>
      <c r="S889" s="139"/>
      <c r="T889" s="139"/>
      <c r="U889" s="139"/>
      <c r="V889" s="139"/>
      <c r="W889" s="139"/>
      <c r="X889" s="139"/>
      <c r="Y889" s="139"/>
      <c r="Z889" s="139"/>
      <c r="AA889" s="139"/>
    </row>
    <row r="890" spans="1:27" ht="15.75">
      <c r="A890" s="139"/>
      <c r="B890" s="139"/>
      <c r="C890" s="680"/>
      <c r="D890" s="139"/>
      <c r="E890" s="680"/>
      <c r="F890" s="139"/>
      <c r="G890" s="139"/>
      <c r="H890" s="680"/>
      <c r="I890" s="680"/>
      <c r="J890" s="139"/>
      <c r="K890" s="139"/>
      <c r="L890" s="139"/>
      <c r="M890" s="139"/>
      <c r="N890" s="139"/>
      <c r="O890" s="139"/>
      <c r="P890" s="139"/>
      <c r="Q890" s="139"/>
      <c r="R890" s="139"/>
      <c r="S890" s="139"/>
      <c r="T890" s="139"/>
      <c r="U890" s="139"/>
      <c r="V890" s="139"/>
      <c r="W890" s="139"/>
      <c r="X890" s="139"/>
      <c r="Y890" s="139"/>
      <c r="Z890" s="139"/>
      <c r="AA890" s="139"/>
    </row>
    <row r="891" spans="1:27" ht="15.75">
      <c r="A891" s="139"/>
      <c r="B891" s="139"/>
      <c r="C891" s="680"/>
      <c r="D891" s="139"/>
      <c r="E891" s="680"/>
      <c r="F891" s="139"/>
      <c r="G891" s="139"/>
      <c r="H891" s="680"/>
      <c r="I891" s="680"/>
      <c r="J891" s="139"/>
      <c r="K891" s="139"/>
      <c r="L891" s="139"/>
      <c r="M891" s="139"/>
      <c r="N891" s="139"/>
      <c r="O891" s="139"/>
      <c r="P891" s="139"/>
      <c r="Q891" s="139"/>
      <c r="R891" s="139"/>
      <c r="S891" s="139"/>
      <c r="T891" s="139"/>
      <c r="U891" s="139"/>
      <c r="V891" s="139"/>
      <c r="W891" s="139"/>
      <c r="X891" s="139"/>
      <c r="Y891" s="139"/>
      <c r="Z891" s="139"/>
      <c r="AA891" s="139"/>
    </row>
    <row r="892" spans="1:27" ht="15.75">
      <c r="A892" s="139"/>
      <c r="B892" s="139"/>
      <c r="C892" s="680"/>
      <c r="D892" s="139"/>
      <c r="E892" s="680"/>
      <c r="F892" s="139"/>
      <c r="G892" s="139"/>
      <c r="H892" s="680"/>
      <c r="I892" s="680"/>
      <c r="J892" s="139"/>
      <c r="K892" s="139"/>
      <c r="L892" s="139"/>
      <c r="M892" s="139"/>
      <c r="N892" s="139"/>
      <c r="O892" s="139"/>
      <c r="P892" s="139"/>
      <c r="Q892" s="139"/>
      <c r="R892" s="139"/>
      <c r="S892" s="139"/>
      <c r="T892" s="139"/>
      <c r="U892" s="139"/>
      <c r="V892" s="139"/>
      <c r="W892" s="139"/>
      <c r="X892" s="139"/>
      <c r="Y892" s="139"/>
      <c r="Z892" s="139"/>
      <c r="AA892" s="139"/>
    </row>
    <row r="893" spans="1:27" ht="15.75">
      <c r="A893" s="139"/>
      <c r="B893" s="139"/>
      <c r="C893" s="680"/>
      <c r="D893" s="139"/>
      <c r="E893" s="680"/>
      <c r="F893" s="139"/>
      <c r="G893" s="139"/>
      <c r="H893" s="680"/>
      <c r="I893" s="680"/>
      <c r="J893" s="139"/>
      <c r="K893" s="139"/>
      <c r="L893" s="139"/>
      <c r="M893" s="139"/>
      <c r="N893" s="139"/>
      <c r="O893" s="139"/>
      <c r="P893" s="139"/>
      <c r="Q893" s="139"/>
      <c r="R893" s="139"/>
      <c r="S893" s="139"/>
      <c r="T893" s="139"/>
      <c r="U893" s="139"/>
      <c r="V893" s="139"/>
      <c r="W893" s="139"/>
      <c r="X893" s="139"/>
      <c r="Y893" s="139"/>
      <c r="Z893" s="139"/>
      <c r="AA893" s="139"/>
    </row>
    <row r="894" spans="1:27" ht="15.75">
      <c r="A894" s="139"/>
      <c r="B894" s="139"/>
      <c r="C894" s="680"/>
      <c r="D894" s="139"/>
      <c r="E894" s="680"/>
      <c r="F894" s="139"/>
      <c r="G894" s="139"/>
      <c r="H894" s="680"/>
      <c r="I894" s="680"/>
      <c r="J894" s="139"/>
      <c r="K894" s="139"/>
      <c r="L894" s="139"/>
      <c r="M894" s="139"/>
      <c r="N894" s="139"/>
      <c r="O894" s="139"/>
      <c r="P894" s="139"/>
      <c r="Q894" s="139"/>
      <c r="R894" s="139"/>
      <c r="S894" s="139"/>
      <c r="T894" s="139"/>
      <c r="U894" s="139"/>
      <c r="V894" s="139"/>
      <c r="W894" s="139"/>
      <c r="X894" s="139"/>
      <c r="Y894" s="139"/>
      <c r="Z894" s="139"/>
      <c r="AA894" s="139"/>
    </row>
    <row r="895" spans="1:27" ht="15.75">
      <c r="A895" s="139"/>
      <c r="B895" s="139"/>
      <c r="C895" s="680"/>
      <c r="D895" s="139"/>
      <c r="E895" s="680"/>
      <c r="F895" s="139"/>
      <c r="G895" s="139"/>
      <c r="H895" s="680"/>
      <c r="I895" s="680"/>
      <c r="J895" s="139"/>
      <c r="K895" s="139"/>
      <c r="L895" s="139"/>
      <c r="M895" s="139"/>
      <c r="N895" s="139"/>
      <c r="O895" s="139"/>
      <c r="P895" s="139"/>
      <c r="Q895" s="139"/>
      <c r="R895" s="139"/>
      <c r="S895" s="139"/>
      <c r="T895" s="139"/>
      <c r="U895" s="139"/>
      <c r="V895" s="139"/>
      <c r="W895" s="139"/>
      <c r="X895" s="139"/>
      <c r="Y895" s="139"/>
      <c r="Z895" s="139"/>
      <c r="AA895" s="139"/>
    </row>
    <row r="896" spans="1:27" ht="15.75">
      <c r="A896" s="139"/>
      <c r="B896" s="139"/>
      <c r="C896" s="680"/>
      <c r="D896" s="139"/>
      <c r="E896" s="680"/>
      <c r="F896" s="139"/>
      <c r="G896" s="139"/>
      <c r="H896" s="680"/>
      <c r="I896" s="680"/>
      <c r="J896" s="139"/>
      <c r="K896" s="139"/>
      <c r="L896" s="139"/>
      <c r="M896" s="139"/>
      <c r="N896" s="139"/>
      <c r="O896" s="139"/>
      <c r="P896" s="139"/>
      <c r="Q896" s="139"/>
      <c r="R896" s="139"/>
      <c r="S896" s="139"/>
      <c r="T896" s="139"/>
      <c r="U896" s="139"/>
      <c r="V896" s="139"/>
      <c r="W896" s="139"/>
      <c r="X896" s="139"/>
      <c r="Y896" s="139"/>
      <c r="Z896" s="139"/>
      <c r="AA896" s="139"/>
    </row>
    <row r="897" spans="1:27" ht="15.75">
      <c r="A897" s="139"/>
      <c r="B897" s="139"/>
      <c r="C897" s="680"/>
      <c r="D897" s="139"/>
      <c r="E897" s="680"/>
      <c r="F897" s="139"/>
      <c r="G897" s="139"/>
      <c r="H897" s="680"/>
      <c r="I897" s="680"/>
      <c r="J897" s="139"/>
      <c r="K897" s="139"/>
      <c r="L897" s="139"/>
      <c r="M897" s="139"/>
      <c r="N897" s="139"/>
      <c r="O897" s="139"/>
      <c r="P897" s="139"/>
      <c r="Q897" s="139"/>
      <c r="R897" s="139"/>
      <c r="S897" s="139"/>
      <c r="T897" s="139"/>
      <c r="U897" s="139"/>
      <c r="V897" s="139"/>
      <c r="W897" s="139"/>
      <c r="X897" s="139"/>
      <c r="Y897" s="139"/>
      <c r="Z897" s="139"/>
      <c r="AA897" s="139"/>
    </row>
    <row r="898" spans="1:27" ht="15.75">
      <c r="A898" s="139"/>
      <c r="B898" s="139"/>
      <c r="C898" s="680"/>
      <c r="D898" s="139"/>
      <c r="E898" s="680"/>
      <c r="F898" s="139"/>
      <c r="G898" s="139"/>
      <c r="H898" s="680"/>
      <c r="I898" s="680"/>
      <c r="J898" s="139"/>
      <c r="K898" s="139"/>
      <c r="L898" s="139"/>
      <c r="M898" s="139"/>
      <c r="N898" s="139"/>
      <c r="O898" s="139"/>
      <c r="P898" s="139"/>
      <c r="Q898" s="139"/>
      <c r="R898" s="139"/>
      <c r="S898" s="139"/>
      <c r="T898" s="139"/>
      <c r="U898" s="139"/>
      <c r="V898" s="139"/>
      <c r="W898" s="139"/>
      <c r="X898" s="139"/>
      <c r="Y898" s="139"/>
      <c r="Z898" s="139"/>
      <c r="AA898" s="139"/>
    </row>
    <row r="899" spans="1:27" ht="15.75">
      <c r="A899" s="139"/>
      <c r="B899" s="139"/>
      <c r="C899" s="680"/>
      <c r="D899" s="139"/>
      <c r="E899" s="680"/>
      <c r="F899" s="139"/>
      <c r="G899" s="139"/>
      <c r="H899" s="680"/>
      <c r="I899" s="680"/>
      <c r="J899" s="139"/>
      <c r="K899" s="139"/>
      <c r="L899" s="139"/>
      <c r="M899" s="139"/>
      <c r="N899" s="139"/>
      <c r="O899" s="139"/>
      <c r="P899" s="139"/>
      <c r="Q899" s="139"/>
      <c r="R899" s="139"/>
      <c r="S899" s="139"/>
      <c r="T899" s="139"/>
      <c r="U899" s="139"/>
      <c r="V899" s="139"/>
      <c r="W899" s="139"/>
      <c r="X899" s="139"/>
      <c r="Y899" s="139"/>
      <c r="Z899" s="139"/>
      <c r="AA899" s="139"/>
    </row>
    <row r="900" spans="1:27" ht="15.75">
      <c r="A900" s="139"/>
      <c r="B900" s="139"/>
      <c r="C900" s="680"/>
      <c r="D900" s="139"/>
      <c r="E900" s="680"/>
      <c r="F900" s="139"/>
      <c r="G900" s="139"/>
      <c r="H900" s="680"/>
      <c r="I900" s="680"/>
      <c r="J900" s="139"/>
      <c r="K900" s="139"/>
      <c r="L900" s="139"/>
      <c r="M900" s="139"/>
      <c r="N900" s="139"/>
      <c r="O900" s="139"/>
      <c r="P900" s="139"/>
      <c r="Q900" s="139"/>
      <c r="R900" s="139"/>
      <c r="S900" s="139"/>
      <c r="T900" s="139"/>
      <c r="U900" s="139"/>
      <c r="V900" s="139"/>
      <c r="W900" s="139"/>
      <c r="X900" s="139"/>
      <c r="Y900" s="139"/>
      <c r="Z900" s="139"/>
      <c r="AA900" s="139"/>
    </row>
    <row r="901" spans="1:27" ht="15.75">
      <c r="A901" s="139"/>
      <c r="B901" s="139"/>
      <c r="C901" s="680"/>
      <c r="D901" s="139"/>
      <c r="E901" s="680"/>
      <c r="F901" s="139"/>
      <c r="G901" s="139"/>
      <c r="H901" s="680"/>
      <c r="I901" s="680"/>
      <c r="J901" s="139"/>
      <c r="K901" s="139"/>
      <c r="L901" s="139"/>
      <c r="M901" s="139"/>
      <c r="N901" s="139"/>
      <c r="O901" s="139"/>
      <c r="P901" s="139"/>
      <c r="Q901" s="139"/>
      <c r="R901" s="139"/>
      <c r="S901" s="139"/>
      <c r="T901" s="139"/>
      <c r="U901" s="139"/>
      <c r="V901" s="139"/>
      <c r="W901" s="139"/>
      <c r="X901" s="139"/>
      <c r="Y901" s="139"/>
      <c r="Z901" s="139"/>
      <c r="AA901" s="139"/>
    </row>
    <row r="902" spans="1:27" ht="15.75">
      <c r="A902" s="139"/>
      <c r="B902" s="139"/>
      <c r="C902" s="680"/>
      <c r="D902" s="139"/>
      <c r="E902" s="680"/>
      <c r="F902" s="139"/>
      <c r="G902" s="139"/>
      <c r="H902" s="680"/>
      <c r="I902" s="680"/>
      <c r="J902" s="139"/>
      <c r="K902" s="139"/>
      <c r="L902" s="139"/>
      <c r="M902" s="139"/>
      <c r="N902" s="139"/>
      <c r="O902" s="139"/>
      <c r="P902" s="139"/>
      <c r="Q902" s="139"/>
      <c r="R902" s="139"/>
      <c r="S902" s="139"/>
      <c r="T902" s="139"/>
      <c r="U902" s="139"/>
      <c r="V902" s="139"/>
      <c r="W902" s="139"/>
      <c r="X902" s="139"/>
      <c r="Y902" s="139"/>
      <c r="Z902" s="139"/>
      <c r="AA902" s="139"/>
    </row>
    <row r="903" spans="1:27" ht="15.75">
      <c r="A903" s="139"/>
      <c r="B903" s="139"/>
      <c r="C903" s="680"/>
      <c r="D903" s="139"/>
      <c r="E903" s="680"/>
      <c r="F903" s="139"/>
      <c r="G903" s="139"/>
      <c r="H903" s="680"/>
      <c r="I903" s="680"/>
      <c r="J903" s="139"/>
      <c r="K903" s="139"/>
      <c r="L903" s="139"/>
      <c r="M903" s="139"/>
      <c r="N903" s="139"/>
      <c r="O903" s="139"/>
      <c r="P903" s="139"/>
      <c r="Q903" s="139"/>
      <c r="R903" s="139"/>
      <c r="S903" s="139"/>
      <c r="T903" s="139"/>
      <c r="U903" s="139"/>
      <c r="V903" s="139"/>
      <c r="W903" s="139"/>
      <c r="X903" s="139"/>
      <c r="Y903" s="139"/>
      <c r="Z903" s="139"/>
      <c r="AA903" s="139"/>
    </row>
    <row r="904" spans="1:27" ht="15.75">
      <c r="A904" s="139"/>
      <c r="B904" s="139"/>
      <c r="C904" s="680"/>
      <c r="D904" s="139"/>
      <c r="E904" s="680"/>
      <c r="F904" s="139"/>
      <c r="G904" s="139"/>
      <c r="H904" s="680"/>
      <c r="I904" s="680"/>
      <c r="J904" s="139"/>
      <c r="K904" s="139"/>
      <c r="L904" s="139"/>
      <c r="M904" s="139"/>
      <c r="N904" s="139"/>
      <c r="O904" s="139"/>
      <c r="P904" s="139"/>
      <c r="Q904" s="139"/>
      <c r="R904" s="139"/>
      <c r="S904" s="139"/>
      <c r="T904" s="139"/>
      <c r="U904" s="139"/>
      <c r="V904" s="139"/>
      <c r="W904" s="139"/>
      <c r="X904" s="139"/>
      <c r="Y904" s="139"/>
      <c r="Z904" s="139"/>
      <c r="AA904" s="139"/>
    </row>
    <row r="905" spans="1:27" ht="15.75">
      <c r="A905" s="139"/>
      <c r="B905" s="139"/>
      <c r="C905" s="680"/>
      <c r="D905" s="139"/>
      <c r="E905" s="680"/>
      <c r="F905" s="139"/>
      <c r="G905" s="139"/>
      <c r="H905" s="680"/>
      <c r="I905" s="680"/>
      <c r="J905" s="139"/>
      <c r="K905" s="139"/>
      <c r="L905" s="139"/>
      <c r="M905" s="139"/>
      <c r="N905" s="139"/>
      <c r="O905" s="139"/>
      <c r="P905" s="139"/>
      <c r="Q905" s="139"/>
      <c r="R905" s="139"/>
      <c r="S905" s="139"/>
      <c r="T905" s="139"/>
      <c r="U905" s="139"/>
      <c r="V905" s="139"/>
      <c r="W905" s="139"/>
      <c r="X905" s="139"/>
      <c r="Y905" s="139"/>
      <c r="Z905" s="139"/>
      <c r="AA905" s="139"/>
    </row>
    <row r="906" spans="1:27" ht="15.75">
      <c r="A906" s="139"/>
      <c r="B906" s="139"/>
      <c r="C906" s="680"/>
      <c r="D906" s="139"/>
      <c r="E906" s="680"/>
      <c r="F906" s="139"/>
      <c r="G906" s="139"/>
      <c r="H906" s="680"/>
      <c r="I906" s="680"/>
      <c r="J906" s="139"/>
      <c r="K906" s="139"/>
      <c r="L906" s="139"/>
      <c r="M906" s="139"/>
      <c r="N906" s="139"/>
      <c r="O906" s="139"/>
      <c r="P906" s="139"/>
      <c r="Q906" s="139"/>
      <c r="R906" s="139"/>
      <c r="S906" s="139"/>
      <c r="T906" s="139"/>
      <c r="U906" s="139"/>
      <c r="V906" s="139"/>
      <c r="W906" s="139"/>
      <c r="X906" s="139"/>
      <c r="Y906" s="139"/>
      <c r="Z906" s="139"/>
      <c r="AA906" s="139"/>
    </row>
    <row r="907" spans="1:27" ht="15.75">
      <c r="A907" s="139"/>
      <c r="B907" s="139"/>
      <c r="C907" s="680"/>
      <c r="D907" s="139"/>
      <c r="E907" s="680"/>
      <c r="F907" s="139"/>
      <c r="G907" s="139"/>
      <c r="H907" s="680"/>
      <c r="I907" s="680"/>
      <c r="J907" s="139"/>
      <c r="K907" s="139"/>
      <c r="L907" s="139"/>
      <c r="M907" s="139"/>
      <c r="N907" s="139"/>
      <c r="O907" s="139"/>
      <c r="P907" s="139"/>
      <c r="Q907" s="139"/>
      <c r="R907" s="139"/>
      <c r="S907" s="139"/>
      <c r="T907" s="139"/>
      <c r="U907" s="139"/>
      <c r="V907" s="139"/>
      <c r="W907" s="139"/>
      <c r="X907" s="139"/>
      <c r="Y907" s="139"/>
      <c r="Z907" s="139"/>
      <c r="AA907" s="139"/>
    </row>
    <row r="908" spans="1:27" ht="15.75">
      <c r="A908" s="139"/>
      <c r="B908" s="139"/>
      <c r="C908" s="680"/>
      <c r="D908" s="139"/>
      <c r="E908" s="680"/>
      <c r="F908" s="139"/>
      <c r="G908" s="139"/>
      <c r="H908" s="680"/>
      <c r="I908" s="680"/>
      <c r="J908" s="139"/>
      <c r="K908" s="139"/>
      <c r="L908" s="139"/>
      <c r="M908" s="139"/>
      <c r="N908" s="139"/>
      <c r="O908" s="139"/>
      <c r="P908" s="139"/>
      <c r="Q908" s="139"/>
      <c r="R908" s="139"/>
      <c r="S908" s="139"/>
      <c r="T908" s="139"/>
      <c r="U908" s="139"/>
      <c r="V908" s="139"/>
      <c r="W908" s="139"/>
      <c r="X908" s="139"/>
      <c r="Y908" s="139"/>
      <c r="Z908" s="139"/>
      <c r="AA908" s="139"/>
    </row>
    <row r="909" spans="1:27" ht="15.75">
      <c r="A909" s="139"/>
      <c r="B909" s="139"/>
      <c r="C909" s="680"/>
      <c r="D909" s="139"/>
      <c r="E909" s="680"/>
      <c r="F909" s="139"/>
      <c r="G909" s="139"/>
      <c r="H909" s="680"/>
      <c r="I909" s="680"/>
      <c r="J909" s="139"/>
      <c r="K909" s="139"/>
      <c r="L909" s="139"/>
      <c r="M909" s="139"/>
      <c r="N909" s="139"/>
      <c r="O909" s="139"/>
      <c r="P909" s="139"/>
      <c r="Q909" s="139"/>
      <c r="R909" s="139"/>
      <c r="S909" s="139"/>
      <c r="T909" s="139"/>
      <c r="U909" s="139"/>
      <c r="V909" s="139"/>
      <c r="W909" s="139"/>
      <c r="X909" s="139"/>
      <c r="Y909" s="139"/>
      <c r="Z909" s="139"/>
      <c r="AA909" s="139"/>
    </row>
    <row r="910" spans="1:27" ht="15.75">
      <c r="A910" s="139"/>
      <c r="B910" s="139"/>
      <c r="C910" s="680"/>
      <c r="D910" s="139"/>
      <c r="E910" s="680"/>
      <c r="F910" s="139"/>
      <c r="G910" s="139"/>
      <c r="H910" s="680"/>
      <c r="I910" s="680"/>
      <c r="J910" s="139"/>
      <c r="K910" s="139"/>
      <c r="L910" s="139"/>
      <c r="M910" s="139"/>
      <c r="N910" s="139"/>
      <c r="O910" s="139"/>
      <c r="P910" s="139"/>
      <c r="Q910" s="139"/>
      <c r="R910" s="139"/>
      <c r="S910" s="139"/>
      <c r="T910" s="139"/>
      <c r="U910" s="139"/>
      <c r="V910" s="139"/>
      <c r="W910" s="139"/>
      <c r="X910" s="139"/>
      <c r="Y910" s="139"/>
      <c r="Z910" s="139"/>
      <c r="AA910" s="139"/>
    </row>
    <row r="911" spans="1:27" ht="15.75">
      <c r="A911" s="139"/>
      <c r="B911" s="139"/>
      <c r="C911" s="680"/>
      <c r="D911" s="139"/>
      <c r="E911" s="680"/>
      <c r="F911" s="139"/>
      <c r="G911" s="139"/>
      <c r="H911" s="680"/>
      <c r="I911" s="680"/>
      <c r="J911" s="139"/>
      <c r="K911" s="139"/>
      <c r="L911" s="139"/>
      <c r="M911" s="139"/>
      <c r="N911" s="139"/>
      <c r="O911" s="139"/>
      <c r="P911" s="139"/>
      <c r="Q911" s="139"/>
      <c r="R911" s="139"/>
      <c r="S911" s="139"/>
      <c r="T911" s="139"/>
      <c r="U911" s="139"/>
      <c r="V911" s="139"/>
      <c r="W911" s="139"/>
      <c r="X911" s="139"/>
      <c r="Y911" s="139"/>
      <c r="Z911" s="139"/>
      <c r="AA911" s="139"/>
    </row>
    <row r="912" spans="1:27" ht="15.75">
      <c r="A912" s="139"/>
      <c r="B912" s="139"/>
      <c r="C912" s="680"/>
      <c r="D912" s="139"/>
      <c r="E912" s="680"/>
      <c r="F912" s="139"/>
      <c r="G912" s="139"/>
      <c r="H912" s="680"/>
      <c r="I912" s="680"/>
      <c r="J912" s="139"/>
      <c r="K912" s="139"/>
      <c r="L912" s="139"/>
      <c r="M912" s="139"/>
      <c r="N912" s="139"/>
      <c r="O912" s="139"/>
      <c r="P912" s="139"/>
      <c r="Q912" s="139"/>
      <c r="R912" s="139"/>
      <c r="S912" s="139"/>
      <c r="T912" s="139"/>
      <c r="U912" s="139"/>
      <c r="V912" s="139"/>
      <c r="W912" s="139"/>
      <c r="X912" s="139"/>
      <c r="Y912" s="139"/>
      <c r="Z912" s="139"/>
      <c r="AA912" s="139"/>
    </row>
    <row r="913" spans="1:27" ht="15.75">
      <c r="A913" s="139"/>
      <c r="B913" s="139"/>
      <c r="C913" s="680"/>
      <c r="D913" s="139"/>
      <c r="E913" s="680"/>
      <c r="F913" s="139"/>
      <c r="G913" s="139"/>
      <c r="H913" s="680"/>
      <c r="I913" s="680"/>
      <c r="J913" s="139"/>
      <c r="K913" s="139"/>
      <c r="L913" s="139"/>
      <c r="M913" s="139"/>
      <c r="N913" s="139"/>
      <c r="O913" s="139"/>
      <c r="P913" s="139"/>
      <c r="Q913" s="139"/>
      <c r="R913" s="139"/>
      <c r="S913" s="139"/>
      <c r="T913" s="139"/>
      <c r="U913" s="139"/>
      <c r="V913" s="139"/>
      <c r="W913" s="139"/>
      <c r="X913" s="139"/>
      <c r="Y913" s="139"/>
      <c r="Z913" s="139"/>
      <c r="AA913" s="139"/>
    </row>
    <row r="914" spans="1:27" ht="15.75">
      <c r="A914" s="139"/>
      <c r="B914" s="139"/>
      <c r="C914" s="680"/>
      <c r="D914" s="139"/>
      <c r="E914" s="680"/>
      <c r="F914" s="139"/>
      <c r="G914" s="139"/>
      <c r="H914" s="680"/>
      <c r="I914" s="680"/>
      <c r="J914" s="139"/>
      <c r="K914" s="139"/>
      <c r="L914" s="139"/>
      <c r="M914" s="139"/>
      <c r="N914" s="139"/>
      <c r="O914" s="139"/>
      <c r="P914" s="139"/>
      <c r="Q914" s="139"/>
      <c r="R914" s="139"/>
      <c r="S914" s="139"/>
      <c r="T914" s="139"/>
      <c r="U914" s="139"/>
      <c r="V914" s="139"/>
      <c r="W914" s="139"/>
      <c r="X914" s="139"/>
      <c r="Y914" s="139"/>
      <c r="Z914" s="139"/>
      <c r="AA914" s="139"/>
    </row>
    <row r="915" spans="1:27" ht="15.75">
      <c r="A915" s="139"/>
      <c r="B915" s="139"/>
      <c r="C915" s="680"/>
      <c r="D915" s="139"/>
      <c r="E915" s="680"/>
      <c r="F915" s="139"/>
      <c r="G915" s="139"/>
      <c r="H915" s="680"/>
      <c r="I915" s="680"/>
      <c r="J915" s="139"/>
      <c r="K915" s="139"/>
      <c r="L915" s="139"/>
      <c r="M915" s="139"/>
      <c r="N915" s="139"/>
      <c r="O915" s="139"/>
      <c r="P915" s="139"/>
      <c r="Q915" s="139"/>
      <c r="R915" s="139"/>
      <c r="S915" s="139"/>
      <c r="T915" s="139"/>
      <c r="U915" s="139"/>
      <c r="V915" s="139"/>
      <c r="W915" s="139"/>
      <c r="X915" s="139"/>
      <c r="Y915" s="139"/>
      <c r="Z915" s="139"/>
      <c r="AA915" s="139"/>
    </row>
    <row r="916" spans="1:27" ht="15.75">
      <c r="A916" s="139"/>
      <c r="B916" s="139"/>
      <c r="C916" s="680"/>
      <c r="D916" s="139"/>
      <c r="E916" s="680"/>
      <c r="F916" s="139"/>
      <c r="G916" s="139"/>
      <c r="H916" s="680"/>
      <c r="I916" s="680"/>
      <c r="J916" s="139"/>
      <c r="K916" s="139"/>
      <c r="L916" s="139"/>
      <c r="M916" s="139"/>
      <c r="N916" s="139"/>
      <c r="O916" s="139"/>
      <c r="P916" s="139"/>
      <c r="Q916" s="139"/>
      <c r="R916" s="139"/>
      <c r="S916" s="139"/>
      <c r="T916" s="139"/>
      <c r="U916" s="139"/>
      <c r="V916" s="139"/>
      <c r="W916" s="139"/>
      <c r="X916" s="139"/>
      <c r="Y916" s="139"/>
      <c r="Z916" s="139"/>
      <c r="AA916" s="139"/>
    </row>
    <row r="917" spans="1:27" ht="15.75">
      <c r="A917" s="139"/>
      <c r="B917" s="139"/>
      <c r="C917" s="680"/>
      <c r="D917" s="139"/>
      <c r="E917" s="680"/>
      <c r="F917" s="139"/>
      <c r="G917" s="139"/>
      <c r="H917" s="680"/>
      <c r="I917" s="680"/>
      <c r="J917" s="139"/>
      <c r="K917" s="139"/>
      <c r="L917" s="139"/>
      <c r="M917" s="139"/>
      <c r="N917" s="139"/>
      <c r="O917" s="139"/>
      <c r="P917" s="139"/>
      <c r="Q917" s="139"/>
      <c r="R917" s="139"/>
      <c r="S917" s="139"/>
      <c r="T917" s="139"/>
      <c r="U917" s="139"/>
      <c r="V917" s="139"/>
      <c r="W917" s="139"/>
      <c r="X917" s="139"/>
      <c r="Y917" s="139"/>
      <c r="Z917" s="139"/>
      <c r="AA917" s="139"/>
    </row>
    <row r="918" spans="1:27" ht="15.75">
      <c r="A918" s="139"/>
      <c r="B918" s="139"/>
      <c r="C918" s="680"/>
      <c r="D918" s="139"/>
      <c r="E918" s="680"/>
      <c r="F918" s="139"/>
      <c r="G918" s="139"/>
      <c r="H918" s="680"/>
      <c r="I918" s="680"/>
      <c r="J918" s="139"/>
      <c r="K918" s="139"/>
      <c r="L918" s="139"/>
      <c r="M918" s="139"/>
      <c r="N918" s="139"/>
      <c r="O918" s="139"/>
      <c r="P918" s="139"/>
      <c r="Q918" s="139"/>
      <c r="R918" s="139"/>
      <c r="S918" s="139"/>
      <c r="T918" s="139"/>
      <c r="U918" s="139"/>
      <c r="V918" s="139"/>
      <c r="W918" s="139"/>
      <c r="X918" s="139"/>
      <c r="Y918" s="139"/>
      <c r="Z918" s="139"/>
      <c r="AA918" s="139"/>
    </row>
    <row r="919" spans="1:27" ht="15.75">
      <c r="A919" s="139"/>
      <c r="B919" s="139"/>
      <c r="C919" s="680"/>
      <c r="D919" s="139"/>
      <c r="E919" s="680"/>
      <c r="F919" s="139"/>
      <c r="G919" s="139"/>
      <c r="H919" s="680"/>
      <c r="I919" s="680"/>
      <c r="J919" s="139"/>
      <c r="K919" s="139"/>
      <c r="L919" s="139"/>
      <c r="M919" s="139"/>
      <c r="N919" s="139"/>
      <c r="O919" s="139"/>
      <c r="P919" s="139"/>
      <c r="Q919" s="139"/>
      <c r="R919" s="139"/>
      <c r="S919" s="139"/>
      <c r="T919" s="139"/>
      <c r="U919" s="139"/>
      <c r="V919" s="139"/>
      <c r="W919" s="139"/>
      <c r="X919" s="139"/>
      <c r="Y919" s="139"/>
      <c r="Z919" s="139"/>
      <c r="AA919" s="139"/>
    </row>
    <row r="920" spans="1:27" ht="15.75">
      <c r="A920" s="139"/>
      <c r="B920" s="139"/>
      <c r="C920" s="680"/>
      <c r="D920" s="139"/>
      <c r="E920" s="680"/>
      <c r="F920" s="139"/>
      <c r="G920" s="139"/>
      <c r="H920" s="680"/>
      <c r="I920" s="680"/>
      <c r="J920" s="139"/>
      <c r="K920" s="139"/>
      <c r="L920" s="139"/>
      <c r="M920" s="139"/>
      <c r="N920" s="139"/>
      <c r="O920" s="139"/>
      <c r="P920" s="139"/>
      <c r="Q920" s="139"/>
      <c r="R920" s="139"/>
      <c r="S920" s="139"/>
      <c r="T920" s="139"/>
      <c r="U920" s="139"/>
      <c r="V920" s="139"/>
      <c r="W920" s="139"/>
      <c r="X920" s="139"/>
      <c r="Y920" s="139"/>
      <c r="Z920" s="139"/>
      <c r="AA920" s="139"/>
    </row>
    <row r="921" spans="1:27" ht="15.75">
      <c r="A921" s="139"/>
      <c r="B921" s="139"/>
      <c r="C921" s="680"/>
      <c r="D921" s="139"/>
      <c r="E921" s="680"/>
      <c r="F921" s="139"/>
      <c r="G921" s="139"/>
      <c r="H921" s="680"/>
      <c r="I921" s="680"/>
      <c r="J921" s="139"/>
      <c r="K921" s="139"/>
      <c r="L921" s="139"/>
      <c r="M921" s="139"/>
      <c r="N921" s="139"/>
      <c r="O921" s="139"/>
      <c r="P921" s="139"/>
      <c r="Q921" s="139"/>
      <c r="R921" s="139"/>
      <c r="S921" s="139"/>
      <c r="T921" s="139"/>
      <c r="U921" s="139"/>
      <c r="V921" s="139"/>
      <c r="W921" s="139"/>
      <c r="X921" s="139"/>
      <c r="Y921" s="139"/>
      <c r="Z921" s="139"/>
      <c r="AA921" s="139"/>
    </row>
    <row r="922" spans="1:27" ht="15.75">
      <c r="A922" s="139"/>
      <c r="B922" s="139"/>
      <c r="C922" s="680"/>
      <c r="D922" s="139"/>
      <c r="E922" s="680"/>
      <c r="F922" s="139"/>
      <c r="G922" s="139"/>
      <c r="H922" s="680"/>
      <c r="I922" s="680"/>
      <c r="J922" s="139"/>
      <c r="K922" s="139"/>
      <c r="L922" s="139"/>
      <c r="M922" s="139"/>
      <c r="N922" s="139"/>
      <c r="O922" s="139"/>
      <c r="P922" s="139"/>
      <c r="Q922" s="139"/>
      <c r="R922" s="139"/>
      <c r="S922" s="139"/>
      <c r="T922" s="139"/>
      <c r="U922" s="139"/>
      <c r="V922" s="139"/>
      <c r="W922" s="139"/>
      <c r="X922" s="139"/>
      <c r="Y922" s="139"/>
      <c r="Z922" s="139"/>
      <c r="AA922" s="139"/>
    </row>
    <row r="923" spans="1:27" ht="15.75">
      <c r="A923" s="139"/>
      <c r="B923" s="139"/>
      <c r="C923" s="680"/>
      <c r="D923" s="139"/>
      <c r="E923" s="680"/>
      <c r="F923" s="139"/>
      <c r="G923" s="139"/>
      <c r="H923" s="680"/>
      <c r="I923" s="680"/>
      <c r="J923" s="139"/>
      <c r="K923" s="139"/>
      <c r="L923" s="139"/>
      <c r="M923" s="139"/>
      <c r="N923" s="139"/>
      <c r="O923" s="139"/>
      <c r="P923" s="139"/>
      <c r="Q923" s="139"/>
      <c r="R923" s="139"/>
      <c r="S923" s="139"/>
      <c r="T923" s="139"/>
      <c r="U923" s="139"/>
      <c r="V923" s="139"/>
      <c r="W923" s="139"/>
      <c r="X923" s="139"/>
      <c r="Y923" s="139"/>
      <c r="Z923" s="139"/>
      <c r="AA923" s="139"/>
    </row>
    <row r="924" spans="1:27" ht="15.75">
      <c r="A924" s="139"/>
      <c r="B924" s="139"/>
      <c r="C924" s="680"/>
      <c r="D924" s="139"/>
      <c r="E924" s="680"/>
      <c r="F924" s="139"/>
      <c r="G924" s="139"/>
      <c r="H924" s="680"/>
      <c r="I924" s="680"/>
      <c r="J924" s="139"/>
      <c r="K924" s="139"/>
      <c r="L924" s="139"/>
      <c r="M924" s="139"/>
      <c r="N924" s="139"/>
      <c r="O924" s="139"/>
      <c r="P924" s="139"/>
      <c r="Q924" s="139"/>
      <c r="R924" s="139"/>
      <c r="S924" s="139"/>
      <c r="T924" s="139"/>
      <c r="U924" s="139"/>
      <c r="V924" s="139"/>
      <c r="W924" s="139"/>
      <c r="X924" s="139"/>
      <c r="Y924" s="139"/>
      <c r="Z924" s="139"/>
      <c r="AA924" s="139"/>
    </row>
    <row r="925" spans="1:27" ht="15.75">
      <c r="A925" s="139"/>
      <c r="B925" s="139"/>
      <c r="C925" s="680"/>
      <c r="D925" s="139"/>
      <c r="E925" s="680"/>
      <c r="F925" s="139"/>
      <c r="G925" s="139"/>
      <c r="H925" s="680"/>
      <c r="I925" s="680"/>
      <c r="J925" s="139"/>
      <c r="K925" s="139"/>
      <c r="L925" s="139"/>
      <c r="M925" s="139"/>
      <c r="N925" s="139"/>
      <c r="O925" s="139"/>
      <c r="P925" s="139"/>
      <c r="Q925" s="139"/>
      <c r="R925" s="139"/>
      <c r="S925" s="139"/>
      <c r="T925" s="139"/>
      <c r="U925" s="139"/>
      <c r="V925" s="139"/>
      <c r="W925" s="139"/>
      <c r="X925" s="139"/>
      <c r="Y925" s="139"/>
      <c r="Z925" s="139"/>
      <c r="AA925" s="139"/>
    </row>
    <row r="926" spans="1:27" ht="15.75">
      <c r="A926" s="139"/>
      <c r="B926" s="139"/>
      <c r="C926" s="680"/>
      <c r="D926" s="139"/>
      <c r="E926" s="680"/>
      <c r="F926" s="139"/>
      <c r="G926" s="139"/>
      <c r="H926" s="680"/>
      <c r="I926" s="680"/>
      <c r="J926" s="139"/>
      <c r="K926" s="139"/>
      <c r="L926" s="139"/>
      <c r="M926" s="139"/>
      <c r="N926" s="139"/>
      <c r="O926" s="139"/>
      <c r="P926" s="139"/>
      <c r="Q926" s="139"/>
      <c r="R926" s="139"/>
      <c r="S926" s="139"/>
      <c r="T926" s="139"/>
      <c r="U926" s="139"/>
      <c r="V926" s="139"/>
      <c r="W926" s="139"/>
      <c r="X926" s="139"/>
      <c r="Y926" s="139"/>
      <c r="Z926" s="139"/>
      <c r="AA926" s="139"/>
    </row>
    <row r="927" spans="1:27" ht="15.75">
      <c r="A927" s="139"/>
      <c r="B927" s="139"/>
      <c r="C927" s="680"/>
      <c r="D927" s="139"/>
      <c r="E927" s="680"/>
      <c r="F927" s="139"/>
      <c r="G927" s="139"/>
      <c r="H927" s="680"/>
      <c r="I927" s="680"/>
      <c r="J927" s="139"/>
      <c r="K927" s="139"/>
      <c r="L927" s="139"/>
      <c r="M927" s="139"/>
      <c r="N927" s="139"/>
      <c r="O927" s="139"/>
      <c r="P927" s="139"/>
      <c r="Q927" s="139"/>
      <c r="R927" s="139"/>
      <c r="S927" s="139"/>
      <c r="T927" s="139"/>
      <c r="U927" s="139"/>
      <c r="V927" s="139"/>
      <c r="W927" s="139"/>
      <c r="X927" s="139"/>
      <c r="Y927" s="139"/>
      <c r="Z927" s="139"/>
      <c r="AA927" s="139"/>
    </row>
    <row r="928" spans="1:27" ht="15.75">
      <c r="A928" s="139"/>
      <c r="B928" s="139"/>
      <c r="C928" s="680"/>
      <c r="D928" s="139"/>
      <c r="E928" s="680"/>
      <c r="F928" s="139"/>
      <c r="G928" s="139"/>
      <c r="H928" s="680"/>
      <c r="I928" s="680"/>
      <c r="J928" s="139"/>
      <c r="K928" s="139"/>
      <c r="L928" s="139"/>
      <c r="M928" s="139"/>
      <c r="N928" s="139"/>
      <c r="O928" s="139"/>
      <c r="P928" s="139"/>
      <c r="Q928" s="139"/>
      <c r="R928" s="139"/>
      <c r="S928" s="139"/>
      <c r="T928" s="139"/>
      <c r="U928" s="139"/>
      <c r="V928" s="139"/>
      <c r="W928" s="139"/>
      <c r="X928" s="139"/>
      <c r="Y928" s="139"/>
      <c r="Z928" s="139"/>
      <c r="AA928" s="139"/>
    </row>
    <row r="929" spans="1:27" ht="15.75">
      <c r="A929" s="139"/>
      <c r="B929" s="139"/>
      <c r="C929" s="680"/>
      <c r="D929" s="139"/>
      <c r="E929" s="680"/>
      <c r="F929" s="139"/>
      <c r="G929" s="139"/>
      <c r="H929" s="680"/>
      <c r="I929" s="680"/>
      <c r="J929" s="139"/>
      <c r="K929" s="139"/>
      <c r="L929" s="139"/>
      <c r="M929" s="139"/>
      <c r="N929" s="139"/>
      <c r="O929" s="139"/>
      <c r="P929" s="139"/>
      <c r="Q929" s="139"/>
      <c r="R929" s="139"/>
      <c r="S929" s="139"/>
      <c r="T929" s="139"/>
      <c r="U929" s="139"/>
      <c r="V929" s="139"/>
      <c r="W929" s="139"/>
      <c r="X929" s="139"/>
      <c r="Y929" s="139"/>
      <c r="Z929" s="139"/>
      <c r="AA929" s="139"/>
    </row>
    <row r="930" spans="1:27" ht="15.75">
      <c r="A930" s="139"/>
      <c r="B930" s="139"/>
      <c r="C930" s="680"/>
      <c r="D930" s="139"/>
      <c r="E930" s="680"/>
      <c r="F930" s="139"/>
      <c r="G930" s="139"/>
      <c r="H930" s="680"/>
      <c r="I930" s="680"/>
      <c r="J930" s="139"/>
      <c r="K930" s="139"/>
      <c r="L930" s="139"/>
      <c r="M930" s="139"/>
      <c r="N930" s="139"/>
      <c r="O930" s="139"/>
      <c r="P930" s="139"/>
      <c r="Q930" s="139"/>
      <c r="R930" s="139"/>
      <c r="S930" s="139"/>
      <c r="T930" s="139"/>
      <c r="U930" s="139"/>
      <c r="V930" s="139"/>
      <c r="W930" s="139"/>
      <c r="X930" s="139"/>
      <c r="Y930" s="139"/>
      <c r="Z930" s="139"/>
      <c r="AA930" s="139"/>
    </row>
    <row r="931" spans="1:27" ht="15.75">
      <c r="A931" s="139"/>
      <c r="B931" s="139"/>
      <c r="C931" s="680"/>
      <c r="D931" s="139"/>
      <c r="E931" s="680"/>
      <c r="F931" s="139"/>
      <c r="G931" s="139"/>
      <c r="H931" s="680"/>
      <c r="I931" s="680"/>
      <c r="J931" s="139"/>
      <c r="K931" s="139"/>
      <c r="L931" s="139"/>
      <c r="M931" s="139"/>
      <c r="N931" s="139"/>
      <c r="O931" s="139"/>
      <c r="P931" s="139"/>
      <c r="Q931" s="139"/>
      <c r="R931" s="139"/>
      <c r="S931" s="139"/>
      <c r="T931" s="139"/>
      <c r="U931" s="139"/>
      <c r="V931" s="139"/>
      <c r="W931" s="139"/>
      <c r="X931" s="139"/>
      <c r="Y931" s="139"/>
      <c r="Z931" s="139"/>
      <c r="AA931" s="139"/>
    </row>
    <row r="932" spans="1:27" ht="15.75">
      <c r="A932" s="139"/>
      <c r="B932" s="139"/>
      <c r="C932" s="680"/>
      <c r="D932" s="139"/>
      <c r="E932" s="680"/>
      <c r="F932" s="139"/>
      <c r="G932" s="139"/>
      <c r="H932" s="680"/>
      <c r="I932" s="680"/>
      <c r="J932" s="139"/>
      <c r="K932" s="139"/>
      <c r="L932" s="139"/>
      <c r="M932" s="139"/>
      <c r="N932" s="139"/>
      <c r="O932" s="139"/>
      <c r="P932" s="139"/>
      <c r="Q932" s="139"/>
      <c r="R932" s="139"/>
      <c r="S932" s="139"/>
      <c r="T932" s="139"/>
      <c r="U932" s="139"/>
      <c r="V932" s="139"/>
      <c r="W932" s="139"/>
      <c r="X932" s="139"/>
      <c r="Y932" s="139"/>
      <c r="Z932" s="139"/>
      <c r="AA932" s="139"/>
    </row>
    <row r="933" spans="1:27" ht="15.75">
      <c r="A933" s="139"/>
      <c r="B933" s="139"/>
      <c r="C933" s="680"/>
      <c r="D933" s="139"/>
      <c r="E933" s="680"/>
      <c r="F933" s="139"/>
      <c r="G933" s="139"/>
      <c r="H933" s="680"/>
      <c r="I933" s="680"/>
      <c r="J933" s="139"/>
      <c r="K933" s="139"/>
      <c r="L933" s="139"/>
      <c r="M933" s="139"/>
      <c r="N933" s="139"/>
      <c r="O933" s="139"/>
      <c r="P933" s="139"/>
      <c r="Q933" s="139"/>
      <c r="R933" s="139"/>
      <c r="S933" s="139"/>
      <c r="T933" s="139"/>
      <c r="U933" s="139"/>
      <c r="V933" s="139"/>
      <c r="W933" s="139"/>
      <c r="X933" s="139"/>
      <c r="Y933" s="139"/>
      <c r="Z933" s="139"/>
      <c r="AA933" s="139"/>
    </row>
    <row r="934" spans="1:27" ht="15.75">
      <c r="A934" s="139"/>
      <c r="B934" s="139"/>
      <c r="C934" s="680"/>
      <c r="D934" s="139"/>
      <c r="E934" s="680"/>
      <c r="F934" s="139"/>
      <c r="G934" s="139"/>
      <c r="H934" s="680"/>
      <c r="I934" s="680"/>
      <c r="J934" s="139"/>
      <c r="K934" s="139"/>
      <c r="L934" s="139"/>
      <c r="M934" s="139"/>
      <c r="N934" s="139"/>
      <c r="O934" s="139"/>
      <c r="P934" s="139"/>
      <c r="Q934" s="139"/>
      <c r="R934" s="139"/>
      <c r="S934" s="139"/>
      <c r="T934" s="139"/>
      <c r="U934" s="139"/>
      <c r="V934" s="139"/>
      <c r="W934" s="139"/>
      <c r="X934" s="139"/>
      <c r="Y934" s="139"/>
      <c r="Z934" s="139"/>
      <c r="AA934" s="139"/>
    </row>
    <row r="935" spans="1:27" ht="15.75">
      <c r="A935" s="139"/>
      <c r="B935" s="139"/>
      <c r="C935" s="680"/>
      <c r="D935" s="139"/>
      <c r="E935" s="680"/>
      <c r="F935" s="139"/>
      <c r="G935" s="139"/>
      <c r="H935" s="680"/>
      <c r="I935" s="680"/>
      <c r="J935" s="139"/>
      <c r="K935" s="139"/>
      <c r="L935" s="139"/>
      <c r="M935" s="139"/>
      <c r="N935" s="139"/>
      <c r="O935" s="139"/>
      <c r="P935" s="139"/>
      <c r="Q935" s="139"/>
      <c r="R935" s="139"/>
      <c r="S935" s="139"/>
      <c r="T935" s="139"/>
      <c r="U935" s="139"/>
      <c r="V935" s="139"/>
      <c r="W935" s="139"/>
      <c r="X935" s="139"/>
      <c r="Y935" s="139"/>
      <c r="Z935" s="139"/>
      <c r="AA935" s="139"/>
    </row>
    <row r="936" spans="1:27" ht="15.75">
      <c r="A936" s="139"/>
      <c r="B936" s="139"/>
      <c r="C936" s="680"/>
      <c r="D936" s="139"/>
      <c r="E936" s="680"/>
      <c r="F936" s="139"/>
      <c r="G936" s="139"/>
      <c r="H936" s="680"/>
      <c r="I936" s="680"/>
      <c r="J936" s="139"/>
      <c r="K936" s="139"/>
      <c r="L936" s="139"/>
      <c r="M936" s="139"/>
      <c r="N936" s="139"/>
      <c r="O936" s="139"/>
      <c r="P936" s="139"/>
      <c r="Q936" s="139"/>
      <c r="R936" s="139"/>
      <c r="S936" s="139"/>
      <c r="T936" s="139"/>
      <c r="U936" s="139"/>
      <c r="V936" s="139"/>
      <c r="W936" s="139"/>
      <c r="X936" s="139"/>
      <c r="Y936" s="139"/>
      <c r="Z936" s="139"/>
      <c r="AA936" s="139"/>
    </row>
    <row r="937" spans="1:27" ht="15.75">
      <c r="A937" s="139"/>
      <c r="B937" s="139"/>
      <c r="C937" s="680"/>
      <c r="D937" s="139"/>
      <c r="E937" s="680"/>
      <c r="F937" s="139"/>
      <c r="G937" s="139"/>
      <c r="H937" s="680"/>
      <c r="I937" s="680"/>
      <c r="J937" s="139"/>
      <c r="K937" s="139"/>
      <c r="L937" s="139"/>
      <c r="M937" s="139"/>
      <c r="N937" s="139"/>
      <c r="O937" s="139"/>
      <c r="P937" s="139"/>
      <c r="Q937" s="139"/>
      <c r="R937" s="139"/>
      <c r="S937" s="139"/>
      <c r="T937" s="139"/>
      <c r="U937" s="139"/>
      <c r="V937" s="139"/>
      <c r="W937" s="139"/>
      <c r="X937" s="139"/>
      <c r="Y937" s="139"/>
      <c r="Z937" s="139"/>
      <c r="AA937" s="139"/>
    </row>
    <row r="938" spans="1:27" ht="15.75">
      <c r="A938" s="139"/>
      <c r="B938" s="139"/>
      <c r="C938" s="680"/>
      <c r="D938" s="139"/>
      <c r="E938" s="680"/>
      <c r="F938" s="139"/>
      <c r="G938" s="139"/>
      <c r="H938" s="680"/>
      <c r="I938" s="680"/>
      <c r="J938" s="139"/>
      <c r="K938" s="139"/>
      <c r="L938" s="139"/>
      <c r="M938" s="139"/>
      <c r="N938" s="139"/>
      <c r="O938" s="139"/>
      <c r="P938" s="139"/>
      <c r="Q938" s="139"/>
      <c r="R938" s="139"/>
      <c r="S938" s="139"/>
      <c r="T938" s="139"/>
      <c r="U938" s="139"/>
      <c r="V938" s="139"/>
      <c r="W938" s="139"/>
      <c r="X938" s="139"/>
      <c r="Y938" s="139"/>
      <c r="Z938" s="139"/>
      <c r="AA938" s="139"/>
    </row>
    <row r="939" spans="1:27" ht="15.75">
      <c r="A939" s="139"/>
      <c r="B939" s="139"/>
      <c r="C939" s="680"/>
      <c r="D939" s="139"/>
      <c r="E939" s="680"/>
      <c r="F939" s="139"/>
      <c r="G939" s="139"/>
      <c r="H939" s="680"/>
      <c r="I939" s="680"/>
      <c r="J939" s="139"/>
      <c r="K939" s="139"/>
      <c r="L939" s="139"/>
      <c r="M939" s="139"/>
      <c r="N939" s="139"/>
      <c r="O939" s="139"/>
      <c r="P939" s="139"/>
      <c r="Q939" s="139"/>
      <c r="R939" s="139"/>
      <c r="S939" s="139"/>
      <c r="T939" s="139"/>
      <c r="U939" s="139"/>
      <c r="V939" s="139"/>
      <c r="W939" s="139"/>
      <c r="X939" s="139"/>
      <c r="Y939" s="139"/>
      <c r="Z939" s="139"/>
      <c r="AA939" s="139"/>
    </row>
    <row r="940" spans="1:27" ht="15.75">
      <c r="A940" s="139"/>
      <c r="B940" s="139"/>
      <c r="C940" s="680"/>
      <c r="D940" s="139"/>
      <c r="E940" s="680"/>
      <c r="F940" s="139"/>
      <c r="G940" s="139"/>
      <c r="H940" s="680"/>
      <c r="I940" s="680"/>
      <c r="J940" s="139"/>
      <c r="K940" s="139"/>
      <c r="L940" s="139"/>
      <c r="M940" s="139"/>
      <c r="N940" s="139"/>
      <c r="O940" s="139"/>
      <c r="P940" s="139"/>
      <c r="Q940" s="139"/>
      <c r="R940" s="139"/>
      <c r="S940" s="139"/>
      <c r="T940" s="139"/>
      <c r="U940" s="139"/>
      <c r="V940" s="139"/>
      <c r="W940" s="139"/>
      <c r="X940" s="139"/>
      <c r="Y940" s="139"/>
      <c r="Z940" s="139"/>
      <c r="AA940" s="139"/>
    </row>
    <row r="941" spans="1:27" ht="15.75">
      <c r="A941" s="139"/>
      <c r="B941" s="139"/>
      <c r="C941" s="680"/>
      <c r="D941" s="139"/>
      <c r="E941" s="680"/>
      <c r="F941" s="139"/>
      <c r="G941" s="139"/>
      <c r="H941" s="680"/>
      <c r="I941" s="680"/>
      <c r="J941" s="139"/>
      <c r="K941" s="139"/>
      <c r="L941" s="139"/>
      <c r="M941" s="139"/>
      <c r="N941" s="139"/>
      <c r="O941" s="139"/>
      <c r="P941" s="139"/>
      <c r="Q941" s="139"/>
      <c r="R941" s="139"/>
      <c r="S941" s="139"/>
      <c r="T941" s="139"/>
      <c r="U941" s="139"/>
      <c r="V941" s="139"/>
      <c r="W941" s="139"/>
      <c r="X941" s="139"/>
      <c r="Y941" s="139"/>
      <c r="Z941" s="139"/>
      <c r="AA941" s="139"/>
    </row>
    <row r="942" spans="1:27" ht="15.75">
      <c r="A942" s="139"/>
      <c r="B942" s="139"/>
      <c r="C942" s="680"/>
      <c r="D942" s="139"/>
      <c r="E942" s="680"/>
      <c r="F942" s="139"/>
      <c r="G942" s="139"/>
      <c r="H942" s="680"/>
      <c r="I942" s="680"/>
      <c r="J942" s="139"/>
      <c r="K942" s="139"/>
      <c r="L942" s="139"/>
      <c r="M942" s="139"/>
      <c r="N942" s="139"/>
      <c r="O942" s="139"/>
      <c r="P942" s="139"/>
      <c r="Q942" s="139"/>
      <c r="R942" s="139"/>
      <c r="S942" s="139"/>
      <c r="T942" s="139"/>
      <c r="U942" s="139"/>
      <c r="V942" s="139"/>
      <c r="W942" s="139"/>
      <c r="X942" s="139"/>
      <c r="Y942" s="139"/>
      <c r="Z942" s="139"/>
      <c r="AA942" s="139"/>
    </row>
    <row r="943" spans="1:27" ht="15.75">
      <c r="A943" s="139"/>
      <c r="B943" s="139"/>
      <c r="C943" s="680"/>
      <c r="D943" s="139"/>
      <c r="E943" s="680"/>
      <c r="F943" s="139"/>
      <c r="G943" s="139"/>
      <c r="H943" s="680"/>
      <c r="I943" s="680"/>
      <c r="J943" s="139"/>
      <c r="K943" s="139"/>
      <c r="L943" s="139"/>
      <c r="M943" s="139"/>
      <c r="N943" s="139"/>
      <c r="O943" s="139"/>
      <c r="P943" s="139"/>
      <c r="Q943" s="139"/>
      <c r="R943" s="139"/>
      <c r="S943" s="139"/>
      <c r="T943" s="139"/>
      <c r="U943" s="139"/>
      <c r="V943" s="139"/>
      <c r="W943" s="139"/>
      <c r="X943" s="139"/>
      <c r="Y943" s="139"/>
      <c r="Z943" s="139"/>
      <c r="AA943" s="139"/>
    </row>
    <row r="944" spans="1:27" ht="15.75">
      <c r="A944" s="139"/>
      <c r="B944" s="139"/>
      <c r="C944" s="680"/>
      <c r="D944" s="139"/>
      <c r="E944" s="680"/>
      <c r="F944" s="139"/>
      <c r="G944" s="139"/>
      <c r="H944" s="680"/>
      <c r="I944" s="680"/>
      <c r="J944" s="139"/>
      <c r="K944" s="139"/>
      <c r="L944" s="139"/>
      <c r="M944" s="139"/>
      <c r="N944" s="139"/>
      <c r="O944" s="139"/>
      <c r="P944" s="139"/>
      <c r="Q944" s="139"/>
      <c r="R944" s="139"/>
      <c r="S944" s="139"/>
      <c r="T944" s="139"/>
      <c r="U944" s="139"/>
      <c r="V944" s="139"/>
      <c r="W944" s="139"/>
      <c r="X944" s="139"/>
      <c r="Y944" s="139"/>
      <c r="Z944" s="139"/>
      <c r="AA944" s="139"/>
    </row>
    <row r="945" spans="1:27" ht="15.75">
      <c r="A945" s="139"/>
      <c r="B945" s="139"/>
      <c r="C945" s="680"/>
      <c r="D945" s="139"/>
      <c r="E945" s="680"/>
      <c r="F945" s="139"/>
      <c r="G945" s="139"/>
      <c r="H945" s="680"/>
      <c r="I945" s="680"/>
      <c r="J945" s="139"/>
      <c r="K945" s="139"/>
      <c r="L945" s="139"/>
      <c r="M945" s="139"/>
      <c r="N945" s="139"/>
      <c r="O945" s="139"/>
      <c r="P945" s="139"/>
      <c r="Q945" s="139"/>
      <c r="R945" s="139"/>
      <c r="S945" s="139"/>
      <c r="T945" s="139"/>
      <c r="U945" s="139"/>
      <c r="V945" s="139"/>
      <c r="W945" s="139"/>
      <c r="X945" s="139"/>
      <c r="Y945" s="139"/>
      <c r="Z945" s="139"/>
      <c r="AA945" s="139"/>
    </row>
    <row r="946" spans="1:27" ht="15.75">
      <c r="A946" s="139"/>
      <c r="B946" s="139"/>
      <c r="C946" s="680"/>
      <c r="D946" s="139"/>
      <c r="E946" s="680"/>
      <c r="F946" s="139"/>
      <c r="G946" s="139"/>
      <c r="H946" s="680"/>
      <c r="I946" s="680"/>
      <c r="J946" s="139"/>
      <c r="K946" s="139"/>
      <c r="L946" s="139"/>
      <c r="M946" s="139"/>
      <c r="N946" s="139"/>
      <c r="O946" s="139"/>
      <c r="P946" s="139"/>
      <c r="Q946" s="139"/>
      <c r="R946" s="139"/>
      <c r="S946" s="139"/>
      <c r="T946" s="139"/>
      <c r="U946" s="139"/>
      <c r="V946" s="139"/>
      <c r="W946" s="139"/>
      <c r="X946" s="139"/>
      <c r="Y946" s="139"/>
      <c r="Z946" s="139"/>
      <c r="AA946" s="139"/>
    </row>
    <row r="947" spans="1:27" ht="15.75">
      <c r="A947" s="139"/>
      <c r="B947" s="139"/>
      <c r="C947" s="680"/>
      <c r="D947" s="139"/>
      <c r="E947" s="680"/>
      <c r="F947" s="139"/>
      <c r="G947" s="139"/>
      <c r="H947" s="680"/>
      <c r="I947" s="680"/>
      <c r="J947" s="139"/>
      <c r="K947" s="139"/>
      <c r="L947" s="139"/>
      <c r="M947" s="139"/>
      <c r="N947" s="139"/>
      <c r="O947" s="139"/>
      <c r="P947" s="139"/>
      <c r="Q947" s="139"/>
      <c r="R947" s="139"/>
      <c r="S947" s="139"/>
      <c r="T947" s="139"/>
      <c r="U947" s="139"/>
      <c r="V947" s="139"/>
      <c r="W947" s="139"/>
      <c r="X947" s="139"/>
      <c r="Y947" s="139"/>
      <c r="Z947" s="139"/>
      <c r="AA947" s="139"/>
    </row>
    <row r="948" spans="1:27" ht="15.75">
      <c r="A948" s="139"/>
      <c r="B948" s="139"/>
      <c r="C948" s="680"/>
      <c r="D948" s="139"/>
      <c r="E948" s="680"/>
      <c r="F948" s="139"/>
      <c r="G948" s="139"/>
      <c r="H948" s="680"/>
      <c r="I948" s="680"/>
      <c r="J948" s="139"/>
      <c r="K948" s="139"/>
      <c r="L948" s="139"/>
      <c r="M948" s="139"/>
      <c r="N948" s="139"/>
      <c r="O948" s="139"/>
      <c r="P948" s="139"/>
      <c r="Q948" s="139"/>
      <c r="R948" s="139"/>
      <c r="S948" s="139"/>
      <c r="T948" s="139"/>
      <c r="U948" s="139"/>
      <c r="V948" s="139"/>
      <c r="W948" s="139"/>
      <c r="X948" s="139"/>
      <c r="Y948" s="139"/>
      <c r="Z948" s="139"/>
      <c r="AA948" s="139"/>
    </row>
    <row r="949" spans="1:27" ht="15.75">
      <c r="A949" s="139"/>
      <c r="B949" s="139"/>
      <c r="C949" s="680"/>
      <c r="D949" s="139"/>
      <c r="E949" s="680"/>
      <c r="F949" s="139"/>
      <c r="G949" s="139"/>
      <c r="H949" s="680"/>
      <c r="I949" s="680"/>
      <c r="J949" s="139"/>
      <c r="K949" s="139"/>
      <c r="L949" s="139"/>
      <c r="M949" s="139"/>
      <c r="N949" s="139"/>
      <c r="O949" s="139"/>
      <c r="P949" s="139"/>
      <c r="Q949" s="139"/>
      <c r="R949" s="139"/>
      <c r="S949" s="139"/>
      <c r="T949" s="139"/>
      <c r="U949" s="139"/>
      <c r="V949" s="139"/>
      <c r="W949" s="139"/>
      <c r="X949" s="139"/>
      <c r="Y949" s="139"/>
      <c r="Z949" s="139"/>
      <c r="AA949" s="139"/>
    </row>
    <row r="950" spans="1:27" ht="15.75">
      <c r="A950" s="139"/>
      <c r="B950" s="139"/>
      <c r="C950" s="680"/>
      <c r="D950" s="139"/>
      <c r="E950" s="680"/>
      <c r="F950" s="139"/>
      <c r="G950" s="139"/>
      <c r="H950" s="680"/>
      <c r="I950" s="680"/>
      <c r="J950" s="139"/>
      <c r="K950" s="139"/>
      <c r="L950" s="139"/>
      <c r="M950" s="139"/>
      <c r="N950" s="139"/>
      <c r="O950" s="139"/>
      <c r="P950" s="139"/>
      <c r="Q950" s="139"/>
      <c r="R950" s="139"/>
      <c r="S950" s="139"/>
      <c r="T950" s="139"/>
      <c r="U950" s="139"/>
      <c r="V950" s="139"/>
      <c r="W950" s="139"/>
      <c r="X950" s="139"/>
      <c r="Y950" s="139"/>
      <c r="Z950" s="139"/>
      <c r="AA950" s="139"/>
    </row>
    <row r="951" spans="1:27" ht="15.75">
      <c r="A951" s="139"/>
      <c r="B951" s="139"/>
      <c r="C951" s="680"/>
      <c r="D951" s="139"/>
      <c r="E951" s="680"/>
      <c r="F951" s="139"/>
      <c r="G951" s="139"/>
      <c r="H951" s="680"/>
      <c r="I951" s="680"/>
      <c r="J951" s="139"/>
      <c r="K951" s="139"/>
      <c r="L951" s="139"/>
      <c r="M951" s="139"/>
      <c r="N951" s="139"/>
      <c r="O951" s="139"/>
      <c r="P951" s="139"/>
      <c r="Q951" s="139"/>
      <c r="R951" s="139"/>
      <c r="S951" s="139"/>
      <c r="T951" s="139"/>
      <c r="U951" s="139"/>
      <c r="V951" s="139"/>
      <c r="W951" s="139"/>
      <c r="X951" s="139"/>
      <c r="Y951" s="139"/>
      <c r="Z951" s="139"/>
      <c r="AA951" s="139"/>
    </row>
    <row r="952" spans="1:27" ht="15.75">
      <c r="A952" s="139"/>
      <c r="B952" s="139"/>
      <c r="C952" s="680"/>
      <c r="D952" s="139"/>
      <c r="E952" s="680"/>
      <c r="F952" s="139"/>
      <c r="G952" s="139"/>
      <c r="H952" s="680"/>
      <c r="I952" s="680"/>
      <c r="J952" s="139"/>
      <c r="K952" s="139"/>
      <c r="L952" s="139"/>
      <c r="M952" s="139"/>
      <c r="N952" s="139"/>
      <c r="O952" s="139"/>
      <c r="P952" s="139"/>
      <c r="Q952" s="139"/>
      <c r="R952" s="139"/>
      <c r="S952" s="139"/>
      <c r="T952" s="139"/>
      <c r="U952" s="139"/>
      <c r="V952" s="139"/>
      <c r="W952" s="139"/>
      <c r="X952" s="139"/>
      <c r="Y952" s="139"/>
      <c r="Z952" s="139"/>
      <c r="AA952" s="139"/>
    </row>
    <row r="953" spans="1:27" ht="15.75">
      <c r="A953" s="139"/>
      <c r="B953" s="139"/>
      <c r="C953" s="680"/>
      <c r="D953" s="139"/>
      <c r="E953" s="680"/>
      <c r="F953" s="139"/>
      <c r="G953" s="139"/>
      <c r="H953" s="680"/>
      <c r="I953" s="680"/>
      <c r="J953" s="139"/>
      <c r="K953" s="139"/>
      <c r="L953" s="139"/>
      <c r="M953" s="139"/>
      <c r="N953" s="139"/>
      <c r="O953" s="139"/>
      <c r="P953" s="139"/>
      <c r="Q953" s="139"/>
      <c r="R953" s="139"/>
      <c r="S953" s="139"/>
      <c r="T953" s="139"/>
      <c r="U953" s="139"/>
      <c r="V953" s="139"/>
      <c r="W953" s="139"/>
      <c r="X953" s="139"/>
      <c r="Y953" s="139"/>
      <c r="Z953" s="139"/>
      <c r="AA953" s="139"/>
    </row>
    <row r="954" spans="1:27" ht="15.75">
      <c r="A954" s="139"/>
      <c r="B954" s="139"/>
      <c r="C954" s="680"/>
      <c r="D954" s="139"/>
      <c r="E954" s="680"/>
      <c r="F954" s="139"/>
      <c r="G954" s="139"/>
      <c r="H954" s="680"/>
      <c r="I954" s="680"/>
      <c r="J954" s="139"/>
      <c r="K954" s="139"/>
      <c r="L954" s="139"/>
      <c r="M954" s="139"/>
      <c r="N954" s="139"/>
      <c r="O954" s="139"/>
      <c r="P954" s="139"/>
      <c r="Q954" s="139"/>
      <c r="R954" s="139"/>
      <c r="S954" s="139"/>
      <c r="T954" s="139"/>
      <c r="U954" s="139"/>
      <c r="V954" s="139"/>
      <c r="W954" s="139"/>
      <c r="X954" s="139"/>
      <c r="Y954" s="139"/>
      <c r="Z954" s="139"/>
      <c r="AA954" s="139"/>
    </row>
    <row r="955" spans="1:27" ht="15.75">
      <c r="A955" s="139"/>
      <c r="B955" s="139"/>
      <c r="C955" s="680"/>
      <c r="D955" s="139"/>
      <c r="E955" s="680"/>
      <c r="F955" s="139"/>
      <c r="G955" s="139"/>
      <c r="H955" s="680"/>
      <c r="I955" s="680"/>
      <c r="J955" s="139"/>
      <c r="K955" s="139"/>
      <c r="L955" s="139"/>
      <c r="M955" s="139"/>
      <c r="N955" s="139"/>
      <c r="O955" s="139"/>
      <c r="P955" s="139"/>
      <c r="Q955" s="139"/>
      <c r="R955" s="139"/>
      <c r="S955" s="139"/>
      <c r="T955" s="139"/>
      <c r="U955" s="139"/>
      <c r="V955" s="139"/>
      <c r="W955" s="139"/>
      <c r="X955" s="139"/>
      <c r="Y955" s="139"/>
      <c r="Z955" s="139"/>
      <c r="AA955" s="139"/>
    </row>
    <row r="956" spans="1:27" ht="15.75">
      <c r="A956" s="139"/>
      <c r="B956" s="139"/>
      <c r="C956" s="680"/>
      <c r="D956" s="139"/>
      <c r="E956" s="680"/>
      <c r="F956" s="139"/>
      <c r="G956" s="139"/>
      <c r="H956" s="680"/>
      <c r="I956" s="680"/>
      <c r="J956" s="139"/>
      <c r="K956" s="139"/>
      <c r="L956" s="139"/>
      <c r="M956" s="139"/>
      <c r="N956" s="139"/>
      <c r="O956" s="139"/>
      <c r="P956" s="139"/>
      <c r="Q956" s="139"/>
      <c r="R956" s="139"/>
      <c r="S956" s="139"/>
      <c r="T956" s="139"/>
      <c r="U956" s="139"/>
      <c r="V956" s="139"/>
      <c r="W956" s="139"/>
      <c r="X956" s="139"/>
      <c r="Y956" s="139"/>
      <c r="Z956" s="139"/>
      <c r="AA956" s="139"/>
    </row>
    <row r="957" spans="1:27" ht="15.75">
      <c r="A957" s="139"/>
      <c r="B957" s="139"/>
      <c r="C957" s="680"/>
      <c r="D957" s="139"/>
      <c r="E957" s="680"/>
      <c r="F957" s="139"/>
      <c r="G957" s="139"/>
      <c r="H957" s="680"/>
      <c r="I957" s="680"/>
      <c r="J957" s="139"/>
      <c r="K957" s="139"/>
      <c r="L957" s="139"/>
      <c r="M957" s="139"/>
      <c r="N957" s="139"/>
      <c r="O957" s="139"/>
      <c r="P957" s="139"/>
      <c r="Q957" s="139"/>
      <c r="R957" s="139"/>
      <c r="S957" s="139"/>
      <c r="T957" s="139"/>
      <c r="U957" s="139"/>
      <c r="V957" s="139"/>
      <c r="W957" s="139"/>
      <c r="X957" s="139"/>
      <c r="Y957" s="139"/>
      <c r="Z957" s="139"/>
      <c r="AA957" s="139"/>
    </row>
    <row r="958" spans="1:27" ht="15.75">
      <c r="A958" s="139"/>
      <c r="B958" s="139"/>
      <c r="C958" s="680"/>
      <c r="D958" s="139"/>
      <c r="E958" s="680"/>
      <c r="F958" s="139"/>
      <c r="G958" s="139"/>
      <c r="H958" s="680"/>
      <c r="I958" s="680"/>
      <c r="J958" s="139"/>
      <c r="K958" s="139"/>
      <c r="L958" s="139"/>
      <c r="M958" s="139"/>
      <c r="N958" s="139"/>
      <c r="O958" s="139"/>
      <c r="P958" s="139"/>
      <c r="Q958" s="139"/>
      <c r="R958" s="139"/>
      <c r="S958" s="139"/>
      <c r="T958" s="139"/>
      <c r="U958" s="139"/>
      <c r="V958" s="139"/>
      <c r="W958" s="139"/>
      <c r="X958" s="139"/>
      <c r="Y958" s="139"/>
      <c r="Z958" s="139"/>
      <c r="AA958" s="139"/>
    </row>
    <row r="959" spans="1:27" ht="15.75">
      <c r="A959" s="139"/>
      <c r="B959" s="139"/>
      <c r="C959" s="680"/>
      <c r="D959" s="139"/>
      <c r="E959" s="680"/>
      <c r="F959" s="139"/>
      <c r="G959" s="139"/>
      <c r="H959" s="680"/>
      <c r="I959" s="680"/>
      <c r="J959" s="139"/>
      <c r="K959" s="139"/>
      <c r="L959" s="139"/>
      <c r="M959" s="139"/>
      <c r="N959" s="139"/>
      <c r="O959" s="139"/>
      <c r="P959" s="139"/>
      <c r="Q959" s="139"/>
      <c r="R959" s="139"/>
      <c r="S959" s="139"/>
      <c r="T959" s="139"/>
      <c r="U959" s="139"/>
      <c r="V959" s="139"/>
      <c r="W959" s="139"/>
      <c r="X959" s="139"/>
      <c r="Y959" s="139"/>
      <c r="Z959" s="139"/>
      <c r="AA959" s="139"/>
    </row>
    <row r="960" spans="1:27" ht="15.75">
      <c r="A960" s="139"/>
      <c r="B960" s="139"/>
      <c r="C960" s="680"/>
      <c r="D960" s="139"/>
      <c r="E960" s="680"/>
      <c r="F960" s="139"/>
      <c r="G960" s="139"/>
      <c r="H960" s="680"/>
      <c r="I960" s="680"/>
      <c r="J960" s="139"/>
      <c r="K960" s="139"/>
      <c r="L960" s="139"/>
      <c r="M960" s="139"/>
      <c r="N960" s="139"/>
      <c r="O960" s="139"/>
      <c r="P960" s="139"/>
      <c r="Q960" s="139"/>
      <c r="R960" s="139"/>
      <c r="S960" s="139"/>
      <c r="T960" s="139"/>
      <c r="U960" s="139"/>
      <c r="V960" s="139"/>
      <c r="W960" s="139"/>
      <c r="X960" s="139"/>
      <c r="Y960" s="139"/>
      <c r="Z960" s="139"/>
      <c r="AA960" s="139"/>
    </row>
    <row r="961" spans="1:27" ht="15.75">
      <c r="A961" s="139"/>
      <c r="B961" s="139"/>
      <c r="C961" s="680"/>
      <c r="D961" s="139"/>
      <c r="E961" s="680"/>
      <c r="F961" s="139"/>
      <c r="G961" s="139"/>
      <c r="H961" s="680"/>
      <c r="I961" s="680"/>
      <c r="J961" s="139"/>
      <c r="K961" s="139"/>
      <c r="L961" s="139"/>
      <c r="M961" s="139"/>
      <c r="N961" s="139"/>
      <c r="O961" s="139"/>
      <c r="P961" s="139"/>
      <c r="Q961" s="139"/>
      <c r="R961" s="139"/>
      <c r="S961" s="139"/>
      <c r="T961" s="139"/>
      <c r="U961" s="139"/>
      <c r="V961" s="139"/>
      <c r="W961" s="139"/>
      <c r="X961" s="139"/>
      <c r="Y961" s="139"/>
      <c r="Z961" s="139"/>
      <c r="AA961" s="139"/>
    </row>
    <row r="962" spans="1:27" ht="15.75">
      <c r="A962" s="139"/>
      <c r="B962" s="139"/>
      <c r="C962" s="680"/>
      <c r="D962" s="139"/>
      <c r="E962" s="680"/>
      <c r="F962" s="139"/>
      <c r="G962" s="139"/>
      <c r="H962" s="680"/>
      <c r="I962" s="680"/>
      <c r="J962" s="139"/>
      <c r="K962" s="139"/>
      <c r="L962" s="139"/>
      <c r="M962" s="139"/>
      <c r="N962" s="139"/>
      <c r="O962" s="139"/>
      <c r="P962" s="139"/>
      <c r="Q962" s="139"/>
      <c r="R962" s="139"/>
      <c r="S962" s="139"/>
      <c r="T962" s="139"/>
      <c r="U962" s="139"/>
      <c r="V962" s="139"/>
      <c r="W962" s="139"/>
      <c r="X962" s="139"/>
      <c r="Y962" s="139"/>
      <c r="Z962" s="139"/>
      <c r="AA962" s="139"/>
    </row>
    <row r="963" spans="1:27" ht="15.75">
      <c r="A963" s="139"/>
      <c r="B963" s="139"/>
      <c r="C963" s="680"/>
      <c r="D963" s="139"/>
      <c r="E963" s="680"/>
      <c r="F963" s="139"/>
      <c r="G963" s="139"/>
      <c r="H963" s="680"/>
      <c r="I963" s="680"/>
      <c r="J963" s="139"/>
      <c r="K963" s="139"/>
      <c r="L963" s="139"/>
      <c r="M963" s="139"/>
      <c r="N963" s="139"/>
      <c r="O963" s="139"/>
      <c r="P963" s="139"/>
      <c r="Q963" s="139"/>
      <c r="R963" s="139"/>
      <c r="S963" s="139"/>
      <c r="T963" s="139"/>
      <c r="U963" s="139"/>
      <c r="V963" s="139"/>
      <c r="W963" s="139"/>
      <c r="X963" s="139"/>
      <c r="Y963" s="139"/>
      <c r="Z963" s="139"/>
      <c r="AA963" s="139"/>
    </row>
    <row r="964" spans="1:27" ht="15.75">
      <c r="A964" s="139"/>
      <c r="B964" s="139"/>
      <c r="C964" s="680"/>
      <c r="D964" s="139"/>
      <c r="E964" s="680"/>
      <c r="F964" s="139"/>
      <c r="G964" s="139"/>
      <c r="H964" s="680"/>
      <c r="I964" s="680"/>
      <c r="J964" s="139"/>
      <c r="K964" s="139"/>
      <c r="L964" s="139"/>
      <c r="M964" s="139"/>
      <c r="N964" s="139"/>
      <c r="O964" s="139"/>
      <c r="P964" s="139"/>
      <c r="Q964" s="139"/>
      <c r="R964" s="139"/>
      <c r="S964" s="139"/>
      <c r="T964" s="139"/>
      <c r="U964" s="139"/>
      <c r="V964" s="139"/>
      <c r="W964" s="139"/>
      <c r="X964" s="139"/>
      <c r="Y964" s="139"/>
      <c r="Z964" s="139"/>
      <c r="AA964" s="139"/>
    </row>
    <row r="965" spans="1:27" ht="15.75">
      <c r="A965" s="139"/>
      <c r="B965" s="139"/>
      <c r="C965" s="680"/>
      <c r="D965" s="139"/>
      <c r="E965" s="680"/>
      <c r="F965" s="139"/>
      <c r="G965" s="139"/>
      <c r="H965" s="680"/>
      <c r="I965" s="680"/>
      <c r="J965" s="139"/>
      <c r="K965" s="139"/>
      <c r="L965" s="139"/>
      <c r="M965" s="139"/>
      <c r="N965" s="139"/>
      <c r="O965" s="139"/>
      <c r="P965" s="139"/>
      <c r="Q965" s="139"/>
      <c r="R965" s="139"/>
      <c r="S965" s="139"/>
      <c r="T965" s="139"/>
      <c r="U965" s="139"/>
      <c r="V965" s="139"/>
      <c r="W965" s="139"/>
      <c r="X965" s="139"/>
      <c r="Y965" s="139"/>
      <c r="Z965" s="139"/>
      <c r="AA965" s="139"/>
    </row>
    <row r="966" spans="1:27" ht="15.75">
      <c r="A966" s="139"/>
      <c r="B966" s="139"/>
      <c r="C966" s="680"/>
      <c r="D966" s="139"/>
      <c r="E966" s="680"/>
      <c r="F966" s="139"/>
      <c r="G966" s="139"/>
      <c r="H966" s="680"/>
      <c r="I966" s="680"/>
      <c r="J966" s="139"/>
      <c r="K966" s="139"/>
      <c r="L966" s="139"/>
      <c r="M966" s="139"/>
      <c r="N966" s="139"/>
      <c r="O966" s="139"/>
      <c r="P966" s="139"/>
      <c r="Q966" s="139"/>
      <c r="R966" s="139"/>
      <c r="S966" s="139"/>
      <c r="T966" s="139"/>
      <c r="U966" s="139"/>
      <c r="V966" s="139"/>
      <c r="W966" s="139"/>
      <c r="X966" s="139"/>
      <c r="Y966" s="139"/>
      <c r="Z966" s="139"/>
      <c r="AA966" s="139"/>
    </row>
    <row r="967" spans="1:27" ht="15.75">
      <c r="A967" s="139"/>
      <c r="B967" s="139"/>
      <c r="C967" s="680"/>
      <c r="D967" s="139"/>
      <c r="E967" s="680"/>
      <c r="F967" s="139"/>
      <c r="G967" s="139"/>
      <c r="H967" s="680"/>
      <c r="I967" s="680"/>
      <c r="J967" s="139"/>
      <c r="K967" s="139"/>
      <c r="L967" s="139"/>
      <c r="M967" s="139"/>
      <c r="N967" s="139"/>
      <c r="O967" s="139"/>
      <c r="P967" s="139"/>
      <c r="Q967" s="139"/>
      <c r="R967" s="139"/>
      <c r="S967" s="139"/>
      <c r="T967" s="139"/>
      <c r="U967" s="139"/>
      <c r="V967" s="139"/>
      <c r="W967" s="139"/>
      <c r="X967" s="139"/>
      <c r="Y967" s="139"/>
      <c r="Z967" s="139"/>
      <c r="AA967" s="139"/>
    </row>
    <row r="968" spans="1:27" ht="15.75">
      <c r="A968" s="139"/>
      <c r="B968" s="139"/>
      <c r="C968" s="680"/>
      <c r="D968" s="139"/>
      <c r="E968" s="680"/>
      <c r="F968" s="139"/>
      <c r="G968" s="139"/>
      <c r="H968" s="680"/>
      <c r="I968" s="680"/>
      <c r="J968" s="139"/>
      <c r="K968" s="139"/>
      <c r="L968" s="139"/>
      <c r="M968" s="139"/>
      <c r="N968" s="139"/>
      <c r="O968" s="139"/>
      <c r="P968" s="139"/>
      <c r="Q968" s="139"/>
      <c r="R968" s="139"/>
      <c r="S968" s="139"/>
      <c r="T968" s="139"/>
      <c r="U968" s="139"/>
      <c r="V968" s="139"/>
      <c r="W968" s="139"/>
      <c r="X968" s="139"/>
      <c r="Y968" s="139"/>
      <c r="Z968" s="139"/>
      <c r="AA968" s="139"/>
    </row>
    <row r="969" spans="1:27" ht="15.75">
      <c r="A969" s="139"/>
      <c r="B969" s="139"/>
      <c r="C969" s="680"/>
      <c r="D969" s="139"/>
      <c r="E969" s="680"/>
      <c r="F969" s="139"/>
      <c r="G969" s="139"/>
      <c r="H969" s="680"/>
      <c r="I969" s="680"/>
      <c r="J969" s="139"/>
      <c r="K969" s="139"/>
      <c r="L969" s="139"/>
      <c r="M969" s="139"/>
      <c r="N969" s="139"/>
      <c r="O969" s="139"/>
      <c r="P969" s="139"/>
      <c r="Q969" s="139"/>
      <c r="R969" s="139"/>
      <c r="S969" s="139"/>
      <c r="T969" s="139"/>
      <c r="U969" s="139"/>
      <c r="V969" s="139"/>
      <c r="W969" s="139"/>
      <c r="X969" s="139"/>
      <c r="Y969" s="139"/>
      <c r="Z969" s="139"/>
      <c r="AA969" s="139"/>
    </row>
    <row r="970" spans="1:27" ht="15.75">
      <c r="A970" s="139"/>
      <c r="B970" s="139"/>
      <c r="C970" s="680"/>
      <c r="D970" s="139"/>
      <c r="E970" s="680"/>
      <c r="F970" s="139"/>
      <c r="G970" s="139"/>
      <c r="H970" s="680"/>
      <c r="I970" s="680"/>
      <c r="J970" s="139"/>
      <c r="K970" s="139"/>
      <c r="L970" s="139"/>
      <c r="M970" s="139"/>
      <c r="N970" s="139"/>
      <c r="O970" s="139"/>
      <c r="P970" s="139"/>
      <c r="Q970" s="139"/>
      <c r="R970" s="139"/>
      <c r="S970" s="139"/>
      <c r="T970" s="139"/>
      <c r="U970" s="139"/>
      <c r="V970" s="139"/>
      <c r="W970" s="139"/>
      <c r="X970" s="139"/>
      <c r="Y970" s="139"/>
      <c r="Z970" s="139"/>
      <c r="AA970" s="139"/>
    </row>
    <row r="971" spans="1:27" ht="15.75">
      <c r="A971" s="139"/>
      <c r="B971" s="139"/>
      <c r="C971" s="680"/>
      <c r="D971" s="139"/>
      <c r="E971" s="680"/>
      <c r="F971" s="139"/>
      <c r="G971" s="139"/>
      <c r="H971" s="680"/>
      <c r="I971" s="680"/>
      <c r="J971" s="139"/>
      <c r="K971" s="139"/>
      <c r="L971" s="139"/>
      <c r="M971" s="139"/>
      <c r="N971" s="139"/>
      <c r="O971" s="139"/>
      <c r="P971" s="139"/>
      <c r="Q971" s="139"/>
      <c r="R971" s="139"/>
      <c r="S971" s="139"/>
      <c r="T971" s="139"/>
      <c r="U971" s="139"/>
      <c r="V971" s="139"/>
      <c r="W971" s="139"/>
      <c r="X971" s="139"/>
      <c r="Y971" s="139"/>
      <c r="Z971" s="139"/>
      <c r="AA971" s="139"/>
    </row>
    <row r="972" spans="1:27" ht="15.75">
      <c r="A972" s="139"/>
      <c r="B972" s="139"/>
      <c r="C972" s="680"/>
      <c r="D972" s="139"/>
      <c r="E972" s="680"/>
      <c r="F972" s="139"/>
      <c r="G972" s="139"/>
      <c r="H972" s="680"/>
      <c r="I972" s="680"/>
      <c r="J972" s="139"/>
      <c r="K972" s="139"/>
      <c r="L972" s="139"/>
      <c r="M972" s="139"/>
      <c r="N972" s="139"/>
      <c r="O972" s="139"/>
      <c r="P972" s="139"/>
      <c r="Q972" s="139"/>
      <c r="R972" s="139"/>
      <c r="S972" s="139"/>
      <c r="T972" s="139"/>
      <c r="U972" s="139"/>
      <c r="V972" s="139"/>
      <c r="W972" s="139"/>
      <c r="X972" s="139"/>
      <c r="Y972" s="139"/>
      <c r="Z972" s="139"/>
      <c r="AA972" s="139"/>
    </row>
    <row r="973" spans="1:27" ht="15.75">
      <c r="A973" s="139"/>
      <c r="B973" s="139"/>
      <c r="C973" s="680"/>
      <c r="D973" s="139"/>
      <c r="E973" s="680"/>
      <c r="F973" s="139"/>
      <c r="G973" s="139"/>
      <c r="H973" s="680"/>
      <c r="I973" s="680"/>
      <c r="J973" s="139"/>
      <c r="K973" s="139"/>
      <c r="L973" s="139"/>
      <c r="M973" s="139"/>
      <c r="N973" s="139"/>
      <c r="O973" s="139"/>
      <c r="P973" s="139"/>
      <c r="Q973" s="139"/>
      <c r="R973" s="139"/>
      <c r="S973" s="139"/>
      <c r="T973" s="139"/>
      <c r="U973" s="139"/>
      <c r="V973" s="139"/>
      <c r="W973" s="139"/>
      <c r="X973" s="139"/>
      <c r="Y973" s="139"/>
      <c r="Z973" s="139"/>
      <c r="AA973" s="139"/>
    </row>
    <row r="974" spans="1:27" ht="15.75">
      <c r="A974" s="139"/>
      <c r="B974" s="139"/>
      <c r="C974" s="680"/>
      <c r="D974" s="139"/>
      <c r="E974" s="680"/>
      <c r="F974" s="139"/>
      <c r="G974" s="139"/>
      <c r="H974" s="680"/>
      <c r="I974" s="680"/>
      <c r="J974" s="139"/>
      <c r="K974" s="139"/>
      <c r="L974" s="139"/>
      <c r="M974" s="139"/>
      <c r="N974" s="139"/>
      <c r="O974" s="139"/>
      <c r="P974" s="139"/>
      <c r="Q974" s="139"/>
      <c r="R974" s="139"/>
      <c r="S974" s="139"/>
      <c r="T974" s="139"/>
      <c r="U974" s="139"/>
      <c r="V974" s="139"/>
      <c r="W974" s="139"/>
      <c r="X974" s="139"/>
      <c r="Y974" s="139"/>
      <c r="Z974" s="139"/>
      <c r="AA974" s="139"/>
    </row>
    <row r="975" spans="1:27" ht="15.75">
      <c r="A975" s="139"/>
      <c r="B975" s="139"/>
      <c r="C975" s="680"/>
      <c r="D975" s="139"/>
      <c r="E975" s="680"/>
      <c r="F975" s="139"/>
      <c r="G975" s="139"/>
      <c r="H975" s="680"/>
      <c r="I975" s="680"/>
      <c r="J975" s="139"/>
      <c r="K975" s="139"/>
      <c r="L975" s="139"/>
      <c r="M975" s="139"/>
      <c r="N975" s="139"/>
      <c r="O975" s="139"/>
      <c r="P975" s="139"/>
      <c r="Q975" s="139"/>
      <c r="R975" s="139"/>
      <c r="S975" s="139"/>
      <c r="T975" s="139"/>
      <c r="U975" s="139"/>
      <c r="V975" s="139"/>
      <c r="W975" s="139"/>
      <c r="X975" s="139"/>
      <c r="Y975" s="139"/>
      <c r="Z975" s="139"/>
      <c r="AA975" s="139"/>
    </row>
    <row r="976" spans="1:27" ht="15.75">
      <c r="A976" s="139"/>
      <c r="B976" s="139"/>
      <c r="C976" s="680"/>
      <c r="D976" s="139"/>
      <c r="E976" s="680"/>
      <c r="F976" s="139"/>
      <c r="G976" s="139"/>
      <c r="H976" s="680"/>
      <c r="I976" s="680"/>
      <c r="J976" s="139"/>
      <c r="K976" s="139"/>
      <c r="L976" s="139"/>
      <c r="M976" s="139"/>
      <c r="N976" s="139"/>
      <c r="O976" s="139"/>
      <c r="P976" s="139"/>
      <c r="Q976" s="139"/>
      <c r="R976" s="139"/>
      <c r="S976" s="139"/>
      <c r="T976" s="139"/>
      <c r="U976" s="139"/>
      <c r="V976" s="139"/>
      <c r="W976" s="139"/>
      <c r="X976" s="139"/>
      <c r="Y976" s="139"/>
      <c r="Z976" s="139"/>
      <c r="AA976" s="139"/>
    </row>
    <row r="977" spans="1:27" ht="15.75">
      <c r="A977" s="139"/>
      <c r="B977" s="139"/>
      <c r="C977" s="680"/>
      <c r="D977" s="139"/>
      <c r="E977" s="680"/>
      <c r="F977" s="139"/>
      <c r="G977" s="139"/>
      <c r="H977" s="680"/>
      <c r="I977" s="680"/>
      <c r="J977" s="139"/>
      <c r="K977" s="139"/>
      <c r="L977" s="139"/>
      <c r="M977" s="139"/>
      <c r="N977" s="139"/>
      <c r="O977" s="139"/>
      <c r="P977" s="139"/>
      <c r="Q977" s="139"/>
      <c r="R977" s="139"/>
      <c r="S977" s="139"/>
      <c r="T977" s="139"/>
      <c r="U977" s="139"/>
      <c r="V977" s="139"/>
      <c r="W977" s="139"/>
      <c r="X977" s="139"/>
      <c r="Y977" s="139"/>
      <c r="Z977" s="139"/>
      <c r="AA977" s="139"/>
    </row>
    <row r="978" spans="1:27" ht="15.75">
      <c r="A978" s="139"/>
      <c r="B978" s="139"/>
      <c r="C978" s="680"/>
      <c r="D978" s="139"/>
      <c r="E978" s="680"/>
      <c r="F978" s="139"/>
      <c r="G978" s="139"/>
      <c r="H978" s="680"/>
      <c r="I978" s="680"/>
      <c r="J978" s="139"/>
      <c r="K978" s="139"/>
      <c r="L978" s="139"/>
      <c r="M978" s="139"/>
      <c r="N978" s="139"/>
      <c r="O978" s="139"/>
      <c r="P978" s="139"/>
      <c r="Q978" s="139"/>
      <c r="R978" s="139"/>
      <c r="S978" s="139"/>
      <c r="T978" s="139"/>
      <c r="U978" s="139"/>
      <c r="V978" s="139"/>
      <c r="W978" s="139"/>
      <c r="X978" s="139"/>
      <c r="Y978" s="139"/>
      <c r="Z978" s="139"/>
      <c r="AA978" s="139"/>
    </row>
    <row r="979" spans="1:27" ht="15.75">
      <c r="A979" s="139"/>
      <c r="B979" s="139"/>
      <c r="C979" s="680"/>
      <c r="D979" s="139"/>
      <c r="E979" s="680"/>
      <c r="F979" s="139"/>
      <c r="G979" s="139"/>
      <c r="H979" s="680"/>
      <c r="I979" s="680"/>
      <c r="J979" s="139"/>
      <c r="K979" s="139"/>
      <c r="L979" s="139"/>
      <c r="M979" s="139"/>
      <c r="N979" s="139"/>
      <c r="O979" s="139"/>
      <c r="P979" s="139"/>
      <c r="Q979" s="139"/>
      <c r="R979" s="139"/>
      <c r="S979" s="139"/>
      <c r="T979" s="139"/>
      <c r="U979" s="139"/>
      <c r="V979" s="139"/>
      <c r="W979" s="139"/>
      <c r="X979" s="139"/>
      <c r="Y979" s="139"/>
      <c r="Z979" s="139"/>
      <c r="AA979" s="139"/>
    </row>
    <row r="980" spans="1:27" ht="15.75">
      <c r="A980" s="139"/>
      <c r="B980" s="139"/>
      <c r="C980" s="680"/>
      <c r="D980" s="139"/>
      <c r="E980" s="680"/>
      <c r="F980" s="139"/>
      <c r="G980" s="139"/>
      <c r="H980" s="680"/>
      <c r="I980" s="680"/>
      <c r="J980" s="139"/>
      <c r="K980" s="139"/>
      <c r="L980" s="139"/>
      <c r="M980" s="139"/>
      <c r="N980" s="139"/>
      <c r="O980" s="139"/>
      <c r="P980" s="139"/>
      <c r="Q980" s="139"/>
      <c r="R980" s="139"/>
      <c r="S980" s="139"/>
      <c r="T980" s="139"/>
      <c r="U980" s="139"/>
      <c r="V980" s="139"/>
      <c r="W980" s="139"/>
      <c r="X980" s="139"/>
      <c r="Y980" s="139"/>
      <c r="Z980" s="139"/>
      <c r="AA980" s="139"/>
    </row>
    <row r="981" spans="1:27" ht="15.75">
      <c r="A981" s="139"/>
      <c r="B981" s="139"/>
      <c r="C981" s="680"/>
      <c r="D981" s="139"/>
      <c r="E981" s="680"/>
      <c r="F981" s="139"/>
      <c r="G981" s="139"/>
      <c r="H981" s="680"/>
      <c r="I981" s="680"/>
      <c r="J981" s="139"/>
      <c r="K981" s="139"/>
      <c r="L981" s="139"/>
      <c r="M981" s="139"/>
      <c r="N981" s="139"/>
      <c r="O981" s="139"/>
      <c r="P981" s="139"/>
      <c r="Q981" s="139"/>
      <c r="R981" s="139"/>
      <c r="S981" s="139"/>
      <c r="T981" s="139"/>
      <c r="U981" s="139"/>
      <c r="V981" s="139"/>
      <c r="W981" s="139"/>
      <c r="X981" s="139"/>
      <c r="Y981" s="139"/>
      <c r="Z981" s="139"/>
      <c r="AA981" s="139"/>
    </row>
    <row r="982" spans="1:27" ht="15.75">
      <c r="A982" s="139"/>
      <c r="B982" s="139"/>
      <c r="C982" s="680"/>
      <c r="D982" s="139"/>
      <c r="E982" s="680"/>
      <c r="F982" s="139"/>
      <c r="G982" s="139"/>
      <c r="H982" s="680"/>
      <c r="I982" s="680"/>
      <c r="J982" s="139"/>
      <c r="K982" s="139"/>
      <c r="L982" s="139"/>
      <c r="M982" s="139"/>
      <c r="N982" s="139"/>
      <c r="O982" s="139"/>
      <c r="P982" s="139"/>
      <c r="Q982" s="139"/>
      <c r="R982" s="139"/>
      <c r="S982" s="139"/>
      <c r="T982" s="139"/>
      <c r="U982" s="139"/>
      <c r="V982" s="139"/>
      <c r="W982" s="139"/>
      <c r="X982" s="139"/>
      <c r="Y982" s="139"/>
      <c r="Z982" s="139"/>
      <c r="AA982" s="139"/>
    </row>
    <row r="983" spans="1:27" ht="15.75">
      <c r="A983" s="139"/>
      <c r="B983" s="139"/>
      <c r="C983" s="680"/>
      <c r="D983" s="139"/>
      <c r="E983" s="680"/>
      <c r="F983" s="139"/>
      <c r="G983" s="139"/>
      <c r="H983" s="680"/>
      <c r="I983" s="680"/>
      <c r="J983" s="139"/>
      <c r="K983" s="139"/>
      <c r="L983" s="139"/>
      <c r="M983" s="139"/>
      <c r="N983" s="139"/>
      <c r="O983" s="139"/>
      <c r="P983" s="139"/>
      <c r="Q983" s="139"/>
      <c r="R983" s="139"/>
      <c r="S983" s="139"/>
      <c r="T983" s="139"/>
      <c r="U983" s="139"/>
      <c r="V983" s="139"/>
      <c r="W983" s="139"/>
      <c r="X983" s="139"/>
      <c r="Y983" s="139"/>
      <c r="Z983" s="139"/>
      <c r="AA983" s="139"/>
    </row>
    <row r="984" spans="1:27" ht="15.75">
      <c r="A984" s="139"/>
      <c r="B984" s="139"/>
      <c r="C984" s="680"/>
      <c r="D984" s="139"/>
      <c r="E984" s="680"/>
      <c r="F984" s="139"/>
      <c r="G984" s="139"/>
      <c r="H984" s="680"/>
      <c r="I984" s="680"/>
      <c r="J984" s="139"/>
      <c r="K984" s="139"/>
      <c r="L984" s="139"/>
      <c r="M984" s="139"/>
      <c r="N984" s="139"/>
      <c r="O984" s="139"/>
      <c r="P984" s="139"/>
      <c r="Q984" s="139"/>
      <c r="R984" s="139"/>
      <c r="S984" s="139"/>
      <c r="T984" s="139"/>
      <c r="U984" s="139"/>
      <c r="V984" s="139"/>
      <c r="W984" s="139"/>
      <c r="X984" s="139"/>
      <c r="Y984" s="139"/>
      <c r="Z984" s="139"/>
      <c r="AA984" s="139"/>
    </row>
    <row r="985" spans="1:27" ht="15.75">
      <c r="A985" s="139"/>
      <c r="B985" s="139"/>
      <c r="C985" s="680"/>
      <c r="D985" s="139"/>
      <c r="E985" s="680"/>
      <c r="F985" s="139"/>
      <c r="G985" s="139"/>
      <c r="H985" s="680"/>
      <c r="I985" s="680"/>
      <c r="J985" s="139"/>
      <c r="K985" s="139"/>
      <c r="L985" s="139"/>
      <c r="M985" s="139"/>
      <c r="N985" s="139"/>
      <c r="O985" s="139"/>
      <c r="P985" s="139"/>
      <c r="Q985" s="139"/>
      <c r="R985" s="139"/>
      <c r="S985" s="139"/>
      <c r="T985" s="139"/>
      <c r="U985" s="139"/>
      <c r="V985" s="139"/>
      <c r="W985" s="139"/>
      <c r="X985" s="139"/>
      <c r="Y985" s="139"/>
      <c r="Z985" s="139"/>
      <c r="AA985" s="139"/>
    </row>
    <row r="986" spans="1:27" ht="15.75">
      <c r="A986" s="139"/>
      <c r="B986" s="139"/>
      <c r="C986" s="680"/>
      <c r="D986" s="139"/>
      <c r="E986" s="680"/>
      <c r="F986" s="139"/>
      <c r="G986" s="139"/>
      <c r="H986" s="680"/>
      <c r="I986" s="680"/>
      <c r="J986" s="139"/>
      <c r="K986" s="139"/>
      <c r="L986" s="139"/>
      <c r="M986" s="139"/>
      <c r="N986" s="139"/>
      <c r="O986" s="139"/>
      <c r="P986" s="139"/>
      <c r="Q986" s="139"/>
      <c r="R986" s="139"/>
      <c r="S986" s="139"/>
      <c r="T986" s="139"/>
      <c r="U986" s="139"/>
      <c r="V986" s="139"/>
      <c r="W986" s="139"/>
      <c r="X986" s="139"/>
      <c r="Y986" s="139"/>
      <c r="Z986" s="139"/>
      <c r="AA986" s="139"/>
    </row>
    <row r="987" spans="1:27" ht="15.75">
      <c r="A987" s="139"/>
      <c r="B987" s="139"/>
      <c r="C987" s="680"/>
      <c r="D987" s="139"/>
      <c r="E987" s="680"/>
      <c r="F987" s="139"/>
      <c r="G987" s="139"/>
      <c r="H987" s="680"/>
      <c r="I987" s="680"/>
      <c r="J987" s="139"/>
      <c r="K987" s="139"/>
      <c r="L987" s="139"/>
      <c r="M987" s="139"/>
      <c r="N987" s="139"/>
      <c r="O987" s="139"/>
      <c r="P987" s="139"/>
      <c r="Q987" s="139"/>
      <c r="R987" s="139"/>
      <c r="S987" s="139"/>
      <c r="T987" s="139"/>
      <c r="U987" s="139"/>
      <c r="V987" s="139"/>
      <c r="W987" s="139"/>
      <c r="X987" s="139"/>
      <c r="Y987" s="139"/>
      <c r="Z987" s="139"/>
      <c r="AA987" s="139"/>
    </row>
    <row r="988" spans="1:27" ht="15.75">
      <c r="A988" s="139"/>
      <c r="B988" s="139"/>
      <c r="C988" s="680"/>
      <c r="D988" s="139"/>
      <c r="E988" s="680"/>
      <c r="F988" s="139"/>
      <c r="G988" s="139"/>
      <c r="H988" s="680"/>
      <c r="I988" s="680"/>
      <c r="J988" s="139"/>
      <c r="K988" s="139"/>
      <c r="L988" s="139"/>
      <c r="M988" s="139"/>
      <c r="N988" s="139"/>
      <c r="O988" s="139"/>
      <c r="P988" s="139"/>
      <c r="Q988" s="139"/>
      <c r="R988" s="139"/>
      <c r="S988" s="139"/>
      <c r="T988" s="139"/>
      <c r="U988" s="139"/>
      <c r="V988" s="139"/>
      <c r="W988" s="139"/>
      <c r="X988" s="139"/>
      <c r="Y988" s="139"/>
      <c r="Z988" s="139"/>
      <c r="AA988" s="139"/>
    </row>
    <row r="989" spans="1:27" ht="15.75">
      <c r="A989" s="139"/>
      <c r="B989" s="139"/>
      <c r="C989" s="680"/>
      <c r="D989" s="139"/>
      <c r="E989" s="680"/>
      <c r="F989" s="139"/>
      <c r="G989" s="139"/>
      <c r="H989" s="680"/>
      <c r="I989" s="680"/>
      <c r="J989" s="139"/>
      <c r="K989" s="139"/>
      <c r="L989" s="139"/>
      <c r="M989" s="139"/>
      <c r="N989" s="139"/>
      <c r="O989" s="139"/>
      <c r="P989" s="139"/>
      <c r="Q989" s="139"/>
      <c r="R989" s="139"/>
      <c r="S989" s="139"/>
      <c r="T989" s="139"/>
      <c r="U989" s="139"/>
      <c r="V989" s="139"/>
      <c r="W989" s="139"/>
      <c r="X989" s="139"/>
      <c r="Y989" s="139"/>
      <c r="Z989" s="139"/>
      <c r="AA989" s="139"/>
    </row>
    <row r="990" spans="1:27" ht="15.75">
      <c r="A990" s="139"/>
      <c r="B990" s="139"/>
      <c r="C990" s="680"/>
      <c r="D990" s="139"/>
      <c r="E990" s="680"/>
      <c r="F990" s="139"/>
      <c r="G990" s="139"/>
      <c r="H990" s="680"/>
      <c r="I990" s="680"/>
      <c r="J990" s="139"/>
      <c r="K990" s="139"/>
      <c r="L990" s="139"/>
      <c r="M990" s="139"/>
      <c r="N990" s="139"/>
      <c r="O990" s="139"/>
      <c r="P990" s="139"/>
      <c r="Q990" s="139"/>
      <c r="R990" s="139"/>
      <c r="S990" s="139"/>
      <c r="T990" s="139"/>
      <c r="U990" s="139"/>
      <c r="V990" s="139"/>
      <c r="W990" s="139"/>
      <c r="X990" s="139"/>
      <c r="Y990" s="139"/>
      <c r="Z990" s="139"/>
      <c r="AA990" s="139"/>
    </row>
    <row r="991" spans="1:27" ht="15.75">
      <c r="A991" s="139"/>
      <c r="B991" s="139"/>
      <c r="C991" s="680"/>
      <c r="D991" s="139"/>
      <c r="E991" s="680"/>
      <c r="F991" s="139"/>
      <c r="G991" s="139"/>
      <c r="H991" s="680"/>
      <c r="I991" s="680"/>
      <c r="J991" s="139"/>
      <c r="K991" s="139"/>
      <c r="L991" s="139"/>
      <c r="M991" s="139"/>
      <c r="N991" s="139"/>
      <c r="O991" s="139"/>
      <c r="P991" s="139"/>
      <c r="Q991" s="139"/>
      <c r="R991" s="139"/>
      <c r="S991" s="139"/>
      <c r="T991" s="139"/>
      <c r="U991" s="139"/>
      <c r="V991" s="139"/>
      <c r="W991" s="139"/>
      <c r="X991" s="139"/>
      <c r="Y991" s="139"/>
      <c r="Z991" s="139"/>
      <c r="AA991" s="139"/>
    </row>
    <row r="992" spans="1:27" ht="15.75">
      <c r="A992" s="139"/>
      <c r="B992" s="139"/>
      <c r="C992" s="680"/>
      <c r="D992" s="139"/>
      <c r="E992" s="680"/>
      <c r="F992" s="139"/>
      <c r="G992" s="139"/>
      <c r="H992" s="680"/>
      <c r="I992" s="680"/>
      <c r="J992" s="139"/>
      <c r="K992" s="139"/>
      <c r="L992" s="139"/>
      <c r="M992" s="139"/>
      <c r="N992" s="139"/>
      <c r="O992" s="139"/>
      <c r="P992" s="139"/>
      <c r="Q992" s="139"/>
      <c r="R992" s="139"/>
      <c r="S992" s="139"/>
      <c r="T992" s="139"/>
      <c r="U992" s="139"/>
      <c r="V992" s="139"/>
      <c r="W992" s="139"/>
      <c r="X992" s="139"/>
      <c r="Y992" s="139"/>
      <c r="Z992" s="139"/>
      <c r="AA992" s="139"/>
    </row>
    <row r="993" spans="1:27" ht="15.75">
      <c r="A993" s="139"/>
      <c r="B993" s="139"/>
      <c r="C993" s="680"/>
      <c r="D993" s="139"/>
      <c r="E993" s="680"/>
      <c r="F993" s="139"/>
      <c r="G993" s="139"/>
      <c r="H993" s="680"/>
      <c r="I993" s="680"/>
      <c r="J993" s="139"/>
      <c r="K993" s="139"/>
      <c r="L993" s="139"/>
      <c r="M993" s="139"/>
      <c r="N993" s="139"/>
      <c r="O993" s="139"/>
      <c r="P993" s="139"/>
      <c r="Q993" s="139"/>
      <c r="R993" s="139"/>
      <c r="S993" s="139"/>
      <c r="T993" s="139"/>
      <c r="U993" s="139"/>
      <c r="V993" s="139"/>
      <c r="W993" s="139"/>
      <c r="X993" s="139"/>
      <c r="Y993" s="139"/>
      <c r="Z993" s="139"/>
      <c r="AA993" s="139"/>
    </row>
    <row r="994" spans="1:27" ht="15.75">
      <c r="A994" s="139"/>
      <c r="B994" s="139"/>
      <c r="C994" s="680"/>
      <c r="D994" s="139"/>
      <c r="E994" s="680"/>
      <c r="F994" s="139"/>
      <c r="G994" s="139"/>
      <c r="H994" s="680"/>
      <c r="I994" s="680"/>
      <c r="J994" s="139"/>
      <c r="K994" s="139"/>
      <c r="L994" s="139"/>
      <c r="M994" s="139"/>
      <c r="N994" s="139"/>
      <c r="O994" s="139"/>
      <c r="P994" s="139"/>
      <c r="Q994" s="139"/>
      <c r="R994" s="139"/>
      <c r="S994" s="139"/>
      <c r="T994" s="139"/>
      <c r="U994" s="139"/>
      <c r="V994" s="139"/>
      <c r="W994" s="139"/>
      <c r="X994" s="139"/>
      <c r="Y994" s="139"/>
      <c r="Z994" s="139"/>
      <c r="AA994" s="139"/>
    </row>
    <row r="995" spans="1:27" ht="15.75">
      <c r="A995" s="139"/>
      <c r="B995" s="139"/>
      <c r="C995" s="680"/>
      <c r="D995" s="139"/>
      <c r="E995" s="680"/>
      <c r="F995" s="139"/>
      <c r="G995" s="139"/>
      <c r="H995" s="680"/>
      <c r="I995" s="680"/>
      <c r="J995" s="139"/>
      <c r="K995" s="139"/>
      <c r="L995" s="139"/>
      <c r="M995" s="139"/>
      <c r="N995" s="139"/>
      <c r="O995" s="139"/>
      <c r="P995" s="139"/>
      <c r="Q995" s="139"/>
      <c r="R995" s="139"/>
      <c r="S995" s="139"/>
      <c r="T995" s="139"/>
      <c r="U995" s="139"/>
      <c r="V995" s="139"/>
      <c r="W995" s="139"/>
      <c r="X995" s="139"/>
      <c r="Y995" s="139"/>
      <c r="Z995" s="139"/>
      <c r="AA995" s="139"/>
    </row>
    <row r="996" spans="1:27" ht="15.75">
      <c r="A996" s="139"/>
      <c r="B996" s="139"/>
      <c r="C996" s="680"/>
      <c r="D996" s="139"/>
      <c r="E996" s="680"/>
      <c r="F996" s="139"/>
      <c r="G996" s="139"/>
      <c r="H996" s="680"/>
      <c r="I996" s="680"/>
      <c r="J996" s="139"/>
      <c r="K996" s="139"/>
      <c r="L996" s="139"/>
      <c r="M996" s="139"/>
      <c r="N996" s="139"/>
      <c r="O996" s="139"/>
      <c r="P996" s="139"/>
      <c r="Q996" s="139"/>
      <c r="R996" s="139"/>
      <c r="S996" s="139"/>
      <c r="T996" s="139"/>
      <c r="U996" s="139"/>
      <c r="V996" s="139"/>
      <c r="W996" s="139"/>
      <c r="X996" s="139"/>
      <c r="Y996" s="139"/>
      <c r="Z996" s="139"/>
      <c r="AA996" s="139"/>
    </row>
    <row r="997" spans="1:27" ht="15.75">
      <c r="A997" s="139"/>
      <c r="B997" s="139"/>
      <c r="C997" s="680"/>
      <c r="D997" s="139"/>
      <c r="E997" s="680"/>
      <c r="F997" s="139"/>
      <c r="G997" s="139"/>
      <c r="H997" s="680"/>
      <c r="I997" s="680"/>
      <c r="J997" s="139"/>
      <c r="K997" s="139"/>
      <c r="L997" s="139"/>
      <c r="M997" s="139"/>
      <c r="N997" s="139"/>
      <c r="O997" s="139"/>
      <c r="P997" s="139"/>
      <c r="Q997" s="139"/>
      <c r="R997" s="139"/>
      <c r="S997" s="139"/>
      <c r="T997" s="139"/>
      <c r="U997" s="139"/>
      <c r="V997" s="139"/>
      <c r="W997" s="139"/>
      <c r="X997" s="139"/>
      <c r="Y997" s="139"/>
      <c r="Z997" s="139"/>
      <c r="AA997" s="139"/>
    </row>
    <row r="998" spans="1:27" ht="15.75">
      <c r="A998" s="139"/>
      <c r="B998" s="139"/>
      <c r="C998" s="680"/>
      <c r="D998" s="139"/>
      <c r="E998" s="680"/>
      <c r="F998" s="139"/>
      <c r="G998" s="139"/>
      <c r="H998" s="680"/>
      <c r="I998" s="680"/>
      <c r="J998" s="139"/>
      <c r="K998" s="139"/>
      <c r="L998" s="139"/>
      <c r="M998" s="139"/>
      <c r="N998" s="139"/>
      <c r="O998" s="139"/>
      <c r="P998" s="139"/>
      <c r="Q998" s="139"/>
      <c r="R998" s="139"/>
      <c r="S998" s="139"/>
      <c r="T998" s="139"/>
      <c r="U998" s="139"/>
      <c r="V998" s="139"/>
      <c r="W998" s="139"/>
      <c r="X998" s="139"/>
      <c r="Y998" s="139"/>
      <c r="Z998" s="139"/>
      <c r="AA998" s="139"/>
    </row>
    <row r="999" spans="1:27" ht="15.75">
      <c r="A999" s="139"/>
      <c r="B999" s="139"/>
      <c r="C999" s="680"/>
      <c r="D999" s="139"/>
      <c r="E999" s="680"/>
      <c r="F999" s="139"/>
      <c r="G999" s="139"/>
      <c r="H999" s="680"/>
      <c r="I999" s="680"/>
      <c r="J999" s="139"/>
      <c r="K999" s="139"/>
      <c r="L999" s="139"/>
      <c r="M999" s="139"/>
      <c r="N999" s="139"/>
      <c r="O999" s="139"/>
      <c r="P999" s="139"/>
      <c r="Q999" s="139"/>
      <c r="R999" s="139"/>
      <c r="S999" s="139"/>
      <c r="T999" s="139"/>
      <c r="U999" s="139"/>
      <c r="V999" s="139"/>
      <c r="W999" s="139"/>
      <c r="X999" s="139"/>
      <c r="Y999" s="139"/>
      <c r="Z999" s="139"/>
      <c r="AA999" s="139"/>
    </row>
    <row r="1000" spans="1:27" ht="15.75">
      <c r="A1000" s="139"/>
      <c r="B1000" s="139"/>
      <c r="C1000" s="680"/>
      <c r="D1000" s="139"/>
      <c r="E1000" s="680"/>
      <c r="F1000" s="139"/>
      <c r="G1000" s="139"/>
      <c r="H1000" s="680"/>
      <c r="I1000" s="680"/>
      <c r="J1000" s="139"/>
      <c r="K1000" s="139"/>
      <c r="L1000" s="139"/>
      <c r="M1000" s="139"/>
      <c r="N1000" s="139"/>
      <c r="O1000" s="139"/>
      <c r="P1000" s="139"/>
      <c r="Q1000" s="139"/>
      <c r="R1000" s="139"/>
      <c r="S1000" s="139"/>
      <c r="T1000" s="139"/>
      <c r="U1000" s="139"/>
      <c r="V1000" s="139"/>
      <c r="W1000" s="139"/>
      <c r="X1000" s="139"/>
      <c r="Y1000" s="139"/>
      <c r="Z1000" s="139"/>
      <c r="AA1000" s="139"/>
    </row>
    <row r="1001" spans="1:27" ht="15.75">
      <c r="A1001" s="139"/>
      <c r="B1001" s="139"/>
      <c r="C1001" s="680"/>
      <c r="D1001" s="139"/>
      <c r="E1001" s="680"/>
      <c r="F1001" s="139"/>
      <c r="G1001" s="139"/>
      <c r="H1001" s="680"/>
      <c r="I1001" s="680"/>
      <c r="J1001" s="139"/>
      <c r="K1001" s="139"/>
      <c r="L1001" s="139"/>
      <c r="M1001" s="139"/>
      <c r="N1001" s="139"/>
      <c r="O1001" s="139"/>
      <c r="P1001" s="139"/>
      <c r="Q1001" s="139"/>
      <c r="R1001" s="139"/>
      <c r="S1001" s="139"/>
      <c r="T1001" s="139"/>
      <c r="U1001" s="139"/>
      <c r="V1001" s="139"/>
      <c r="W1001" s="139"/>
      <c r="X1001" s="139"/>
      <c r="Y1001" s="139"/>
      <c r="Z1001" s="139"/>
      <c r="AA1001" s="139"/>
    </row>
    <row r="1002" spans="1:27" ht="15.75">
      <c r="A1002" s="139"/>
      <c r="B1002" s="139"/>
      <c r="C1002" s="680"/>
      <c r="D1002" s="139"/>
      <c r="E1002" s="680"/>
      <c r="F1002" s="139"/>
      <c r="G1002" s="139"/>
      <c r="H1002" s="680"/>
      <c r="I1002" s="680"/>
      <c r="J1002" s="139"/>
      <c r="K1002" s="139"/>
      <c r="L1002" s="139"/>
      <c r="M1002" s="139"/>
      <c r="N1002" s="139"/>
      <c r="O1002" s="139"/>
      <c r="P1002" s="139"/>
      <c r="Q1002" s="139"/>
      <c r="R1002" s="139"/>
      <c r="S1002" s="139"/>
      <c r="T1002" s="139"/>
      <c r="U1002" s="139"/>
      <c r="V1002" s="139"/>
      <c r="W1002" s="139"/>
      <c r="X1002" s="139"/>
      <c r="Y1002" s="139"/>
      <c r="Z1002" s="139"/>
      <c r="AA1002" s="139"/>
    </row>
    <row r="1003" spans="1:27" ht="15.75">
      <c r="A1003" s="139"/>
      <c r="B1003" s="139"/>
      <c r="C1003" s="680"/>
      <c r="D1003" s="139"/>
      <c r="E1003" s="680"/>
      <c r="F1003" s="139"/>
      <c r="G1003" s="139"/>
      <c r="H1003" s="680"/>
      <c r="I1003" s="680"/>
      <c r="J1003" s="139"/>
      <c r="K1003" s="139"/>
      <c r="L1003" s="139"/>
      <c r="M1003" s="139"/>
      <c r="N1003" s="139"/>
      <c r="O1003" s="139"/>
      <c r="P1003" s="139"/>
      <c r="Q1003" s="139"/>
      <c r="R1003" s="139"/>
      <c r="S1003" s="139"/>
      <c r="T1003" s="139"/>
      <c r="U1003" s="139"/>
      <c r="V1003" s="139"/>
      <c r="W1003" s="139"/>
      <c r="X1003" s="139"/>
      <c r="Y1003" s="139"/>
      <c r="Z1003" s="139"/>
      <c r="AA1003" s="139"/>
    </row>
    <row r="1004" spans="1:27" ht="15.75">
      <c r="A1004" s="139"/>
      <c r="B1004" s="139"/>
      <c r="C1004" s="680"/>
      <c r="D1004" s="139"/>
      <c r="E1004" s="680"/>
      <c r="F1004" s="139"/>
      <c r="G1004" s="139"/>
      <c r="H1004" s="680"/>
      <c r="I1004" s="680"/>
      <c r="J1004" s="139"/>
      <c r="K1004" s="139"/>
      <c r="L1004" s="139"/>
      <c r="M1004" s="139"/>
      <c r="N1004" s="139"/>
      <c r="O1004" s="139"/>
      <c r="P1004" s="139"/>
      <c r="Q1004" s="139"/>
      <c r="R1004" s="139"/>
      <c r="S1004" s="139"/>
      <c r="T1004" s="139"/>
      <c r="U1004" s="139"/>
      <c r="V1004" s="139"/>
      <c r="W1004" s="139"/>
      <c r="X1004" s="139"/>
      <c r="Y1004" s="139"/>
      <c r="Z1004" s="139"/>
      <c r="AA1004" s="139"/>
    </row>
    <row r="1005" spans="1:27" ht="15.75">
      <c r="A1005" s="139"/>
      <c r="B1005" s="139"/>
      <c r="C1005" s="680"/>
      <c r="D1005" s="139"/>
      <c r="E1005" s="680"/>
      <c r="F1005" s="139"/>
      <c r="G1005" s="139"/>
      <c r="H1005" s="680"/>
      <c r="I1005" s="680"/>
      <c r="J1005" s="139"/>
      <c r="K1005" s="139"/>
      <c r="L1005" s="139"/>
      <c r="M1005" s="139"/>
      <c r="N1005" s="139"/>
      <c r="O1005" s="139"/>
      <c r="P1005" s="139"/>
      <c r="Q1005" s="139"/>
      <c r="R1005" s="139"/>
      <c r="S1005" s="139"/>
      <c r="T1005" s="139"/>
      <c r="U1005" s="139"/>
      <c r="V1005" s="139"/>
      <c r="W1005" s="139"/>
      <c r="X1005" s="139"/>
      <c r="Y1005" s="139"/>
      <c r="Z1005" s="139"/>
      <c r="AA1005" s="139"/>
    </row>
    <row r="1006" spans="1:27" ht="15.75">
      <c r="A1006" s="139"/>
      <c r="B1006" s="139"/>
      <c r="C1006" s="680"/>
      <c r="D1006" s="139"/>
      <c r="E1006" s="680"/>
      <c r="F1006" s="139"/>
      <c r="G1006" s="139"/>
      <c r="H1006" s="680"/>
      <c r="I1006" s="680"/>
      <c r="J1006" s="139"/>
      <c r="K1006" s="139"/>
      <c r="L1006" s="139"/>
      <c r="M1006" s="139"/>
      <c r="N1006" s="139"/>
      <c r="O1006" s="139"/>
      <c r="P1006" s="139"/>
      <c r="Q1006" s="139"/>
      <c r="R1006" s="139"/>
      <c r="S1006" s="139"/>
      <c r="T1006" s="139"/>
      <c r="U1006" s="139"/>
      <c r="V1006" s="139"/>
      <c r="W1006" s="139"/>
      <c r="X1006" s="139"/>
      <c r="Y1006" s="139"/>
      <c r="Z1006" s="139"/>
      <c r="AA1006" s="139"/>
    </row>
    <row r="1007" spans="1:27" ht="15.75">
      <c r="A1007" s="139"/>
      <c r="B1007" s="139"/>
      <c r="C1007" s="680"/>
      <c r="D1007" s="139"/>
      <c r="E1007" s="680"/>
      <c r="F1007" s="139"/>
      <c r="G1007" s="139"/>
      <c r="H1007" s="680"/>
      <c r="I1007" s="680"/>
      <c r="J1007" s="139"/>
      <c r="K1007" s="139"/>
      <c r="L1007" s="139"/>
      <c r="M1007" s="139"/>
      <c r="N1007" s="139"/>
      <c r="O1007" s="139"/>
      <c r="P1007" s="139"/>
      <c r="Q1007" s="139"/>
      <c r="R1007" s="139"/>
      <c r="S1007" s="139"/>
      <c r="T1007" s="139"/>
      <c r="U1007" s="139"/>
      <c r="V1007" s="139"/>
      <c r="W1007" s="139"/>
      <c r="X1007" s="139"/>
      <c r="Y1007" s="139"/>
      <c r="Z1007" s="139"/>
      <c r="AA1007" s="139"/>
    </row>
    <row r="1008" spans="1:27" ht="15.75">
      <c r="A1008" s="139"/>
      <c r="B1008" s="139"/>
      <c r="C1008" s="680"/>
      <c r="D1008" s="139"/>
      <c r="E1008" s="680"/>
      <c r="F1008" s="139"/>
      <c r="G1008" s="139"/>
      <c r="H1008" s="680"/>
      <c r="I1008" s="680"/>
      <c r="J1008" s="139"/>
      <c r="K1008" s="139"/>
      <c r="L1008" s="139"/>
      <c r="M1008" s="139"/>
      <c r="N1008" s="139"/>
      <c r="O1008" s="139"/>
      <c r="P1008" s="139"/>
      <c r="Q1008" s="139"/>
      <c r="R1008" s="139"/>
      <c r="S1008" s="139"/>
      <c r="T1008" s="139"/>
      <c r="U1008" s="139"/>
      <c r="V1008" s="139"/>
      <c r="W1008" s="139"/>
      <c r="X1008" s="139"/>
      <c r="Y1008" s="139"/>
      <c r="Z1008" s="139"/>
      <c r="AA1008" s="139"/>
    </row>
    <row r="1009" spans="1:27" ht="15.75">
      <c r="A1009" s="139"/>
      <c r="B1009" s="139"/>
      <c r="C1009" s="680"/>
      <c r="D1009" s="139"/>
      <c r="E1009" s="680"/>
      <c r="F1009" s="139"/>
      <c r="G1009" s="139"/>
      <c r="H1009" s="680"/>
      <c r="I1009" s="680"/>
      <c r="J1009" s="139"/>
      <c r="K1009" s="139"/>
      <c r="L1009" s="139"/>
      <c r="M1009" s="139"/>
      <c r="N1009" s="139"/>
      <c r="O1009" s="139"/>
      <c r="P1009" s="139"/>
      <c r="Q1009" s="139"/>
      <c r="R1009" s="139"/>
      <c r="S1009" s="139"/>
      <c r="T1009" s="139"/>
      <c r="U1009" s="139"/>
      <c r="V1009" s="139"/>
      <c r="W1009" s="139"/>
      <c r="X1009" s="139"/>
      <c r="Y1009" s="139"/>
      <c r="Z1009" s="139"/>
      <c r="AA1009" s="139"/>
    </row>
    <row r="1010" spans="1:27" ht="15.75">
      <c r="A1010" s="139"/>
      <c r="B1010" s="139"/>
      <c r="C1010" s="680"/>
      <c r="D1010" s="139"/>
      <c r="E1010" s="680"/>
      <c r="F1010" s="139"/>
      <c r="G1010" s="139"/>
      <c r="H1010" s="680"/>
      <c r="I1010" s="680"/>
      <c r="J1010" s="139"/>
      <c r="K1010" s="139"/>
      <c r="L1010" s="139"/>
      <c r="M1010" s="139"/>
      <c r="N1010" s="139"/>
      <c r="O1010" s="139"/>
      <c r="P1010" s="139"/>
      <c r="Q1010" s="139"/>
      <c r="R1010" s="139"/>
      <c r="S1010" s="139"/>
      <c r="T1010" s="139"/>
      <c r="U1010" s="139"/>
      <c r="V1010" s="139"/>
      <c r="W1010" s="139"/>
      <c r="X1010" s="139"/>
      <c r="Y1010" s="139"/>
      <c r="Z1010" s="139"/>
      <c r="AA1010" s="139"/>
    </row>
    <row r="1011" spans="1:27" ht="15.75">
      <c r="A1011" s="139"/>
      <c r="B1011" s="139"/>
      <c r="C1011" s="680"/>
      <c r="D1011" s="139"/>
      <c r="E1011" s="680"/>
      <c r="F1011" s="139"/>
      <c r="G1011" s="139"/>
      <c r="H1011" s="680"/>
      <c r="I1011" s="680"/>
      <c r="J1011" s="139"/>
      <c r="K1011" s="139"/>
      <c r="L1011" s="139"/>
      <c r="M1011" s="139"/>
      <c r="N1011" s="139"/>
      <c r="O1011" s="139"/>
      <c r="P1011" s="139"/>
      <c r="Q1011" s="139"/>
      <c r="R1011" s="139"/>
      <c r="S1011" s="139"/>
      <c r="T1011" s="139"/>
      <c r="U1011" s="139"/>
      <c r="V1011" s="139"/>
      <c r="W1011" s="139"/>
      <c r="X1011" s="139"/>
      <c r="Y1011" s="139"/>
      <c r="Z1011" s="139"/>
      <c r="AA1011" s="139"/>
    </row>
    <row r="1012" spans="1:27" ht="15.75">
      <c r="A1012" s="139"/>
      <c r="B1012" s="139"/>
      <c r="C1012" s="680"/>
      <c r="D1012" s="139"/>
      <c r="E1012" s="680"/>
      <c r="F1012" s="139"/>
      <c r="G1012" s="139"/>
      <c r="H1012" s="680"/>
      <c r="I1012" s="680"/>
      <c r="J1012" s="139"/>
      <c r="K1012" s="139"/>
      <c r="L1012" s="139"/>
      <c r="M1012" s="139"/>
      <c r="N1012" s="139"/>
      <c r="O1012" s="139"/>
      <c r="P1012" s="139"/>
      <c r="Q1012" s="139"/>
      <c r="R1012" s="139"/>
      <c r="S1012" s="139"/>
      <c r="T1012" s="139"/>
      <c r="U1012" s="139"/>
      <c r="V1012" s="139"/>
      <c r="W1012" s="139"/>
      <c r="X1012" s="139"/>
      <c r="Y1012" s="139"/>
      <c r="Z1012" s="139"/>
      <c r="AA1012" s="139"/>
    </row>
    <row r="1013" spans="1:27" ht="15.75">
      <c r="A1013" s="139"/>
      <c r="B1013" s="139"/>
      <c r="C1013" s="680"/>
      <c r="D1013" s="139"/>
      <c r="E1013" s="680"/>
      <c r="F1013" s="139"/>
      <c r="G1013" s="139"/>
      <c r="H1013" s="680"/>
      <c r="I1013" s="680"/>
      <c r="J1013" s="139"/>
      <c r="K1013" s="139"/>
      <c r="L1013" s="139"/>
      <c r="M1013" s="139"/>
      <c r="N1013" s="139"/>
      <c r="O1013" s="139"/>
      <c r="P1013" s="139"/>
      <c r="Q1013" s="139"/>
      <c r="R1013" s="139"/>
      <c r="S1013" s="139"/>
      <c r="T1013" s="139"/>
      <c r="U1013" s="139"/>
      <c r="V1013" s="139"/>
      <c r="W1013" s="139"/>
      <c r="X1013" s="139"/>
      <c r="Y1013" s="139"/>
      <c r="Z1013" s="139"/>
      <c r="AA1013" s="139"/>
    </row>
    <row r="1014" spans="1:27" ht="15.75">
      <c r="A1014" s="139"/>
      <c r="B1014" s="139"/>
      <c r="C1014" s="680"/>
      <c r="D1014" s="139"/>
      <c r="E1014" s="680"/>
      <c r="F1014" s="139"/>
      <c r="G1014" s="139"/>
      <c r="H1014" s="680"/>
      <c r="I1014" s="680"/>
      <c r="J1014" s="139"/>
      <c r="K1014" s="139"/>
      <c r="L1014" s="139"/>
      <c r="M1014" s="139"/>
      <c r="N1014" s="139"/>
      <c r="O1014" s="139"/>
      <c r="P1014" s="139"/>
      <c r="Q1014" s="139"/>
      <c r="R1014" s="139"/>
      <c r="S1014" s="139"/>
      <c r="T1014" s="139"/>
      <c r="U1014" s="139"/>
      <c r="V1014" s="139"/>
      <c r="W1014" s="139"/>
      <c r="X1014" s="139"/>
      <c r="Y1014" s="139"/>
      <c r="Z1014" s="139"/>
      <c r="AA1014" s="139"/>
    </row>
    <row r="1015" spans="1:27" ht="15.75">
      <c r="A1015" s="139"/>
      <c r="B1015" s="139"/>
      <c r="C1015" s="680"/>
      <c r="D1015" s="139"/>
      <c r="E1015" s="680"/>
      <c r="F1015" s="139"/>
      <c r="G1015" s="139"/>
      <c r="H1015" s="680"/>
      <c r="I1015" s="680"/>
      <c r="J1015" s="139"/>
      <c r="K1015" s="139"/>
      <c r="L1015" s="139"/>
      <c r="M1015" s="139"/>
      <c r="N1015" s="139"/>
      <c r="O1015" s="139"/>
      <c r="P1015" s="139"/>
      <c r="Q1015" s="139"/>
      <c r="R1015" s="139"/>
      <c r="S1015" s="139"/>
      <c r="T1015" s="139"/>
      <c r="U1015" s="139"/>
      <c r="V1015" s="139"/>
      <c r="W1015" s="139"/>
      <c r="X1015" s="139"/>
      <c r="Y1015" s="139"/>
      <c r="Z1015" s="139"/>
      <c r="AA1015" s="139"/>
    </row>
    <row r="1016" spans="1:27" ht="15.75">
      <c r="A1016" s="139"/>
      <c r="B1016" s="139"/>
      <c r="C1016" s="680"/>
      <c r="D1016" s="139"/>
      <c r="E1016" s="680"/>
      <c r="F1016" s="139"/>
      <c r="G1016" s="139"/>
      <c r="H1016" s="680"/>
      <c r="I1016" s="680"/>
      <c r="J1016" s="139"/>
      <c r="K1016" s="139"/>
      <c r="L1016" s="139"/>
      <c r="M1016" s="139"/>
      <c r="N1016" s="139"/>
      <c r="O1016" s="139"/>
      <c r="P1016" s="139"/>
      <c r="Q1016" s="139"/>
      <c r="R1016" s="139"/>
      <c r="S1016" s="139"/>
      <c r="T1016" s="139"/>
      <c r="U1016" s="139"/>
      <c r="V1016" s="139"/>
      <c r="W1016" s="139"/>
      <c r="X1016" s="139"/>
      <c r="Y1016" s="139"/>
      <c r="Z1016" s="139"/>
      <c r="AA1016" s="139"/>
    </row>
    <row r="1017" spans="1:27" ht="15.75">
      <c r="A1017" s="139"/>
      <c r="B1017" s="139"/>
      <c r="C1017" s="680"/>
      <c r="D1017" s="139"/>
      <c r="E1017" s="680"/>
      <c r="F1017" s="139"/>
      <c r="G1017" s="139"/>
      <c r="H1017" s="680"/>
      <c r="I1017" s="680"/>
      <c r="J1017" s="139"/>
      <c r="K1017" s="139"/>
      <c r="L1017" s="139"/>
      <c r="M1017" s="139"/>
      <c r="N1017" s="139"/>
      <c r="O1017" s="139"/>
      <c r="P1017" s="139"/>
      <c r="Q1017" s="139"/>
      <c r="R1017" s="139"/>
      <c r="S1017" s="139"/>
      <c r="T1017" s="139"/>
      <c r="U1017" s="139"/>
      <c r="V1017" s="139"/>
      <c r="W1017" s="139"/>
      <c r="X1017" s="139"/>
      <c r="Y1017" s="139"/>
      <c r="Z1017" s="139"/>
      <c r="AA1017" s="139"/>
    </row>
    <row r="1018" spans="1:27" ht="15.75">
      <c r="A1018" s="139"/>
      <c r="B1018" s="139"/>
      <c r="C1018" s="680"/>
      <c r="D1018" s="139"/>
      <c r="E1018" s="680"/>
      <c r="F1018" s="139"/>
      <c r="G1018" s="139"/>
      <c r="H1018" s="680"/>
      <c r="I1018" s="680"/>
      <c r="J1018" s="139"/>
      <c r="K1018" s="139"/>
      <c r="L1018" s="139"/>
      <c r="M1018" s="139"/>
      <c r="N1018" s="139"/>
      <c r="O1018" s="139"/>
      <c r="P1018" s="139"/>
      <c r="Q1018" s="139"/>
      <c r="R1018" s="139"/>
      <c r="S1018" s="139"/>
      <c r="T1018" s="139"/>
      <c r="U1018" s="139"/>
      <c r="V1018" s="139"/>
      <c r="W1018" s="139"/>
      <c r="X1018" s="139"/>
      <c r="Y1018" s="139"/>
      <c r="Z1018" s="139"/>
      <c r="AA1018" s="139"/>
    </row>
    <row r="1019" spans="1:27" ht="15.75">
      <c r="A1019" s="139"/>
      <c r="B1019" s="139"/>
      <c r="C1019" s="680"/>
      <c r="D1019" s="139"/>
      <c r="E1019" s="680"/>
      <c r="F1019" s="139"/>
      <c r="G1019" s="139"/>
      <c r="H1019" s="680"/>
      <c r="I1019" s="680"/>
      <c r="J1019" s="139"/>
      <c r="K1019" s="139"/>
      <c r="L1019" s="139"/>
      <c r="M1019" s="139"/>
      <c r="N1019" s="139"/>
      <c r="O1019" s="139"/>
      <c r="P1019" s="139"/>
      <c r="Q1019" s="139"/>
      <c r="R1019" s="139"/>
      <c r="S1019" s="139"/>
      <c r="T1019" s="139"/>
      <c r="U1019" s="139"/>
      <c r="V1019" s="139"/>
      <c r="W1019" s="139"/>
      <c r="X1019" s="139"/>
      <c r="Y1019" s="139"/>
      <c r="Z1019" s="139"/>
      <c r="AA1019" s="139"/>
    </row>
    <row r="1020" spans="1:27" ht="15.75">
      <c r="A1020" s="139"/>
      <c r="B1020" s="139"/>
      <c r="C1020" s="680"/>
      <c r="D1020" s="139"/>
      <c r="E1020" s="680"/>
      <c r="F1020" s="139"/>
      <c r="G1020" s="139"/>
      <c r="H1020" s="680"/>
      <c r="I1020" s="680"/>
      <c r="J1020" s="139"/>
      <c r="K1020" s="139"/>
      <c r="L1020" s="139"/>
      <c r="M1020" s="139"/>
      <c r="N1020" s="139"/>
      <c r="O1020" s="139"/>
      <c r="P1020" s="139"/>
      <c r="Q1020" s="139"/>
      <c r="R1020" s="139"/>
      <c r="S1020" s="139"/>
      <c r="T1020" s="139"/>
      <c r="U1020" s="139"/>
      <c r="V1020" s="139"/>
      <c r="W1020" s="139"/>
      <c r="X1020" s="139"/>
      <c r="Y1020" s="139"/>
      <c r="Z1020" s="139"/>
      <c r="AA1020" s="139"/>
    </row>
    <row r="1021" spans="1:27" ht="15.75">
      <c r="A1021" s="139"/>
      <c r="B1021" s="139"/>
      <c r="C1021" s="680"/>
      <c r="D1021" s="139"/>
      <c r="E1021" s="680"/>
      <c r="F1021" s="139"/>
      <c r="G1021" s="139"/>
      <c r="H1021" s="680"/>
      <c r="I1021" s="680"/>
      <c r="J1021" s="139"/>
      <c r="K1021" s="139"/>
      <c r="L1021" s="139"/>
      <c r="M1021" s="139"/>
      <c r="N1021" s="139"/>
      <c r="O1021" s="139"/>
      <c r="P1021" s="139"/>
      <c r="Q1021" s="139"/>
      <c r="R1021" s="139"/>
      <c r="S1021" s="139"/>
      <c r="T1021" s="139"/>
      <c r="U1021" s="139"/>
      <c r="V1021" s="139"/>
      <c r="W1021" s="139"/>
      <c r="X1021" s="139"/>
      <c r="Y1021" s="139"/>
      <c r="Z1021" s="139"/>
      <c r="AA1021" s="139"/>
    </row>
    <row r="1022" spans="1:27" ht="15.75">
      <c r="A1022" s="139"/>
      <c r="B1022" s="139"/>
      <c r="C1022" s="680"/>
      <c r="D1022" s="139"/>
      <c r="E1022" s="680"/>
      <c r="F1022" s="139"/>
      <c r="G1022" s="139"/>
      <c r="H1022" s="680"/>
      <c r="I1022" s="680"/>
      <c r="J1022" s="139"/>
      <c r="K1022" s="139"/>
      <c r="L1022" s="139"/>
      <c r="M1022" s="139"/>
      <c r="N1022" s="139"/>
      <c r="O1022" s="139"/>
      <c r="P1022" s="139"/>
      <c r="Q1022" s="139"/>
      <c r="R1022" s="139"/>
      <c r="S1022" s="139"/>
      <c r="T1022" s="139"/>
      <c r="U1022" s="139"/>
      <c r="V1022" s="139"/>
      <c r="W1022" s="139"/>
      <c r="X1022" s="139"/>
      <c r="Y1022" s="139"/>
      <c r="Z1022" s="139"/>
      <c r="AA1022" s="139"/>
    </row>
    <row r="1023" spans="1:27" ht="15.75">
      <c r="A1023" s="139"/>
      <c r="B1023" s="139"/>
      <c r="C1023" s="680"/>
      <c r="D1023" s="139"/>
      <c r="E1023" s="680"/>
      <c r="F1023" s="139"/>
      <c r="G1023" s="139"/>
      <c r="H1023" s="680"/>
      <c r="I1023" s="680"/>
      <c r="J1023" s="139"/>
      <c r="K1023" s="139"/>
      <c r="L1023" s="139"/>
      <c r="M1023" s="139"/>
      <c r="N1023" s="139"/>
      <c r="O1023" s="139"/>
      <c r="P1023" s="139"/>
      <c r="Q1023" s="139"/>
      <c r="R1023" s="139"/>
      <c r="S1023" s="139"/>
      <c r="T1023" s="139"/>
      <c r="U1023" s="139"/>
      <c r="V1023" s="139"/>
      <c r="W1023" s="139"/>
      <c r="X1023" s="139"/>
      <c r="Y1023" s="139"/>
      <c r="Z1023" s="139"/>
      <c r="AA1023" s="139"/>
    </row>
    <row r="1024" spans="1:27" ht="15.75">
      <c r="A1024" s="139"/>
      <c r="B1024" s="139"/>
      <c r="C1024" s="680"/>
      <c r="D1024" s="139"/>
      <c r="E1024" s="680"/>
      <c r="F1024" s="139"/>
      <c r="G1024" s="139"/>
      <c r="H1024" s="680"/>
      <c r="I1024" s="680"/>
      <c r="J1024" s="139"/>
      <c r="K1024" s="139"/>
      <c r="L1024" s="139"/>
      <c r="M1024" s="139"/>
      <c r="N1024" s="139"/>
      <c r="O1024" s="139"/>
      <c r="P1024" s="139"/>
      <c r="Q1024" s="139"/>
      <c r="R1024" s="139"/>
      <c r="S1024" s="139"/>
      <c r="T1024" s="139"/>
      <c r="U1024" s="139"/>
      <c r="V1024" s="139"/>
      <c r="W1024" s="139"/>
      <c r="X1024" s="139"/>
      <c r="Y1024" s="139"/>
      <c r="Z1024" s="139"/>
      <c r="AA1024" s="139"/>
    </row>
    <row r="1025" spans="1:27" ht="15.75">
      <c r="A1025" s="139"/>
      <c r="B1025" s="139"/>
      <c r="C1025" s="680"/>
      <c r="D1025" s="139"/>
      <c r="E1025" s="680"/>
      <c r="F1025" s="139"/>
      <c r="G1025" s="139"/>
      <c r="H1025" s="680"/>
      <c r="I1025" s="680"/>
      <c r="J1025" s="139"/>
      <c r="K1025" s="139"/>
      <c r="L1025" s="139"/>
      <c r="M1025" s="139"/>
      <c r="N1025" s="139"/>
      <c r="O1025" s="139"/>
      <c r="P1025" s="139"/>
      <c r="Q1025" s="139"/>
      <c r="R1025" s="139"/>
      <c r="S1025" s="139"/>
      <c r="T1025" s="139"/>
      <c r="U1025" s="139"/>
      <c r="V1025" s="139"/>
      <c r="W1025" s="139"/>
      <c r="X1025" s="139"/>
      <c r="Y1025" s="139"/>
      <c r="Z1025" s="139"/>
      <c r="AA1025" s="139"/>
    </row>
    <row r="1026" spans="1:27" ht="15.75">
      <c r="A1026" s="139"/>
      <c r="B1026" s="139"/>
      <c r="C1026" s="680"/>
      <c r="D1026" s="139"/>
      <c r="E1026" s="680"/>
      <c r="F1026" s="139"/>
      <c r="G1026" s="139"/>
      <c r="H1026" s="680"/>
      <c r="I1026" s="680"/>
      <c r="J1026" s="139"/>
      <c r="K1026" s="139"/>
      <c r="L1026" s="139"/>
      <c r="M1026" s="139"/>
      <c r="N1026" s="139"/>
      <c r="O1026" s="139"/>
      <c r="P1026" s="139"/>
      <c r="Q1026" s="139"/>
      <c r="R1026" s="139"/>
      <c r="S1026" s="139"/>
      <c r="T1026" s="139"/>
      <c r="U1026" s="139"/>
      <c r="V1026" s="139"/>
      <c r="W1026" s="139"/>
      <c r="X1026" s="139"/>
      <c r="Y1026" s="139"/>
      <c r="Z1026" s="139"/>
      <c r="AA1026" s="139"/>
    </row>
    <row r="1027" spans="1:27" ht="15.75">
      <c r="A1027" s="139"/>
      <c r="B1027" s="139"/>
      <c r="C1027" s="680"/>
      <c r="D1027" s="139"/>
      <c r="E1027" s="680"/>
      <c r="F1027" s="139"/>
      <c r="G1027" s="139"/>
      <c r="H1027" s="680"/>
      <c r="I1027" s="680"/>
      <c r="J1027" s="139"/>
      <c r="K1027" s="139"/>
      <c r="L1027" s="139"/>
      <c r="M1027" s="139"/>
      <c r="N1027" s="139"/>
      <c r="O1027" s="139"/>
      <c r="P1027" s="139"/>
      <c r="Q1027" s="139"/>
      <c r="R1027" s="139"/>
      <c r="S1027" s="139"/>
      <c r="T1027" s="139"/>
      <c r="U1027" s="139"/>
      <c r="V1027" s="139"/>
      <c r="W1027" s="139"/>
      <c r="X1027" s="139"/>
      <c r="Y1027" s="139"/>
      <c r="Z1027" s="139"/>
      <c r="AA1027" s="139"/>
    </row>
    <row r="1028" spans="1:27" ht="15.75">
      <c r="A1028" s="139"/>
      <c r="B1028" s="139"/>
      <c r="C1028" s="680"/>
      <c r="D1028" s="139"/>
      <c r="E1028" s="680"/>
      <c r="F1028" s="139"/>
      <c r="G1028" s="139"/>
      <c r="H1028" s="680"/>
      <c r="I1028" s="680"/>
      <c r="J1028" s="139"/>
      <c r="K1028" s="139"/>
      <c r="L1028" s="139"/>
      <c r="M1028" s="139"/>
      <c r="N1028" s="139"/>
      <c r="O1028" s="139"/>
      <c r="P1028" s="139"/>
      <c r="Q1028" s="139"/>
      <c r="R1028" s="139"/>
      <c r="S1028" s="139"/>
      <c r="T1028" s="139"/>
      <c r="U1028" s="139"/>
      <c r="V1028" s="139"/>
      <c r="W1028" s="139"/>
      <c r="X1028" s="139"/>
      <c r="Y1028" s="139"/>
      <c r="Z1028" s="139"/>
      <c r="AA1028" s="139"/>
    </row>
    <row r="1029" spans="1:27" ht="15.75">
      <c r="A1029" s="139"/>
      <c r="B1029" s="139"/>
      <c r="C1029" s="680"/>
      <c r="D1029" s="139"/>
      <c r="E1029" s="680"/>
      <c r="F1029" s="139"/>
      <c r="G1029" s="139"/>
      <c r="H1029" s="680"/>
      <c r="I1029" s="680"/>
      <c r="J1029" s="139"/>
      <c r="K1029" s="139"/>
      <c r="L1029" s="139"/>
      <c r="M1029" s="139"/>
      <c r="N1029" s="139"/>
      <c r="O1029" s="139"/>
      <c r="P1029" s="139"/>
      <c r="Q1029" s="139"/>
      <c r="R1029" s="139"/>
      <c r="S1029" s="139"/>
      <c r="T1029" s="139"/>
      <c r="U1029" s="139"/>
      <c r="V1029" s="139"/>
      <c r="W1029" s="139"/>
      <c r="X1029" s="139"/>
      <c r="Y1029" s="139"/>
      <c r="Z1029" s="139"/>
      <c r="AA1029" s="139"/>
    </row>
    <row r="1030" spans="1:27" ht="15.75">
      <c r="A1030" s="139"/>
      <c r="B1030" s="139"/>
      <c r="C1030" s="680"/>
      <c r="D1030" s="139"/>
      <c r="E1030" s="680"/>
      <c r="F1030" s="139"/>
      <c r="G1030" s="139"/>
      <c r="H1030" s="680"/>
      <c r="I1030" s="680"/>
      <c r="J1030" s="139"/>
      <c r="K1030" s="139"/>
      <c r="L1030" s="139"/>
      <c r="M1030" s="139"/>
      <c r="N1030" s="139"/>
      <c r="O1030" s="139"/>
      <c r="P1030" s="139"/>
      <c r="Q1030" s="139"/>
      <c r="R1030" s="139"/>
      <c r="S1030" s="139"/>
      <c r="T1030" s="139"/>
      <c r="U1030" s="139"/>
      <c r="V1030" s="139"/>
      <c r="W1030" s="139"/>
      <c r="X1030" s="139"/>
      <c r="Y1030" s="139"/>
      <c r="Z1030" s="139"/>
      <c r="AA1030" s="139"/>
    </row>
    <row r="1031" spans="1:27" ht="15.75">
      <c r="A1031" s="139"/>
      <c r="B1031" s="139"/>
      <c r="C1031" s="680"/>
      <c r="D1031" s="139"/>
      <c r="E1031" s="680"/>
      <c r="F1031" s="139"/>
      <c r="G1031" s="139"/>
      <c r="H1031" s="680"/>
      <c r="I1031" s="680"/>
      <c r="J1031" s="139"/>
      <c r="K1031" s="139"/>
      <c r="L1031" s="139"/>
      <c r="M1031" s="139"/>
      <c r="N1031" s="139"/>
      <c r="O1031" s="139"/>
      <c r="P1031" s="139"/>
      <c r="Q1031" s="139"/>
      <c r="R1031" s="139"/>
      <c r="S1031" s="139"/>
      <c r="T1031" s="139"/>
      <c r="U1031" s="139"/>
      <c r="V1031" s="139"/>
      <c r="W1031" s="139"/>
      <c r="X1031" s="139"/>
      <c r="Y1031" s="139"/>
      <c r="Z1031" s="139"/>
      <c r="AA1031" s="139"/>
    </row>
    <row r="1032" spans="1:27" ht="15.75">
      <c r="A1032" s="139"/>
      <c r="B1032" s="139"/>
      <c r="C1032" s="680"/>
      <c r="D1032" s="139"/>
      <c r="E1032" s="680"/>
      <c r="F1032" s="139"/>
      <c r="G1032" s="139"/>
      <c r="H1032" s="680"/>
      <c r="I1032" s="680"/>
      <c r="J1032" s="139"/>
      <c r="K1032" s="139"/>
      <c r="L1032" s="139"/>
      <c r="M1032" s="139"/>
      <c r="N1032" s="139"/>
      <c r="O1032" s="139"/>
      <c r="P1032" s="139"/>
      <c r="Q1032" s="139"/>
      <c r="R1032" s="139"/>
      <c r="S1032" s="139"/>
      <c r="T1032" s="139"/>
      <c r="U1032" s="139"/>
      <c r="V1032" s="139"/>
      <c r="W1032" s="139"/>
      <c r="X1032" s="139"/>
      <c r="Y1032" s="139"/>
      <c r="Z1032" s="139"/>
      <c r="AA1032" s="139"/>
    </row>
    <row r="1033" spans="1:27" ht="15.75">
      <c r="A1033" s="139"/>
      <c r="B1033" s="139"/>
      <c r="C1033" s="680"/>
      <c r="D1033" s="139"/>
      <c r="E1033" s="680"/>
      <c r="F1033" s="139"/>
      <c r="G1033" s="139"/>
      <c r="H1033" s="680"/>
      <c r="I1033" s="680"/>
      <c r="J1033" s="139"/>
      <c r="K1033" s="139"/>
      <c r="L1033" s="139"/>
      <c r="M1033" s="139"/>
      <c r="N1033" s="139"/>
      <c r="O1033" s="139"/>
      <c r="P1033" s="139"/>
      <c r="Q1033" s="139"/>
      <c r="R1033" s="139"/>
      <c r="S1033" s="139"/>
      <c r="T1033" s="139"/>
      <c r="U1033" s="139"/>
      <c r="V1033" s="139"/>
      <c r="W1033" s="139"/>
      <c r="X1033" s="139"/>
      <c r="Y1033" s="139"/>
      <c r="Z1033" s="139"/>
      <c r="AA1033" s="139"/>
    </row>
    <row r="1034" spans="1:27" ht="15.75">
      <c r="A1034" s="139"/>
      <c r="B1034" s="139"/>
      <c r="C1034" s="680"/>
      <c r="D1034" s="139"/>
      <c r="E1034" s="680"/>
      <c r="F1034" s="139"/>
      <c r="G1034" s="139"/>
      <c r="H1034" s="680"/>
      <c r="I1034" s="680"/>
      <c r="J1034" s="139"/>
      <c r="K1034" s="139"/>
      <c r="L1034" s="139"/>
      <c r="M1034" s="139"/>
      <c r="N1034" s="139"/>
      <c r="O1034" s="139"/>
      <c r="P1034" s="139"/>
      <c r="Q1034" s="139"/>
      <c r="R1034" s="139"/>
      <c r="S1034" s="139"/>
      <c r="T1034" s="139"/>
      <c r="U1034" s="139"/>
      <c r="V1034" s="139"/>
      <c r="W1034" s="139"/>
      <c r="X1034" s="139"/>
      <c r="Y1034" s="139"/>
      <c r="Z1034" s="139"/>
      <c r="AA1034" s="139"/>
    </row>
    <row r="1035" spans="1:27" ht="15.75">
      <c r="A1035" s="139"/>
      <c r="B1035" s="139"/>
      <c r="C1035" s="680"/>
      <c r="D1035" s="139"/>
      <c r="E1035" s="680"/>
      <c r="F1035" s="139"/>
      <c r="G1035" s="139"/>
      <c r="H1035" s="680"/>
      <c r="I1035" s="680"/>
      <c r="J1035" s="139"/>
      <c r="K1035" s="139"/>
      <c r="L1035" s="139"/>
      <c r="M1035" s="139"/>
      <c r="N1035" s="139"/>
      <c r="O1035" s="139"/>
      <c r="P1035" s="139"/>
      <c r="Q1035" s="139"/>
      <c r="R1035" s="139"/>
      <c r="S1035" s="139"/>
      <c r="T1035" s="139"/>
      <c r="U1035" s="139"/>
      <c r="V1035" s="139"/>
      <c r="W1035" s="139"/>
      <c r="X1035" s="139"/>
      <c r="Y1035" s="139"/>
      <c r="Z1035" s="139"/>
      <c r="AA1035" s="139"/>
    </row>
    <row r="1036" spans="1:27" ht="15.75">
      <c r="A1036" s="139"/>
      <c r="B1036" s="139"/>
      <c r="C1036" s="680"/>
      <c r="D1036" s="139"/>
      <c r="E1036" s="680"/>
      <c r="F1036" s="139"/>
      <c r="G1036" s="139"/>
      <c r="H1036" s="680"/>
      <c r="I1036" s="680"/>
      <c r="J1036" s="139"/>
      <c r="K1036" s="139"/>
      <c r="L1036" s="139"/>
      <c r="M1036" s="139"/>
      <c r="N1036" s="139"/>
      <c r="O1036" s="139"/>
      <c r="P1036" s="139"/>
      <c r="Q1036" s="139"/>
      <c r="R1036" s="139"/>
      <c r="S1036" s="139"/>
      <c r="T1036" s="139"/>
      <c r="U1036" s="139"/>
      <c r="V1036" s="139"/>
      <c r="W1036" s="139"/>
      <c r="X1036" s="139"/>
      <c r="Y1036" s="139"/>
      <c r="Z1036" s="139"/>
      <c r="AA1036" s="139"/>
    </row>
    <row r="1037" spans="1:27" ht="15.75">
      <c r="A1037" s="139"/>
      <c r="B1037" s="139"/>
      <c r="C1037" s="680"/>
      <c r="D1037" s="139"/>
      <c r="E1037" s="680"/>
      <c r="F1037" s="139"/>
      <c r="G1037" s="139"/>
      <c r="H1037" s="680"/>
      <c r="I1037" s="680"/>
      <c r="J1037" s="139"/>
      <c r="K1037" s="139"/>
      <c r="L1037" s="139"/>
      <c r="M1037" s="139"/>
      <c r="N1037" s="139"/>
      <c r="O1037" s="139"/>
      <c r="P1037" s="139"/>
      <c r="Q1037" s="139"/>
      <c r="R1037" s="139"/>
      <c r="S1037" s="139"/>
      <c r="T1037" s="139"/>
      <c r="U1037" s="139"/>
      <c r="V1037" s="139"/>
      <c r="W1037" s="139"/>
      <c r="X1037" s="139"/>
      <c r="Y1037" s="139"/>
      <c r="Z1037" s="139"/>
      <c r="AA1037" s="139"/>
    </row>
    <row r="1038" spans="1:27" ht="15.75">
      <c r="A1038" s="139"/>
      <c r="B1038" s="139"/>
      <c r="C1038" s="680"/>
      <c r="D1038" s="139"/>
      <c r="E1038" s="680"/>
      <c r="F1038" s="139"/>
      <c r="G1038" s="139"/>
      <c r="H1038" s="680"/>
      <c r="I1038" s="680"/>
      <c r="J1038" s="139"/>
      <c r="K1038" s="139"/>
      <c r="L1038" s="139"/>
      <c r="M1038" s="139"/>
      <c r="N1038" s="139"/>
      <c r="O1038" s="139"/>
      <c r="P1038" s="139"/>
      <c r="Q1038" s="139"/>
      <c r="R1038" s="139"/>
      <c r="S1038" s="139"/>
      <c r="T1038" s="139"/>
      <c r="U1038" s="139"/>
      <c r="V1038" s="139"/>
      <c r="W1038" s="139"/>
      <c r="X1038" s="139"/>
      <c r="Y1038" s="139"/>
      <c r="Z1038" s="139"/>
      <c r="AA1038" s="139"/>
    </row>
    <row r="1039" spans="1:27" ht="15.75">
      <c r="A1039" s="139"/>
      <c r="B1039" s="139"/>
      <c r="C1039" s="680"/>
      <c r="D1039" s="139"/>
      <c r="E1039" s="680"/>
      <c r="F1039" s="139"/>
      <c r="G1039" s="139"/>
      <c r="H1039" s="680"/>
      <c r="I1039" s="680"/>
      <c r="J1039" s="139"/>
      <c r="K1039" s="139"/>
      <c r="L1039" s="139"/>
      <c r="M1039" s="139"/>
      <c r="N1039" s="139"/>
      <c r="O1039" s="139"/>
      <c r="P1039" s="139"/>
      <c r="Q1039" s="139"/>
      <c r="R1039" s="139"/>
      <c r="S1039" s="139"/>
      <c r="T1039" s="139"/>
      <c r="U1039" s="139"/>
      <c r="V1039" s="139"/>
      <c r="W1039" s="139"/>
      <c r="X1039" s="139"/>
      <c r="Y1039" s="139"/>
      <c r="Z1039" s="139"/>
      <c r="AA1039" s="139"/>
    </row>
    <row r="1040" spans="1:27" ht="15.75">
      <c r="A1040" s="139"/>
      <c r="B1040" s="139"/>
      <c r="C1040" s="680"/>
      <c r="D1040" s="139"/>
      <c r="E1040" s="680"/>
      <c r="F1040" s="139"/>
      <c r="G1040" s="139"/>
      <c r="H1040" s="680"/>
      <c r="I1040" s="680"/>
      <c r="J1040" s="139"/>
      <c r="K1040" s="139"/>
      <c r="L1040" s="139"/>
      <c r="M1040" s="139"/>
      <c r="N1040" s="139"/>
      <c r="O1040" s="139"/>
      <c r="P1040" s="139"/>
      <c r="Q1040" s="139"/>
      <c r="R1040" s="139"/>
      <c r="S1040" s="139"/>
      <c r="T1040" s="139"/>
      <c r="U1040" s="139"/>
      <c r="V1040" s="139"/>
      <c r="W1040" s="139"/>
      <c r="X1040" s="139"/>
      <c r="Y1040" s="139"/>
      <c r="Z1040" s="139"/>
      <c r="AA1040" s="139"/>
    </row>
    <row r="1041" spans="1:27" ht="15.75">
      <c r="A1041" s="139"/>
      <c r="B1041" s="139"/>
      <c r="C1041" s="680"/>
      <c r="D1041" s="139"/>
      <c r="E1041" s="680"/>
      <c r="F1041" s="139"/>
      <c r="G1041" s="139"/>
      <c r="H1041" s="680"/>
      <c r="I1041" s="680"/>
      <c r="J1041" s="139"/>
      <c r="K1041" s="139"/>
      <c r="L1041" s="139"/>
      <c r="M1041" s="139"/>
      <c r="N1041" s="139"/>
      <c r="O1041" s="139"/>
      <c r="P1041" s="139"/>
      <c r="Q1041" s="139"/>
      <c r="R1041" s="139"/>
      <c r="S1041" s="139"/>
      <c r="T1041" s="139"/>
      <c r="U1041" s="139"/>
      <c r="V1041" s="139"/>
      <c r="W1041" s="139"/>
      <c r="X1041" s="139"/>
      <c r="Y1041" s="139"/>
      <c r="Z1041" s="139"/>
      <c r="AA1041" s="139"/>
    </row>
    <row r="1042" spans="1:27" ht="15.75">
      <c r="A1042" s="139"/>
      <c r="B1042" s="139"/>
      <c r="C1042" s="680"/>
      <c r="D1042" s="139"/>
      <c r="E1042" s="680"/>
      <c r="F1042" s="139"/>
      <c r="G1042" s="139"/>
      <c r="H1042" s="680"/>
      <c r="I1042" s="680"/>
      <c r="J1042" s="139"/>
      <c r="K1042" s="139"/>
      <c r="L1042" s="139"/>
      <c r="M1042" s="139"/>
      <c r="N1042" s="139"/>
      <c r="O1042" s="139"/>
      <c r="P1042" s="139"/>
      <c r="Q1042" s="139"/>
      <c r="R1042" s="139"/>
      <c r="S1042" s="139"/>
      <c r="T1042" s="139"/>
      <c r="U1042" s="139"/>
      <c r="V1042" s="139"/>
      <c r="W1042" s="139"/>
      <c r="X1042" s="139"/>
      <c r="Y1042" s="139"/>
      <c r="Z1042" s="139"/>
      <c r="AA1042" s="139"/>
    </row>
    <row r="1043" spans="1:27" ht="15.75">
      <c r="A1043" s="139"/>
      <c r="B1043" s="139"/>
      <c r="C1043" s="680"/>
      <c r="D1043" s="139"/>
      <c r="E1043" s="680"/>
      <c r="F1043" s="139"/>
      <c r="G1043" s="139"/>
      <c r="H1043" s="680"/>
      <c r="I1043" s="680"/>
      <c r="J1043" s="139"/>
      <c r="K1043" s="139"/>
      <c r="L1043" s="139"/>
      <c r="M1043" s="139"/>
      <c r="N1043" s="139"/>
      <c r="O1043" s="139"/>
      <c r="P1043" s="139"/>
      <c r="Q1043" s="139"/>
      <c r="R1043" s="139"/>
      <c r="S1043" s="139"/>
      <c r="T1043" s="139"/>
      <c r="U1043" s="139"/>
      <c r="V1043" s="139"/>
      <c r="W1043" s="139"/>
      <c r="X1043" s="139"/>
      <c r="Y1043" s="139"/>
      <c r="Z1043" s="139"/>
      <c r="AA1043" s="139"/>
    </row>
    <row r="1044" spans="1:27" ht="15.75">
      <c r="A1044" s="139"/>
      <c r="B1044" s="139"/>
      <c r="C1044" s="680"/>
      <c r="D1044" s="139"/>
      <c r="E1044" s="680"/>
      <c r="F1044" s="139"/>
      <c r="G1044" s="139"/>
      <c r="H1044" s="680"/>
      <c r="I1044" s="680"/>
      <c r="J1044" s="139"/>
      <c r="K1044" s="139"/>
      <c r="L1044" s="139"/>
      <c r="M1044" s="139"/>
      <c r="N1044" s="139"/>
      <c r="O1044" s="139"/>
      <c r="P1044" s="139"/>
      <c r="Q1044" s="139"/>
      <c r="R1044" s="139"/>
      <c r="S1044" s="139"/>
      <c r="T1044" s="139"/>
      <c r="U1044" s="139"/>
      <c r="V1044" s="139"/>
      <c r="W1044" s="139"/>
      <c r="X1044" s="139"/>
      <c r="Y1044" s="139"/>
      <c r="Z1044" s="139"/>
      <c r="AA1044" s="139"/>
    </row>
    <row r="1045" spans="1:27" ht="15.75">
      <c r="A1045" s="139"/>
      <c r="B1045" s="139"/>
      <c r="C1045" s="680"/>
      <c r="D1045" s="139"/>
      <c r="E1045" s="680"/>
      <c r="F1045" s="139"/>
      <c r="G1045" s="139"/>
      <c r="H1045" s="680"/>
      <c r="I1045" s="680"/>
      <c r="J1045" s="139"/>
      <c r="K1045" s="139"/>
      <c r="L1045" s="139"/>
      <c r="M1045" s="139"/>
      <c r="N1045" s="139"/>
      <c r="O1045" s="139"/>
      <c r="P1045" s="139"/>
      <c r="Q1045" s="139"/>
      <c r="R1045" s="139"/>
      <c r="S1045" s="139"/>
      <c r="T1045" s="139"/>
      <c r="U1045" s="139"/>
      <c r="V1045" s="139"/>
      <c r="W1045" s="139"/>
      <c r="X1045" s="139"/>
      <c r="Y1045" s="139"/>
      <c r="Z1045" s="139"/>
      <c r="AA1045" s="139"/>
    </row>
    <row r="1046" spans="1:27" ht="15.75">
      <c r="A1046" s="139"/>
      <c r="B1046" s="139"/>
      <c r="C1046" s="680"/>
      <c r="D1046" s="139"/>
      <c r="E1046" s="680"/>
      <c r="F1046" s="139"/>
      <c r="G1046" s="139"/>
      <c r="H1046" s="680"/>
      <c r="I1046" s="680"/>
      <c r="J1046" s="139"/>
      <c r="K1046" s="139"/>
      <c r="L1046" s="139"/>
      <c r="M1046" s="139"/>
      <c r="N1046" s="139"/>
      <c r="O1046" s="139"/>
      <c r="P1046" s="139"/>
      <c r="Q1046" s="139"/>
      <c r="R1046" s="139"/>
      <c r="S1046" s="139"/>
      <c r="T1046" s="139"/>
      <c r="U1046" s="139"/>
      <c r="V1046" s="139"/>
      <c r="W1046" s="139"/>
      <c r="X1046" s="139"/>
      <c r="Y1046" s="139"/>
      <c r="Z1046" s="139"/>
      <c r="AA1046" s="139"/>
    </row>
    <row r="1047" spans="1:27" ht="15.75">
      <c r="A1047" s="139"/>
      <c r="B1047" s="139"/>
      <c r="C1047" s="680"/>
      <c r="D1047" s="139"/>
      <c r="E1047" s="680"/>
      <c r="F1047" s="139"/>
      <c r="G1047" s="139"/>
      <c r="H1047" s="680"/>
      <c r="I1047" s="680"/>
      <c r="J1047" s="139"/>
      <c r="K1047" s="139"/>
      <c r="L1047" s="139"/>
      <c r="M1047" s="139"/>
      <c r="N1047" s="139"/>
      <c r="O1047" s="139"/>
      <c r="P1047" s="139"/>
      <c r="Q1047" s="139"/>
      <c r="R1047" s="139"/>
      <c r="S1047" s="139"/>
      <c r="T1047" s="139"/>
      <c r="U1047" s="139"/>
      <c r="V1047" s="139"/>
      <c r="W1047" s="139"/>
      <c r="X1047" s="139"/>
      <c r="Y1047" s="139"/>
      <c r="Z1047" s="139"/>
      <c r="AA1047" s="139"/>
    </row>
    <row r="1048" spans="1:27" ht="15.75">
      <c r="A1048" s="139"/>
      <c r="B1048" s="139"/>
      <c r="C1048" s="680"/>
      <c r="D1048" s="139"/>
      <c r="E1048" s="680"/>
      <c r="F1048" s="139"/>
      <c r="G1048" s="139"/>
      <c r="H1048" s="680"/>
      <c r="I1048" s="680"/>
      <c r="J1048" s="139"/>
      <c r="K1048" s="139"/>
      <c r="L1048" s="139"/>
      <c r="M1048" s="139"/>
      <c r="N1048" s="139"/>
      <c r="O1048" s="139"/>
      <c r="P1048" s="139"/>
      <c r="Q1048" s="139"/>
      <c r="R1048" s="139"/>
      <c r="S1048" s="139"/>
      <c r="T1048" s="139"/>
      <c r="U1048" s="139"/>
      <c r="V1048" s="139"/>
      <c r="W1048" s="139"/>
      <c r="X1048" s="139"/>
      <c r="Y1048" s="139"/>
      <c r="Z1048" s="139"/>
      <c r="AA1048" s="139"/>
    </row>
    <row r="1049" spans="1:27" ht="15.75">
      <c r="A1049" s="139"/>
      <c r="B1049" s="139"/>
      <c r="C1049" s="680"/>
      <c r="D1049" s="139"/>
      <c r="E1049" s="680"/>
      <c r="F1049" s="139"/>
      <c r="G1049" s="139"/>
      <c r="H1049" s="680"/>
      <c r="I1049" s="680"/>
      <c r="J1049" s="139"/>
      <c r="O1049" s="139"/>
      <c r="P1049" s="139"/>
      <c r="Q1049" s="139"/>
      <c r="R1049" s="139"/>
      <c r="S1049" s="139"/>
      <c r="T1049" s="139"/>
      <c r="U1049" s="139"/>
      <c r="V1049" s="139"/>
      <c r="W1049" s="139"/>
      <c r="X1049" s="139"/>
      <c r="Y1049" s="139"/>
      <c r="Z1049" s="139"/>
      <c r="AA1049" s="139"/>
    </row>
  </sheetData>
  <mergeCells count="8">
    <mergeCell ref="A123:I124"/>
    <mergeCell ref="A153:I154"/>
    <mergeCell ref="K12:L12"/>
    <mergeCell ref="A2:I2"/>
    <mergeCell ref="A3:I4"/>
    <mergeCell ref="A33:I34"/>
    <mergeCell ref="A63:I64"/>
    <mergeCell ref="A93:I94"/>
  </mergeCells>
  <hyperlinks>
    <hyperlink ref="A1" location="Index!A1" display="Index!A1"/>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FC5E8"/>
  </sheetPr>
  <dimension ref="A1:G20"/>
  <sheetViews>
    <sheetView workbookViewId="0"/>
  </sheetViews>
  <sheetFormatPr defaultColWidth="14.33203125" defaultRowHeight="14.25"/>
  <cols>
    <col min="1" max="1" width="30.796875" bestFit="1" customWidth="1"/>
    <col min="2" max="6" width="12.6640625" bestFit="1" customWidth="1"/>
  </cols>
  <sheetData>
    <row r="1" spans="1:7" s="739" customFormat="1">
      <c r="A1" s="765" t="s">
        <v>0</v>
      </c>
    </row>
    <row r="2" spans="1:7">
      <c r="A2" s="1359" t="s">
        <v>838</v>
      </c>
      <c r="B2" s="1297"/>
      <c r="C2" s="1297"/>
      <c r="D2" s="1297"/>
      <c r="E2" s="1297"/>
      <c r="F2" s="1297"/>
    </row>
    <row r="3" spans="1:7">
      <c r="A3" s="733" t="s">
        <v>17</v>
      </c>
      <c r="B3" s="733">
        <v>1</v>
      </c>
      <c r="C3" s="733">
        <v>2</v>
      </c>
      <c r="D3" s="733">
        <v>3</v>
      </c>
      <c r="E3" s="733">
        <v>4</v>
      </c>
      <c r="F3" s="733">
        <v>5</v>
      </c>
    </row>
    <row r="4" spans="1:7">
      <c r="A4" s="444" t="s">
        <v>839</v>
      </c>
      <c r="B4" s="464">
        <f>'Aggregate Plan'!O9</f>
        <v>68212</v>
      </c>
      <c r="C4" s="464">
        <f>'Aggregate Plan'!O35</f>
        <v>91223</v>
      </c>
      <c r="D4" s="464">
        <f>'Aggregate Plan'!O61</f>
        <v>161608</v>
      </c>
      <c r="E4" s="464">
        <f>'Aggregate Plan'!O87</f>
        <v>245757</v>
      </c>
      <c r="F4" s="464">
        <f>'Aggregate Plan'!O113</f>
        <v>296845</v>
      </c>
    </row>
    <row r="5" spans="1:7">
      <c r="A5" s="444" t="s">
        <v>840</v>
      </c>
      <c r="B5" s="553">
        <f>Capacity!C37</f>
        <v>12</v>
      </c>
      <c r="C5" s="553">
        <f>Capacity!C61</f>
        <v>16</v>
      </c>
      <c r="D5" s="553">
        <f>Capacity!C84</f>
        <v>18</v>
      </c>
      <c r="E5" s="553">
        <f>Capacity!C107</f>
        <v>28</v>
      </c>
      <c r="F5" s="553">
        <f>Capacity!C130</f>
        <v>32</v>
      </c>
    </row>
    <row r="6" spans="1:7">
      <c r="A6" s="444" t="s">
        <v>841</v>
      </c>
      <c r="B6" s="523">
        <f>B5*'OM Assumptions'!$B$27</f>
        <v>120</v>
      </c>
      <c r="C6" s="523">
        <f>C5*'OM Assumptions'!$B$27</f>
        <v>160</v>
      </c>
      <c r="D6" s="523">
        <f>D5*'OM Assumptions'!$B$27</f>
        <v>180</v>
      </c>
      <c r="E6" s="523">
        <f>E5*'OM Assumptions'!$B$27</f>
        <v>280</v>
      </c>
      <c r="F6" s="523">
        <f>F5*'OM Assumptions'!$B$27</f>
        <v>320</v>
      </c>
    </row>
    <row r="7" spans="1:7">
      <c r="A7" s="444" t="s">
        <v>842</v>
      </c>
      <c r="B7" s="734">
        <f>B6*'OM Assumptions'!$B$6</f>
        <v>230400</v>
      </c>
      <c r="C7" s="734">
        <f>C6*'OM Assumptions'!$B$6</f>
        <v>307200</v>
      </c>
      <c r="D7" s="734">
        <f>D6*'OM Assumptions'!$B$6</f>
        <v>345600</v>
      </c>
      <c r="E7" s="734">
        <f>E6*'OM Assumptions'!$B$6</f>
        <v>537600</v>
      </c>
      <c r="F7" s="734">
        <f>F6*'OM Assumptions'!$B$6</f>
        <v>614400</v>
      </c>
    </row>
    <row r="8" spans="1:7">
      <c r="A8" s="444" t="s">
        <v>843</v>
      </c>
      <c r="B8" s="523">
        <f t="shared" ref="B8:F8" si="0">B7/B4</f>
        <v>3.3777048026740162</v>
      </c>
      <c r="C8" s="523">
        <f t="shared" si="0"/>
        <v>3.3675717746620917</v>
      </c>
      <c r="D8" s="523">
        <f t="shared" si="0"/>
        <v>2.1385079946537302</v>
      </c>
      <c r="E8" s="523">
        <f t="shared" si="0"/>
        <v>2.1875267032068262</v>
      </c>
      <c r="F8" s="735">
        <f t="shared" si="0"/>
        <v>2.0697670501440144</v>
      </c>
    </row>
    <row r="9" spans="1:7">
      <c r="A9" s="460" t="s">
        <v>844</v>
      </c>
      <c r="B9" s="450">
        <v>0</v>
      </c>
      <c r="C9" s="450">
        <v>0</v>
      </c>
      <c r="D9" s="450">
        <v>0</v>
      </c>
      <c r="E9" s="450">
        <v>0</v>
      </c>
      <c r="F9" s="451">
        <f>F8*1.73</f>
        <v>3.5806969967491451</v>
      </c>
    </row>
    <row r="10" spans="1:7">
      <c r="A10" s="444" t="s">
        <v>845</v>
      </c>
      <c r="B10" s="523">
        <f t="shared" ref="B10:F10" si="1">IF(B9=0, B8, AVERAGE(B8:B9))</f>
        <v>3.3777048026740162</v>
      </c>
      <c r="C10" s="523">
        <f t="shared" si="1"/>
        <v>3.3675717746620917</v>
      </c>
      <c r="D10" s="523">
        <f t="shared" si="1"/>
        <v>2.1385079946537302</v>
      </c>
      <c r="E10" s="523">
        <f t="shared" si="1"/>
        <v>2.1875267032068262</v>
      </c>
      <c r="F10" s="523">
        <f t="shared" si="1"/>
        <v>2.8252320234465795</v>
      </c>
    </row>
    <row r="11" spans="1:7">
      <c r="A11" s="460" t="s">
        <v>846</v>
      </c>
      <c r="B11" s="451">
        <f>Inventory!G26*(1+'OM Assumptions'!B12)</f>
        <v>11.574278400339999</v>
      </c>
      <c r="C11" s="451">
        <f>B11*(1+'OM Assumptions'!C12)</f>
        <v>11.879839350108975</v>
      </c>
      <c r="D11" s="451">
        <f>C11*(1+'OM Assumptions'!D12)</f>
        <v>12.155451623031505</v>
      </c>
      <c r="E11" s="451">
        <f>D11*(1+'OM Assumptions'!E12)</f>
        <v>12.420440468413592</v>
      </c>
      <c r="F11" s="451">
        <f>E11*(1+'OM Assumptions'!F12)</f>
        <v>12.70238446704658</v>
      </c>
      <c r="G11" s="736"/>
    </row>
    <row r="12" spans="1:7">
      <c r="A12" s="444" t="s">
        <v>577</v>
      </c>
      <c r="B12" s="523">
        <f>'OM Assumptions'!$B$33*B4*(1+'OM Assumptions'!B12)</f>
        <v>22886.205388800001</v>
      </c>
      <c r="C12" s="523">
        <f>'OM Assumptions'!$B$33*C4*(1+'OM Assumptions'!C12)</f>
        <v>30684.48767336168</v>
      </c>
      <c r="D12" s="523">
        <f>'OM Assumptions'!$B$33*D4*(1+'OM Assumptions'!D12)</f>
        <v>54190.264356245025</v>
      </c>
      <c r="E12" s="523">
        <f>'OM Assumptions'!$B$33*E4*(1+'OM Assumptions'!E12)</f>
        <v>82294.285276386217</v>
      </c>
      <c r="F12" s="523">
        <f>'OM Assumptions'!$B$33*F4*(1+'OM Assumptions'!F12)</f>
        <v>99489.185784409536</v>
      </c>
    </row>
    <row r="13" spans="1:7">
      <c r="A13" s="444" t="s">
        <v>847</v>
      </c>
      <c r="B13" s="523">
        <f>'OM Assumptions'!$B$34*(1+'OM Assumptions'!B12)</f>
        <v>103813.32</v>
      </c>
      <c r="C13" s="523">
        <f>B13*(1+'OM Assumptions'!C12)</f>
        <v>106553.99164800001</v>
      </c>
      <c r="D13" s="523">
        <f>C13*(1+'OM Assumptions'!D12)</f>
        <v>109026.04425423362</v>
      </c>
      <c r="E13" s="523">
        <f>D13*(1+'OM Assumptions'!E12)</f>
        <v>111402.81201897592</v>
      </c>
      <c r="F13" s="523">
        <f>E13*(1+'OM Assumptions'!F12)</f>
        <v>113931.65585180667</v>
      </c>
    </row>
    <row r="14" spans="1:7">
      <c r="A14" s="444" t="s">
        <v>848</v>
      </c>
      <c r="B14" s="444">
        <v>1</v>
      </c>
      <c r="C14" s="444">
        <v>1</v>
      </c>
      <c r="D14" s="444">
        <v>1</v>
      </c>
      <c r="E14" s="444">
        <v>2</v>
      </c>
      <c r="F14" s="444">
        <v>2</v>
      </c>
    </row>
    <row r="15" spans="1:7">
      <c r="A15" s="444" t="s">
        <v>849</v>
      </c>
      <c r="B15" s="523">
        <f>'OM Assumptions'!B35*(1+'OM Assumptions'!B12)</f>
        <v>60404.200000000004</v>
      </c>
      <c r="C15" s="523">
        <f>B15*(1+'OM Assumptions'!C12)</f>
        <v>61998.870880000002</v>
      </c>
      <c r="D15" s="523">
        <f>C15*(1+'OM Assumptions'!D12)</f>
        <v>63437.244684416008</v>
      </c>
      <c r="E15" s="523">
        <f>D15*(1+'OM Assumptions'!E12)</f>
        <v>64820.176618536279</v>
      </c>
      <c r="F15" s="523">
        <f>E15*(1+'OM Assumptions'!F12)</f>
        <v>66291.594627777056</v>
      </c>
    </row>
    <row r="16" spans="1:7">
      <c r="A16" s="444" t="s">
        <v>850</v>
      </c>
      <c r="B16" s="523">
        <f t="shared" ref="B16:F16" si="2">B15*B14</f>
        <v>60404.200000000004</v>
      </c>
      <c r="C16" s="523">
        <f t="shared" si="2"/>
        <v>61998.870880000002</v>
      </c>
      <c r="D16" s="523">
        <f t="shared" si="2"/>
        <v>63437.244684416008</v>
      </c>
      <c r="E16" s="523">
        <f t="shared" si="2"/>
        <v>129640.35323707256</v>
      </c>
      <c r="F16" s="523">
        <f t="shared" si="2"/>
        <v>132583.18925555411</v>
      </c>
    </row>
    <row r="17" spans="1:6">
      <c r="A17" s="444" t="s">
        <v>851</v>
      </c>
      <c r="B17" s="523">
        <f>'Logistics &amp; Transportation'!D34</f>
        <v>117771.22719999999</v>
      </c>
      <c r="C17" s="523">
        <f>'Logistics &amp; Transportation'!D54</f>
        <v>139987.69279999999</v>
      </c>
      <c r="D17" s="523">
        <f>'Logistics &amp; Transportation'!D74</f>
        <v>188809.01759999999</v>
      </c>
      <c r="E17" s="523">
        <f>'Logistics &amp; Transportation'!D94</f>
        <v>236531.61120000001</v>
      </c>
      <c r="F17" s="523">
        <f>'Logistics &amp; Transportation'!D114</f>
        <v>260999.47880000001</v>
      </c>
    </row>
    <row r="18" spans="1:6">
      <c r="A18" s="460" t="s">
        <v>852</v>
      </c>
      <c r="B18" s="451">
        <f t="shared" ref="B18:F18" si="3">SUM(B$16,B$13,B$12,B$17)</f>
        <v>304874.95258879999</v>
      </c>
      <c r="C18" s="451">
        <f t="shared" si="3"/>
        <v>339225.04300136166</v>
      </c>
      <c r="D18" s="451">
        <f t="shared" si="3"/>
        <v>415462.57089489466</v>
      </c>
      <c r="E18" s="451">
        <f t="shared" si="3"/>
        <v>559869.06173243478</v>
      </c>
      <c r="F18" s="451">
        <f t="shared" si="3"/>
        <v>607003.5096917703</v>
      </c>
    </row>
    <row r="19" spans="1:6">
      <c r="A19" s="737" t="s">
        <v>853</v>
      </c>
      <c r="B19" s="738">
        <f t="shared" ref="B19:F19" si="4">B18/B4</f>
        <v>4.4695207967630326</v>
      </c>
      <c r="C19" s="738">
        <f t="shared" si="4"/>
        <v>3.7186350262692702</v>
      </c>
      <c r="D19" s="738">
        <f t="shared" si="4"/>
        <v>2.5708044830385539</v>
      </c>
      <c r="E19" s="738">
        <f t="shared" si="4"/>
        <v>2.2781408534952607</v>
      </c>
      <c r="F19" s="738">
        <f t="shared" si="4"/>
        <v>2.0448500385445949</v>
      </c>
    </row>
    <row r="20" spans="1:6">
      <c r="A20" s="444" t="s">
        <v>735</v>
      </c>
      <c r="B20" s="523">
        <f t="shared" ref="B20:F20" si="5">SUM(B10:B11, B19)</f>
        <v>19.421503999777048</v>
      </c>
      <c r="C20" s="523">
        <f t="shared" si="5"/>
        <v>18.966046151040338</v>
      </c>
      <c r="D20" s="523">
        <f t="shared" si="5"/>
        <v>16.864764100723789</v>
      </c>
      <c r="E20" s="523">
        <f t="shared" si="5"/>
        <v>16.886108025115679</v>
      </c>
      <c r="F20" s="523">
        <f t="shared" si="5"/>
        <v>17.572466529037754</v>
      </c>
    </row>
  </sheetData>
  <mergeCells count="1">
    <mergeCell ref="A2:F2"/>
  </mergeCells>
  <hyperlinks>
    <hyperlink ref="A1" location="Index!A1" display="Index!A1"/>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4A7D6"/>
  </sheetPr>
  <dimension ref="A1"/>
  <sheetViews>
    <sheetView workbookViewId="0">
      <selection activeCell="H33" sqref="H33"/>
    </sheetView>
  </sheetViews>
  <sheetFormatPr defaultColWidth="14.33203125" defaultRowHeight="15" customHeight="1"/>
  <cols>
    <col min="1" max="6" width="14.33203125" style="956" customWidth="1"/>
    <col min="7" max="16384" width="14.33203125" style="956"/>
  </cols>
  <sheetData>
    <row r="1" spans="1:1" ht="15" customHeight="1">
      <c r="A1" s="765" t="s">
        <v>0</v>
      </c>
    </row>
  </sheetData>
  <hyperlinks>
    <hyperlink ref="A1" location="Index!A1" display="Index!A1"/>
  </hyperlink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4A7D6"/>
  </sheetPr>
  <dimension ref="A1:Q177"/>
  <sheetViews>
    <sheetView zoomScale="115" zoomScaleNormal="115" workbookViewId="0">
      <selection activeCell="A35" sqref="A35"/>
    </sheetView>
  </sheetViews>
  <sheetFormatPr defaultColWidth="14.33203125" defaultRowHeight="14.25"/>
  <cols>
    <col min="1" max="1" width="25.33203125" style="956" customWidth="1"/>
    <col min="2" max="2" width="21" style="956" bestFit="1" customWidth="1"/>
    <col min="3" max="3" width="21.1328125" style="956" bestFit="1" customWidth="1"/>
    <col min="4" max="4" width="26.1328125" style="956" bestFit="1" customWidth="1"/>
    <col min="5" max="5" width="25.6640625" style="956" bestFit="1" customWidth="1"/>
    <col min="6" max="6" width="18.46484375" style="956" bestFit="1" customWidth="1"/>
    <col min="7" max="7" width="26.6640625" style="956" bestFit="1" customWidth="1"/>
    <col min="8" max="8" width="25.6640625" style="956" bestFit="1" customWidth="1"/>
    <col min="9" max="10" width="14.33203125" style="956" customWidth="1"/>
    <col min="11" max="11" width="22.6640625" style="956" customWidth="1"/>
    <col min="12" max="12" width="15.1328125" style="956" customWidth="1"/>
    <col min="13" max="13" width="18.33203125" style="956" customWidth="1"/>
    <col min="14" max="14" width="19.1328125" style="956" customWidth="1"/>
    <col min="15" max="15" width="27.796875" style="956" customWidth="1"/>
    <col min="16" max="16" width="35.6640625" style="956" customWidth="1"/>
    <col min="17" max="17" width="14.33203125" style="956" customWidth="1"/>
    <col min="18" max="16384" width="14.33203125" style="956"/>
  </cols>
  <sheetData>
    <row r="1" spans="1:16" ht="28.5">
      <c r="A1" s="765" t="s">
        <v>0</v>
      </c>
      <c r="B1" s="994" t="s">
        <v>932</v>
      </c>
      <c r="C1" s="994" t="s">
        <v>925</v>
      </c>
      <c r="D1" s="994" t="s">
        <v>926</v>
      </c>
      <c r="E1" s="994" t="s">
        <v>927</v>
      </c>
      <c r="F1" s="994" t="s">
        <v>871</v>
      </c>
      <c r="G1" s="994" t="s">
        <v>872</v>
      </c>
      <c r="H1" s="994" t="s">
        <v>928</v>
      </c>
      <c r="I1"/>
      <c r="J1" s="957"/>
      <c r="K1" s="957"/>
      <c r="L1" s="957"/>
      <c r="M1" s="957"/>
      <c r="N1" s="957"/>
      <c r="O1" s="957"/>
      <c r="P1" s="957"/>
    </row>
    <row r="2" spans="1:16">
      <c r="A2" s="978" t="s">
        <v>873</v>
      </c>
      <c r="B2" s="979">
        <v>811132.5844540305</v>
      </c>
      <c r="C2" s="979">
        <v>769180.27399999998</v>
      </c>
      <c r="D2" s="979">
        <v>-41952.310454030521</v>
      </c>
      <c r="E2" s="980">
        <v>-5.1720657335284373E-2</v>
      </c>
      <c r="F2" s="979">
        <v>853125.38840000005</v>
      </c>
      <c r="G2" s="979">
        <v>41992.803945969557</v>
      </c>
      <c r="H2" s="980">
        <v>5.177057949685835E-2</v>
      </c>
      <c r="I2" s="957"/>
      <c r="J2" s="957"/>
      <c r="K2" s="957"/>
      <c r="L2" s="957"/>
      <c r="M2" s="957"/>
      <c r="N2" s="957"/>
      <c r="O2" s="957"/>
      <c r="P2" s="957"/>
    </row>
    <row r="3" spans="1:16">
      <c r="A3" s="978" t="s">
        <v>874</v>
      </c>
      <c r="B3" s="979">
        <v>811132.5844540305</v>
      </c>
      <c r="C3" s="979">
        <v>870488.07779999997</v>
      </c>
      <c r="D3" s="979">
        <v>59355.493345969473</v>
      </c>
      <c r="E3" s="980">
        <v>7.3176068232940455E-2</v>
      </c>
      <c r="F3" s="979">
        <v>761156.3236</v>
      </c>
      <c r="G3" s="979">
        <v>-49976.260854030494</v>
      </c>
      <c r="H3" s="980">
        <v>-6.1612937036266739E-2</v>
      </c>
      <c r="I3" s="957"/>
      <c r="J3" s="957"/>
      <c r="K3" s="957"/>
      <c r="L3" s="957"/>
      <c r="M3" s="957"/>
      <c r="N3" s="957"/>
      <c r="O3" s="957"/>
      <c r="P3" s="957"/>
    </row>
    <row r="4" spans="1:16">
      <c r="A4" s="978" t="s">
        <v>29</v>
      </c>
      <c r="B4" s="979">
        <v>811132.5844540305</v>
      </c>
      <c r="C4" s="979">
        <v>870488</v>
      </c>
      <c r="D4" s="979">
        <v>59355.415545969503</v>
      </c>
      <c r="E4" s="980">
        <v>7.3175972317671534E-2</v>
      </c>
      <c r="F4" s="979">
        <v>761156</v>
      </c>
      <c r="G4" s="979">
        <v>-49976.584454030497</v>
      </c>
      <c r="H4" s="980">
        <v>-6.1613335984609101E-2</v>
      </c>
      <c r="I4" s="957"/>
      <c r="J4" s="957"/>
      <c r="K4" s="957"/>
      <c r="L4" s="957"/>
      <c r="M4" s="957"/>
      <c r="N4" s="957"/>
      <c r="O4" s="957"/>
      <c r="P4" s="957"/>
    </row>
    <row r="5" spans="1:16">
      <c r="A5" s="978" t="s">
        <v>875</v>
      </c>
      <c r="B5" s="979">
        <v>811132.5844540305</v>
      </c>
      <c r="C5" s="979">
        <v>802180.65</v>
      </c>
      <c r="D5" s="979">
        <v>-8951.9344540304737</v>
      </c>
      <c r="E5" s="980">
        <v>-1.1036339342791879E-2</v>
      </c>
      <c r="F5" s="979">
        <v>820087.02789999999</v>
      </c>
      <c r="G5" s="979">
        <v>8954.4434459694894</v>
      </c>
      <c r="H5" s="980">
        <v>1.1039432538635693E-2</v>
      </c>
      <c r="I5" s="957"/>
      <c r="J5" s="957"/>
      <c r="K5" s="957"/>
      <c r="L5" s="957"/>
      <c r="M5" s="957"/>
      <c r="N5" s="957"/>
      <c r="O5" s="957"/>
      <c r="P5" s="957"/>
    </row>
    <row r="6" spans="1:16">
      <c r="A6" s="978" t="s">
        <v>46</v>
      </c>
      <c r="B6" s="979">
        <v>811132.5844540305</v>
      </c>
      <c r="C6" s="979">
        <v>870488</v>
      </c>
      <c r="D6" s="979">
        <v>59355.415545969503</v>
      </c>
      <c r="E6" s="980">
        <v>7.3175972317671534E-2</v>
      </c>
      <c r="F6" s="979">
        <v>761156</v>
      </c>
      <c r="G6" s="979">
        <v>-49976.584454030497</v>
      </c>
      <c r="H6" s="980">
        <v>-6.1613335984609101E-2</v>
      </c>
      <c r="I6" s="957"/>
      <c r="J6" s="957"/>
      <c r="K6" s="957"/>
      <c r="L6" s="957"/>
      <c r="M6" s="957"/>
      <c r="N6" s="957"/>
      <c r="O6" s="957"/>
      <c r="P6" s="957"/>
    </row>
    <row r="7" spans="1:16">
      <c r="A7" s="978" t="s">
        <v>876</v>
      </c>
      <c r="B7" s="979">
        <v>811132.5844540305</v>
      </c>
      <c r="C7" s="979">
        <v>797388</v>
      </c>
      <c r="D7" s="979">
        <v>-13744.584454030497</v>
      </c>
      <c r="E7" s="980">
        <v>-1.6944929494210753E-2</v>
      </c>
      <c r="F7" s="979">
        <v>829288</v>
      </c>
      <c r="G7" s="979">
        <v>18155.415545969503</v>
      </c>
      <c r="H7" s="980">
        <v>2.2382796467472488E-2</v>
      </c>
      <c r="I7" s="957"/>
      <c r="J7" s="957"/>
      <c r="K7" s="957"/>
      <c r="L7" s="957"/>
      <c r="M7" s="957"/>
      <c r="N7" s="957"/>
      <c r="O7" s="957"/>
      <c r="P7" s="957"/>
    </row>
    <row r="8" spans="1:16">
      <c r="A8" s="978" t="s">
        <v>470</v>
      </c>
      <c r="B8" s="979">
        <v>811132.5844540305</v>
      </c>
      <c r="C8" s="979">
        <v>782755</v>
      </c>
      <c r="D8" s="979">
        <v>-28377.584454030497</v>
      </c>
      <c r="E8" s="980">
        <v>-3.4985136829549651E-2</v>
      </c>
      <c r="F8" s="979">
        <v>840165</v>
      </c>
      <c r="G8" s="979">
        <v>29032.415545969503</v>
      </c>
      <c r="H8" s="980">
        <v>3.5792441460739843E-2</v>
      </c>
      <c r="I8" s="957"/>
      <c r="J8" s="957"/>
      <c r="K8" s="957"/>
      <c r="L8" s="957"/>
      <c r="M8" s="957"/>
      <c r="N8" s="957"/>
      <c r="O8" s="957"/>
      <c r="P8" s="957"/>
    </row>
    <row r="9" spans="1:16">
      <c r="A9" s="978" t="s">
        <v>98</v>
      </c>
      <c r="B9" s="979">
        <v>811132.5844540305</v>
      </c>
      <c r="C9" s="979">
        <v>692500.62</v>
      </c>
      <c r="D9" s="979">
        <v>-118631.9644540305</v>
      </c>
      <c r="E9" s="980">
        <v>-0.14625471436815859</v>
      </c>
      <c r="F9" s="979">
        <v>935678.78</v>
      </c>
      <c r="G9" s="979">
        <v>124546.19554596953</v>
      </c>
      <c r="H9" s="980">
        <v>0.15354603912232301</v>
      </c>
      <c r="I9" s="957"/>
      <c r="J9" s="957"/>
      <c r="K9" s="960"/>
      <c r="L9" s="960"/>
      <c r="M9" s="961"/>
      <c r="N9" s="960"/>
      <c r="O9" s="962"/>
      <c r="P9" s="963"/>
    </row>
    <row r="10" spans="1:16">
      <c r="A10" s="978" t="s">
        <v>877</v>
      </c>
      <c r="B10" s="979">
        <v>811132.5844540305</v>
      </c>
      <c r="C10" s="979">
        <v>808281.38289999997</v>
      </c>
      <c r="D10" s="979">
        <v>-2851.2015540305292</v>
      </c>
      <c r="E10" s="980">
        <v>-3.5150869397629482E-3</v>
      </c>
      <c r="F10" s="979">
        <v>813988.69389999995</v>
      </c>
      <c r="G10" s="979">
        <v>2856.1094459694577</v>
      </c>
      <c r="H10" s="980">
        <v>3.5211376052558551E-3</v>
      </c>
      <c r="I10" s="957"/>
      <c r="J10" s="957"/>
      <c r="K10" s="959"/>
      <c r="L10" s="959"/>
      <c r="M10" s="961"/>
      <c r="N10" s="964"/>
      <c r="O10" s="962"/>
      <c r="P10" s="963"/>
    </row>
    <row r="11" spans="1:16">
      <c r="A11" s="740"/>
      <c r="B11"/>
      <c r="C11"/>
      <c r="D11"/>
      <c r="E11" s="963"/>
      <c r="F11" s="959"/>
      <c r="G11" s="961"/>
      <c r="H11" s="963"/>
      <c r="I11" s="957"/>
      <c r="J11" s="957"/>
      <c r="K11" s="959"/>
      <c r="L11" s="959"/>
      <c r="M11" s="961"/>
      <c r="N11" s="964"/>
      <c r="O11" s="962"/>
      <c r="P11" s="963"/>
    </row>
    <row r="12" spans="1:16" ht="28.5">
      <c r="B12" s="994" t="s">
        <v>924</v>
      </c>
      <c r="C12" s="994" t="s">
        <v>879</v>
      </c>
      <c r="D12" s="994" t="s">
        <v>880</v>
      </c>
      <c r="E12" s="994" t="s">
        <v>927</v>
      </c>
      <c r="F12" s="994" t="s">
        <v>881</v>
      </c>
      <c r="G12" s="994" t="s">
        <v>882</v>
      </c>
      <c r="H12" s="994" t="s">
        <v>928</v>
      </c>
      <c r="I12" s="957"/>
      <c r="J12" s="957"/>
      <c r="K12" s="959"/>
      <c r="L12" s="959"/>
      <c r="M12" s="961"/>
      <c r="N12" s="964"/>
      <c r="O12" s="962"/>
      <c r="P12" s="963"/>
    </row>
    <row r="13" spans="1:16">
      <c r="A13" s="978" t="s">
        <v>873</v>
      </c>
      <c r="B13" s="980">
        <v>0.4370247349734715</v>
      </c>
      <c r="C13" s="980">
        <v>0.42920000000000003</v>
      </c>
      <c r="D13" s="980">
        <v>-7.82473497347147E-3</v>
      </c>
      <c r="E13" s="980">
        <v>-1.790455859196723E-2</v>
      </c>
      <c r="F13" s="980">
        <v>0.44479999999999997</v>
      </c>
      <c r="G13" s="980">
        <v>7.7752650265284773E-3</v>
      </c>
      <c r="H13" s="980">
        <v>1.7791361459209981E-2</v>
      </c>
      <c r="I13" s="957"/>
      <c r="J13" s="957"/>
      <c r="K13" s="960"/>
      <c r="L13" s="964"/>
      <c r="M13" s="961"/>
      <c r="N13" s="964"/>
      <c r="O13" s="962"/>
      <c r="P13" s="963"/>
    </row>
    <row r="14" spans="1:16">
      <c r="A14" s="978" t="s">
        <v>874</v>
      </c>
      <c r="B14" s="980">
        <v>0.4370247349734715</v>
      </c>
      <c r="C14" s="980">
        <v>0.44769999999999999</v>
      </c>
      <c r="D14" s="980">
        <v>1.0675265026528491E-2</v>
      </c>
      <c r="E14" s="980">
        <v>2.4427141468723747E-2</v>
      </c>
      <c r="F14" s="980">
        <v>0.42809999999999998</v>
      </c>
      <c r="G14" s="980">
        <v>-8.9247349734715153E-3</v>
      </c>
      <c r="H14" s="980">
        <v>-2.0421578595575991E-2</v>
      </c>
      <c r="I14" s="957"/>
      <c r="J14" s="957"/>
      <c r="K14" s="960"/>
      <c r="L14" s="964"/>
      <c r="M14" s="961"/>
      <c r="N14" s="964"/>
      <c r="O14" s="962"/>
      <c r="P14" s="963"/>
    </row>
    <row r="15" spans="1:16">
      <c r="A15" s="978" t="s">
        <v>29</v>
      </c>
      <c r="B15" s="980">
        <v>0.4370247349734715</v>
      </c>
      <c r="C15" s="980">
        <v>0.44769999999999999</v>
      </c>
      <c r="D15" s="980">
        <v>1.0675265026528491E-2</v>
      </c>
      <c r="E15" s="980">
        <v>2.4427141468723747E-2</v>
      </c>
      <c r="F15" s="980">
        <v>0.42809999999999998</v>
      </c>
      <c r="G15" s="980">
        <v>-8.9247349734715153E-3</v>
      </c>
      <c r="H15" s="980">
        <v>-2.0421578595575991E-2</v>
      </c>
      <c r="I15" s="957"/>
      <c r="J15" s="957"/>
      <c r="K15" s="959"/>
      <c r="L15" s="957"/>
      <c r="M15" s="957"/>
      <c r="N15" s="957"/>
      <c r="O15" s="957"/>
      <c r="P15" s="957"/>
    </row>
    <row r="16" spans="1:16">
      <c r="A16" s="978" t="s">
        <v>875</v>
      </c>
      <c r="B16" s="980">
        <v>0.4370247349734715</v>
      </c>
      <c r="C16" s="980">
        <v>0.43530000000000002</v>
      </c>
      <c r="D16" s="980">
        <v>-1.7247349734714756E-3</v>
      </c>
      <c r="E16" s="980">
        <v>-3.9465385719555926E-3</v>
      </c>
      <c r="F16" s="980">
        <v>0.43869999999999998</v>
      </c>
      <c r="G16" s="980">
        <v>1.675265026528483E-3</v>
      </c>
      <c r="H16" s="980">
        <v>3.8333414391983462E-3</v>
      </c>
      <c r="I16" s="957"/>
      <c r="J16" s="957"/>
      <c r="K16" s="959"/>
      <c r="L16" s="957"/>
      <c r="M16" s="957"/>
      <c r="N16" s="957"/>
      <c r="O16" s="957"/>
      <c r="P16" s="957"/>
    </row>
    <row r="17" spans="1:16">
      <c r="A17" s="978" t="s">
        <v>46</v>
      </c>
      <c r="B17" s="980">
        <v>0.4370247349734715</v>
      </c>
      <c r="C17" s="980">
        <v>0.44769999999999999</v>
      </c>
      <c r="D17" s="980">
        <v>1.0675265026528491E-2</v>
      </c>
      <c r="E17" s="980">
        <v>2.4427141468723747E-2</v>
      </c>
      <c r="F17" s="980">
        <v>0.42809999999999998</v>
      </c>
      <c r="G17" s="980">
        <v>-8.9247349734715153E-3</v>
      </c>
      <c r="H17" s="980">
        <v>-2.0421578595575991E-2</v>
      </c>
      <c r="I17" s="957"/>
      <c r="J17" s="957"/>
      <c r="K17" s="957"/>
      <c r="L17" s="957"/>
      <c r="M17" s="957"/>
      <c r="N17" s="957"/>
      <c r="O17" s="957"/>
      <c r="P17" s="957"/>
    </row>
    <row r="18" spans="1:16">
      <c r="A18" s="978" t="s">
        <v>876</v>
      </c>
      <c r="B18" s="980">
        <v>0.4370247349734715</v>
      </c>
      <c r="C18" s="980">
        <v>0.43469999999999998</v>
      </c>
      <c r="D18" s="980">
        <v>-2.3247349734715206E-3</v>
      </c>
      <c r="E18" s="980">
        <v>-5.319458573924055E-3</v>
      </c>
      <c r="F18" s="980">
        <v>0.44</v>
      </c>
      <c r="G18" s="980">
        <v>2.9752650265285063E-3</v>
      </c>
      <c r="H18" s="980">
        <v>6.8080014434631769E-3</v>
      </c>
      <c r="I18" s="957"/>
      <c r="J18" s="957"/>
      <c r="K18" s="957"/>
      <c r="L18" s="957"/>
      <c r="M18" s="957"/>
      <c r="N18" s="957"/>
      <c r="O18" s="957"/>
      <c r="P18" s="957"/>
    </row>
    <row r="19" spans="1:16">
      <c r="A19" s="978" t="s">
        <v>470</v>
      </c>
      <c r="B19" s="980">
        <v>0.4370247349734715</v>
      </c>
      <c r="C19" s="980">
        <v>0.43530000000000002</v>
      </c>
      <c r="D19" s="980">
        <v>-1.7247349734714756E-3</v>
      </c>
      <c r="E19" s="980">
        <v>-3.9465385719555926E-3</v>
      </c>
      <c r="F19" s="980">
        <v>0.43869999999999998</v>
      </c>
      <c r="G19" s="980">
        <v>1.675265026528483E-3</v>
      </c>
      <c r="H19" s="980">
        <v>3.8333414391983462E-3</v>
      </c>
      <c r="I19" s="957"/>
      <c r="J19" s="957"/>
      <c r="K19" s="964"/>
      <c r="L19" s="957"/>
      <c r="M19" s="957"/>
      <c r="N19" s="957"/>
      <c r="O19" s="957"/>
      <c r="P19" s="957"/>
    </row>
    <row r="20" spans="1:16">
      <c r="A20" s="978" t="s">
        <v>877</v>
      </c>
      <c r="B20" s="980">
        <v>0.4370247349734715</v>
      </c>
      <c r="C20" s="980">
        <v>0.43630000000000002</v>
      </c>
      <c r="D20" s="980">
        <v>-7.2473497347147475E-4</v>
      </c>
      <c r="E20" s="980">
        <v>-1.6583385686749928E-3</v>
      </c>
      <c r="F20" s="980">
        <v>0.43769999999999998</v>
      </c>
      <c r="G20" s="980">
        <v>6.7526502652848208E-4</v>
      </c>
      <c r="H20" s="980">
        <v>1.5451414359177458E-3</v>
      </c>
      <c r="I20" s="957"/>
      <c r="J20" s="957"/>
      <c r="K20" s="964"/>
      <c r="L20" s="957"/>
      <c r="M20" s="957"/>
      <c r="N20" s="957"/>
      <c r="O20" s="957"/>
      <c r="P20" s="957"/>
    </row>
    <row r="21" spans="1:16">
      <c r="A21" s="978" t="s">
        <v>98</v>
      </c>
      <c r="B21" s="980">
        <v>0.4370247349734715</v>
      </c>
      <c r="C21" s="980">
        <v>0.41510000000000002</v>
      </c>
      <c r="D21" s="980">
        <v>-2.1924734973471471E-2</v>
      </c>
      <c r="E21" s="980">
        <v>-5.0168178638223662E-2</v>
      </c>
      <c r="F21" s="980">
        <v>0.45960000000000001</v>
      </c>
      <c r="G21" s="980">
        <v>2.2575265026528513E-2</v>
      </c>
      <c r="H21" s="980">
        <v>5.1656721507762918E-2</v>
      </c>
      <c r="I21" s="957"/>
      <c r="J21" s="957"/>
      <c r="K21" s="957"/>
      <c r="L21" s="957"/>
      <c r="M21" s="957"/>
      <c r="N21" s="957"/>
      <c r="O21" s="957"/>
      <c r="P21" s="957"/>
    </row>
    <row r="22" spans="1:16">
      <c r="A22" s="740"/>
      <c r="B22" s="963"/>
      <c r="C22" s="963"/>
      <c r="D22" s="957"/>
      <c r="E22" s="957"/>
      <c r="F22" s="957"/>
      <c r="G22" s="957"/>
      <c r="H22" s="957"/>
      <c r="I22" s="957"/>
      <c r="J22" s="957"/>
      <c r="K22" s="957"/>
      <c r="L22" s="957"/>
      <c r="M22" s="957"/>
      <c r="N22" s="957"/>
      <c r="O22" s="957"/>
      <c r="P22" s="957"/>
    </row>
    <row r="23" spans="1:16" ht="28.5">
      <c r="B23" s="994" t="s">
        <v>883</v>
      </c>
      <c r="C23" s="994" t="s">
        <v>884</v>
      </c>
      <c r="D23" s="958"/>
      <c r="E23" s="958"/>
      <c r="F23" s="958"/>
      <c r="G23" s="966"/>
      <c r="H23" s="957"/>
      <c r="I23" s="957"/>
      <c r="J23" s="957"/>
      <c r="K23" s="957"/>
      <c r="L23" s="957"/>
      <c r="M23" s="957"/>
      <c r="N23" s="957"/>
      <c r="O23" s="957"/>
      <c r="P23" s="957"/>
    </row>
    <row r="24" spans="1:16">
      <c r="A24" s="978" t="s">
        <v>873</v>
      </c>
      <c r="B24" s="980">
        <v>0.19</v>
      </c>
      <c r="C24" s="980">
        <v>0.41</v>
      </c>
      <c r="D24" s="965"/>
      <c r="E24" s="965"/>
      <c r="F24" s="965"/>
      <c r="G24" s="966"/>
      <c r="H24" s="957"/>
      <c r="I24" s="957"/>
      <c r="J24" s="957"/>
      <c r="K24" s="960"/>
      <c r="L24" s="960"/>
      <c r="M24" s="961"/>
      <c r="N24" s="960"/>
      <c r="O24" s="962"/>
      <c r="P24" s="963"/>
    </row>
    <row r="25" spans="1:16">
      <c r="A25" s="978" t="s">
        <v>874</v>
      </c>
      <c r="B25" s="980">
        <v>-0.15</v>
      </c>
      <c r="C25" s="980">
        <v>-0.3</v>
      </c>
      <c r="D25" s="959"/>
      <c r="E25" s="959"/>
      <c r="F25" s="959"/>
      <c r="G25" s="966"/>
      <c r="H25" s="957"/>
      <c r="I25" s="957"/>
      <c r="J25" s="957"/>
      <c r="K25" s="965"/>
      <c r="L25" s="959"/>
      <c r="M25" s="965"/>
      <c r="N25" s="964"/>
      <c r="O25" s="962"/>
      <c r="P25" s="963"/>
    </row>
    <row r="26" spans="1:16">
      <c r="A26" s="978" t="s">
        <v>29</v>
      </c>
      <c r="B26" s="980">
        <v>-0.15</v>
      </c>
      <c r="C26" s="980">
        <v>-0.3</v>
      </c>
      <c r="D26" s="958"/>
      <c r="E26" s="958"/>
      <c r="F26" s="958"/>
      <c r="G26" s="966"/>
      <c r="H26" s="957"/>
      <c r="I26" s="957"/>
      <c r="J26" s="957"/>
      <c r="K26" s="959"/>
      <c r="L26" s="959"/>
      <c r="M26" s="965"/>
      <c r="N26" s="964"/>
      <c r="O26" s="962"/>
      <c r="P26" s="963"/>
    </row>
    <row r="27" spans="1:16">
      <c r="A27" s="978" t="s">
        <v>875</v>
      </c>
      <c r="B27" s="980">
        <v>0.92</v>
      </c>
      <c r="C27" s="980">
        <v>2.0299999999999998</v>
      </c>
      <c r="D27" s="959"/>
      <c r="E27" s="959"/>
      <c r="F27" s="967"/>
      <c r="G27" s="968"/>
      <c r="H27" s="957"/>
      <c r="I27" s="957"/>
      <c r="J27" s="957"/>
      <c r="K27" s="960"/>
      <c r="L27" s="964"/>
      <c r="M27" s="965"/>
      <c r="N27" s="964"/>
      <c r="O27" s="962"/>
      <c r="P27" s="963"/>
    </row>
    <row r="28" spans="1:16">
      <c r="A28" s="978" t="s">
        <v>46</v>
      </c>
      <c r="B28" s="980">
        <v>-0.15</v>
      </c>
      <c r="C28" s="980">
        <v>-0.3</v>
      </c>
      <c r="D28" s="957"/>
      <c r="E28" s="957"/>
      <c r="F28" s="957"/>
      <c r="G28" s="957"/>
      <c r="H28" s="957"/>
      <c r="I28" s="957"/>
      <c r="J28" s="957"/>
      <c r="K28" s="963"/>
      <c r="L28" s="957"/>
      <c r="M28" s="957"/>
      <c r="N28" s="957"/>
      <c r="O28" s="957"/>
      <c r="P28" s="957"/>
    </row>
    <row r="29" spans="1:16">
      <c r="A29" s="978" t="s">
        <v>876</v>
      </c>
      <c r="B29" s="980">
        <v>0.51</v>
      </c>
      <c r="C29" s="980">
        <v>0.92</v>
      </c>
      <c r="D29" s="957"/>
      <c r="E29" s="957"/>
      <c r="F29" s="957"/>
      <c r="G29" s="957"/>
      <c r="H29" s="957"/>
      <c r="I29" s="957"/>
      <c r="J29" s="957"/>
      <c r="K29" s="957"/>
      <c r="L29" s="957"/>
      <c r="M29" s="957"/>
      <c r="N29" s="957"/>
      <c r="O29" s="957"/>
      <c r="P29" s="957"/>
    </row>
    <row r="30" spans="1:16">
      <c r="A30" s="978" t="s">
        <v>470</v>
      </c>
      <c r="B30" s="980">
        <v>0.38240000000000002</v>
      </c>
      <c r="C30" s="995">
        <v>4499145.2589642098</v>
      </c>
      <c r="D30" s="957"/>
      <c r="E30" s="957"/>
      <c r="F30" s="957"/>
      <c r="G30" s="957"/>
      <c r="H30" s="957"/>
      <c r="I30" s="957"/>
      <c r="J30" s="957"/>
      <c r="K30" s="957"/>
      <c r="L30" s="957"/>
      <c r="M30" s="957"/>
      <c r="N30" s="957"/>
      <c r="O30" s="957"/>
      <c r="P30" s="957"/>
    </row>
    <row r="31" spans="1:16">
      <c r="A31" s="978" t="s">
        <v>98</v>
      </c>
      <c r="B31" s="980">
        <v>0.06</v>
      </c>
      <c r="C31" s="980">
        <v>0.11</v>
      </c>
      <c r="D31" s="957"/>
      <c r="E31" s="957"/>
      <c r="F31" s="957"/>
      <c r="G31" s="957"/>
      <c r="H31" s="957"/>
      <c r="I31" s="957"/>
      <c r="J31" s="957"/>
      <c r="K31" s="957"/>
      <c r="L31" s="957"/>
      <c r="M31" s="957"/>
      <c r="N31" s="957"/>
      <c r="O31" s="957"/>
      <c r="P31" s="957"/>
    </row>
    <row r="32" spans="1:16">
      <c r="A32" s="978" t="s">
        <v>877</v>
      </c>
      <c r="B32" s="980">
        <v>2.85</v>
      </c>
      <c r="C32" s="980">
        <v>8.14</v>
      </c>
      <c r="D32" s="961"/>
      <c r="E32" s="964"/>
      <c r="F32" s="959"/>
      <c r="G32" s="963"/>
      <c r="H32" s="957"/>
      <c r="I32" s="957"/>
      <c r="J32" s="957"/>
      <c r="K32" s="960"/>
      <c r="L32" s="960"/>
      <c r="M32" s="961"/>
      <c r="N32" s="964"/>
      <c r="O32" s="962"/>
      <c r="P32" s="963"/>
    </row>
    <row r="33" spans="1:17">
      <c r="A33" s="740"/>
      <c r="B33" s="965"/>
      <c r="C33" s="964"/>
      <c r="D33" s="964"/>
      <c r="E33" s="964"/>
      <c r="F33" s="964"/>
      <c r="G33" s="965"/>
      <c r="H33" s="957"/>
      <c r="I33" s="957"/>
      <c r="J33" s="957"/>
      <c r="K33" s="965"/>
      <c r="L33" s="959"/>
      <c r="M33" s="964"/>
      <c r="N33" s="964"/>
      <c r="O33" s="964"/>
      <c r="P33" s="965"/>
    </row>
    <row r="34" spans="1:17">
      <c r="B34" s="1380" t="s">
        <v>485</v>
      </c>
      <c r="C34" s="1380"/>
      <c r="D34" s="1380" t="s">
        <v>878</v>
      </c>
      <c r="E34" s="1381"/>
      <c r="H34" s="957"/>
      <c r="L34" s="959"/>
      <c r="M34" s="965"/>
      <c r="N34" s="964"/>
      <c r="O34" s="962"/>
      <c r="P34" s="963"/>
    </row>
    <row r="35" spans="1:17" ht="28.5">
      <c r="A35" s="981" t="s">
        <v>4</v>
      </c>
      <c r="B35" s="982" t="s">
        <v>913</v>
      </c>
      <c r="C35" s="982" t="s">
        <v>914</v>
      </c>
      <c r="D35" s="982" t="s">
        <v>913</v>
      </c>
      <c r="E35" s="982" t="s">
        <v>914</v>
      </c>
      <c r="H35" s="957"/>
      <c r="L35" s="964"/>
      <c r="M35" s="965"/>
      <c r="N35" s="964"/>
      <c r="O35" s="962"/>
      <c r="P35" s="963"/>
    </row>
    <row r="36" spans="1:17">
      <c r="A36" s="978" t="s">
        <v>873</v>
      </c>
      <c r="B36" s="995">
        <v>11.57</v>
      </c>
      <c r="C36" s="995">
        <v>13.83</v>
      </c>
      <c r="D36" s="995">
        <v>11.57</v>
      </c>
      <c r="E36" s="995">
        <v>16.37</v>
      </c>
      <c r="H36" s="957"/>
      <c r="L36" s="957"/>
      <c r="M36" s="957"/>
      <c r="N36" s="957"/>
      <c r="O36" s="957"/>
      <c r="P36" s="957"/>
    </row>
    <row r="37" spans="1:17">
      <c r="A37" s="978" t="s">
        <v>937</v>
      </c>
      <c r="B37" s="995">
        <v>0.33900000000000002</v>
      </c>
      <c r="C37" s="995">
        <v>0.288558906</v>
      </c>
      <c r="D37" s="995">
        <v>0.33900000000000002</v>
      </c>
      <c r="E37" s="995">
        <v>0.23713188099999999</v>
      </c>
      <c r="H37" s="957"/>
      <c r="L37" s="957"/>
      <c r="M37" s="957"/>
      <c r="N37" s="957"/>
      <c r="O37" s="957"/>
      <c r="P37" s="957"/>
    </row>
    <row r="38" spans="1:17">
      <c r="A38" s="978" t="s">
        <v>938</v>
      </c>
      <c r="B38" s="995">
        <v>0.19900000000000001</v>
      </c>
      <c r="C38" s="995">
        <v>0.16939003599999999</v>
      </c>
      <c r="D38" s="995">
        <v>0.19900000000000001</v>
      </c>
      <c r="E38" s="995">
        <v>0.13920131099999999</v>
      </c>
      <c r="H38" s="957"/>
      <c r="L38" s="957"/>
      <c r="M38" s="957"/>
      <c r="N38" s="957"/>
      <c r="O38" s="957"/>
      <c r="P38" s="957"/>
    </row>
    <row r="39" spans="1:17">
      <c r="A39" s="978" t="s">
        <v>939</v>
      </c>
      <c r="B39" s="995">
        <v>0.248</v>
      </c>
      <c r="C39" s="995">
        <v>0.21109914099999999</v>
      </c>
      <c r="D39" s="995">
        <v>0.248</v>
      </c>
      <c r="E39" s="995">
        <v>0.17347700999999999</v>
      </c>
      <c r="H39" s="957"/>
      <c r="L39" s="957"/>
      <c r="M39" s="957"/>
      <c r="N39" s="957"/>
      <c r="O39" s="957"/>
      <c r="P39" s="957"/>
    </row>
    <row r="40" spans="1:17">
      <c r="A40" s="978" t="s">
        <v>29</v>
      </c>
      <c r="B40" s="979">
        <v>0.13200000000000001</v>
      </c>
      <c r="C40" s="979">
        <v>0.112444851</v>
      </c>
      <c r="D40" s="979">
        <v>0.13200000000000001</v>
      </c>
      <c r="E40" s="979">
        <v>0.112444851</v>
      </c>
      <c r="H40" s="957"/>
      <c r="L40" s="960"/>
      <c r="M40" s="961"/>
      <c r="N40" s="957"/>
      <c r="O40" s="962"/>
      <c r="P40" s="963"/>
    </row>
    <row r="41" spans="1:17">
      <c r="A41" s="978" t="s">
        <v>875</v>
      </c>
      <c r="B41" s="995">
        <v>3.38</v>
      </c>
      <c r="C41" s="995">
        <v>6.4777548789999999</v>
      </c>
      <c r="D41" s="995">
        <v>3.38</v>
      </c>
      <c r="E41" s="995">
        <v>10.2226997</v>
      </c>
      <c r="H41" s="957"/>
      <c r="L41" s="959"/>
      <c r="M41" s="965"/>
      <c r="N41" s="964"/>
      <c r="O41" s="962"/>
      <c r="P41" s="963"/>
    </row>
    <row r="42" spans="1:17">
      <c r="A42" s="978" t="s">
        <v>940</v>
      </c>
      <c r="B42" s="995">
        <v>7.9000000000000001E-2</v>
      </c>
      <c r="C42" s="995">
        <v>6.7245290999999999E-2</v>
      </c>
      <c r="D42" s="995">
        <v>7.9000000000000001E-2</v>
      </c>
      <c r="E42" s="995">
        <v>5.5260822000000001E-2</v>
      </c>
      <c r="H42" s="957"/>
      <c r="L42" s="957"/>
      <c r="M42" s="957"/>
      <c r="N42" s="957"/>
      <c r="O42" s="969"/>
      <c r="P42" s="957"/>
      <c r="Q42" s="970"/>
    </row>
    <row r="43" spans="1:17">
      <c r="A43" s="978" t="s">
        <v>941</v>
      </c>
      <c r="B43" s="995">
        <v>7.5999999999999998E-2</v>
      </c>
      <c r="C43" s="995">
        <v>6.4689969999999999E-2</v>
      </c>
      <c r="D43" s="995">
        <v>7.5999999999999998E-2</v>
      </c>
      <c r="E43" s="995">
        <v>5.3160910999999998E-2</v>
      </c>
      <c r="H43" s="957"/>
      <c r="L43" s="957"/>
      <c r="M43" s="957"/>
      <c r="N43" s="957"/>
      <c r="O43" s="969"/>
      <c r="P43" s="957"/>
      <c r="Q43" s="970"/>
    </row>
    <row r="44" spans="1:17">
      <c r="A44" s="978" t="s">
        <v>942</v>
      </c>
      <c r="B44" s="995">
        <v>0.05</v>
      </c>
      <c r="C44" s="995">
        <v>4.2560311000000003E-2</v>
      </c>
      <c r="D44" s="995">
        <v>0.05</v>
      </c>
      <c r="E44" s="995">
        <v>3.4975204000000003E-2</v>
      </c>
      <c r="H44" s="957"/>
      <c r="L44" s="957"/>
      <c r="M44" s="957"/>
      <c r="N44" s="957"/>
      <c r="O44" s="957"/>
      <c r="P44" s="957"/>
    </row>
    <row r="45" spans="1:17">
      <c r="A45" s="978" t="s">
        <v>943</v>
      </c>
      <c r="B45" s="1185">
        <v>0</v>
      </c>
      <c r="C45" s="1185">
        <v>0</v>
      </c>
      <c r="D45" s="1185">
        <v>0</v>
      </c>
      <c r="E45" s="1185">
        <v>0</v>
      </c>
      <c r="H45" s="957"/>
      <c r="L45" s="957"/>
      <c r="M45" s="957"/>
      <c r="N45" s="957"/>
      <c r="O45" s="957"/>
      <c r="P45" s="957"/>
    </row>
    <row r="46" spans="1:17">
      <c r="A46" s="978" t="s">
        <v>944</v>
      </c>
      <c r="B46" s="1185">
        <v>0</v>
      </c>
      <c r="C46" s="1185">
        <v>0</v>
      </c>
      <c r="D46" s="1185">
        <v>0</v>
      </c>
      <c r="E46" s="1185">
        <v>0</v>
      </c>
      <c r="H46" s="957"/>
      <c r="L46" s="957"/>
      <c r="M46" s="957"/>
      <c r="N46" s="957"/>
      <c r="O46" s="957"/>
      <c r="P46" s="957"/>
    </row>
    <row r="47" spans="1:17">
      <c r="A47" s="978" t="s">
        <v>945</v>
      </c>
      <c r="B47" s="995">
        <v>0</v>
      </c>
      <c r="C47" s="995">
        <v>0</v>
      </c>
      <c r="D47" s="995">
        <v>0</v>
      </c>
      <c r="E47" s="995">
        <v>0</v>
      </c>
      <c r="H47" s="957"/>
      <c r="L47" s="957"/>
      <c r="M47" s="957"/>
      <c r="N47" s="957"/>
      <c r="O47" s="957"/>
      <c r="P47" s="957"/>
    </row>
    <row r="48" spans="1:17">
      <c r="A48" s="978" t="s">
        <v>470</v>
      </c>
      <c r="B48" s="979">
        <v>0.26819999999999999</v>
      </c>
      <c r="C48" s="979">
        <v>0.38237062100000002</v>
      </c>
      <c r="D48" s="979">
        <v>0.26819999999999999</v>
      </c>
      <c r="E48" s="979">
        <v>4499146.2589999996</v>
      </c>
      <c r="H48" s="957"/>
      <c r="L48" s="960"/>
      <c r="M48" s="961"/>
      <c r="N48" s="960"/>
      <c r="O48" s="962"/>
      <c r="P48" s="963"/>
    </row>
    <row r="49" spans="1:16">
      <c r="A49" s="978" t="s">
        <v>98</v>
      </c>
      <c r="B49" s="979">
        <v>100</v>
      </c>
      <c r="C49" s="979">
        <v>105.84</v>
      </c>
      <c r="D49" s="979">
        <v>100</v>
      </c>
      <c r="E49" s="979">
        <v>110.81</v>
      </c>
      <c r="H49" s="957"/>
      <c r="L49" s="959"/>
      <c r="M49" s="965"/>
      <c r="N49" s="964"/>
      <c r="O49" s="962"/>
      <c r="P49" s="963"/>
    </row>
    <row r="50" spans="1:16">
      <c r="A50" s="978" t="s">
        <v>877</v>
      </c>
      <c r="B50" s="979">
        <v>103813.32</v>
      </c>
      <c r="C50" s="979">
        <v>400102.54</v>
      </c>
      <c r="D50" s="979">
        <v>103813.32</v>
      </c>
      <c r="E50" s="979">
        <v>948953.91</v>
      </c>
      <c r="H50" s="957"/>
      <c r="L50" s="959"/>
      <c r="M50" s="959"/>
      <c r="N50" s="964"/>
      <c r="O50" s="962"/>
      <c r="P50" s="963"/>
    </row>
    <row r="51" spans="1:16">
      <c r="D51" s="964"/>
      <c r="H51" s="957"/>
      <c r="L51" s="964"/>
      <c r="M51" s="964"/>
      <c r="N51" s="964"/>
      <c r="O51" s="962"/>
      <c r="P51" s="963"/>
    </row>
    <row r="52" spans="1:16">
      <c r="B52" s="1380" t="s">
        <v>485</v>
      </c>
      <c r="C52" s="1380"/>
      <c r="D52" s="1380" t="s">
        <v>878</v>
      </c>
      <c r="E52" s="1381"/>
      <c r="H52" s="957"/>
      <c r="L52" s="964"/>
      <c r="M52" s="964"/>
      <c r="N52" s="964"/>
      <c r="O52" s="962"/>
      <c r="P52" s="963"/>
    </row>
    <row r="53" spans="1:16" ht="28.5">
      <c r="A53" s="981" t="s">
        <v>61</v>
      </c>
      <c r="B53" s="982" t="s">
        <v>913</v>
      </c>
      <c r="C53" s="982" t="s">
        <v>914</v>
      </c>
      <c r="D53" s="982" t="s">
        <v>913</v>
      </c>
      <c r="E53" s="982" t="s">
        <v>914</v>
      </c>
      <c r="H53" s="957"/>
      <c r="L53" s="964"/>
      <c r="M53" s="964"/>
      <c r="N53" s="964"/>
      <c r="O53" s="962"/>
      <c r="P53" s="963"/>
    </row>
    <row r="54" spans="1:16">
      <c r="A54" s="978" t="s">
        <v>873</v>
      </c>
      <c r="B54" s="995">
        <v>11.88</v>
      </c>
      <c r="C54" s="995">
        <v>14.2</v>
      </c>
      <c r="D54" s="995">
        <v>11.88</v>
      </c>
      <c r="E54" s="995">
        <v>16.8</v>
      </c>
      <c r="H54" s="957"/>
      <c r="L54" s="964"/>
      <c r="M54" s="964"/>
      <c r="N54" s="964"/>
      <c r="O54" s="962"/>
      <c r="P54" s="963"/>
    </row>
    <row r="55" spans="1:16">
      <c r="A55" s="978" t="s">
        <v>937</v>
      </c>
      <c r="B55" s="995">
        <v>0.33900000000000002</v>
      </c>
      <c r="C55" s="995">
        <v>0.288558906</v>
      </c>
      <c r="D55" s="995">
        <v>0.33900000000000002</v>
      </c>
      <c r="E55" s="995">
        <v>0.23713188099999999</v>
      </c>
      <c r="H55" s="957"/>
      <c r="L55" s="964"/>
      <c r="M55" s="964"/>
      <c r="N55" s="964"/>
      <c r="O55" s="962"/>
      <c r="P55" s="963"/>
    </row>
    <row r="56" spans="1:16">
      <c r="A56" s="978" t="s">
        <v>938</v>
      </c>
      <c r="B56" s="995">
        <v>0.19900000000000001</v>
      </c>
      <c r="C56" s="995">
        <v>0.16939003599999999</v>
      </c>
      <c r="D56" s="995">
        <v>0.19900000000000001</v>
      </c>
      <c r="E56" s="995">
        <v>0.13920131099999999</v>
      </c>
      <c r="H56" s="957"/>
      <c r="L56" s="964"/>
      <c r="M56" s="964"/>
      <c r="N56" s="964"/>
      <c r="O56" s="962"/>
      <c r="P56" s="963"/>
    </row>
    <row r="57" spans="1:16">
      <c r="A57" s="978" t="s">
        <v>939</v>
      </c>
      <c r="B57" s="995">
        <v>0.248</v>
      </c>
      <c r="C57" s="995">
        <v>0.21109914099999999</v>
      </c>
      <c r="D57" s="995">
        <v>0.248</v>
      </c>
      <c r="E57" s="995">
        <v>0.17347700999999999</v>
      </c>
      <c r="H57" s="957"/>
      <c r="L57" s="964"/>
      <c r="M57" s="964"/>
      <c r="N57" s="964"/>
      <c r="O57" s="962"/>
      <c r="P57" s="963"/>
    </row>
    <row r="58" spans="1:16">
      <c r="A58" s="978" t="s">
        <v>29</v>
      </c>
      <c r="B58" s="979">
        <v>0.14099999999999999</v>
      </c>
      <c r="C58" s="979">
        <v>0.12036055499999999</v>
      </c>
      <c r="D58" s="979">
        <v>0.14099999999999999</v>
      </c>
      <c r="E58" s="979">
        <v>0.12036055499999999</v>
      </c>
      <c r="H58" s="957"/>
      <c r="L58" s="964"/>
      <c r="M58" s="964"/>
      <c r="N58" s="964"/>
      <c r="O58" s="962"/>
      <c r="P58" s="963"/>
    </row>
    <row r="59" spans="1:16">
      <c r="A59" s="978" t="s">
        <v>875</v>
      </c>
      <c r="B59" s="995">
        <v>3.37</v>
      </c>
      <c r="C59" s="995">
        <v>6.4583217800000003</v>
      </c>
      <c r="D59" s="995">
        <v>3.37</v>
      </c>
      <c r="E59" s="995">
        <v>10.19203186</v>
      </c>
      <c r="H59" s="957"/>
      <c r="L59" s="964"/>
      <c r="M59" s="964"/>
      <c r="N59" s="964"/>
      <c r="O59" s="962"/>
      <c r="P59" s="963"/>
    </row>
    <row r="60" spans="1:16">
      <c r="A60" s="978" t="s">
        <v>940</v>
      </c>
      <c r="B60" s="995">
        <v>8.7999999999999995E-2</v>
      </c>
      <c r="C60" s="995">
        <v>7.4906147000000006E-2</v>
      </c>
      <c r="D60" s="995">
        <v>8.7999999999999995E-2</v>
      </c>
      <c r="E60" s="995">
        <v>6.1556358999999998E-2</v>
      </c>
      <c r="H60" s="957"/>
      <c r="L60" s="964"/>
      <c r="M60" s="964"/>
      <c r="N60" s="964"/>
      <c r="O60" s="962"/>
      <c r="P60" s="963"/>
    </row>
    <row r="61" spans="1:16">
      <c r="A61" s="978" t="s">
        <v>941</v>
      </c>
      <c r="B61" s="995">
        <v>8.4000000000000005E-2</v>
      </c>
      <c r="C61" s="995">
        <v>7.1501322000000006E-2</v>
      </c>
      <c r="D61" s="995">
        <v>8.4000000000000005E-2</v>
      </c>
      <c r="E61" s="995">
        <v>5.8758341999999998E-2</v>
      </c>
      <c r="H61" s="957"/>
      <c r="L61" s="964"/>
      <c r="M61" s="964"/>
      <c r="N61" s="964"/>
      <c r="O61" s="962"/>
      <c r="P61" s="963"/>
    </row>
    <row r="62" spans="1:16">
      <c r="A62" s="978" t="s">
        <v>942</v>
      </c>
      <c r="B62" s="995">
        <v>6.5000000000000002E-2</v>
      </c>
      <c r="C62" s="995">
        <v>5.5328403999999998E-2</v>
      </c>
      <c r="D62" s="995">
        <v>6.5000000000000002E-2</v>
      </c>
      <c r="E62" s="995">
        <v>4.5467765E-2</v>
      </c>
      <c r="H62" s="957"/>
      <c r="L62" s="964"/>
      <c r="M62" s="964"/>
      <c r="N62" s="964"/>
      <c r="O62" s="962"/>
      <c r="P62" s="963"/>
    </row>
    <row r="63" spans="1:16">
      <c r="A63" s="978" t="s">
        <v>943</v>
      </c>
      <c r="B63" s="1185">
        <v>0</v>
      </c>
      <c r="C63" s="1185">
        <v>0</v>
      </c>
      <c r="D63" s="1185">
        <v>0</v>
      </c>
      <c r="E63" s="1185">
        <v>0</v>
      </c>
      <c r="H63" s="957"/>
      <c r="L63" s="964"/>
      <c r="M63" s="964"/>
      <c r="N63" s="964"/>
      <c r="O63" s="962"/>
      <c r="P63" s="963"/>
    </row>
    <row r="64" spans="1:16">
      <c r="A64" s="978" t="s">
        <v>944</v>
      </c>
      <c r="B64" s="1185">
        <v>0</v>
      </c>
      <c r="C64" s="1185">
        <v>0</v>
      </c>
      <c r="D64" s="1185">
        <v>0</v>
      </c>
      <c r="E64" s="1185">
        <v>0</v>
      </c>
      <c r="H64" s="957"/>
      <c r="L64" s="964"/>
      <c r="M64" s="964"/>
      <c r="N64" s="964"/>
      <c r="O64" s="962"/>
      <c r="P64" s="963"/>
    </row>
    <row r="65" spans="1:16">
      <c r="A65" s="978" t="s">
        <v>945</v>
      </c>
      <c r="B65" s="995">
        <v>0</v>
      </c>
      <c r="C65" s="995">
        <v>0</v>
      </c>
      <c r="D65" s="995">
        <v>0</v>
      </c>
      <c r="E65" s="995">
        <v>0</v>
      </c>
      <c r="H65" s="957"/>
      <c r="L65" s="964"/>
      <c r="M65" s="964"/>
      <c r="N65" s="964"/>
      <c r="O65" s="962"/>
      <c r="P65" s="963"/>
    </row>
    <row r="66" spans="1:16">
      <c r="A66" s="978" t="s">
        <v>470</v>
      </c>
      <c r="B66" s="979">
        <v>0.26819999999999999</v>
      </c>
      <c r="C66" s="979">
        <v>0.38237062100000002</v>
      </c>
      <c r="D66" s="979">
        <v>0.26819999999999999</v>
      </c>
      <c r="E66" s="979">
        <v>4499146.2589999996</v>
      </c>
      <c r="H66" s="957"/>
      <c r="L66" s="964"/>
      <c r="M66" s="964"/>
      <c r="N66" s="964"/>
      <c r="O66" s="962"/>
      <c r="P66" s="963"/>
    </row>
    <row r="67" spans="1:16">
      <c r="A67" s="978" t="s">
        <v>98</v>
      </c>
      <c r="B67" s="979">
        <v>100</v>
      </c>
      <c r="C67" s="979">
        <v>105.84</v>
      </c>
      <c r="D67" s="979">
        <v>100</v>
      </c>
      <c r="E67" s="979">
        <v>110.81</v>
      </c>
      <c r="H67" s="957"/>
      <c r="L67" s="964"/>
      <c r="M67" s="964"/>
      <c r="N67" s="964"/>
      <c r="O67" s="962"/>
      <c r="P67" s="963"/>
    </row>
    <row r="68" spans="1:16">
      <c r="A68" s="978" t="s">
        <v>877</v>
      </c>
      <c r="B68" s="979">
        <v>106553.99</v>
      </c>
      <c r="C68" s="979">
        <v>410665.25</v>
      </c>
      <c r="D68" s="979">
        <v>106553.99</v>
      </c>
      <c r="E68" s="979">
        <v>974006.29</v>
      </c>
      <c r="H68" s="957"/>
      <c r="L68" s="964"/>
      <c r="M68" s="964"/>
      <c r="N68" s="964"/>
      <c r="O68" s="962"/>
      <c r="P68" s="963"/>
    </row>
    <row r="69" spans="1:16">
      <c r="H69" s="957"/>
      <c r="L69" s="964"/>
      <c r="M69" s="964"/>
      <c r="N69" s="964"/>
      <c r="O69" s="962"/>
      <c r="P69" s="963"/>
    </row>
    <row r="70" spans="1:16">
      <c r="B70" s="1380" t="s">
        <v>485</v>
      </c>
      <c r="C70" s="1380"/>
      <c r="D70" s="1380" t="s">
        <v>878</v>
      </c>
      <c r="E70" s="1381"/>
    </row>
    <row r="71" spans="1:16" ht="28.5">
      <c r="A71" s="981" t="s">
        <v>63</v>
      </c>
      <c r="B71" s="1187" t="s">
        <v>913</v>
      </c>
      <c r="C71" s="1187" t="s">
        <v>914</v>
      </c>
      <c r="D71" s="1187" t="s">
        <v>913</v>
      </c>
      <c r="E71" s="1187" t="s">
        <v>914</v>
      </c>
    </row>
    <row r="72" spans="1:16">
      <c r="A72" s="978" t="s">
        <v>873</v>
      </c>
      <c r="B72" s="995">
        <v>12.16</v>
      </c>
      <c r="C72" s="995">
        <v>14.53</v>
      </c>
      <c r="D72" s="995">
        <v>12.16</v>
      </c>
      <c r="E72" s="995">
        <v>17.190000000000001</v>
      </c>
    </row>
    <row r="73" spans="1:16">
      <c r="A73" s="978" t="s">
        <v>937</v>
      </c>
      <c r="B73" s="995">
        <v>0.3427</v>
      </c>
      <c r="C73" s="995">
        <v>0.29166792000000002</v>
      </c>
      <c r="D73" s="995">
        <v>0.3427</v>
      </c>
      <c r="E73" s="995">
        <v>0.239686806</v>
      </c>
    </row>
    <row r="74" spans="1:16">
      <c r="A74" s="978" t="s">
        <v>938</v>
      </c>
      <c r="B74" s="995">
        <v>0.20180000000000001</v>
      </c>
      <c r="C74" s="995">
        <v>0.171789257</v>
      </c>
      <c r="D74" s="995">
        <v>0.20180000000000001</v>
      </c>
      <c r="E74" s="995">
        <v>0.141172942</v>
      </c>
    </row>
    <row r="75" spans="1:16">
      <c r="A75" s="978" t="s">
        <v>939</v>
      </c>
      <c r="B75" s="995">
        <v>0.25090000000000001</v>
      </c>
      <c r="C75" s="995">
        <v>0.213604557</v>
      </c>
      <c r="D75" s="995">
        <v>0.25090000000000001</v>
      </c>
      <c r="E75" s="995">
        <v>0.17553591099999999</v>
      </c>
    </row>
    <row r="76" spans="1:16">
      <c r="A76" s="978" t="s">
        <v>29</v>
      </c>
      <c r="B76" s="979">
        <v>0.16300000000000001</v>
      </c>
      <c r="C76" s="979">
        <v>0.13916029699999999</v>
      </c>
      <c r="D76" s="979">
        <v>0.16300000000000001</v>
      </c>
      <c r="E76" s="979">
        <v>0.13916029699999999</v>
      </c>
    </row>
    <row r="77" spans="1:16">
      <c r="A77" s="978" t="s">
        <v>875</v>
      </c>
      <c r="B77" s="995">
        <v>2.14</v>
      </c>
      <c r="C77" s="995">
        <v>4.1012259520000001</v>
      </c>
      <c r="D77" s="995">
        <v>2.14</v>
      </c>
      <c r="E77" s="995">
        <v>6.4722426349999997</v>
      </c>
    </row>
    <row r="78" spans="1:16">
      <c r="A78" s="978" t="s">
        <v>940</v>
      </c>
      <c r="B78" s="995">
        <v>0.16700000000000001</v>
      </c>
      <c r="C78" s="995">
        <v>0.14215143699999999</v>
      </c>
      <c r="D78" s="995">
        <v>0.16700000000000001</v>
      </c>
      <c r="E78" s="995">
        <v>0.11681718000000001</v>
      </c>
    </row>
    <row r="79" spans="1:16">
      <c r="A79" s="978" t="s">
        <v>941</v>
      </c>
      <c r="B79" s="995">
        <v>0.156</v>
      </c>
      <c r="C79" s="995">
        <v>0.13278816900000001</v>
      </c>
      <c r="D79" s="995">
        <v>0.156</v>
      </c>
      <c r="E79" s="995">
        <v>0.109122636</v>
      </c>
    </row>
    <row r="80" spans="1:16">
      <c r="A80" s="978" t="s">
        <v>942</v>
      </c>
      <c r="B80" s="995">
        <v>0.122</v>
      </c>
      <c r="C80" s="995">
        <v>0.10384715799999999</v>
      </c>
      <c r="D80" s="995">
        <v>0.122</v>
      </c>
      <c r="E80" s="995">
        <v>8.5339497E-2</v>
      </c>
    </row>
    <row r="81" spans="1:5">
      <c r="A81" s="978" t="s">
        <v>943</v>
      </c>
      <c r="B81" s="1185">
        <v>49335</v>
      </c>
      <c r="C81" s="1185">
        <v>7451.08</v>
      </c>
      <c r="D81" s="1185">
        <v>49335</v>
      </c>
      <c r="E81" s="1185">
        <v>9489.9699999999993</v>
      </c>
    </row>
    <row r="82" spans="1:5">
      <c r="A82" s="978" t="s">
        <v>944</v>
      </c>
      <c r="B82" s="1185">
        <v>7026</v>
      </c>
      <c r="C82" s="1185">
        <v>10611</v>
      </c>
      <c r="D82" s="1185">
        <v>7026</v>
      </c>
      <c r="E82" s="1185">
        <v>13514</v>
      </c>
    </row>
    <row r="83" spans="1:5">
      <c r="A83" s="978" t="s">
        <v>945</v>
      </c>
      <c r="B83" s="995">
        <v>28443</v>
      </c>
      <c r="C83" s="995">
        <v>42957</v>
      </c>
      <c r="D83" s="995">
        <v>28443</v>
      </c>
      <c r="E83" s="995">
        <v>54711</v>
      </c>
    </row>
    <row r="84" spans="1:5">
      <c r="A84" s="978" t="s">
        <v>470</v>
      </c>
      <c r="B84" s="979">
        <v>0.26819999999999999</v>
      </c>
      <c r="C84" s="979">
        <v>0.38237062100000002</v>
      </c>
      <c r="D84" s="979">
        <v>0.26819999999999999</v>
      </c>
      <c r="E84" s="979">
        <v>4499146.2589999996</v>
      </c>
    </row>
    <row r="85" spans="1:5">
      <c r="A85" s="978" t="s">
        <v>98</v>
      </c>
      <c r="B85" s="979">
        <v>99.53</v>
      </c>
      <c r="C85" s="979">
        <v>105.84</v>
      </c>
      <c r="D85" s="979">
        <v>99.53</v>
      </c>
      <c r="E85" s="979">
        <v>110.81</v>
      </c>
    </row>
    <row r="86" spans="1:5">
      <c r="A86" s="978" t="s">
        <v>877</v>
      </c>
      <c r="B86" s="979">
        <v>109026.04</v>
      </c>
      <c r="C86" s="979">
        <v>420192.68</v>
      </c>
      <c r="D86" s="979">
        <v>109026.04</v>
      </c>
      <c r="E86" s="979">
        <v>996603.24</v>
      </c>
    </row>
    <row r="87" spans="1:5">
      <c r="A87"/>
    </row>
    <row r="88" spans="1:5">
      <c r="B88" s="1380" t="s">
        <v>485</v>
      </c>
      <c r="C88" s="1380"/>
      <c r="D88" s="1380" t="s">
        <v>878</v>
      </c>
      <c r="E88" s="1381"/>
    </row>
    <row r="89" spans="1:5" ht="28.5">
      <c r="A89" s="981" t="s">
        <v>65</v>
      </c>
      <c r="B89" s="982" t="s">
        <v>913</v>
      </c>
      <c r="C89" s="982" t="s">
        <v>914</v>
      </c>
      <c r="D89" s="982" t="s">
        <v>913</v>
      </c>
      <c r="E89" s="982" t="s">
        <v>914</v>
      </c>
    </row>
    <row r="90" spans="1:5">
      <c r="A90" s="978" t="s">
        <v>873</v>
      </c>
      <c r="B90" s="995">
        <v>12.42</v>
      </c>
      <c r="C90" s="995">
        <v>14.84</v>
      </c>
      <c r="D90" s="995">
        <v>12.42</v>
      </c>
      <c r="E90" s="995">
        <v>17.57</v>
      </c>
    </row>
    <row r="91" spans="1:5">
      <c r="A91" s="978" t="s">
        <v>937</v>
      </c>
      <c r="B91" s="995">
        <v>0.36549999999999999</v>
      </c>
      <c r="C91" s="995">
        <v>0.31109202600000002</v>
      </c>
      <c r="D91" s="995">
        <v>0.36549999999999999</v>
      </c>
      <c r="E91" s="995">
        <v>0.25564914399999999</v>
      </c>
    </row>
    <row r="92" spans="1:5">
      <c r="A92" s="978" t="s">
        <v>938</v>
      </c>
      <c r="B92" s="995">
        <v>0.2203</v>
      </c>
      <c r="C92" s="995">
        <v>0.187519774</v>
      </c>
      <c r="D92" s="995">
        <v>0.2203</v>
      </c>
      <c r="E92" s="995">
        <v>0.15409996300000001</v>
      </c>
    </row>
    <row r="93" spans="1:5">
      <c r="A93" s="978" t="s">
        <v>939</v>
      </c>
      <c r="B93" s="995">
        <v>0.26850000000000002</v>
      </c>
      <c r="C93" s="995">
        <v>0.22857101299999999</v>
      </c>
      <c r="D93" s="995">
        <v>0.26850000000000002</v>
      </c>
      <c r="E93" s="995">
        <v>0.18783504300000001</v>
      </c>
    </row>
    <row r="94" spans="1:5">
      <c r="A94" s="978" t="s">
        <v>29</v>
      </c>
      <c r="B94" s="979">
        <v>0.24399999999999999</v>
      </c>
      <c r="C94" s="979">
        <v>0.207331618</v>
      </c>
      <c r="D94" s="979">
        <v>0.24399999999999999</v>
      </c>
      <c r="E94" s="979">
        <v>0.207331618</v>
      </c>
    </row>
    <row r="95" spans="1:5">
      <c r="A95" s="978" t="s">
        <v>875</v>
      </c>
      <c r="B95" s="995">
        <v>2.19</v>
      </c>
      <c r="C95" s="995">
        <v>4.1952339240000001</v>
      </c>
      <c r="D95" s="995">
        <v>2.19</v>
      </c>
      <c r="E95" s="995">
        <v>6.6205988610000004</v>
      </c>
    </row>
    <row r="96" spans="1:5">
      <c r="A96" s="978" t="s">
        <v>940</v>
      </c>
      <c r="B96" s="995">
        <v>0.17799999999999999</v>
      </c>
      <c r="C96" s="995">
        <v>0.151514706</v>
      </c>
      <c r="D96" s="995">
        <v>0.17799999999999999</v>
      </c>
      <c r="E96" s="995">
        <v>0.124511725</v>
      </c>
    </row>
    <row r="97" spans="1:7">
      <c r="A97" s="978" t="s">
        <v>941</v>
      </c>
      <c r="B97" s="995">
        <v>0.16800000000000001</v>
      </c>
      <c r="C97" s="995">
        <v>0.14300264400000001</v>
      </c>
      <c r="D97" s="995">
        <v>0.16800000000000001</v>
      </c>
      <c r="E97" s="995">
        <v>0.117516684</v>
      </c>
    </row>
    <row r="98" spans="1:7">
      <c r="A98" s="978" t="s">
        <v>942</v>
      </c>
      <c r="B98" s="995">
        <v>0.13200000000000001</v>
      </c>
      <c r="C98" s="995">
        <v>0.11235922</v>
      </c>
      <c r="D98" s="995">
        <v>0.13200000000000001</v>
      </c>
      <c r="E98" s="995">
        <v>9.2334537999999994E-2</v>
      </c>
    </row>
    <row r="99" spans="1:7">
      <c r="A99" s="978" t="s">
        <v>943</v>
      </c>
      <c r="B99" s="1185">
        <v>12988.87</v>
      </c>
      <c r="C99" s="1185">
        <v>19617.14</v>
      </c>
      <c r="D99" s="1185">
        <v>12988.87</v>
      </c>
      <c r="E99" s="1185">
        <v>24985.119999999999</v>
      </c>
    </row>
    <row r="100" spans="1:7">
      <c r="A100" s="978" t="s">
        <v>944</v>
      </c>
      <c r="B100" s="1185">
        <v>18511</v>
      </c>
      <c r="C100" s="1185">
        <v>27958</v>
      </c>
      <c r="D100" s="1185">
        <v>18511</v>
      </c>
      <c r="E100" s="1185">
        <v>35608</v>
      </c>
    </row>
    <row r="101" spans="1:7">
      <c r="A101" s="978" t="s">
        <v>945</v>
      </c>
      <c r="B101" s="995">
        <v>73824</v>
      </c>
      <c r="C101" s="995">
        <v>111497</v>
      </c>
      <c r="D101" s="995">
        <v>73824</v>
      </c>
      <c r="E101" s="995">
        <v>142007</v>
      </c>
    </row>
    <row r="102" spans="1:7">
      <c r="A102" s="978" t="s">
        <v>470</v>
      </c>
      <c r="B102" s="979">
        <v>0.26819999999999999</v>
      </c>
      <c r="C102" s="979">
        <v>0.38237062100000002</v>
      </c>
      <c r="D102" s="979">
        <v>0.26819999999999999</v>
      </c>
      <c r="E102" s="979">
        <v>4499146.2589999996</v>
      </c>
    </row>
    <row r="103" spans="1:7">
      <c r="A103" s="978" t="s">
        <v>98</v>
      </c>
      <c r="B103" s="979">
        <v>96.42</v>
      </c>
      <c r="C103" s="979">
        <v>102.05</v>
      </c>
      <c r="D103" s="979">
        <v>96.42</v>
      </c>
      <c r="E103" s="979">
        <v>106.84</v>
      </c>
    </row>
    <row r="104" spans="1:7" ht="14.65" thickBot="1">
      <c r="A104" s="978" t="s">
        <v>877</v>
      </c>
      <c r="B104" s="979">
        <v>111402.81</v>
      </c>
      <c r="C104" s="979">
        <v>429352.88</v>
      </c>
      <c r="D104" s="979">
        <v>111402.81</v>
      </c>
      <c r="E104" s="979">
        <v>1018329.19</v>
      </c>
    </row>
    <row r="105" spans="1:7" ht="14.65" thickBot="1">
      <c r="A105" s="1186"/>
      <c r="B105" s="1186"/>
      <c r="C105" s="1186"/>
      <c r="D105" s="1184"/>
    </row>
    <row r="106" spans="1:7" ht="14.65" thickBot="1">
      <c r="B106" s="1380" t="s">
        <v>485</v>
      </c>
      <c r="C106" s="1380"/>
      <c r="D106" s="1380" t="s">
        <v>878</v>
      </c>
      <c r="E106" s="1381"/>
      <c r="F106" s="1184"/>
      <c r="G106" s="1184"/>
    </row>
    <row r="107" spans="1:7" ht="28.9" thickBot="1">
      <c r="A107" s="981" t="s">
        <v>67</v>
      </c>
      <c r="B107" s="1187" t="s">
        <v>913</v>
      </c>
      <c r="C107" s="1187" t="s">
        <v>914</v>
      </c>
      <c r="D107" s="1187" t="s">
        <v>913</v>
      </c>
      <c r="E107" s="1187" t="s">
        <v>914</v>
      </c>
      <c r="F107" s="1184"/>
      <c r="G107" s="1184"/>
    </row>
    <row r="108" spans="1:7" ht="14.65" thickBot="1">
      <c r="A108" s="978" t="s">
        <v>873</v>
      </c>
      <c r="B108" s="995">
        <v>12.7</v>
      </c>
      <c r="C108" s="995">
        <v>15.18</v>
      </c>
      <c r="D108" s="995">
        <v>12.7</v>
      </c>
      <c r="E108" s="995">
        <v>17.97</v>
      </c>
      <c r="F108" s="1184"/>
      <c r="G108" s="1184"/>
    </row>
    <row r="109" spans="1:7" ht="14.65" thickBot="1">
      <c r="A109" s="978" t="s">
        <v>937</v>
      </c>
      <c r="B109" s="995">
        <v>0.36969999999999997</v>
      </c>
      <c r="C109" s="995">
        <v>0.31467519399999999</v>
      </c>
      <c r="D109" s="995">
        <v>0.36969999999999997</v>
      </c>
      <c r="E109" s="995">
        <v>0.258593719</v>
      </c>
      <c r="F109" s="1184"/>
      <c r="G109" s="1184"/>
    </row>
    <row r="110" spans="1:7" ht="14.65" thickBot="1">
      <c r="A110" s="978" t="s">
        <v>938</v>
      </c>
      <c r="B110" s="995">
        <v>0.22389999999999999</v>
      </c>
      <c r="C110" s="995">
        <v>0.190585691</v>
      </c>
      <c r="D110" s="995">
        <v>0.22389999999999999</v>
      </c>
      <c r="E110" s="995">
        <v>0.15661947200000001</v>
      </c>
      <c r="F110" s="1184"/>
      <c r="G110" s="1184"/>
    </row>
    <row r="111" spans="1:7" ht="14.65" thickBot="1">
      <c r="A111" s="978" t="s">
        <v>939</v>
      </c>
      <c r="B111" s="995">
        <v>0.27160000000000001</v>
      </c>
      <c r="C111" s="995">
        <v>0.23117982100000001</v>
      </c>
      <c r="D111" s="995">
        <v>0.27160000000000001</v>
      </c>
      <c r="E111" s="995">
        <v>0.189978908</v>
      </c>
      <c r="F111" s="1184"/>
      <c r="G111" s="1184"/>
    </row>
    <row r="112" spans="1:7" ht="14.65" thickBot="1">
      <c r="A112" s="978" t="s">
        <v>29</v>
      </c>
      <c r="B112" s="979">
        <v>0.27089999999999997</v>
      </c>
      <c r="C112" s="979">
        <v>0.23056265500000001</v>
      </c>
      <c r="D112" s="979">
        <v>0.27089999999999997</v>
      </c>
      <c r="E112" s="979">
        <v>0.23056265500000001</v>
      </c>
      <c r="F112" s="1184"/>
      <c r="G112" s="1184"/>
    </row>
    <row r="113" spans="1:7" ht="14.65" thickBot="1">
      <c r="A113" s="978" t="s">
        <v>875</v>
      </c>
      <c r="B113" s="995">
        <v>2.83</v>
      </c>
      <c r="C113" s="995">
        <v>5.418223792</v>
      </c>
      <c r="D113" s="995">
        <v>2.83</v>
      </c>
      <c r="E113" s="995">
        <v>8.5506283829999994</v>
      </c>
      <c r="F113" s="1184"/>
      <c r="G113" s="1184"/>
    </row>
    <row r="114" spans="1:7" ht="14.65" thickBot="1">
      <c r="A114" s="978" t="s">
        <v>940</v>
      </c>
      <c r="B114" s="995">
        <v>0.19</v>
      </c>
      <c r="C114" s="995">
        <v>0.16172909999999999</v>
      </c>
      <c r="D114" s="995">
        <v>0.19</v>
      </c>
      <c r="E114" s="995">
        <v>0.132905774</v>
      </c>
      <c r="F114" s="1184"/>
      <c r="G114" s="1184"/>
    </row>
    <row r="115" spans="1:7" ht="14.65" thickBot="1">
      <c r="A115" s="978" t="s">
        <v>941</v>
      </c>
      <c r="B115" s="995">
        <v>0.17899999999999999</v>
      </c>
      <c r="C115" s="995">
        <v>0.15236591199999999</v>
      </c>
      <c r="D115" s="995">
        <v>0.17899999999999999</v>
      </c>
      <c r="E115" s="995">
        <v>0.12521122900000001</v>
      </c>
      <c r="F115" s="1184"/>
      <c r="G115" s="1184"/>
    </row>
    <row r="116" spans="1:7" ht="14.65" thickBot="1">
      <c r="A116" s="978" t="s">
        <v>942</v>
      </c>
      <c r="B116" s="995">
        <v>0.14299999999999999</v>
      </c>
      <c r="C116" s="995">
        <v>0.121722488</v>
      </c>
      <c r="D116" s="995">
        <v>0.14299999999999999</v>
      </c>
      <c r="E116" s="995">
        <v>0.100029083</v>
      </c>
      <c r="F116" s="1184"/>
      <c r="G116" s="1184"/>
    </row>
    <row r="117" spans="1:7" ht="14.65" thickBot="1">
      <c r="A117" s="978" t="s">
        <v>943</v>
      </c>
      <c r="B117" s="1185">
        <v>18789.07</v>
      </c>
      <c r="C117" s="1185">
        <v>28377.21</v>
      </c>
      <c r="D117" s="1185">
        <v>18789.07</v>
      </c>
      <c r="E117" s="1185">
        <v>36142.269999999997</v>
      </c>
      <c r="F117" s="1184"/>
      <c r="G117" s="1184"/>
    </row>
    <row r="118" spans="1:7" ht="14.65" thickBot="1">
      <c r="A118" s="978" t="s">
        <v>944</v>
      </c>
      <c r="B118" s="1185">
        <v>22309</v>
      </c>
      <c r="C118" s="1185">
        <v>33694</v>
      </c>
      <c r="D118" s="1185">
        <v>22309</v>
      </c>
      <c r="E118" s="1185">
        <v>42914</v>
      </c>
      <c r="F118" s="1184"/>
      <c r="G118" s="1184"/>
    </row>
    <row r="119" spans="1:7" ht="14.65" thickBot="1">
      <c r="A119" s="978" t="s">
        <v>945</v>
      </c>
      <c r="B119" s="995">
        <v>90047</v>
      </c>
      <c r="C119" s="995">
        <v>135998</v>
      </c>
      <c r="D119" s="995">
        <v>90047</v>
      </c>
      <c r="E119" s="995">
        <v>173210</v>
      </c>
      <c r="F119" s="1184"/>
      <c r="G119" s="1184"/>
    </row>
    <row r="120" spans="1:7" ht="14.65" thickBot="1">
      <c r="A120" s="978" t="s">
        <v>470</v>
      </c>
      <c r="B120" s="979">
        <v>0.26819999999999999</v>
      </c>
      <c r="C120" s="979">
        <v>0.38237062100000002</v>
      </c>
      <c r="D120" s="979">
        <v>0.26819999999999999</v>
      </c>
      <c r="E120" s="979">
        <v>4499146.2589999996</v>
      </c>
      <c r="F120" s="1184"/>
      <c r="G120" s="1184"/>
    </row>
    <row r="121" spans="1:7" ht="14.65" thickBot="1">
      <c r="A121" s="978" t="s">
        <v>98</v>
      </c>
      <c r="B121" s="979">
        <v>95.8</v>
      </c>
      <c r="C121" s="979">
        <v>101.39</v>
      </c>
      <c r="D121" s="979">
        <v>95.8</v>
      </c>
      <c r="E121" s="979">
        <v>101.39</v>
      </c>
      <c r="F121" s="1184"/>
      <c r="G121" s="1184"/>
    </row>
    <row r="122" spans="1:7" ht="14.65" thickBot="1">
      <c r="A122" s="978" t="s">
        <v>877</v>
      </c>
      <c r="B122" s="979">
        <v>113931.66</v>
      </c>
      <c r="C122" s="979">
        <v>439099.19</v>
      </c>
      <c r="D122" s="979">
        <v>113931.66</v>
      </c>
      <c r="E122" s="979">
        <v>1041445.26</v>
      </c>
      <c r="F122" s="1184"/>
      <c r="G122" s="1184"/>
    </row>
    <row r="123" spans="1:7" ht="14.65" thickBot="1">
      <c r="G123" s="1184"/>
    </row>
    <row r="159" spans="1:7" customFormat="1" ht="14.65" thickBot="1">
      <c r="A159" s="956"/>
      <c r="B159" s="956"/>
      <c r="C159" s="956"/>
      <c r="D159" s="956"/>
      <c r="E159" s="956"/>
      <c r="F159" s="956"/>
    </row>
    <row r="160" spans="1:7" ht="14.65" thickBot="1">
      <c r="G160" s="1184"/>
    </row>
    <row r="161" spans="7:7" ht="14.65" thickBot="1">
      <c r="G161" s="1184"/>
    </row>
    <row r="162" spans="7:7" ht="14.65" thickBot="1">
      <c r="G162" s="1184"/>
    </row>
    <row r="163" spans="7:7" ht="14.65" thickBot="1">
      <c r="G163" s="1184"/>
    </row>
    <row r="164" spans="7:7" ht="14.65" thickBot="1">
      <c r="G164" s="1184"/>
    </row>
    <row r="165" spans="7:7" ht="14.65" thickBot="1">
      <c r="G165" s="1184"/>
    </row>
    <row r="166" spans="7:7" ht="14.65" thickBot="1">
      <c r="G166" s="1184"/>
    </row>
    <row r="167" spans="7:7" ht="14.65" thickBot="1">
      <c r="G167" s="1184"/>
    </row>
    <row r="168" spans="7:7" ht="14.65" thickBot="1">
      <c r="G168" s="1184"/>
    </row>
    <row r="169" spans="7:7" ht="14.65" thickBot="1">
      <c r="G169" s="1184"/>
    </row>
    <row r="170" spans="7:7" ht="14.65" thickBot="1">
      <c r="G170" s="1184"/>
    </row>
    <row r="171" spans="7:7" ht="14.65" thickBot="1">
      <c r="G171" s="1184"/>
    </row>
    <row r="172" spans="7:7" ht="14.65" thickBot="1">
      <c r="G172" s="1184"/>
    </row>
    <row r="173" spans="7:7" ht="14.65" thickBot="1">
      <c r="G173" s="1184"/>
    </row>
    <row r="174" spans="7:7" ht="14.65" thickBot="1">
      <c r="G174" s="1184"/>
    </row>
    <row r="175" spans="7:7" ht="14.65" thickBot="1">
      <c r="G175" s="1184"/>
    </row>
    <row r="176" spans="7:7" ht="14.65" thickBot="1">
      <c r="G176" s="1184"/>
    </row>
    <row r="177" spans="7:7" ht="14.65" thickBot="1">
      <c r="G177" s="1184"/>
    </row>
  </sheetData>
  <mergeCells count="10">
    <mergeCell ref="D88:E88"/>
    <mergeCell ref="B88:C88"/>
    <mergeCell ref="D106:E106"/>
    <mergeCell ref="B106:C106"/>
    <mergeCell ref="B34:C34"/>
    <mergeCell ref="D34:E34"/>
    <mergeCell ref="B52:C52"/>
    <mergeCell ref="D52:E52"/>
    <mergeCell ref="B70:C70"/>
    <mergeCell ref="D70:E70"/>
  </mergeCells>
  <hyperlinks>
    <hyperlink ref="A1" location="Index!A1" display="Index!A1"/>
  </hyperlink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4A7D6"/>
  </sheetPr>
  <dimension ref="A1:L16"/>
  <sheetViews>
    <sheetView workbookViewId="0">
      <pane xSplit="1" topLeftCell="B1" activePane="topRight" state="frozen"/>
      <selection pane="topRight" activeCell="A2" sqref="A2"/>
    </sheetView>
  </sheetViews>
  <sheetFormatPr defaultColWidth="14.33203125" defaultRowHeight="15" customHeight="1"/>
  <cols>
    <col min="1" max="1" width="17.1328125" style="956" customWidth="1"/>
    <col min="2" max="12" width="17" style="956" customWidth="1"/>
    <col min="13" max="26" width="14.6640625" style="956" customWidth="1"/>
    <col min="27" max="16384" width="14.33203125" style="956"/>
  </cols>
  <sheetData>
    <row r="1" spans="1:12" ht="14.25">
      <c r="A1" s="765" t="s">
        <v>0</v>
      </c>
    </row>
    <row r="3" spans="1:12" ht="28.5">
      <c r="A3" s="977"/>
      <c r="B3" s="982" t="s">
        <v>470</v>
      </c>
      <c r="C3" s="982" t="s">
        <v>873</v>
      </c>
      <c r="D3" s="982" t="s">
        <v>897</v>
      </c>
      <c r="E3" s="982" t="s">
        <v>875</v>
      </c>
      <c r="F3" s="982" t="s">
        <v>898</v>
      </c>
      <c r="G3" s="982" t="s">
        <v>46</v>
      </c>
      <c r="H3" s="982" t="s">
        <v>899</v>
      </c>
      <c r="I3" s="982" t="s">
        <v>900</v>
      </c>
      <c r="J3" s="982" t="s">
        <v>901</v>
      </c>
      <c r="K3" s="982" t="s">
        <v>902</v>
      </c>
      <c r="L3" s="982" t="s">
        <v>903</v>
      </c>
    </row>
    <row r="4" spans="1:12" ht="14.25">
      <c r="A4" s="981" t="s">
        <v>904</v>
      </c>
      <c r="B4" s="979">
        <v>-386831.18</v>
      </c>
      <c r="C4" s="979">
        <v>-1217364.0900000001</v>
      </c>
      <c r="D4" s="979">
        <v>-826503.97</v>
      </c>
      <c r="E4" s="979">
        <v>369077.35</v>
      </c>
      <c r="F4" s="979">
        <v>546783.93000000005</v>
      </c>
      <c r="G4" s="979">
        <v>-1874666.79</v>
      </c>
      <c r="H4" s="979">
        <v>-1245663.3400000001</v>
      </c>
      <c r="I4" s="979">
        <v>684058.37</v>
      </c>
      <c r="J4" s="979">
        <v>726107.4</v>
      </c>
      <c r="K4" s="979">
        <v>-2328801.4</v>
      </c>
      <c r="L4" s="979">
        <v>-1499749.3</v>
      </c>
    </row>
    <row r="5" spans="1:12" ht="14.25">
      <c r="A5" s="981" t="s">
        <v>905</v>
      </c>
      <c r="B5" s="979">
        <v>4018718.12</v>
      </c>
      <c r="C5" s="979">
        <v>1350880.72</v>
      </c>
      <c r="D5" s="979">
        <v>1123272.8799999999</v>
      </c>
      <c r="E5" s="979">
        <v>854590.69</v>
      </c>
      <c r="F5" s="979">
        <v>943346.36</v>
      </c>
      <c r="G5" s="979">
        <v>2293131.0099999998</v>
      </c>
      <c r="H5" s="979">
        <v>2783300.42</v>
      </c>
      <c r="I5" s="979">
        <v>839612.14</v>
      </c>
      <c r="J5" s="979">
        <v>853620.04</v>
      </c>
      <c r="K5" s="979">
        <v>2553215.54</v>
      </c>
      <c r="L5" s="979">
        <v>2834348.78</v>
      </c>
    </row>
    <row r="6" spans="1:12" ht="14.25">
      <c r="A6" s="981" t="s">
        <v>906</v>
      </c>
      <c r="B6" s="979">
        <v>726023.59</v>
      </c>
      <c r="C6" s="979">
        <v>163772.6</v>
      </c>
      <c r="D6" s="979">
        <v>233561.3</v>
      </c>
      <c r="E6" s="979">
        <v>677264.5</v>
      </c>
      <c r="F6" s="979">
        <v>766492.61</v>
      </c>
      <c r="G6" s="979">
        <v>437105.9</v>
      </c>
      <c r="H6" s="979">
        <v>781160.33</v>
      </c>
      <c r="I6" s="979">
        <v>777849.52</v>
      </c>
      <c r="J6" s="979">
        <v>796869.22</v>
      </c>
      <c r="K6" s="979">
        <v>25983.07</v>
      </c>
      <c r="L6" s="979">
        <v>497179.55</v>
      </c>
    </row>
    <row r="7" spans="1:12" ht="14.25">
      <c r="A7" s="981" t="s">
        <v>907</v>
      </c>
      <c r="B7" s="979">
        <v>766957.64</v>
      </c>
      <c r="C7" s="979">
        <v>545788.73</v>
      </c>
      <c r="D7" s="979">
        <v>412524.6</v>
      </c>
      <c r="E7" s="979">
        <v>110654.56</v>
      </c>
      <c r="F7" s="979">
        <v>83613.929999999993</v>
      </c>
      <c r="G7" s="979">
        <v>820426</v>
      </c>
      <c r="H7" s="979">
        <v>803618.17</v>
      </c>
      <c r="I7" s="979">
        <v>34123.040000000001</v>
      </c>
      <c r="J7" s="979">
        <v>26692.27</v>
      </c>
      <c r="K7" s="979">
        <v>760435.22</v>
      </c>
      <c r="L7" s="979">
        <v>690843.18</v>
      </c>
    </row>
    <row r="8" spans="1:12" ht="14.25">
      <c r="A8" s="981" t="s">
        <v>908</v>
      </c>
      <c r="B8" s="979">
        <v>571772.67000000004</v>
      </c>
      <c r="C8" s="979">
        <v>213516.31</v>
      </c>
      <c r="D8" s="979">
        <v>273050.23</v>
      </c>
      <c r="E8" s="979">
        <v>695638.54</v>
      </c>
      <c r="F8" s="979">
        <v>775163.81</v>
      </c>
      <c r="G8" s="979">
        <v>496241.69</v>
      </c>
      <c r="H8" s="979">
        <v>761598.53</v>
      </c>
      <c r="I8" s="979">
        <v>783103.12</v>
      </c>
      <c r="J8" s="979">
        <v>799664.76</v>
      </c>
      <c r="K8" s="979">
        <v>14661.47</v>
      </c>
      <c r="L8" s="979">
        <v>473195.47</v>
      </c>
    </row>
    <row r="9" spans="1:12" ht="14.25">
      <c r="A9" s="981" t="s">
        <v>909</v>
      </c>
      <c r="B9" s="979">
        <v>-205726.83</v>
      </c>
      <c r="C9" s="979">
        <v>-801202.36</v>
      </c>
      <c r="D9" s="979">
        <v>-499620.82</v>
      </c>
      <c r="E9" s="979">
        <v>470112.4</v>
      </c>
      <c r="F9" s="979">
        <v>616619.73</v>
      </c>
      <c r="G9" s="979">
        <v>-1008060.37</v>
      </c>
      <c r="H9" s="979">
        <v>-540519.73</v>
      </c>
      <c r="I9" s="979">
        <v>714492.16</v>
      </c>
      <c r="J9" s="979">
        <v>748959.87</v>
      </c>
      <c r="K9" s="979">
        <v>-1215285.6299999999</v>
      </c>
      <c r="L9" s="979">
        <v>-616447.38</v>
      </c>
    </row>
    <row r="10" spans="1:12" ht="14.25">
      <c r="A10" s="981" t="s">
        <v>910</v>
      </c>
      <c r="B10" s="979">
        <v>2272637.71</v>
      </c>
      <c r="C10" s="979">
        <v>1005132.62</v>
      </c>
      <c r="D10" s="979">
        <v>866154.96</v>
      </c>
      <c r="E10" s="979">
        <v>822692.77</v>
      </c>
      <c r="F10" s="979">
        <v>893449.31</v>
      </c>
      <c r="G10" s="979">
        <v>1720497.82</v>
      </c>
      <c r="H10" s="979">
        <v>2140660.11</v>
      </c>
      <c r="I10" s="979">
        <v>824706.89</v>
      </c>
      <c r="J10" s="979">
        <v>837354.65</v>
      </c>
      <c r="K10" s="979">
        <v>1270897.8700000001</v>
      </c>
      <c r="L10" s="979">
        <v>1661087.58</v>
      </c>
    </row>
    <row r="11" spans="1:12" ht="14.25">
      <c r="A11" s="981" t="s">
        <v>911</v>
      </c>
      <c r="B11" s="980">
        <v>0.161</v>
      </c>
      <c r="C11" s="980">
        <v>0.37</v>
      </c>
      <c r="D11" s="980">
        <v>0.28999999999999998</v>
      </c>
      <c r="E11" s="980">
        <v>0</v>
      </c>
      <c r="F11" s="980">
        <v>0</v>
      </c>
      <c r="G11" s="980">
        <v>0.29499999999999998</v>
      </c>
      <c r="H11" s="980">
        <v>0.17799999999999999</v>
      </c>
      <c r="I11" s="980">
        <v>0</v>
      </c>
      <c r="J11" s="980">
        <v>0</v>
      </c>
      <c r="K11" s="980">
        <v>0.49299999999999999</v>
      </c>
      <c r="L11" s="980">
        <v>0.25</v>
      </c>
    </row>
    <row r="12" spans="1:12" ht="14.25">
      <c r="A12" s="981" t="s">
        <v>912</v>
      </c>
      <c r="B12" s="980">
        <v>0.83899999999999997</v>
      </c>
      <c r="C12" s="980">
        <v>0.63</v>
      </c>
      <c r="D12" s="980">
        <v>0.71</v>
      </c>
      <c r="E12" s="980">
        <v>1</v>
      </c>
      <c r="F12" s="980">
        <v>1</v>
      </c>
      <c r="G12" s="980">
        <v>0.70499999999999996</v>
      </c>
      <c r="H12" s="980">
        <v>0.82199999999999995</v>
      </c>
      <c r="I12" s="980">
        <v>1</v>
      </c>
      <c r="J12" s="980">
        <v>1</v>
      </c>
      <c r="K12" s="980">
        <v>0.50700000000000001</v>
      </c>
      <c r="L12" s="980">
        <v>0.75</v>
      </c>
    </row>
    <row r="13" spans="1:12" ht="15" customHeight="1">
      <c r="A13" s="985"/>
    </row>
    <row r="14" spans="1:12" ht="14.25">
      <c r="A14" s="985"/>
    </row>
    <row r="15" spans="1:12" ht="14.25">
      <c r="A15" s="985"/>
    </row>
    <row r="16" spans="1:12" ht="15" customHeight="1">
      <c r="L16" s="977"/>
    </row>
  </sheetData>
  <hyperlinks>
    <hyperlink ref="A1" location="Index!A1" display="Index!A1"/>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4A7D6"/>
  </sheetPr>
  <dimension ref="A1:G23"/>
  <sheetViews>
    <sheetView workbookViewId="0">
      <selection activeCell="A2" sqref="A2"/>
    </sheetView>
  </sheetViews>
  <sheetFormatPr defaultColWidth="14.33203125" defaultRowHeight="15" customHeight="1"/>
  <cols>
    <col min="1" max="1" width="25.1328125" style="956" customWidth="1"/>
    <col min="2" max="7" width="9.796875" style="956" customWidth="1"/>
    <col min="8" max="16" width="10.6640625" style="956" customWidth="1"/>
    <col min="17" max="16384" width="14.33203125" style="956"/>
  </cols>
  <sheetData>
    <row r="1" spans="1:7" ht="14.25" customHeight="1">
      <c r="A1" s="765" t="s">
        <v>0</v>
      </c>
      <c r="B1" s="971"/>
      <c r="C1" s="971"/>
      <c r="D1" s="971"/>
      <c r="E1" s="971"/>
      <c r="F1" s="971"/>
    </row>
    <row r="2" spans="1:7" ht="14.25" customHeight="1" thickBot="1"/>
    <row r="3" spans="1:7" ht="14.25" customHeight="1">
      <c r="A3" s="1382" t="s">
        <v>885</v>
      </c>
      <c r="B3" s="1383"/>
      <c r="C3" s="1383"/>
      <c r="D3" s="1383"/>
      <c r="E3" s="1383"/>
      <c r="F3" s="1384"/>
    </row>
    <row r="4" spans="1:7" ht="14.25" customHeight="1">
      <c r="A4" s="986"/>
      <c r="B4" s="983" t="s">
        <v>4</v>
      </c>
      <c r="C4" s="983" t="s">
        <v>61</v>
      </c>
      <c r="D4" s="983" t="s">
        <v>63</v>
      </c>
      <c r="E4" s="983" t="s">
        <v>65</v>
      </c>
      <c r="F4" s="987" t="s">
        <v>67</v>
      </c>
    </row>
    <row r="5" spans="1:7" ht="14.25" customHeight="1">
      <c r="A5" s="988" t="s">
        <v>886</v>
      </c>
      <c r="B5" s="979">
        <f>'FE Assumptions'!C32</f>
        <v>63.628136435413609</v>
      </c>
      <c r="C5" s="979">
        <f>'FE Assumptions'!D32</f>
        <v>62.744312241706147</v>
      </c>
      <c r="D5" s="979">
        <f>'FE Assumptions'!E32</f>
        <v>61.219915669504694</v>
      </c>
      <c r="E5" s="979">
        <f>'FE Assumptions'!F32</f>
        <v>58.836976151587656</v>
      </c>
      <c r="F5" s="989">
        <f>'FE Assumptions'!G32</f>
        <v>58.337773288245586</v>
      </c>
    </row>
    <row r="6" spans="1:7" ht="14.25" customHeight="1">
      <c r="A6" s="988" t="s">
        <v>887</v>
      </c>
      <c r="B6" s="979">
        <f>'FE Assumptions'!C40</f>
        <v>14.951983203014015</v>
      </c>
      <c r="C6" s="979">
        <f>'FE Assumptions'!D40</f>
        <v>15.247411124771066</v>
      </c>
      <c r="D6" s="979">
        <f>'FE Assumptions'!E40</f>
        <v>14.293959617685235</v>
      </c>
      <c r="E6" s="979">
        <f>'FE Assumptions'!F40</f>
        <v>14.607967171620418</v>
      </c>
      <c r="F6" s="989">
        <f>'FE Assumptions'!G40</f>
        <v>15.527616490493159</v>
      </c>
      <c r="G6" s="972"/>
    </row>
    <row r="7" spans="1:7" ht="14.25" customHeight="1">
      <c r="A7" s="988" t="s">
        <v>888</v>
      </c>
      <c r="B7" s="979">
        <f t="shared" ref="B7:F7" si="0">B5-B6</f>
        <v>48.676153232399592</v>
      </c>
      <c r="C7" s="979">
        <f t="shared" si="0"/>
        <v>47.496901116935078</v>
      </c>
      <c r="D7" s="979">
        <f t="shared" si="0"/>
        <v>46.925956051819455</v>
      </c>
      <c r="E7" s="979">
        <f t="shared" si="0"/>
        <v>44.22900897996724</v>
      </c>
      <c r="F7" s="989">
        <f t="shared" si="0"/>
        <v>42.810156797752427</v>
      </c>
      <c r="G7" s="973"/>
    </row>
    <row r="8" spans="1:7" ht="14.25" customHeight="1">
      <c r="A8" s="988" t="s">
        <v>889</v>
      </c>
      <c r="B8" s="979">
        <f>'FE Assumptions'!C42/'FE Assumptions'!C25</f>
        <v>2.947599140749428</v>
      </c>
      <c r="C8" s="979">
        <f>'FE Assumptions'!D42/'FE Assumptions'!D25</f>
        <v>3.7186350262692702</v>
      </c>
      <c r="D8" s="979">
        <f>'FE Assumptions'!E42/'FE Assumptions'!E25</f>
        <v>2.5708362987444442</v>
      </c>
      <c r="E8" s="979">
        <f>'FE Assumptions'!F42/'FE Assumptions'!F25</f>
        <v>2.2781408534952607</v>
      </c>
      <c r="F8" s="989">
        <f>'FE Assumptions'!G42/'FE Assumptions'!G25</f>
        <v>2.0433838162640638</v>
      </c>
      <c r="G8" s="973"/>
    </row>
    <row r="9" spans="1:7" ht="14.25" customHeight="1">
      <c r="A9" s="988" t="s">
        <v>890</v>
      </c>
      <c r="B9" s="984">
        <f>(SUM('FE Income Statement'!D10:D18)+'FE Income Statement'!D21+'FE Income Statement'!D23)/(B7-B8)</f>
        <v>25584.413011188848</v>
      </c>
      <c r="C9" s="984">
        <f>(SUM('FE Income Statement'!E10:E18)+'FE Income Statement'!E21+'FE Income Statement'!E23)/(C7-C8)</f>
        <v>30209.536405545197</v>
      </c>
      <c r="D9" s="984">
        <f>(SUM('FE Income Statement'!F10:F18)+'FE Income Statement'!F21+'FE Income Statement'!F23)/(D7-D8)</f>
        <v>50220.775026201685</v>
      </c>
      <c r="E9" s="984">
        <f>(SUM('FE Income Statement'!G10:G18)+'FE Income Statement'!G21+'FE Income Statement'!G23)/(E7-E8)</f>
        <v>67973.923459065758</v>
      </c>
      <c r="F9" s="990">
        <f>(SUM('FE Income Statement'!H10:H18)+'FE Income Statement'!H21+'FE Income Statement'!H23)/(F7-F8)</f>
        <v>77129.045653133755</v>
      </c>
      <c r="G9" s="974"/>
    </row>
    <row r="10" spans="1:7" ht="14.25" customHeight="1">
      <c r="A10" s="988" t="s">
        <v>891</v>
      </c>
      <c r="B10" s="984">
        <f>'FE Assumptions'!C25</f>
        <v>68212</v>
      </c>
      <c r="C10" s="984">
        <f>'FE Assumptions'!D25</f>
        <v>91223</v>
      </c>
      <c r="D10" s="984">
        <f>'FE Assumptions'!E25</f>
        <v>161606</v>
      </c>
      <c r="E10" s="984">
        <f>'FE Assumptions'!F25</f>
        <v>245757</v>
      </c>
      <c r="F10" s="990">
        <f>'FE Assumptions'!G25</f>
        <v>297058</v>
      </c>
      <c r="G10" s="973"/>
    </row>
    <row r="11" spans="1:7" ht="14.25" customHeight="1">
      <c r="A11" s="988" t="s">
        <v>892</v>
      </c>
      <c r="B11" s="984">
        <f t="shared" ref="B11:F11" si="1">B10-B9</f>
        <v>42627.586988811148</v>
      </c>
      <c r="C11" s="984">
        <f t="shared" si="1"/>
        <v>61013.463594454806</v>
      </c>
      <c r="D11" s="984">
        <f t="shared" si="1"/>
        <v>111385.22497379832</v>
      </c>
      <c r="E11" s="984">
        <f t="shared" si="1"/>
        <v>177783.07654093424</v>
      </c>
      <c r="F11" s="990">
        <f t="shared" si="1"/>
        <v>219928.95434686623</v>
      </c>
      <c r="G11" s="975"/>
    </row>
    <row r="12" spans="1:7" ht="14.25" customHeight="1" thickBot="1">
      <c r="A12" s="991" t="s">
        <v>893</v>
      </c>
      <c r="B12" s="992">
        <f t="shared" ref="B12:F12" si="2">B11/B10</f>
        <v>0.62492797438590197</v>
      </c>
      <c r="C12" s="992">
        <f t="shared" si="2"/>
        <v>0.66883859985370797</v>
      </c>
      <c r="D12" s="992">
        <f t="shared" si="2"/>
        <v>0.68923941545362377</v>
      </c>
      <c r="E12" s="992">
        <f t="shared" si="2"/>
        <v>0.72341002104084218</v>
      </c>
      <c r="F12" s="993">
        <f t="shared" si="2"/>
        <v>0.74035694829584198</v>
      </c>
      <c r="G12" s="975"/>
    </row>
    <row r="13" spans="1:7" ht="14.25" customHeight="1">
      <c r="G13" s="975"/>
    </row>
    <row r="14" spans="1:7" ht="14.25" customHeight="1" thickBot="1">
      <c r="G14" s="961"/>
    </row>
    <row r="15" spans="1:7" ht="14.25" customHeight="1">
      <c r="A15" s="1382" t="s">
        <v>894</v>
      </c>
      <c r="B15" s="1383"/>
      <c r="C15" s="1383"/>
      <c r="D15" s="1383"/>
      <c r="E15" s="1383"/>
      <c r="F15" s="1384"/>
    </row>
    <row r="16" spans="1:7" ht="14.25" customHeight="1">
      <c r="A16" s="986"/>
      <c r="B16" s="983" t="s">
        <v>4</v>
      </c>
      <c r="C16" s="983" t="s">
        <v>61</v>
      </c>
      <c r="D16" s="983" t="s">
        <v>63</v>
      </c>
      <c r="E16" s="983" t="s">
        <v>65</v>
      </c>
      <c r="F16" s="987" t="s">
        <v>67</v>
      </c>
    </row>
    <row r="17" spans="1:7" ht="14.25" customHeight="1">
      <c r="A17" s="988" t="s">
        <v>890</v>
      </c>
      <c r="B17" s="984">
        <f>SUM('FE Income Statement'!D10:D18)/(B7-B8)</f>
        <v>21478.326485711921</v>
      </c>
      <c r="C17" s="984">
        <f>SUM('FE Income Statement'!E10:E18)/(C7-C8)</f>
        <v>23614.507686507539</v>
      </c>
      <c r="D17" s="984">
        <f>SUM('FE Income Statement'!F10:F18)/(D7-D8)</f>
        <v>35933.369513728918</v>
      </c>
      <c r="E17" s="984">
        <f>SUM('FE Income Statement'!G10:G18)/(E7-E8)</f>
        <v>45769.335803597722</v>
      </c>
      <c r="F17" s="990">
        <f>SUM('FE Income Statement'!H10:H18)/(F7-F8)</f>
        <v>50217.405777031869</v>
      </c>
    </row>
    <row r="18" spans="1:7" ht="14.25" customHeight="1">
      <c r="A18" s="988" t="s">
        <v>891</v>
      </c>
      <c r="B18" s="984">
        <f>'FE Assumptions'!C25</f>
        <v>68212</v>
      </c>
      <c r="C18" s="984">
        <f>'FE Assumptions'!D25</f>
        <v>91223</v>
      </c>
      <c r="D18" s="984">
        <f>'FE Assumptions'!E25</f>
        <v>161606</v>
      </c>
      <c r="E18" s="984">
        <f>'FE Assumptions'!F25</f>
        <v>245757</v>
      </c>
      <c r="F18" s="990">
        <f>'FE Assumptions'!G25</f>
        <v>297058</v>
      </c>
      <c r="G18" s="976"/>
    </row>
    <row r="19" spans="1:7" ht="14.25" customHeight="1">
      <c r="A19" s="988" t="s">
        <v>892</v>
      </c>
      <c r="B19" s="984">
        <f t="shared" ref="B19:F19" si="3">B18-B17</f>
        <v>46733.673514288079</v>
      </c>
      <c r="C19" s="984">
        <f t="shared" si="3"/>
        <v>67608.492313492461</v>
      </c>
      <c r="D19" s="984">
        <f t="shared" si="3"/>
        <v>125672.63048627108</v>
      </c>
      <c r="E19" s="984">
        <f t="shared" si="3"/>
        <v>199987.66419640227</v>
      </c>
      <c r="F19" s="990">
        <f t="shared" si="3"/>
        <v>246840.59422296812</v>
      </c>
    </row>
    <row r="20" spans="1:7" ht="14.25" customHeight="1" thickBot="1">
      <c r="A20" s="991" t="s">
        <v>893</v>
      </c>
      <c r="B20" s="992">
        <f t="shared" ref="B20:F20" si="4">B19/B18</f>
        <v>0.68512393001653782</v>
      </c>
      <c r="C20" s="992">
        <f t="shared" si="4"/>
        <v>0.74113427878377669</v>
      </c>
      <c r="D20" s="992">
        <f t="shared" si="4"/>
        <v>0.77764829577039885</v>
      </c>
      <c r="E20" s="992">
        <f t="shared" si="4"/>
        <v>0.81376182243599271</v>
      </c>
      <c r="F20" s="993">
        <f t="shared" si="4"/>
        <v>0.8309508386340988</v>
      </c>
    </row>
    <row r="21" spans="1:7" ht="14.25" customHeight="1"/>
    <row r="22" spans="1:7" ht="14.25" customHeight="1"/>
    <row r="23" spans="1:7" ht="14.25" customHeight="1"/>
  </sheetData>
  <mergeCells count="2">
    <mergeCell ref="A3:F3"/>
    <mergeCell ref="A15:F15"/>
  </mergeCells>
  <hyperlinks>
    <hyperlink ref="A1" location="Index!A1" display="Index!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1</vt:i4>
      </vt:variant>
    </vt:vector>
  </HeadingPairs>
  <TitlesOfParts>
    <vt:vector size="28" baseType="lpstr">
      <vt:lpstr>Index</vt:lpstr>
      <vt:lpstr>BASES Model</vt:lpstr>
      <vt:lpstr>Avg. Weighted Manufacturer's Pr</vt:lpstr>
      <vt:lpstr>Purchase Intent and Price</vt:lpstr>
      <vt:lpstr>IMC Schedule</vt:lpstr>
      <vt:lpstr>ACV</vt:lpstr>
      <vt:lpstr>Segmentation Tree</vt:lpstr>
      <vt:lpstr>FE Assumptions</vt:lpstr>
      <vt:lpstr>FE Income Statement</vt:lpstr>
      <vt:lpstr>FE Balance Sheet</vt:lpstr>
      <vt:lpstr>FE Cash Flow</vt:lpstr>
      <vt:lpstr>NPV Profile</vt:lpstr>
      <vt:lpstr>Service Subscription Model</vt:lpstr>
      <vt:lpstr>PPE &amp; Amortization Schedule</vt:lpstr>
      <vt:lpstr>Ratios</vt:lpstr>
      <vt:lpstr>OM Assumptions</vt:lpstr>
      <vt:lpstr>Capacity</vt:lpstr>
      <vt:lpstr>Monthly Demand</vt:lpstr>
      <vt:lpstr>Aggregate Plan</vt:lpstr>
      <vt:lpstr>Inventory</vt:lpstr>
      <vt:lpstr>Logistics &amp; Transportation</vt:lpstr>
      <vt:lpstr>IT Costs</vt:lpstr>
      <vt:lpstr>COGS</vt:lpstr>
      <vt:lpstr>Influence Chart</vt:lpstr>
      <vt:lpstr>Sensitivity Analysis</vt:lpstr>
      <vt:lpstr>Simulation Analysis</vt:lpstr>
      <vt:lpstr>Break Even Analysis</vt:lpstr>
      <vt:lpstr>ValueofBusiness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Ryan</dc:creator>
  <cp:lastModifiedBy>Grant Gregory</cp:lastModifiedBy>
  <dcterms:created xsi:type="dcterms:W3CDTF">2017-11-17T23:30:02Z</dcterms:created>
  <dcterms:modified xsi:type="dcterms:W3CDTF">2017-11-21T01:17:12Z</dcterms:modified>
</cp:coreProperties>
</file>