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H2_comp_specpower_costs" sheetId="3" r:id="rId2"/>
    <sheet name="H2 storage_costs_lit" sheetId="2" r:id="rId3"/>
    <sheet name="Bulk_H2_StorageCos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F7" i="5" s="1"/>
  <c r="Q18" i="5"/>
  <c r="P18" i="5"/>
  <c r="G18" i="5"/>
  <c r="I18" i="5" s="1"/>
  <c r="Q17" i="5"/>
  <c r="P17" i="5"/>
  <c r="G17" i="5"/>
  <c r="I17" i="5" s="1"/>
  <c r="Q16" i="5"/>
  <c r="P16" i="5"/>
  <c r="G16" i="5"/>
  <c r="I16" i="5" s="1"/>
  <c r="Q15" i="5"/>
  <c r="P15" i="5"/>
  <c r="G15" i="5"/>
  <c r="I15" i="5" s="1"/>
  <c r="W12" i="5"/>
  <c r="I12" i="5" s="1"/>
  <c r="V12" i="5"/>
  <c r="G12" i="5"/>
  <c r="W11" i="5"/>
  <c r="U11" i="5"/>
  <c r="V11" i="5" s="1"/>
  <c r="G11" i="5"/>
  <c r="I9" i="5"/>
  <c r="F8" i="5"/>
  <c r="I7" i="5"/>
  <c r="F6" i="5"/>
  <c r="I5" i="5"/>
  <c r="I11" i="5" l="1"/>
  <c r="I6" i="5"/>
  <c r="I8" i="5"/>
  <c r="F5" i="5"/>
  <c r="G2" i="1" l="1"/>
  <c r="D2" i="1"/>
  <c r="N2" i="1"/>
  <c r="B17" i="3" l="1"/>
  <c r="B16" i="3"/>
  <c r="J44" i="3"/>
  <c r="J45" i="3" s="1"/>
  <c r="I44" i="3"/>
  <c r="I45" i="3" s="1"/>
  <c r="L44" i="3"/>
  <c r="L45" i="3" s="1"/>
  <c r="K44" i="3"/>
  <c r="K45" i="3" s="1"/>
  <c r="J18" i="3"/>
  <c r="J17" i="3"/>
  <c r="J16" i="3"/>
  <c r="J13" i="3"/>
  <c r="B19" i="3" l="1"/>
  <c r="B20" i="3" s="1"/>
  <c r="B21" i="3" s="1"/>
  <c r="A33" i="2"/>
  <c r="B22" i="3" l="1"/>
  <c r="B24" i="3" s="1"/>
  <c r="B26" i="3" l="1"/>
  <c r="B25" i="3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Forseberg 2007 based on Chevron Clemens Facility xn storage 2520 metric tonnes of H2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Cite Book on H2 storage that quotes 30 to 100 bar pressure ratio number and rounded up to 1 kWh/kg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</commentList>
</comments>
</file>

<file path=xl/sharedStrings.xml><?xml version="1.0" encoding="utf-8"?>
<sst xmlns="http://schemas.openxmlformats.org/spreadsheetml/2006/main" count="215" uniqueCount="162">
  <si>
    <t>Storage</t>
  </si>
  <si>
    <t>Pressure_bar</t>
  </si>
  <si>
    <t>Lifetime_yr</t>
  </si>
  <si>
    <t>CapCostst_dkg</t>
  </si>
  <si>
    <t>AnnualCapCostst_dkgyr</t>
  </si>
  <si>
    <t>CapCostComp_dkW</t>
  </si>
  <si>
    <t>AnnualCapCostComp_dMWyr</t>
  </si>
  <si>
    <t>https://www.osti.gov/servlets/purl/1343975</t>
  </si>
  <si>
    <t>Page 16/54</t>
  </si>
  <si>
    <t xml:space="preserve"> </t>
  </si>
  <si>
    <t>$/kWh H2</t>
  </si>
  <si>
    <t>$/kg H2</t>
  </si>
  <si>
    <t>Cost of vessel (2007 $)</t>
  </si>
  <si>
    <t>BLS inflation: 2007 to 2017</t>
  </si>
  <si>
    <t>https://www.bls.gov/data/inflation_calculator.htm</t>
  </si>
  <si>
    <t>H2 pipeline transport</t>
  </si>
  <si>
    <t>Parameter</t>
  </si>
  <si>
    <t>Data</t>
  </si>
  <si>
    <t>Units</t>
  </si>
  <si>
    <t>References/Comments</t>
  </si>
  <si>
    <t>H2 properties</t>
  </si>
  <si>
    <t xml:space="preserve">LHV </t>
  </si>
  <si>
    <t>MJ/kg</t>
  </si>
  <si>
    <t>Cp/Cv</t>
  </si>
  <si>
    <t>K</t>
  </si>
  <si>
    <t>1 atm</t>
  </si>
  <si>
    <t>Pa</t>
  </si>
  <si>
    <t>Assessment of system variations for hydrogen transport by liquid organic hydrogen carriers</t>
  </si>
  <si>
    <t>73745:15 _x0006_ P_x0003_0:493</t>
  </si>
  <si>
    <t>electrolyser;LHV;max</t>
  </si>
  <si>
    <t>Number of stages</t>
  </si>
  <si>
    <t>Wisentropic,each stage</t>
  </si>
  <si>
    <t>Wisentropic, total</t>
  </si>
  <si>
    <t>Inlet pressure</t>
  </si>
  <si>
    <t>psi</t>
  </si>
  <si>
    <t>Outlet pressure</t>
  </si>
  <si>
    <t>Air liquide US Pipelines</t>
  </si>
  <si>
    <t>Pressure ratio at each stage</t>
  </si>
  <si>
    <t>Total electricity requirement</t>
  </si>
  <si>
    <t>kWh/kg</t>
  </si>
  <si>
    <t>DOE report estimates for 350 bar refueling:</t>
  </si>
  <si>
    <t>g</t>
  </si>
  <si>
    <t>Low</t>
  </si>
  <si>
    <t>High</t>
  </si>
  <si>
    <t>Page 27, section 4.2.2</t>
  </si>
  <si>
    <t>1000 kg/d H2 production</t>
  </si>
  <si>
    <t>System uses 8 or 9 compressors</t>
  </si>
  <si>
    <t>Current</t>
  </si>
  <si>
    <t>Future</t>
  </si>
  <si>
    <t>Compressors</t>
  </si>
  <si>
    <t>Isotropic</t>
  </si>
  <si>
    <t>Compressor costs (Each)</t>
  </si>
  <si>
    <t>Motor rating (each) kW</t>
  </si>
  <si>
    <t>Actual shaft power (Each) kW</t>
  </si>
  <si>
    <t>Designed flow rate (each) kg/hr</t>
  </si>
  <si>
    <t>H2A distributed production</t>
  </si>
  <si>
    <t>HDSAM Pipeline scenario</t>
  </si>
  <si>
    <t>CAPEX - Each ($/kW)</t>
  </si>
  <si>
    <t>Results based on compressing H2 to 875 bar</t>
  </si>
  <si>
    <t>Costs based on 2007$</t>
  </si>
  <si>
    <t>Adjusting for inflation 2007 to 2018 (1.2)</t>
  </si>
  <si>
    <t>CompSpecPower_kWhpkg</t>
  </si>
  <si>
    <t>% of H2 LHV</t>
  </si>
  <si>
    <t>MW</t>
  </si>
  <si>
    <t>kg/kmol</t>
  </si>
  <si>
    <t>kJ/kmol</t>
  </si>
  <si>
    <t>Compression for storage</t>
  </si>
  <si>
    <t>Intercooling temperature</t>
  </si>
  <si>
    <t>Isentropic efficiency</t>
  </si>
  <si>
    <t>Assumption</t>
  </si>
  <si>
    <t>mass_stored_kg</t>
  </si>
  <si>
    <t>Lifetime</t>
  </si>
  <si>
    <t>WACC</t>
  </si>
  <si>
    <t>CRF</t>
  </si>
  <si>
    <t>Literature review of capital cost of bulk H2 storage</t>
  </si>
  <si>
    <t>Applies only to Lord et al. (2014)</t>
  </si>
  <si>
    <t>Applies to Ahluwalia et al. 2019</t>
  </si>
  <si>
    <t>No.</t>
  </si>
  <si>
    <t>Reference</t>
  </si>
  <si>
    <t>Type</t>
  </si>
  <si>
    <t>Description</t>
  </si>
  <si>
    <t>Pressure range (bar)</t>
  </si>
  <si>
    <t>Capacity (tonnes)</t>
  </si>
  <si>
    <t>Working capacity (%)</t>
  </si>
  <si>
    <t>Lifetime (years)</t>
  </si>
  <si>
    <t>Capital cost ($/kg) -  no inflation adjustment, reported as in the source</t>
  </si>
  <si>
    <t>Compression work for loading (kWh/kg)</t>
  </si>
  <si>
    <t>Cost estimate detail</t>
  </si>
  <si>
    <t>Notes</t>
  </si>
  <si>
    <t>Capital cost ($) - where available</t>
  </si>
  <si>
    <t>Capital cost of compressor ($)</t>
  </si>
  <si>
    <t>Capital cost ($) of storage - excluding compressor</t>
  </si>
  <si>
    <t>Capital cost including compressor ($/kg)</t>
  </si>
  <si>
    <t xml:space="preserve">Capital cost of Underground </t>
  </si>
  <si>
    <t>Capital cost of other (e.g. brine, eng. Contingency)</t>
  </si>
  <si>
    <t>Capital cost of above-ground ($/kg)</t>
  </si>
  <si>
    <t>Capital cost of above-ground excluding compressor ($/kg)</t>
  </si>
  <si>
    <t>Total capital cost including compressor ($/kg)</t>
  </si>
  <si>
    <t>Eichman et al. (2016) -NREL</t>
  </si>
  <si>
    <t>Pressure vessel</t>
  </si>
  <si>
    <t>Storage tanks (generic)</t>
  </si>
  <si>
    <t>Not provided</t>
  </si>
  <si>
    <t>4 or</t>
  </si>
  <si>
    <t>-</t>
  </si>
  <si>
    <t>Its just an assumption</t>
  </si>
  <si>
    <t>See page 64/87</t>
  </si>
  <si>
    <t>https://www.nrel.gov/docs/fy17osti/67384.pdf</t>
  </si>
  <si>
    <t>Hydrogen Science and Engineering, Materials, Processes, Systems and Technology (2016) -Edited by Detlef Stolten and Bernd Emonts</t>
  </si>
  <si>
    <t>Spherical vessels</t>
  </si>
  <si>
    <t>NA</t>
  </si>
  <si>
    <t>Detailed based on extensive literature review of gas storage and H2 storage literature</t>
  </si>
  <si>
    <t>See Table 27.9</t>
  </si>
  <si>
    <t>https://onlinelibrary.wiley.com/doi/abs/10.1002/9783527674268.ch27</t>
  </si>
  <si>
    <t>Pipe storage  (buried underground)</t>
  </si>
  <si>
    <t>Cost for a natural gas pipe storage project</t>
  </si>
  <si>
    <t>Pg 695/1154 and table 27.12; 17 million Euros capex for a project that can store equivalent of 64714 kg (Figure shown below from this reference)</t>
  </si>
  <si>
    <t>Ahluwalia et al (2019) - Argonne</t>
  </si>
  <si>
    <t xml:space="preserve">Pipe storage </t>
  </si>
  <si>
    <t>&lt;100 bar</t>
  </si>
  <si>
    <t>Slide 15 - does not include compression costs</t>
  </si>
  <si>
    <t>https://www.hydrogen.energy.gov/pdfs/review19/st001_ahluwalia_2019_o.pdf</t>
  </si>
  <si>
    <t>Geological</t>
  </si>
  <si>
    <t>Salt cavern</t>
  </si>
  <si>
    <t>70-190 (120)</t>
  </si>
  <si>
    <t>Slide 17 -Adjusted by excluding compressor capital costs</t>
  </si>
  <si>
    <t>Underground Lined Rock Cavern</t>
  </si>
  <si>
    <t>Slide 19 - adjusted by excluding compressor capex</t>
  </si>
  <si>
    <t>Amos (1998) - NREL</t>
  </si>
  <si>
    <t>Cylindrical tanks</t>
  </si>
  <si>
    <t>10-100</t>
  </si>
  <si>
    <t>283-503</t>
  </si>
  <si>
    <t>D.1 (page 104/216) for 454-4536 kg/hr for 1 day - 10-100 tonnes storage</t>
  </si>
  <si>
    <t>https://www.energy.gov/sites/prod/files/2014/03/f12/25106.pdf</t>
  </si>
  <si>
    <t>D4 (page 116/216) for all flow rates and days of storage</t>
  </si>
  <si>
    <t>Lord et al. (2014)</t>
  </si>
  <si>
    <t>~100</t>
  </si>
  <si>
    <t>Total capital cost includes compressor capital costs</t>
  </si>
  <si>
    <t>https://www.sciencedirect.com/science/article/abs/pii/S0360319914021223</t>
  </si>
  <si>
    <t xml:space="preserve">Geological </t>
  </si>
  <si>
    <t>Depleted Oil &amp; gas reservoir</t>
  </si>
  <si>
    <t>Hard rock</t>
  </si>
  <si>
    <t>Aquifer</t>
  </si>
  <si>
    <t>Forseberg et al. (2006)</t>
  </si>
  <si>
    <t>~100,000</t>
  </si>
  <si>
    <t>0.8-1.6</t>
  </si>
  <si>
    <t>Based on ConocoPhillips Clemens Terminal in Texas</t>
  </si>
  <si>
    <t>http://citeseerx.ist.psu.edu/viewdoc/download?doi=10.1.1.133.9925&amp;rep=rep1&amp;type=pdf</t>
  </si>
  <si>
    <t>Background information</t>
  </si>
  <si>
    <t>STP definition</t>
  </si>
  <si>
    <t>kPa</t>
  </si>
  <si>
    <t>Pressure</t>
  </si>
  <si>
    <t>Deg C</t>
  </si>
  <si>
    <t>Temperature</t>
  </si>
  <si>
    <t>g/mol</t>
  </si>
  <si>
    <t>MW H2</t>
  </si>
  <si>
    <t>Mass of 1 m3 at STP</t>
  </si>
  <si>
    <t>kg</t>
  </si>
  <si>
    <t>1 USD</t>
  </si>
  <si>
    <t>Euro</t>
  </si>
  <si>
    <t>StFOM_pct_CAPEX</t>
  </si>
  <si>
    <t>CompFOM_pct_CAPEX</t>
  </si>
  <si>
    <t>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</si>
</sst>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6" fillId="0" borderId="0" xfId="2"/>
    <xf numFmtId="0" fontId="5" fillId="0" borderId="0" xfId="0" applyFon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0" fontId="0" fillId="0" borderId="0" xfId="0" applyFont="1"/>
    <xf numFmtId="1" fontId="0" fillId="0" borderId="0" xfId="0" applyNumberFormat="1"/>
    <xf numFmtId="1" fontId="1" fillId="2" borderId="0" xfId="0" applyNumberFormat="1" applyFont="1" applyFill="1" applyBorder="1"/>
    <xf numFmtId="0" fontId="7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Font="1" applyAlignment="1">
      <alignment wrapText="1"/>
    </xf>
    <xf numFmtId="3" fontId="1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wrapText="1"/>
    </xf>
    <xf numFmtId="1" fontId="1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161925</xdr:rowOff>
    </xdr:from>
    <xdr:to>
      <xdr:col>4</xdr:col>
      <xdr:colOff>923925</xdr:colOff>
      <xdr:row>38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536257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400050</xdr:colOff>
      <xdr:row>29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7419975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533400</xdr:colOff>
      <xdr:row>2</xdr:row>
      <xdr:rowOff>133350</xdr:rowOff>
    </xdr:from>
    <xdr:to>
      <xdr:col>25</xdr:col>
      <xdr:colOff>409575</xdr:colOff>
      <xdr:row>15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14350"/>
          <a:ext cx="7800975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694765</xdr:colOff>
      <xdr:row>20</xdr:row>
      <xdr:rowOff>147918</xdr:rowOff>
    </xdr:from>
    <xdr:to>
      <xdr:col>12</xdr:col>
      <xdr:colOff>147917</xdr:colOff>
      <xdr:row>44</xdr:row>
      <xdr:rowOff>24093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4665" y="8806143"/>
          <a:ext cx="7158877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3:J19" totalsRowShown="0" headerRowDxfId="10" dataDxfId="9">
  <autoFilter ref="B3:J19"/>
  <tableColumns count="9">
    <tableColumn id="1" name="Reference" dataDxfId="8"/>
    <tableColumn id="2" name="Type" dataDxfId="7"/>
    <tableColumn id="3" name="Description" dataDxfId="6"/>
    <tableColumn id="4" name="Pressure range (bar)" dataDxfId="5"/>
    <tableColumn id="5" name="Capacity (tonnes)" dataDxfId="4"/>
    <tableColumn id="6" name="Working capacity (%)" dataDxfId="3"/>
    <tableColumn id="7" name="Lifetime (years)" dataDxfId="2"/>
    <tableColumn id="8" name="Capital cost ($/kg) -  no inflation adjustment, reported as in the source" dataDxfId="1"/>
    <tableColumn id="9" name="Compression work for loading (kWh/kg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4osti/58564.pdf" TargetMode="External"/><Relationship Id="rId2" Type="http://schemas.openxmlformats.org/officeDocument/2006/relationships/hyperlink" Target="https://www.sciencedirect.com/science/article/pii/S0360319918303471" TargetMode="External"/><Relationship Id="rId1" Type="http://schemas.openxmlformats.org/officeDocument/2006/relationships/hyperlink" Target="https://www.energy.gov/sites/prod/files/2014/03/f10/hpwgw_questissues_campbell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osti.gov/servlets/purl/13439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review19/st001_ahluwalia_2019_o.pdf" TargetMode="External"/><Relationship Id="rId13" Type="http://schemas.openxmlformats.org/officeDocument/2006/relationships/hyperlink" Target="https://www.sciencedirect.com/science/article/abs/pii/S0360319914021223" TargetMode="External"/><Relationship Id="rId18" Type="http://schemas.openxmlformats.org/officeDocument/2006/relationships/drawing" Target="../drawings/drawing3.xml"/><Relationship Id="rId3" Type="http://schemas.openxmlformats.org/officeDocument/2006/relationships/hyperlink" Target="https://onlinelibrary.wiley.com/doi/abs/10.1002/9783527674268.ch27" TargetMode="External"/><Relationship Id="rId7" Type="http://schemas.openxmlformats.org/officeDocument/2006/relationships/hyperlink" Target="https://www.hydrogen.energy.gov/pdfs/review19/st001_ahluwalia_2019_o.pdf" TargetMode="External"/><Relationship Id="rId12" Type="http://schemas.openxmlformats.org/officeDocument/2006/relationships/hyperlink" Target="https://www.sciencedirect.com/science/article/abs/pii/S03603199140212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doi/abs/10.1002/9783527674268.ch27" TargetMode="External"/><Relationship Id="rId16" Type="http://schemas.openxmlformats.org/officeDocument/2006/relationships/hyperlink" Target="http://citeseerx.ist.psu.edu/viewdoc/download?doi=10.1.1.133.9925&amp;rep=rep1&amp;type=pdf" TargetMode="External"/><Relationship Id="rId1" Type="http://schemas.openxmlformats.org/officeDocument/2006/relationships/hyperlink" Target="https://www.nrel.gov/docs/fy17osti/67384.pdf" TargetMode="External"/><Relationship Id="rId6" Type="http://schemas.openxmlformats.org/officeDocument/2006/relationships/hyperlink" Target="https://onlinelibrary.wiley.com/doi/abs/10.1002/9783527674268.ch27" TargetMode="External"/><Relationship Id="rId11" Type="http://schemas.openxmlformats.org/officeDocument/2006/relationships/hyperlink" Target="https://www.energy.gov/sites/prod/files/2014/03/f12/25106.pdf" TargetMode="External"/><Relationship Id="rId5" Type="http://schemas.openxmlformats.org/officeDocument/2006/relationships/hyperlink" Target="https://onlinelibrary.wiley.com/doi/abs/10.1002/9783527674268.ch27" TargetMode="External"/><Relationship Id="rId15" Type="http://schemas.openxmlformats.org/officeDocument/2006/relationships/hyperlink" Target="https://www.sciencedirect.com/science/article/abs/pii/S0360319914021223" TargetMode="External"/><Relationship Id="rId10" Type="http://schemas.openxmlformats.org/officeDocument/2006/relationships/hyperlink" Target="https://www.energy.gov/sites/prod/files/2014/03/f12/25106.pd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onlinelibrary.wiley.com/doi/abs/10.1002/9783527674268.ch27" TargetMode="External"/><Relationship Id="rId9" Type="http://schemas.openxmlformats.org/officeDocument/2006/relationships/hyperlink" Target="https://www.hydrogen.energy.gov/pdfs/review19/st001_ahluwalia_2019_o.pdf" TargetMode="External"/><Relationship Id="rId14" Type="http://schemas.openxmlformats.org/officeDocument/2006/relationships/hyperlink" Target="https://www.sciencedirect.com/science/article/abs/pii/S036031991402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3.140625" customWidth="1"/>
    <col min="3" max="3" width="15.5703125" bestFit="1" customWidth="1"/>
    <col min="4" max="4" width="25" bestFit="1" customWidth="1"/>
    <col min="5" max="7" width="25" customWidth="1"/>
    <col min="8" max="8" width="23" bestFit="1" customWidth="1"/>
    <col min="9" max="9" width="23" customWidth="1"/>
    <col min="11" max="11" width="15.28515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159</v>
      </c>
      <c r="F1" t="s">
        <v>5</v>
      </c>
      <c r="G1" t="s">
        <v>6</v>
      </c>
      <c r="H1" t="s">
        <v>61</v>
      </c>
      <c r="I1" t="s">
        <v>160</v>
      </c>
      <c r="J1" t="s">
        <v>2</v>
      </c>
      <c r="K1" t="s">
        <v>70</v>
      </c>
      <c r="L1" t="s">
        <v>71</v>
      </c>
      <c r="M1" t="s">
        <v>72</v>
      </c>
      <c r="N1" t="s">
        <v>73</v>
      </c>
    </row>
    <row r="2" spans="1:14" x14ac:dyDescent="0.25">
      <c r="A2" t="s">
        <v>161</v>
      </c>
      <c r="B2" s="1">
        <v>100</v>
      </c>
      <c r="C2" s="1">
        <v>3</v>
      </c>
      <c r="D2" s="2">
        <f>C2*N2</f>
        <v>0.30783397917027605</v>
      </c>
      <c r="E2" s="2">
        <v>0.01</v>
      </c>
      <c r="F2" s="2">
        <v>1200</v>
      </c>
      <c r="G2" s="2">
        <f>F2*N2*1000</f>
        <v>123133.59166811043</v>
      </c>
      <c r="H2" s="8">
        <v>1</v>
      </c>
      <c r="I2" s="8">
        <v>0.04</v>
      </c>
      <c r="J2" s="1">
        <v>20</v>
      </c>
      <c r="K2" s="11">
        <v>1000</v>
      </c>
      <c r="L2">
        <v>20</v>
      </c>
      <c r="M2">
        <v>8.1000000000000003E-2</v>
      </c>
      <c r="N2">
        <f>M2/(1-1/(1+M2)^L2)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8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8.5703125" bestFit="1" customWidth="1"/>
    <col min="5" max="5" width="35.7109375" bestFit="1" customWidth="1"/>
    <col min="7" max="7" width="29.42578125" bestFit="1" customWidth="1"/>
    <col min="8" max="8" width="40.140625" bestFit="1" customWidth="1"/>
    <col min="9" max="9" width="9.5703125" bestFit="1" customWidth="1"/>
    <col min="10" max="10" width="10" bestFit="1" customWidth="1"/>
    <col min="11" max="11" width="9.5703125" bestFit="1" customWidth="1"/>
  </cols>
  <sheetData>
    <row r="2" spans="1:10" x14ac:dyDescent="0.25">
      <c r="A2" t="s">
        <v>15</v>
      </c>
    </row>
    <row r="4" spans="1:10" x14ac:dyDescent="0.25">
      <c r="A4" s="4" t="s">
        <v>16</v>
      </c>
      <c r="B4" s="4" t="s">
        <v>17</v>
      </c>
      <c r="C4" s="4" t="s">
        <v>18</v>
      </c>
      <c r="D4" s="4"/>
      <c r="E4" s="4" t="s">
        <v>19</v>
      </c>
    </row>
    <row r="5" spans="1:10" x14ac:dyDescent="0.25">
      <c r="A5" t="s">
        <v>20</v>
      </c>
    </row>
    <row r="6" spans="1:10" x14ac:dyDescent="0.25">
      <c r="A6" t="s">
        <v>63</v>
      </c>
      <c r="B6">
        <v>2.016</v>
      </c>
      <c r="C6" t="s">
        <v>64</v>
      </c>
    </row>
    <row r="7" spans="1:10" x14ac:dyDescent="0.25">
      <c r="A7" t="s">
        <v>21</v>
      </c>
      <c r="B7">
        <v>119.96</v>
      </c>
      <c r="C7" t="s">
        <v>22</v>
      </c>
    </row>
    <row r="8" spans="1:10" x14ac:dyDescent="0.25">
      <c r="A8" t="s">
        <v>23</v>
      </c>
      <c r="B8">
        <v>1.41</v>
      </c>
    </row>
    <row r="9" spans="1:10" x14ac:dyDescent="0.25">
      <c r="A9" t="s">
        <v>25</v>
      </c>
      <c r="B9">
        <v>101325</v>
      </c>
      <c r="C9" t="s">
        <v>26</v>
      </c>
      <c r="I9" s="3" t="s">
        <v>27</v>
      </c>
    </row>
    <row r="10" spans="1:10" x14ac:dyDescent="0.25">
      <c r="I10" t="s">
        <v>28</v>
      </c>
    </row>
    <row r="11" spans="1:10" x14ac:dyDescent="0.25">
      <c r="I11" t="s">
        <v>29</v>
      </c>
    </row>
    <row r="12" spans="1:10" x14ac:dyDescent="0.25">
      <c r="I12">
        <v>73745.149999999994</v>
      </c>
      <c r="J12">
        <v>-0.49299999999999999</v>
      </c>
    </row>
    <row r="13" spans="1:10" x14ac:dyDescent="0.25">
      <c r="A13" s="4" t="s">
        <v>66</v>
      </c>
      <c r="I13">
        <v>50</v>
      </c>
      <c r="J13">
        <f>$I$12*I13^($J$12)</f>
        <v>10718.678659488551</v>
      </c>
    </row>
    <row r="14" spans="1:10" x14ac:dyDescent="0.25">
      <c r="A14" s="4" t="s">
        <v>68</v>
      </c>
      <c r="B14" s="5">
        <v>0.72</v>
      </c>
      <c r="C14" t="s">
        <v>69</v>
      </c>
    </row>
    <row r="15" spans="1:10" x14ac:dyDescent="0.25">
      <c r="A15" s="9" t="s">
        <v>67</v>
      </c>
      <c r="B15" s="9">
        <v>298</v>
      </c>
      <c r="C15" s="9" t="s">
        <v>24</v>
      </c>
    </row>
    <row r="16" spans="1:10" x14ac:dyDescent="0.25">
      <c r="A16" t="s">
        <v>33</v>
      </c>
      <c r="B16">
        <f>14.6*D16</f>
        <v>438</v>
      </c>
      <c r="C16" t="s">
        <v>34</v>
      </c>
      <c r="D16">
        <v>30</v>
      </c>
      <c r="I16">
        <v>100</v>
      </c>
      <c r="J16">
        <f t="shared" ref="J16:J18" si="0">$I$12*I16^($J$12)</f>
        <v>7616.1144782085103</v>
      </c>
    </row>
    <row r="17" spans="1:10" x14ac:dyDescent="0.25">
      <c r="A17" t="s">
        <v>35</v>
      </c>
      <c r="B17">
        <f>D17*14.6</f>
        <v>1460</v>
      </c>
      <c r="C17" t="s">
        <v>34</v>
      </c>
      <c r="D17">
        <v>100</v>
      </c>
      <c r="E17" s="3" t="s">
        <v>36</v>
      </c>
      <c r="I17">
        <v>500</v>
      </c>
      <c r="J17">
        <f t="shared" si="0"/>
        <v>3444.6194634364465</v>
      </c>
    </row>
    <row r="18" spans="1:10" x14ac:dyDescent="0.25">
      <c r="A18" t="s">
        <v>30</v>
      </c>
      <c r="B18">
        <v>2</v>
      </c>
      <c r="I18">
        <v>1000</v>
      </c>
      <c r="J18">
        <f t="shared" si="0"/>
        <v>2447.5606556385887</v>
      </c>
    </row>
    <row r="19" spans="1:10" x14ac:dyDescent="0.25">
      <c r="A19" t="s">
        <v>37</v>
      </c>
      <c r="B19" s="6">
        <f>(B17/B16)^1/B18</f>
        <v>1.6666666666666667</v>
      </c>
    </row>
    <row r="20" spans="1:10" x14ac:dyDescent="0.25">
      <c r="A20" t="s">
        <v>31</v>
      </c>
      <c r="B20" s="6">
        <f>$B$8/($B$8-1)*8.314*B15*((B19)^(($B$8-1)/$B$8)-1)</f>
        <v>1364.4346600306071</v>
      </c>
      <c r="C20" t="s">
        <v>65</v>
      </c>
    </row>
    <row r="21" spans="1:10" x14ac:dyDescent="0.25">
      <c r="B21" s="6">
        <f>B20/1000/B6</f>
        <v>0.67680290676121391</v>
      </c>
      <c r="C21" t="s">
        <v>22</v>
      </c>
    </row>
    <row r="22" spans="1:10" x14ac:dyDescent="0.25">
      <c r="A22" t="s">
        <v>32</v>
      </c>
      <c r="B22" s="6">
        <f>B21*B18</f>
        <v>1.3536058135224278</v>
      </c>
      <c r="C22" t="s">
        <v>22</v>
      </c>
    </row>
    <row r="24" spans="1:10" x14ac:dyDescent="0.25">
      <c r="A24" t="s">
        <v>38</v>
      </c>
      <c r="B24" s="6">
        <f>B22/B14</f>
        <v>1.8800080743367054</v>
      </c>
      <c r="C24" t="s">
        <v>22</v>
      </c>
    </row>
    <row r="25" spans="1:10" x14ac:dyDescent="0.25">
      <c r="B25">
        <f>B24/3.6</f>
        <v>0.52222446509352927</v>
      </c>
      <c r="C25" t="s">
        <v>39</v>
      </c>
    </row>
    <row r="26" spans="1:10" x14ac:dyDescent="0.25">
      <c r="A26" t="s">
        <v>62</v>
      </c>
      <c r="B26" s="7">
        <f>B24/B7</f>
        <v>1.5671957938785473E-2</v>
      </c>
    </row>
    <row r="28" spans="1:10" x14ac:dyDescent="0.25">
      <c r="A28" s="3" t="s">
        <v>40</v>
      </c>
      <c r="B28">
        <v>2</v>
      </c>
      <c r="C28" t="s">
        <v>39</v>
      </c>
      <c r="D28" t="s">
        <v>42</v>
      </c>
      <c r="E28" t="s">
        <v>44</v>
      </c>
    </row>
    <row r="29" spans="1:10" x14ac:dyDescent="0.25">
      <c r="A29" t="s">
        <v>41</v>
      </c>
      <c r="B29">
        <v>4</v>
      </c>
      <c r="C29" s="9" t="s">
        <v>39</v>
      </c>
      <c r="D29" t="s">
        <v>43</v>
      </c>
      <c r="E29" t="s">
        <v>45</v>
      </c>
    </row>
    <row r="30" spans="1:10" x14ac:dyDescent="0.25">
      <c r="E30" t="s">
        <v>46</v>
      </c>
    </row>
    <row r="32" spans="1:10" x14ac:dyDescent="0.25">
      <c r="H32" t="s">
        <v>59</v>
      </c>
    </row>
    <row r="33" spans="8:12" x14ac:dyDescent="0.25">
      <c r="H33" t="s">
        <v>58</v>
      </c>
    </row>
    <row r="34" spans="8:12" ht="75" customHeight="1" x14ac:dyDescent="0.25">
      <c r="I34" s="29" t="s">
        <v>55</v>
      </c>
      <c r="J34" s="29"/>
      <c r="K34" s="29" t="s">
        <v>56</v>
      </c>
      <c r="L34" s="29"/>
    </row>
    <row r="35" spans="8:12" x14ac:dyDescent="0.25">
      <c r="I35" t="s">
        <v>47</v>
      </c>
      <c r="J35" t="s">
        <v>48</v>
      </c>
      <c r="K35" t="s">
        <v>47</v>
      </c>
      <c r="L35" t="s">
        <v>48</v>
      </c>
    </row>
    <row r="36" spans="8:12" x14ac:dyDescent="0.25">
      <c r="H36" t="s">
        <v>49</v>
      </c>
      <c r="I36">
        <v>3</v>
      </c>
      <c r="J36">
        <v>1</v>
      </c>
      <c r="K36">
        <v>3</v>
      </c>
      <c r="L36">
        <v>1</v>
      </c>
    </row>
    <row r="37" spans="8:12" x14ac:dyDescent="0.25">
      <c r="H37" t="s">
        <v>50</v>
      </c>
      <c r="I37" s="5">
        <v>0.65</v>
      </c>
      <c r="J37" s="5">
        <v>0.8</v>
      </c>
      <c r="K37" s="5">
        <v>0.65</v>
      </c>
      <c r="L37" s="5">
        <v>0.8</v>
      </c>
    </row>
    <row r="38" spans="8:12" x14ac:dyDescent="0.25">
      <c r="H38" t="s">
        <v>54</v>
      </c>
      <c r="I38">
        <v>63</v>
      </c>
      <c r="J38">
        <v>126</v>
      </c>
      <c r="K38">
        <v>44</v>
      </c>
      <c r="L38">
        <v>89</v>
      </c>
    </row>
    <row r="39" spans="8:12" x14ac:dyDescent="0.25">
      <c r="H39" t="s">
        <v>53</v>
      </c>
      <c r="I39">
        <v>177</v>
      </c>
      <c r="J39">
        <v>287</v>
      </c>
      <c r="K39">
        <v>125</v>
      </c>
      <c r="L39">
        <v>203</v>
      </c>
    </row>
    <row r="40" spans="8:12" x14ac:dyDescent="0.25">
      <c r="H40" t="s">
        <v>52</v>
      </c>
      <c r="I40">
        <v>208</v>
      </c>
      <c r="J40">
        <v>335</v>
      </c>
      <c r="K40">
        <v>148</v>
      </c>
      <c r="L40">
        <v>238</v>
      </c>
    </row>
    <row r="41" spans="8:12" x14ac:dyDescent="0.25">
      <c r="H41" t="s">
        <v>39</v>
      </c>
      <c r="I41">
        <v>3.3</v>
      </c>
      <c r="J41">
        <v>2.66</v>
      </c>
      <c r="K41">
        <v>3.36</v>
      </c>
      <c r="L41">
        <v>2.67</v>
      </c>
    </row>
    <row r="42" spans="8:12" ht="33" customHeight="1" x14ac:dyDescent="0.25">
      <c r="H42" t="s">
        <v>51</v>
      </c>
      <c r="I42" s="10">
        <v>297185</v>
      </c>
      <c r="J42" s="10">
        <v>259082</v>
      </c>
      <c r="K42" s="10">
        <v>223169</v>
      </c>
      <c r="L42" s="10">
        <v>233669</v>
      </c>
    </row>
    <row r="43" spans="8:12" x14ac:dyDescent="0.25">
      <c r="I43" s="10"/>
      <c r="J43" s="10"/>
      <c r="K43" s="10"/>
      <c r="L43" s="10"/>
    </row>
    <row r="44" spans="8:12" x14ac:dyDescent="0.25">
      <c r="H44" t="s">
        <v>57</v>
      </c>
      <c r="I44" s="10">
        <f t="shared" ref="I44:J44" si="1">I42/I40</f>
        <v>1428.7740384615386</v>
      </c>
      <c r="J44" s="10">
        <f t="shared" si="1"/>
        <v>773.37910447761192</v>
      </c>
      <c r="K44" s="10">
        <f>K42/K40</f>
        <v>1507.8986486486488</v>
      </c>
      <c r="L44" s="10">
        <f t="shared" ref="L44" si="2">L42/L40</f>
        <v>981.80252100840335</v>
      </c>
    </row>
    <row r="45" spans="8:12" x14ac:dyDescent="0.25">
      <c r="H45" t="s">
        <v>60</v>
      </c>
      <c r="I45">
        <f>I44*1.2</f>
        <v>1714.5288461538462</v>
      </c>
      <c r="J45">
        <f t="shared" ref="J45:L45" si="3">J44*1.2</f>
        <v>928.05492537313421</v>
      </c>
      <c r="K45">
        <f t="shared" si="3"/>
        <v>1809.4783783783785</v>
      </c>
      <c r="L45">
        <f t="shared" si="3"/>
        <v>1178.163025210084</v>
      </c>
    </row>
  </sheetData>
  <mergeCells count="2">
    <mergeCell ref="K34:L34"/>
    <mergeCell ref="I34:J34"/>
  </mergeCells>
  <hyperlinks>
    <hyperlink ref="E17" r:id="rId1"/>
    <hyperlink ref="I9" r:id="rId2"/>
    <hyperlink ref="A28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37" sqref="E37"/>
    </sheetView>
  </sheetViews>
  <sheetFormatPr defaultRowHeight="15" x14ac:dyDescent="0.25"/>
  <cols>
    <col min="1" max="1" width="41.28515625" bestFit="1" customWidth="1"/>
  </cols>
  <sheetData>
    <row r="1" spans="1:2" x14ac:dyDescent="0.25">
      <c r="A1" s="3" t="s">
        <v>7</v>
      </c>
    </row>
    <row r="2" spans="1:2" x14ac:dyDescent="0.25">
      <c r="A2" t="s">
        <v>8</v>
      </c>
      <c r="B2" t="s">
        <v>9</v>
      </c>
    </row>
    <row r="31" spans="1:2" x14ac:dyDescent="0.25">
      <c r="A31" t="s">
        <v>12</v>
      </c>
    </row>
    <row r="32" spans="1:2" x14ac:dyDescent="0.25">
      <c r="A32">
        <v>15</v>
      </c>
      <c r="B32" t="s">
        <v>10</v>
      </c>
    </row>
    <row r="33" spans="1:2" x14ac:dyDescent="0.25">
      <c r="A33">
        <f>A32/3.6*120.1</f>
        <v>500.41666666666669</v>
      </c>
      <c r="B33" t="s">
        <v>11</v>
      </c>
    </row>
    <row r="35" spans="1:2" x14ac:dyDescent="0.25">
      <c r="A35" t="s">
        <v>13</v>
      </c>
    </row>
    <row r="36" spans="1:2" x14ac:dyDescent="0.25">
      <c r="A36">
        <v>1.2</v>
      </c>
      <c r="B36" t="s">
        <v>14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7" zoomScale="85" zoomScaleNormal="85" workbookViewId="0">
      <selection activeCell="AA28" sqref="AA28"/>
    </sheetView>
  </sheetViews>
  <sheetFormatPr defaultRowHeight="15" x14ac:dyDescent="0.25"/>
  <cols>
    <col min="2" max="2" width="31.28515625" customWidth="1"/>
    <col min="3" max="3" width="23" customWidth="1"/>
    <col min="4" max="4" width="17.85546875" style="13" customWidth="1"/>
    <col min="5" max="5" width="21" customWidth="1"/>
    <col min="6" max="6" width="18.5703125" customWidth="1"/>
    <col min="7" max="7" width="21.7109375" customWidth="1"/>
    <col min="8" max="8" width="15.140625" hidden="1" customWidth="1"/>
    <col min="9" max="9" width="23.5703125" customWidth="1"/>
    <col min="10" max="10" width="14.85546875" style="13" customWidth="1"/>
    <col min="11" max="11" width="24.42578125" style="13" hidden="1" customWidth="1"/>
    <col min="12" max="12" width="36.85546875" style="13" customWidth="1"/>
    <col min="13" max="13" width="9.140625" customWidth="1"/>
    <col min="14" max="15" width="9.140625" hidden="1" customWidth="1"/>
    <col min="16" max="16" width="17.5703125" hidden="1" customWidth="1"/>
    <col min="17" max="23" width="9.140625" hidden="1" customWidth="1"/>
  </cols>
  <sheetData>
    <row r="1" spans="1:23" ht="21" x14ac:dyDescent="0.35">
      <c r="A1" s="12" t="s">
        <v>74</v>
      </c>
      <c r="C1" s="4"/>
    </row>
    <row r="2" spans="1:23" x14ac:dyDescent="0.25">
      <c r="B2" s="14">
        <v>43950</v>
      </c>
      <c r="C2" s="14"/>
      <c r="N2" s="30" t="s">
        <v>75</v>
      </c>
      <c r="O2" s="30"/>
      <c r="P2" s="30"/>
      <c r="Q2" s="30"/>
      <c r="R2" s="30"/>
      <c r="S2" s="30" t="s">
        <v>76</v>
      </c>
      <c r="T2" s="30"/>
      <c r="U2" s="30"/>
      <c r="V2" s="30"/>
      <c r="W2" s="30"/>
    </row>
    <row r="3" spans="1:23" s="15" customFormat="1" ht="63" x14ac:dyDescent="0.25">
      <c r="A3" s="15" t="s">
        <v>77</v>
      </c>
      <c r="B3" s="16" t="s">
        <v>78</v>
      </c>
      <c r="C3" s="16" t="s">
        <v>79</v>
      </c>
      <c r="D3" s="16" t="s">
        <v>80</v>
      </c>
      <c r="E3" s="16" t="s">
        <v>81</v>
      </c>
      <c r="F3" s="16" t="s">
        <v>82</v>
      </c>
      <c r="G3" s="16" t="s">
        <v>83</v>
      </c>
      <c r="H3" s="16" t="s">
        <v>84</v>
      </c>
      <c r="I3" s="16" t="s">
        <v>85</v>
      </c>
      <c r="J3" s="16" t="s">
        <v>86</v>
      </c>
      <c r="K3" s="15" t="s">
        <v>87</v>
      </c>
      <c r="L3" s="15" t="s">
        <v>88</v>
      </c>
      <c r="M3" s="15" t="s">
        <v>78</v>
      </c>
      <c r="N3" s="15" t="s">
        <v>89</v>
      </c>
      <c r="O3" s="15" t="s">
        <v>90</v>
      </c>
      <c r="P3" s="15" t="s">
        <v>91</v>
      </c>
      <c r="Q3" s="15" t="s">
        <v>92</v>
      </c>
      <c r="S3" s="15" t="s">
        <v>93</v>
      </c>
      <c r="T3" s="15" t="s">
        <v>94</v>
      </c>
      <c r="U3" s="15" t="s">
        <v>95</v>
      </c>
      <c r="V3" s="15" t="s">
        <v>96</v>
      </c>
      <c r="W3" s="15" t="s">
        <v>97</v>
      </c>
    </row>
    <row r="4" spans="1:23" ht="31.5" x14ac:dyDescent="0.3">
      <c r="A4" s="17">
        <v>1</v>
      </c>
      <c r="B4" s="15" t="s">
        <v>98</v>
      </c>
      <c r="C4" s="18" t="s">
        <v>99</v>
      </c>
      <c r="D4" s="19" t="s">
        <v>100</v>
      </c>
      <c r="E4" s="18" t="s">
        <v>101</v>
      </c>
      <c r="F4" s="18" t="s">
        <v>102</v>
      </c>
      <c r="G4" s="18"/>
      <c r="H4" s="18">
        <v>20</v>
      </c>
      <c r="I4" s="18">
        <v>1000</v>
      </c>
      <c r="J4" s="19" t="s">
        <v>103</v>
      </c>
      <c r="K4" s="13" t="s">
        <v>104</v>
      </c>
      <c r="L4" s="13" t="s">
        <v>105</v>
      </c>
      <c r="M4" s="3" t="s">
        <v>106</v>
      </c>
    </row>
    <row r="5" spans="1:23" ht="94.5" x14ac:dyDescent="0.3">
      <c r="A5" s="17">
        <v>2</v>
      </c>
      <c r="B5" s="16" t="s">
        <v>107</v>
      </c>
      <c r="C5" s="18" t="s">
        <v>99</v>
      </c>
      <c r="D5" s="19" t="s">
        <v>108</v>
      </c>
      <c r="E5" s="20">
        <v>1.2</v>
      </c>
      <c r="F5" s="21">
        <f>3000*$D$30/1000</f>
        <v>0.26646435114080047</v>
      </c>
      <c r="G5" s="22">
        <v>1</v>
      </c>
      <c r="H5" s="18" t="s">
        <v>109</v>
      </c>
      <c r="I5" s="23">
        <f>76/$D$30/$D$31</f>
        <v>1125.8541666666667</v>
      </c>
      <c r="J5" s="19" t="s">
        <v>103</v>
      </c>
      <c r="K5" s="29" t="s">
        <v>110</v>
      </c>
      <c r="L5" s="29" t="s">
        <v>111</v>
      </c>
      <c r="M5" s="3" t="s">
        <v>112</v>
      </c>
    </row>
    <row r="6" spans="1:23" ht="18.75" x14ac:dyDescent="0.3">
      <c r="A6" s="17"/>
      <c r="B6" s="16"/>
      <c r="C6" s="18" t="s">
        <v>99</v>
      </c>
      <c r="D6" s="19" t="s">
        <v>108</v>
      </c>
      <c r="E6" s="18">
        <v>2</v>
      </c>
      <c r="F6" s="21">
        <f>5200*$D$30/1000</f>
        <v>0.4618715419773875</v>
      </c>
      <c r="G6" s="22">
        <v>1</v>
      </c>
      <c r="H6" s="18" t="s">
        <v>109</v>
      </c>
      <c r="I6" s="23">
        <f>59/$D$30/$D$31</f>
        <v>874.01836622807014</v>
      </c>
      <c r="J6" s="19"/>
      <c r="K6" s="29"/>
      <c r="L6" s="29"/>
      <c r="M6" s="3" t="s">
        <v>112</v>
      </c>
    </row>
    <row r="7" spans="1:23" ht="18.75" x14ac:dyDescent="0.3">
      <c r="A7" s="17"/>
      <c r="B7" s="16"/>
      <c r="C7" s="18" t="s">
        <v>99</v>
      </c>
      <c r="D7" s="19" t="s">
        <v>108</v>
      </c>
      <c r="E7" s="18">
        <v>2</v>
      </c>
      <c r="F7" s="21">
        <f>17400*$D$30/1000</f>
        <v>1.545493236616643</v>
      </c>
      <c r="G7" s="22">
        <v>1</v>
      </c>
      <c r="H7" s="18" t="s">
        <v>109</v>
      </c>
      <c r="I7" s="23">
        <f>49/$D$30/$D$31</f>
        <v>725.87966008771934</v>
      </c>
      <c r="J7" s="19"/>
      <c r="K7" s="29"/>
      <c r="L7" s="29"/>
      <c r="M7" s="3" t="s">
        <v>112</v>
      </c>
    </row>
    <row r="8" spans="1:23" ht="18.75" x14ac:dyDescent="0.3">
      <c r="A8" s="17"/>
      <c r="B8" s="16"/>
      <c r="C8" s="18"/>
      <c r="D8" s="19" t="s">
        <v>108</v>
      </c>
      <c r="E8" s="18">
        <v>2</v>
      </c>
      <c r="F8" s="21">
        <f>52100*$D$30/1000</f>
        <v>4.6275975648119019</v>
      </c>
      <c r="G8" s="22">
        <v>1</v>
      </c>
      <c r="H8" s="18" t="s">
        <v>109</v>
      </c>
      <c r="I8" s="23">
        <f>37/$D$30/$D$31</f>
        <v>548.1132127192983</v>
      </c>
      <c r="J8" s="19"/>
      <c r="K8" s="29"/>
      <c r="L8" s="29"/>
      <c r="M8" s="3" t="s">
        <v>112</v>
      </c>
    </row>
    <row r="9" spans="1:23" ht="60.75" x14ac:dyDescent="0.3">
      <c r="A9" s="17"/>
      <c r="B9" s="16"/>
      <c r="C9" s="19" t="s">
        <v>108</v>
      </c>
      <c r="D9" s="19" t="s">
        <v>113</v>
      </c>
      <c r="E9" s="18">
        <v>100</v>
      </c>
      <c r="F9" s="18">
        <v>64714</v>
      </c>
      <c r="G9" s="22">
        <v>1</v>
      </c>
      <c r="H9" s="18"/>
      <c r="I9" s="28">
        <f>17000000/D31/F9</f>
        <v>345.65041648841952</v>
      </c>
      <c r="J9" s="19">
        <v>0.7</v>
      </c>
      <c r="K9" s="13" t="s">
        <v>114</v>
      </c>
      <c r="L9" s="13" t="s">
        <v>115</v>
      </c>
      <c r="M9" s="3" t="s">
        <v>112</v>
      </c>
    </row>
    <row r="10" spans="1:23" ht="30.75" x14ac:dyDescent="0.3">
      <c r="A10" s="17">
        <v>3</v>
      </c>
      <c r="B10" s="15" t="s">
        <v>116</v>
      </c>
      <c r="C10" s="18" t="s">
        <v>99</v>
      </c>
      <c r="D10" s="19" t="s">
        <v>117</v>
      </c>
      <c r="E10" s="18" t="s">
        <v>118</v>
      </c>
      <c r="F10" s="18">
        <v>50</v>
      </c>
      <c r="G10" s="22">
        <v>1</v>
      </c>
      <c r="H10" s="18"/>
      <c r="I10" s="28">
        <v>516</v>
      </c>
      <c r="J10" s="19" t="s">
        <v>103</v>
      </c>
      <c r="L10" s="13" t="s">
        <v>119</v>
      </c>
      <c r="M10" s="3" t="s">
        <v>120</v>
      </c>
    </row>
    <row r="11" spans="1:23" ht="30.75" x14ac:dyDescent="0.3">
      <c r="A11" s="17"/>
      <c r="B11" s="15"/>
      <c r="C11" s="18" t="s">
        <v>121</v>
      </c>
      <c r="D11" s="19" t="s">
        <v>122</v>
      </c>
      <c r="E11" s="18" t="s">
        <v>123</v>
      </c>
      <c r="F11" s="18">
        <v>6000</v>
      </c>
      <c r="G11" s="18">
        <f>3720/6000</f>
        <v>0.62</v>
      </c>
      <c r="H11" s="18"/>
      <c r="I11" s="28">
        <f>W11-V11</f>
        <v>32.598000000000006</v>
      </c>
      <c r="J11" s="19" t="s">
        <v>103</v>
      </c>
      <c r="L11" s="13" t="s">
        <v>124</v>
      </c>
      <c r="M11" s="3" t="s">
        <v>120</v>
      </c>
      <c r="S11">
        <v>17.600000000000001</v>
      </c>
      <c r="T11">
        <v>8.6999999999999993</v>
      </c>
      <c r="U11">
        <f>9.4</f>
        <v>9.4</v>
      </c>
      <c r="V11">
        <f>U11*(1-0.67)</f>
        <v>3.1019999999999999</v>
      </c>
      <c r="W11">
        <f>SUM(S11:U11)</f>
        <v>35.700000000000003</v>
      </c>
    </row>
    <row r="12" spans="1:23" ht="47.25" x14ac:dyDescent="0.3">
      <c r="A12" s="17"/>
      <c r="B12" s="15"/>
      <c r="C12" s="18" t="s">
        <v>121</v>
      </c>
      <c r="D12" s="19" t="s">
        <v>125</v>
      </c>
      <c r="E12" s="18">
        <v>150</v>
      </c>
      <c r="F12" s="18">
        <v>672</v>
      </c>
      <c r="G12" s="20">
        <f>640/672</f>
        <v>0.95238095238095233</v>
      </c>
      <c r="H12" s="18"/>
      <c r="I12" s="23">
        <f>W12-V12</f>
        <v>59.941999999999993</v>
      </c>
      <c r="J12" s="19">
        <v>0.7</v>
      </c>
      <c r="L12" s="13" t="s">
        <v>126</v>
      </c>
      <c r="M12" s="3" t="s">
        <v>120</v>
      </c>
      <c r="S12">
        <v>46.6</v>
      </c>
      <c r="T12">
        <v>15.4</v>
      </c>
      <c r="U12">
        <v>9.8000000000000007</v>
      </c>
      <c r="V12">
        <f>T12*0.77</f>
        <v>11.858000000000001</v>
      </c>
      <c r="W12">
        <f>SUM(S12:U12)</f>
        <v>71.8</v>
      </c>
    </row>
    <row r="13" spans="1:23" ht="30.75" x14ac:dyDescent="0.3">
      <c r="A13" s="17">
        <v>4</v>
      </c>
      <c r="B13" s="15" t="s">
        <v>127</v>
      </c>
      <c r="C13" s="18" t="s">
        <v>99</v>
      </c>
      <c r="D13" s="19" t="s">
        <v>128</v>
      </c>
      <c r="E13" s="18">
        <v>200</v>
      </c>
      <c r="F13" s="18" t="s">
        <v>129</v>
      </c>
      <c r="G13" s="18" t="s">
        <v>103</v>
      </c>
      <c r="H13" s="18"/>
      <c r="I13" s="18" t="s">
        <v>130</v>
      </c>
      <c r="J13" s="19">
        <v>2.2000000000000002</v>
      </c>
      <c r="L13" s="13" t="s">
        <v>131</v>
      </c>
      <c r="M13" s="3" t="s">
        <v>132</v>
      </c>
    </row>
    <row r="14" spans="1:23" ht="30.75" x14ac:dyDescent="0.3">
      <c r="A14" s="17"/>
      <c r="B14" s="15"/>
      <c r="C14" s="18" t="s">
        <v>121</v>
      </c>
      <c r="D14" s="19" t="s">
        <v>122</v>
      </c>
      <c r="E14" s="18">
        <v>200</v>
      </c>
      <c r="F14" s="18"/>
      <c r="G14" s="20" t="s">
        <v>103</v>
      </c>
      <c r="H14" s="18"/>
      <c r="I14" s="21">
        <v>8.82</v>
      </c>
      <c r="J14" s="19">
        <v>2.2000000000000002</v>
      </c>
      <c r="L14" s="13" t="s">
        <v>133</v>
      </c>
      <c r="M14" s="3" t="s">
        <v>132</v>
      </c>
    </row>
    <row r="15" spans="1:23" ht="30.75" x14ac:dyDescent="0.3">
      <c r="A15" s="17">
        <v>5</v>
      </c>
      <c r="B15" s="15" t="s">
        <v>134</v>
      </c>
      <c r="C15" s="18" t="s">
        <v>121</v>
      </c>
      <c r="D15" s="19" t="s">
        <v>122</v>
      </c>
      <c r="E15" s="18" t="s">
        <v>135</v>
      </c>
      <c r="F15" s="18">
        <v>2486</v>
      </c>
      <c r="G15" s="20">
        <f>1912/F15</f>
        <v>0.76910699919549474</v>
      </c>
      <c r="H15" s="18"/>
      <c r="I15" s="21">
        <f>P15/(F15*G15)/1000</f>
        <v>18.679428347280336</v>
      </c>
      <c r="J15" s="19">
        <v>2.2000000000000002</v>
      </c>
      <c r="L15" s="13" t="s">
        <v>136</v>
      </c>
      <c r="M15" s="3" t="s">
        <v>137</v>
      </c>
      <c r="N15">
        <v>63254547</v>
      </c>
      <c r="O15">
        <v>27539480</v>
      </c>
      <c r="P15">
        <f>N15-O15</f>
        <v>35715067</v>
      </c>
      <c r="Q15">
        <f>N15/(F15*G15)/1000</f>
        <v>33.082922071129708</v>
      </c>
      <c r="R15" s="24"/>
    </row>
    <row r="16" spans="1:23" ht="31.5" x14ac:dyDescent="0.3">
      <c r="A16" s="17"/>
      <c r="B16" s="15"/>
      <c r="C16" s="18" t="s">
        <v>138</v>
      </c>
      <c r="D16" s="19" t="s">
        <v>139</v>
      </c>
      <c r="E16" s="18" t="s">
        <v>135</v>
      </c>
      <c r="F16" s="18">
        <v>2868</v>
      </c>
      <c r="G16" s="20">
        <f t="shared" ref="G16:G18" si="0">1912/F16</f>
        <v>0.66666666666666663</v>
      </c>
      <c r="H16" s="18"/>
      <c r="I16" s="21">
        <f t="shared" ref="I16:I18" si="1">P16/(F16*G16)/1000</f>
        <v>11.374102510460251</v>
      </c>
      <c r="J16" s="19">
        <v>2.2000000000000002</v>
      </c>
      <c r="K16" s="25"/>
      <c r="L16" s="13" t="s">
        <v>136</v>
      </c>
      <c r="M16" s="3" t="s">
        <v>137</v>
      </c>
      <c r="N16">
        <v>40106938</v>
      </c>
      <c r="O16">
        <v>18359654</v>
      </c>
      <c r="P16">
        <f t="shared" ref="P16:P18" si="2">N16-O16</f>
        <v>21747284</v>
      </c>
      <c r="Q16">
        <f t="shared" ref="Q16:Q18" si="3">N16/(F16*G16)/1000</f>
        <v>20.976432008368199</v>
      </c>
      <c r="R16" s="24"/>
    </row>
    <row r="17" spans="1:18" s="9" customFormat="1" ht="30.75" x14ac:dyDescent="0.3">
      <c r="A17" s="17"/>
      <c r="B17" s="15"/>
      <c r="C17" s="18" t="s">
        <v>121</v>
      </c>
      <c r="D17" s="19" t="s">
        <v>140</v>
      </c>
      <c r="E17" s="18" t="s">
        <v>135</v>
      </c>
      <c r="F17" s="18">
        <v>2486</v>
      </c>
      <c r="G17" s="20">
        <f t="shared" si="0"/>
        <v>0.76910699919549474</v>
      </c>
      <c r="H17" s="18"/>
      <c r="I17" s="21">
        <f t="shared" si="1"/>
        <v>32.481453974895395</v>
      </c>
      <c r="J17" s="19">
        <v>2.2000000000000002</v>
      </c>
      <c r="K17" s="25"/>
      <c r="L17" s="13" t="s">
        <v>136</v>
      </c>
      <c r="M17" s="3" t="s">
        <v>137</v>
      </c>
      <c r="N17" s="9">
        <v>89644020</v>
      </c>
      <c r="O17" s="9">
        <v>27539480</v>
      </c>
      <c r="P17">
        <f t="shared" si="2"/>
        <v>62104540</v>
      </c>
      <c r="Q17">
        <f t="shared" si="3"/>
        <v>46.884947698744767</v>
      </c>
      <c r="R17" s="24"/>
    </row>
    <row r="18" spans="1:18" s="9" customFormat="1" ht="30.75" x14ac:dyDescent="0.3">
      <c r="A18" s="17"/>
      <c r="B18" s="15"/>
      <c r="C18" s="18" t="s">
        <v>121</v>
      </c>
      <c r="D18" s="19" t="s">
        <v>141</v>
      </c>
      <c r="E18" s="18" t="s">
        <v>135</v>
      </c>
      <c r="F18" s="18">
        <v>2868</v>
      </c>
      <c r="G18" s="20">
        <f t="shared" si="0"/>
        <v>0.66666666666666663</v>
      </c>
      <c r="H18" s="18"/>
      <c r="I18" s="21">
        <f t="shared" si="1"/>
        <v>11.840901673640168</v>
      </c>
      <c r="J18" s="19">
        <v>2.2000000000000002</v>
      </c>
      <c r="K18" s="25"/>
      <c r="L18" s="13" t="s">
        <v>136</v>
      </c>
      <c r="M18" s="3" t="s">
        <v>137</v>
      </c>
      <c r="N18" s="9">
        <v>40999458</v>
      </c>
      <c r="O18" s="9">
        <v>18359654</v>
      </c>
      <c r="P18">
        <f t="shared" si="2"/>
        <v>22639804</v>
      </c>
      <c r="Q18">
        <f t="shared" si="3"/>
        <v>21.443231171548117</v>
      </c>
      <c r="R18" s="24"/>
    </row>
    <row r="19" spans="1:18" s="9" customFormat="1" ht="30.75" x14ac:dyDescent="0.3">
      <c r="A19" s="17">
        <v>6</v>
      </c>
      <c r="B19" s="15" t="s">
        <v>142</v>
      </c>
      <c r="C19" s="18" t="s">
        <v>121</v>
      </c>
      <c r="D19" s="19" t="s">
        <v>122</v>
      </c>
      <c r="E19" s="26" t="s">
        <v>143</v>
      </c>
      <c r="F19" s="18">
        <v>2520</v>
      </c>
      <c r="G19" s="18"/>
      <c r="H19" s="18"/>
      <c r="I19" s="18" t="s">
        <v>144</v>
      </c>
      <c r="J19" s="19" t="s">
        <v>103</v>
      </c>
      <c r="K19" s="13"/>
      <c r="L19" s="13" t="s">
        <v>145</v>
      </c>
      <c r="M19" s="3" t="s">
        <v>146</v>
      </c>
    </row>
    <row r="20" spans="1:18" s="9" customFormat="1" x14ac:dyDescent="0.25">
      <c r="D20" s="13"/>
      <c r="E20"/>
      <c r="F20"/>
      <c r="G20"/>
      <c r="H20"/>
      <c r="I20"/>
      <c r="J20" s="13"/>
      <c r="K20" s="13"/>
      <c r="L20" s="13"/>
      <c r="M20"/>
    </row>
    <row r="24" spans="1:18" x14ac:dyDescent="0.25">
      <c r="C24" t="s">
        <v>147</v>
      </c>
    </row>
    <row r="26" spans="1:18" x14ac:dyDescent="0.25">
      <c r="C26" t="s">
        <v>148</v>
      </c>
      <c r="D26" s="13">
        <v>100</v>
      </c>
      <c r="E26" t="s">
        <v>149</v>
      </c>
    </row>
    <row r="27" spans="1:18" x14ac:dyDescent="0.25">
      <c r="C27" t="s">
        <v>150</v>
      </c>
      <c r="D27" s="13">
        <v>0</v>
      </c>
      <c r="E27" t="s">
        <v>151</v>
      </c>
    </row>
    <row r="28" spans="1:18" x14ac:dyDescent="0.25">
      <c r="C28" t="s">
        <v>152</v>
      </c>
      <c r="D28" s="27">
        <v>2.016E-3</v>
      </c>
      <c r="E28" t="s">
        <v>153</v>
      </c>
    </row>
    <row r="29" spans="1:18" x14ac:dyDescent="0.25">
      <c r="C29" t="s">
        <v>154</v>
      </c>
    </row>
    <row r="30" spans="1:18" x14ac:dyDescent="0.25">
      <c r="C30" t="s">
        <v>155</v>
      </c>
      <c r="D30" s="13">
        <f xml:space="preserve"> D26*1000*D28/(8.314*(273+D27))</f>
        <v>8.8821450380266828E-2</v>
      </c>
      <c r="E30" t="s">
        <v>156</v>
      </c>
    </row>
    <row r="31" spans="1:18" x14ac:dyDescent="0.25">
      <c r="C31" t="s">
        <v>157</v>
      </c>
      <c r="D31" s="13">
        <v>0.76</v>
      </c>
      <c r="E31" t="s">
        <v>158</v>
      </c>
    </row>
    <row r="41" spans="6:7" x14ac:dyDescent="0.25">
      <c r="F41" s="13"/>
      <c r="G41" s="13"/>
    </row>
    <row r="42" spans="6:7" x14ac:dyDescent="0.25">
      <c r="F42" s="13"/>
      <c r="G42" s="13"/>
    </row>
  </sheetData>
  <mergeCells count="4">
    <mergeCell ref="N2:R2"/>
    <mergeCell ref="S2:W2"/>
    <mergeCell ref="K5:K8"/>
    <mergeCell ref="L5:L8"/>
  </mergeCell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</hyperlinks>
  <pageMargins left="0.7" right="0.7" top="0.75" bottom="0.75" header="0.3" footer="0.3"/>
  <pageSetup orientation="portrait" r:id="rId17"/>
  <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H2_comp_specpower_costs</vt:lpstr>
      <vt:lpstr>H2 storage_costs_lit</vt:lpstr>
      <vt:lpstr>Bulk_H2_StorageCosts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2020-05-03T03:44:32Z</dcterms:modified>
</cp:coreProperties>
</file>